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5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63.xml" ContentType="application/vnd.ms-excel.controlproperties+xml"/>
  <Override PartName="/xl/ctrlProps/ctrlProps62.xml" ContentType="application/vnd.ms-excel.controlproperties+xml"/>
  <Override PartName="/xl/ctrlProps/ctrlProps53.xml" ContentType="application/vnd.ms-excel.controlproperties+xml"/>
  <Override PartName="/xl/ctrlProps/ctrlProps51.xml" ContentType="application/vnd.ms-excel.controlproperties+xml"/>
  <Override PartName="/xl/ctrlProps/ctrlProps50.xml" ContentType="application/vnd.ms-excel.controlproperties+xml"/>
  <Override PartName="/xl/ctrlProps/ctrlProps46.xml" ContentType="application/vnd.ms-excel.controlproperties+xml"/>
  <Override PartName="/xl/ctrlProps/ctrlProps45.xml" ContentType="application/vnd.ms-excel.controlproperties+xml"/>
  <Override PartName="/xl/ctrlProps/ctrlProps44.xml" ContentType="application/vnd.ms-excel.controlproperties+xml"/>
  <Override PartName="/xl/ctrlProps/ctrlProps48.xml" ContentType="application/vnd.ms-excel.controlproperties+xml"/>
  <Override PartName="/xl/ctrlProps/ctrlProps11.xml" ContentType="application/vnd.ms-excel.controlproperties+xml"/>
  <Override PartName="/xl/ctrlProps/ctrlProps52.xml" ContentType="application/vnd.ms-excel.controlproperties+xml"/>
  <Override PartName="/xl/ctrlProps/ctrlProps54.xml" ContentType="application/vnd.ms-excel.controlproperties+xml"/>
  <Override PartName="/xl/ctrlProps/ctrlProps8.xml" ContentType="application/vnd.ms-excel.controlproperties+xml"/>
  <Override PartName="/xl/ctrlProps/ctrlProps21.xml" ContentType="application/vnd.ms-excel.controlproperties+xml"/>
  <Override PartName="/xl/ctrlProps/ctrlProps58.xml" ContentType="application/vnd.ms-excel.controlproperties+xml"/>
  <Override PartName="/xl/ctrlProps/ctrlProps19.xml" ContentType="application/vnd.ms-excel.controlproperties+xml"/>
  <Override PartName="/xl/ctrlProps/ctrlProps61.xml" ContentType="application/vnd.ms-excel.controlproperties+xml"/>
  <Override PartName="/xl/ctrlProps/ctrlProps9.xml" ContentType="application/vnd.ms-excel.controlproperties+xml"/>
  <Override PartName="/xl/ctrlProps/ctrlProps22.xml" ContentType="application/vnd.ms-excel.controlproperties+xml"/>
  <Override PartName="/xl/ctrlProps/ctrlProps59.xml" ContentType="application/vnd.ms-excel.controlproperties+xml"/>
  <Override PartName="/xl/ctrlProps/ctrlProps23.xml" ContentType="application/vnd.ms-excel.controlproperties+xml"/>
  <Override PartName="/xl/ctrlProps/ctrlProps24.xml" ContentType="application/vnd.ms-excel.controlproperties+xml"/>
  <Override PartName="/xl/ctrlProps/ctrlProps25.xml" ContentType="application/vnd.ms-excel.controlproperties+xml"/>
  <Override PartName="/xl/ctrlProps/ctrlProps26.xml" ContentType="application/vnd.ms-excel.controlproperties+xml"/>
  <Override PartName="/xl/ctrlProps/ctrlProps71.xml" ContentType="application/vnd.ms-excel.controlproperties+xml"/>
  <Override PartName="/xl/ctrlProps/ctrlProps29.xml" ContentType="application/vnd.ms-excel.controlproperties+xml"/>
  <Override PartName="/xl/ctrlProps/ctrlProps69.xml" ContentType="application/vnd.ms-excel.controlproperties+xml"/>
  <Override PartName="/xl/ctrlProps/ctrlProps32.xml" ContentType="application/vnd.ms-excel.controlproperties+xml"/>
  <Override PartName="/xl/ctrlProps/ctrlProps70.xml" ContentType="application/vnd.ms-excel.controlproperties+xml"/>
  <Override PartName="/xl/ctrlProps/ctrlProps28.xml" ContentType="application/vnd.ms-excel.controlproperties+xml"/>
  <Override PartName="/xl/ctrlProps/ctrlProps68.xml" ContentType="application/vnd.ms-excel.controlproperties+xml"/>
  <Override PartName="/xl/ctrlProps/ctrlProps31.xml" ContentType="application/vnd.ms-excel.controlproperties+xml"/>
  <Override PartName="/xl/ctrlProps/ctrlProps67.xml" ContentType="application/vnd.ms-excel.controlproperties+xml"/>
  <Override PartName="/xl/ctrlProps/ctrlProps30.xml" ContentType="application/vnd.ms-excel.controlproperties+xml"/>
  <Override PartName="/xl/ctrlProps/ctrlProps66.xml" ContentType="application/vnd.ms-excel.controlproperties+xml"/>
  <Override PartName="/xl/ctrlProps/ctrlProps65.xml" ContentType="application/vnd.ms-excel.controlproperties+xml"/>
  <Override PartName="/xl/ctrlProps/ctrlProps64.xml" ContentType="application/vnd.ms-excel.controlproperties+xml"/>
  <Override PartName="/xl/ctrlProps/ctrlProps27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55.xml" ContentType="application/vnd.ms-excel.controlproperties+xml"/>
  <Override PartName="/xl/ctrlProps/ctrlProps14.xml" ContentType="application/vnd.ms-excel.controlproperties+xml"/>
  <Override PartName="/xl/ctrlProps/ctrlProps6.xml" ContentType="application/vnd.ms-excel.controlproperties+xml"/>
  <Override PartName="/xl/ctrlProps/ctrlProps56.xml" ContentType="application/vnd.ms-excel.controlproperties+xml"/>
  <Override PartName="/xl/ctrlProps/ctrlProps15.xml" ContentType="application/vnd.ms-excel.controlproperties+xml"/>
  <Override PartName="/xl/ctrlProps/ctrlProps16.xml" ContentType="application/vnd.ms-excel.controlproperties+xml"/>
  <Override PartName="/xl/ctrlProps/ctrlProps20.xml" ContentType="application/vnd.ms-excel.controlproperties+xml"/>
  <Override PartName="/xl/ctrlProps/ctrlProps57.xml" ContentType="application/vnd.ms-excel.controlproperties+xml"/>
  <Override PartName="/xl/ctrlProps/ctrlProps17.xml" ContentType="application/vnd.ms-excel.controlproperties+xml"/>
  <Override PartName="/xl/ctrlProps/ctrlProps18.xml" ContentType="application/vnd.ms-excel.controlproperties+xml"/>
  <Override PartName="/xl/ctrlProps/ctrlProps60.xml" ContentType="application/vnd.ms-excel.controlproperties+xml"/>
  <Override PartName="/xl/ctrlProps/ctrlProps10.xml" ContentType="application/vnd.ms-excel.controlproperties+xml"/>
  <Override PartName="/xl/ctrlProps/ctrlProps47.xml" ContentType="application/vnd.ms-excel.controlproperties+xml"/>
  <Override PartName="/xl/ctrlProps/ctrlProps12.xml" ContentType="application/vnd.ms-excel.controlproperties+xml"/>
  <Override PartName="/xl/ctrlProps/ctrlProps49.xml" ContentType="application/vnd.ms-excel.controlproperties+xml"/>
  <Override PartName="/xl/ctrlProps/ctrlProps33.xml" ContentType="application/vnd.ms-excel.controlproperties+xml"/>
  <Override PartName="/xl/ctrlProps/ctrlProps2.xml" ContentType="application/vnd.ms-excel.controlproperties+xml"/>
  <Override PartName="/xl/ctrlProps/ctrlProps34.xml" ContentType="application/vnd.ms-excel.controlproperties+xml"/>
  <Override PartName="/xl/ctrlProps/ctrlProps35.xml" ContentType="application/vnd.ms-excel.controlproperties+xml"/>
  <Override PartName="/xl/ctrlProps/ctrlProps4.xml" ContentType="application/vnd.ms-excel.controlproperties+xml"/>
  <Override PartName="/xl/ctrlProps/ctrlProps36.xml" ContentType="application/vnd.ms-excel.controlproperties+xml"/>
  <Override PartName="/xl/ctrlProps/ctrlProps7.xml" ContentType="application/vnd.ms-excel.controlproperties+xml"/>
  <Override PartName="/xl/ctrlProps/ctrlProps39.xml" ContentType="application/vnd.ms-excel.controlproperties+xml"/>
  <Override PartName="/xl/ctrlProps/ctrlProps40.xml" ContentType="application/vnd.ms-excel.controlproperties+xml"/>
  <Override PartName="/xl/ctrlProps/ctrlProps41.xml" ContentType="application/vnd.ms-excel.controlproperties+xml"/>
  <Override PartName="/xl/ctrlProps/ctrlProps42.xml" ContentType="application/vnd.ms-excel.controlproperties+xml"/>
  <Override PartName="/xl/ctrlProps/ctrlProps43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37.xml" ContentType="application/vnd.openxmlformats-officedocument.drawing+xml"/>
  <Override PartName="/xl/drawings/drawing38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All Inc." sheetId="2" state="visible" r:id="rId4"/>
    <sheet name="IS" sheetId="3" state="visible" r:id="rId5"/>
    <sheet name="UnitData" sheetId="4" state="visible" r:id="rId6"/>
    <sheet name="Detail" sheetId="5" state="visible" r:id="rId7"/>
    <sheet name="Assumptions" sheetId="6" state="visible" r:id="rId8"/>
    <sheet name="PPA" sheetId="7" state="visible" r:id="rId9"/>
    <sheet name="CoalPrice" sheetId="8" state="visible" r:id="rId10"/>
    <sheet name="PTax" sheetId="9" state="visible" r:id="rId11"/>
    <sheet name="A&amp;G" sheetId="10" state="visible" r:id="rId12"/>
    <sheet name="FOM" sheetId="11" state="visible" r:id="rId13"/>
    <sheet name="Tax Depr" sheetId="12" state="visible" r:id="rId14"/>
    <sheet name="Book Depr" sheetId="13" state="visible" r:id="rId15"/>
    <sheet name="GAAP Beg Depreciation" sheetId="14" state="visible" r:id="rId16"/>
    <sheet name="CapAds" sheetId="15" state="visible" r:id="rId17"/>
    <sheet name="EnvData" sheetId="16" state="visible" r:id="rId18"/>
    <sheet name="BaseLoad" sheetId="17" state="visible" r:id="rId19"/>
    <sheet name="Peak" sheetId="18" state="visible" r:id="rId20"/>
    <sheet name="Base Revenue" sheetId="19" state="visible" r:id="rId21"/>
    <sheet name="Peak Revenue" sheetId="20" state="visible" r:id="rId22"/>
    <sheet name="Base Hours" sheetId="21" state="visible" r:id="rId23"/>
    <sheet name="Peak Hours" sheetId="22" state="visible" r:id="rId24"/>
  </sheets>
  <externalReferences>
    <externalReference r:id="rId25"/>
  </externalReferences>
  <definedNames>
    <definedName function="false" hidden="false" localSheetId="1" name="_xlnm.Print_Area" vbProcedure="false">'All Inc.'!$1:$64</definedName>
    <definedName function="false" hidden="false" localSheetId="2" name="_xlnm.Print_Area" vbProcedure="false">IS!$A$1:$W$69</definedName>
    <definedName function="false" hidden="false" name="AGCost" vbProcedure="false">'A&amp;G'!$A$9:$V$43</definedName>
    <definedName function="false" hidden="false" name="allotval" vbProcedure="false">EnvData!$A$245:$V$277</definedName>
    <definedName function="false" hidden="false" name="Answer" vbProcedure="false">Summary!$D$17:$F$49</definedName>
    <definedName function="false" hidden="false" name="BookDep" vbProcedure="false">'Book Depr'!$A$8:$V$42</definedName>
    <definedName function="false" hidden="false" name="CapAds" vbProcedure="false">CapAds!$A$9:$V$43</definedName>
    <definedName function="false" hidden="false" name="Coal" vbProcedure="false">CoalPrice!$A$7:$V$41</definedName>
    <definedName function="false" hidden="false" name="Costs" vbProcedure="false">FOM!$A$8:$V$42</definedName>
    <definedName function="false" hidden="false" name="decline" vbProcedure="false">0.1</definedName>
    <definedName function="false" hidden="false" name="Depr" vbProcedure="false">'Tax Depr'!$A$8:$V$42</definedName>
    <definedName function="false" hidden="false" name="discount_rate" vbProcedure="false">0.12</definedName>
    <definedName function="false" hidden="false" name="EAValue" vbProcedure="false">EnvData!$A$245:$W$277</definedName>
    <definedName function="false" hidden="false" name="ECapAds" vbProcedure="false">EnvData!$A$9:$V$43</definedName>
    <definedName function="false" hidden="false" name="EnvFOM" vbProcedure="false">EnvData!$A$86:$V$120</definedName>
    <definedName function="false" hidden="false" name="EnvVOM" vbProcedure="false">EnvData!$A$48:$V$82</definedName>
    <definedName function="false" hidden="false" name="NOxRate" vbProcedure="false">EnvData!$A$164:$V$198</definedName>
    <definedName function="false" hidden="false" name="PTax" vbProcedure="false">PTax!$A$7:$V$40</definedName>
    <definedName function="false" hidden="false" name="rate" vbProcedure="false">0.1</definedName>
    <definedName function="false" hidden="false" name="SO2Rate" vbProcedure="false">EnvData!$A$125:$V$159</definedName>
    <definedName function="false" hidden="false" name="UnitData" vbProcedure="false">UnitData!$A$10:$O$42</definedName>
    <definedName function="false" hidden="false" localSheetId="3" name="solver_adj" vbProcedure="false">UnitData!$E$29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0</definedName>
    <definedName function="false" hidden="false" localSheetId="3" name="solver_nwt" vbProcedure="false">1</definedName>
    <definedName function="false" hidden="false" localSheetId="3" name="solver_opt" vbProcedure="false">UnitData!$C$29</definedName>
    <definedName function="false" hidden="false" localSheetId="3" name="solver_pre" vbProcedure="false">0.000001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</definedName>
    <definedName function="false" hidden="false" localSheetId="13" name="CapAds" vbProcedure="false">'[1]IP-Fixed Costs'!$CK$2:$DF$62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<sst xmlns="http://schemas.openxmlformats.org/spreadsheetml/2006/main" count="3786" uniqueCount="307">
  <si>
    <t xml:space="preserve">Deterministic Asset Valuation Model</t>
  </si>
  <si>
    <t xml:space="preserve">Valuation Summary</t>
  </si>
  <si>
    <t xml:space="preserve">Value</t>
  </si>
  <si>
    <t xml:space="preserve">Total</t>
  </si>
  <si>
    <t xml:space="preserve">Unit(s)</t>
  </si>
  <si>
    <t xml:space="preserve">Capacity</t>
  </si>
  <si>
    <t xml:space="preserve">(2000-2005)</t>
  </si>
  <si>
    <t xml:space="preserve">(2006-2019)</t>
  </si>
  <si>
    <t xml:space="preserve">(Terminal)</t>
  </si>
  <si>
    <t xml:space="preserve">$/Kw</t>
  </si>
  <si>
    <t xml:space="preserve">BaseLoad Total</t>
  </si>
  <si>
    <t xml:space="preserve">Peaker Total</t>
  </si>
  <si>
    <t xml:space="preserve">Cinergy Total</t>
  </si>
  <si>
    <t xml:space="preserve">PPA Value</t>
  </si>
  <si>
    <t xml:space="preserve">VMC</t>
  </si>
  <si>
    <t xml:space="preserve">Income Statement &amp; Diagnostic Worksheet </t>
  </si>
  <si>
    <t xml:space="preserve">Disc. Rt.</t>
  </si>
  <si>
    <t xml:space="preserve">Unit</t>
  </si>
  <si>
    <t xml:space="preserve">All</t>
  </si>
  <si>
    <t xml:space="preserve">TV</t>
  </si>
  <si>
    <t xml:space="preserve">Revenue</t>
  </si>
  <si>
    <t xml:space="preserve">Fuel</t>
  </si>
  <si>
    <t xml:space="preserve">Variable O&amp;M</t>
  </si>
  <si>
    <t xml:space="preserve">SO2 Costs</t>
  </si>
  <si>
    <t xml:space="preserve">NOx Costs</t>
  </si>
  <si>
    <t xml:space="preserve">Prod. Margin</t>
  </si>
  <si>
    <t xml:space="preserve">Fixed O&amp;M</t>
  </si>
  <si>
    <t xml:space="preserve">Property Tax</t>
  </si>
  <si>
    <t xml:space="preserve">A&amp;G</t>
  </si>
  <si>
    <t xml:space="preserve">Operating Income</t>
  </si>
  <si>
    <t xml:space="preserve">Depreciation</t>
  </si>
  <si>
    <t xml:space="preserve">Income Tax</t>
  </si>
  <si>
    <t xml:space="preserve">Net Margin</t>
  </si>
  <si>
    <t xml:space="preserve">Cap Ads</t>
  </si>
  <si>
    <t xml:space="preserve">Env Cap Ads</t>
  </si>
  <si>
    <t xml:space="preserve">Free Cash Flow</t>
  </si>
  <si>
    <t xml:space="preserve">Unlevered</t>
  </si>
  <si>
    <t xml:space="preserve">NPV ('00-'05)</t>
  </si>
  <si>
    <t xml:space="preserve">Levered</t>
  </si>
  <si>
    <t xml:space="preserve">NPV ('06-'19)</t>
  </si>
  <si>
    <t xml:space="preserve">NPV (TV)</t>
  </si>
  <si>
    <t xml:space="preserve">NPV</t>
  </si>
  <si>
    <t xml:space="preserve">Plus Leverage </t>
  </si>
  <si>
    <t xml:space="preserve">Net Income Calculation</t>
  </si>
  <si>
    <t xml:space="preserve">Add Back:</t>
  </si>
  <si>
    <t xml:space="preserve">Net Cash Income Per Above</t>
  </si>
  <si>
    <t xml:space="preserve">Income Taxes (Per Cash Flow)</t>
  </si>
  <si>
    <t xml:space="preserve">Tax Depreciation (Per Cash Flow)</t>
  </si>
  <si>
    <t xml:space="preserve">EBITDA</t>
  </si>
  <si>
    <t xml:space="preserve">Less:</t>
  </si>
  <si>
    <t xml:space="preserve">Book Depreciation</t>
  </si>
  <si>
    <t xml:space="preserve">Interest Expense</t>
  </si>
  <si>
    <t xml:space="preserve">Earnings Before Income Taxes</t>
  </si>
  <si>
    <t xml:space="preserve">Income Taxes</t>
  </si>
  <si>
    <t xml:space="preserve">Net Income - GAAP Basis</t>
  </si>
  <si>
    <t xml:space="preserve">Leveraged Cash Flows</t>
  </si>
  <si>
    <t xml:space="preserve">Leverage Level</t>
  </si>
  <si>
    <t xml:space="preserve">FMV of Assets/Borrowing</t>
  </si>
  <si>
    <t xml:space="preserve">Amortization Period Years</t>
  </si>
  <si>
    <t xml:space="preserve">Princ PMTS</t>
  </si>
  <si>
    <t xml:space="preserve">Interest Rate</t>
  </si>
  <si>
    <t xml:space="preserve">Beginning Balance</t>
  </si>
  <si>
    <t xml:space="preserve">Interest Payment</t>
  </si>
  <si>
    <t xml:space="preserve">Principal Payments</t>
  </si>
  <si>
    <t xml:space="preserve">Total Payments</t>
  </si>
  <si>
    <t xml:space="preserve">Ending Balance</t>
  </si>
  <si>
    <t xml:space="preserve">Tax Benefit of Interest</t>
  </si>
  <si>
    <t xml:space="preserve">Total Debt Payments (after-tax)</t>
  </si>
  <si>
    <t xml:space="preserve">Cash Flows Modified for Leverage</t>
  </si>
  <si>
    <t xml:space="preserve">Conesville 4</t>
  </si>
  <si>
    <t xml:space="preserve">Total Tax</t>
  </si>
  <si>
    <t xml:space="preserve">East Bend 2</t>
  </si>
  <si>
    <t xml:space="preserve">JM Stuart 1</t>
  </si>
  <si>
    <t xml:space="preserve">JM Stuart 2</t>
  </si>
  <si>
    <t xml:space="preserve">JM Stuart 3</t>
  </si>
  <si>
    <t xml:space="preserve">JM Stuart 4</t>
  </si>
  <si>
    <t xml:space="preserve">Killen 2</t>
  </si>
  <si>
    <t xml:space="preserve">Miami Fort 5</t>
  </si>
  <si>
    <t xml:space="preserve">Miami Fort 6</t>
  </si>
  <si>
    <t xml:space="preserve">Miami Fort 7</t>
  </si>
  <si>
    <t xml:space="preserve">Miami Fort 8</t>
  </si>
  <si>
    <t xml:space="preserve">WC Beckjord 1</t>
  </si>
  <si>
    <t xml:space="preserve">WC Beckjord 2</t>
  </si>
  <si>
    <t xml:space="preserve">WC Beckjord 3</t>
  </si>
  <si>
    <t xml:space="preserve">WC Beckjord 4</t>
  </si>
  <si>
    <t xml:space="preserve">WC Beckjord 5</t>
  </si>
  <si>
    <t xml:space="preserve">WC Beckjord 6</t>
  </si>
  <si>
    <t xml:space="preserve">WH Zimmer 1</t>
  </si>
  <si>
    <t xml:space="preserve">Dicks Creek 1</t>
  </si>
  <si>
    <t xml:space="preserve">Dicks Creek 3</t>
  </si>
  <si>
    <t xml:space="preserve">Dicks Creek 4&amp;5</t>
  </si>
  <si>
    <t xml:space="preserve">Miami Fort 3-6</t>
  </si>
  <si>
    <t xml:space="preserve">Beckjord CT1</t>
  </si>
  <si>
    <t xml:space="preserve">Beckjord CT2</t>
  </si>
  <si>
    <t xml:space="preserve">Beckjord CT3</t>
  </si>
  <si>
    <t xml:space="preserve">Beckjord CT4</t>
  </si>
  <si>
    <t xml:space="preserve">Woodsdale 1</t>
  </si>
  <si>
    <t xml:space="preserve">Woodsdale 2</t>
  </si>
  <si>
    <t xml:space="preserve">Woodsdale 3</t>
  </si>
  <si>
    <t xml:space="preserve">Woodsdale 4</t>
  </si>
  <si>
    <t xml:space="preserve">Woodsdale 5</t>
  </si>
  <si>
    <t xml:space="preserve">Woodsdale 6</t>
  </si>
  <si>
    <t xml:space="preserve">ID</t>
  </si>
  <si>
    <t xml:space="preserve">Plant Type</t>
  </si>
  <si>
    <t xml:space="preserve">Life</t>
  </si>
  <si>
    <t xml:space="preserve">Diagnostics</t>
  </si>
  <si>
    <t xml:space="preserve">Generation Data</t>
  </si>
  <si>
    <t xml:space="preserve">Gen. (Mwh)</t>
  </si>
  <si>
    <t xml:space="preserve">Cap. Factor</t>
  </si>
  <si>
    <t xml:space="preserve">Vaiable Costs ($/Mwh)</t>
  </si>
  <si>
    <t xml:space="preserve">Var. O&amp;M</t>
  </si>
  <si>
    <t xml:space="preserve">SO2</t>
  </si>
  <si>
    <t xml:space="preserve">NOx</t>
  </si>
  <si>
    <t xml:space="preserve">Fixed Costs ($/Kw)</t>
  </si>
  <si>
    <t xml:space="preserve">PTax</t>
  </si>
  <si>
    <t xml:space="preserve">Env. Cap Ads</t>
  </si>
  <si>
    <t xml:space="preserve">Cinergy Unit Data</t>
  </si>
  <si>
    <t xml:space="preserve">Capacity  (Mw)</t>
  </si>
  <si>
    <t xml:space="preserve">Cap.</t>
  </si>
  <si>
    <t xml:space="preserve">Variable</t>
  </si>
  <si>
    <t xml:space="preserve">Fixed</t>
  </si>
  <si>
    <t xml:space="preserve">Heat</t>
  </si>
  <si>
    <t xml:space="preserve">Availability</t>
  </si>
  <si>
    <t xml:space="preserve">Plant</t>
  </si>
  <si>
    <t xml:space="preserve">Summer</t>
  </si>
  <si>
    <t xml:space="preserve">Winter</t>
  </si>
  <si>
    <t xml:space="preserve">Spr/Fall</t>
  </si>
  <si>
    <t xml:space="preserve">Avg</t>
  </si>
  <si>
    <t xml:space="preserve">O&amp;M</t>
  </si>
  <si>
    <t xml:space="preserve">Rate</t>
  </si>
  <si>
    <t xml:space="preserve">Type</t>
  </si>
  <si>
    <t xml:space="preserve">Coal</t>
  </si>
  <si>
    <t xml:space="preserve">BL</t>
  </si>
  <si>
    <t xml:space="preserve">Oil</t>
  </si>
  <si>
    <t xml:space="preserve">Peak</t>
  </si>
  <si>
    <t xml:space="preserve">Gas</t>
  </si>
  <si>
    <t xml:space="preserve">Diagnostic Sheet</t>
  </si>
  <si>
    <t xml:space="preserve">Pull Down Menu to Go To</t>
  </si>
  <si>
    <t xml:space="preserve">The Desired Unit(s)</t>
  </si>
  <si>
    <t xml:space="preserve">Assumptions Sheet</t>
  </si>
  <si>
    <t xml:space="preserve">EA &amp; Fuel Pricing Assumptions</t>
  </si>
  <si>
    <t xml:space="preserve">Seas = 1</t>
  </si>
  <si>
    <t xml:space="preserve"> Seasonal Adjustment</t>
  </si>
  <si>
    <t xml:space="preserve">Price</t>
  </si>
  <si>
    <t xml:space="preserve">Ann = 2</t>
  </si>
  <si>
    <t xml:space="preserve">General Assumptions</t>
  </si>
  <si>
    <t xml:space="preserve">Jan</t>
  </si>
  <si>
    <t xml:space="preserve">Feb</t>
  </si>
  <si>
    <t xml:space="preserve">Var. O&amp;M Escalation</t>
  </si>
  <si>
    <t xml:space="preserve">Mar</t>
  </si>
  <si>
    <t xml:space="preserve">Fixed O&amp;M Escalation</t>
  </si>
  <si>
    <t xml:space="preserve">Apr</t>
  </si>
  <si>
    <t xml:space="preserve">Corporate Tax Rate</t>
  </si>
  <si>
    <t xml:space="preserve">May</t>
  </si>
  <si>
    <t xml:space="preserve">Discount Rate</t>
  </si>
  <si>
    <t xml:space="preserve">Jun</t>
  </si>
  <si>
    <t xml:space="preserve">Jul</t>
  </si>
  <si>
    <t xml:space="preserve">Aug</t>
  </si>
  <si>
    <t xml:space="preserve">Interest Rate on Debt</t>
  </si>
  <si>
    <t xml:space="preserve">Sep</t>
  </si>
  <si>
    <t xml:space="preserve">Capital Addition Book Life (Years)</t>
  </si>
  <si>
    <t xml:space="preserve">Oct</t>
  </si>
  <si>
    <t xml:space="preserve">Environmental CapEX Book Depr</t>
  </si>
  <si>
    <t xml:space="preserve">Nov</t>
  </si>
  <si>
    <t xml:space="preserve">Dec</t>
  </si>
  <si>
    <t xml:space="preserve">Unit &gt;&gt;</t>
  </si>
  <si>
    <t xml:space="preserve">PPA Price</t>
  </si>
  <si>
    <t xml:space="preserve">Year</t>
  </si>
  <si>
    <t xml:space="preserve">PPA Run %</t>
  </si>
  <si>
    <t xml:space="preserve">Expected Cap</t>
  </si>
  <si>
    <t xml:space="preserve">2nd-call Run %</t>
  </si>
  <si>
    <t xml:space="preserve">Property Tax Schedule</t>
  </si>
  <si>
    <t xml:space="preserve">A&amp;G Schedule</t>
  </si>
  <si>
    <t xml:space="preserve"> </t>
  </si>
  <si>
    <t xml:space="preserve">Fixed O&amp;M Schedule</t>
  </si>
  <si>
    <t xml:space="preserve">Base Unit Tax Depreciation Schedule</t>
  </si>
  <si>
    <t xml:space="preserve">Cap Ex Depreciation</t>
  </si>
  <si>
    <t xml:space="preserve">Cap Ex</t>
  </si>
  <si>
    <t xml:space="preserve">20 yr MACRS</t>
  </si>
  <si>
    <t xml:space="preserve">Tax Depr. On Cap Ex</t>
  </si>
  <si>
    <t xml:space="preserve">Env Cap Ex Depreciation</t>
  </si>
  <si>
    <t xml:space="preserve">Env Cap Ex</t>
  </si>
  <si>
    <t xml:space="preserve">Acc. Depr.</t>
  </si>
  <si>
    <t xml:space="preserve">Tax Depr. On Env Cap Ex</t>
  </si>
  <si>
    <t xml:space="preserve">Base Tax Dep.</t>
  </si>
  <si>
    <t xml:space="preserve">Total Tax Depreciation</t>
  </si>
  <si>
    <t xml:space="preserve">Base Unit Book Depreciation Schedule</t>
  </si>
  <si>
    <t xml:space="preserve">Cap Ex Book Depreciation</t>
  </si>
  <si>
    <t xml:space="preserve">Years</t>
  </si>
  <si>
    <t xml:space="preserve">Book Depr. On Cap Ex</t>
  </si>
  <si>
    <t xml:space="preserve">Env Cap Ex Book Depreciation</t>
  </si>
  <si>
    <t xml:space="preserve">Book Depr. On Env Cap Ex</t>
  </si>
  <si>
    <t xml:space="preserve">Total Book Depr</t>
  </si>
  <si>
    <t xml:space="preserve">ORIGINAL</t>
  </si>
  <si>
    <t xml:space="preserve">ACCUMULATED</t>
  </si>
  <si>
    <t xml:space="preserve">NET</t>
  </si>
  <si>
    <t xml:space="preserve">ANNUAL</t>
  </si>
  <si>
    <t xml:space="preserve">COSTS</t>
  </si>
  <si>
    <t xml:space="preserve">PROVISION/AMORTIZATION  (1)</t>
  </si>
  <si>
    <t xml:space="preserve">PLANT</t>
  </si>
  <si>
    <t xml:space="preserve">DEPR/AMORT </t>
  </si>
  <si>
    <t xml:space="preserve">BECKJORD 1-5</t>
  </si>
  <si>
    <t xml:space="preserve">BECKJORD 6</t>
  </si>
  <si>
    <t xml:space="preserve">BECKJORD GT</t>
  </si>
  <si>
    <t xml:space="preserve">BECKJORD GENERAL</t>
  </si>
  <si>
    <t xml:space="preserve">BECKJORD INTANGIBLE</t>
  </si>
  <si>
    <t xml:space="preserve">TOTAL BECKJORD</t>
  </si>
  <si>
    <t xml:space="preserve">MIAMI FORT 5-6</t>
  </si>
  <si>
    <t xml:space="preserve">MIAMI FORT 7</t>
  </si>
  <si>
    <t xml:space="preserve">MIAMI FORT 8</t>
  </si>
  <si>
    <t xml:space="preserve">MIAMI FORT GT</t>
  </si>
  <si>
    <t xml:space="preserve">MIAMI FORT GENERAL 5-6</t>
  </si>
  <si>
    <t xml:space="preserve">MIAMI FORT GENERAL 7</t>
  </si>
  <si>
    <t xml:space="preserve">MIAMI FORT GENERAL 8</t>
  </si>
  <si>
    <t xml:space="preserve">MIAMI FORT INTANGIBLE 5-6</t>
  </si>
  <si>
    <t xml:space="preserve">TOTAL MIAMI FORT</t>
  </si>
  <si>
    <t xml:space="preserve">DICKS CREEK</t>
  </si>
  <si>
    <t xml:space="preserve">STUART</t>
  </si>
  <si>
    <t xml:space="preserve">CONESVILLE</t>
  </si>
  <si>
    <t xml:space="preserve">EAST BEND</t>
  </si>
  <si>
    <t xml:space="preserve">KILLEN</t>
  </si>
  <si>
    <t xml:space="preserve">ZIMMER</t>
  </si>
  <si>
    <t xml:space="preserve">WOODSDALE</t>
  </si>
  <si>
    <t xml:space="preserve">TOTAL</t>
  </si>
  <si>
    <t xml:space="preserve">Original Costs, Accumulated Depreciation and Annual Depreciation of Step Up Transformers</t>
  </si>
  <si>
    <t xml:space="preserve"> @ 12/31/99</t>
  </si>
  <si>
    <t xml:space="preserve">Beckjord Unit 6</t>
  </si>
  <si>
    <t xml:space="preserve">Beckjord GT</t>
  </si>
  <si>
    <t xml:space="preserve">Beckjord Substation</t>
  </si>
  <si>
    <t xml:space="preserve">Beckjord Station</t>
  </si>
  <si>
    <t xml:space="preserve">Miami Fort Units 7&amp;8</t>
  </si>
  <si>
    <t xml:space="preserve">Miami Fort GT</t>
  </si>
  <si>
    <t xml:space="preserve">Miami Fort Substation</t>
  </si>
  <si>
    <t xml:space="preserve">Miami Fort - Front Street</t>
  </si>
  <si>
    <t xml:space="preserve">Miami Fort Station</t>
  </si>
  <si>
    <t xml:space="preserve">Dicks Creek Substation</t>
  </si>
  <si>
    <t xml:space="preserve">Stuart Substation</t>
  </si>
  <si>
    <t xml:space="preserve">Conesville Substation</t>
  </si>
  <si>
    <t xml:space="preserve">East Bend Substation</t>
  </si>
  <si>
    <t xml:space="preserve">Zimmer Substation</t>
  </si>
  <si>
    <t xml:space="preserve">Woodsdale Substation</t>
  </si>
  <si>
    <t xml:space="preserve">Total </t>
  </si>
  <si>
    <t xml:space="preserve">Grand Total Plant Summary Recap - Projected 2000 Based on Additions Through 1999</t>
  </si>
  <si>
    <t xml:space="preserve">Beckjord</t>
  </si>
  <si>
    <t xml:space="preserve">Miami Fort</t>
  </si>
  <si>
    <t xml:space="preserve">Incremental Increase In 2000 Depreciation PER ECBU Budget Due to 2000 Additions:</t>
  </si>
  <si>
    <t xml:space="preserve">Depreciation Years</t>
  </si>
  <si>
    <t xml:space="preserve">Depreciation per 2000 Budget With 2000 Additions:</t>
  </si>
  <si>
    <t xml:space="preserve">Duke</t>
  </si>
  <si>
    <t xml:space="preserve">Normal Capital Expendtitures</t>
  </si>
  <si>
    <t xml:space="preserve">Environmental Data</t>
  </si>
  <si>
    <t xml:space="preserve">Environmental Capital</t>
  </si>
  <si>
    <t xml:space="preserve">Environmental VOM</t>
  </si>
  <si>
    <t xml:space="preserve">Environmental FOM</t>
  </si>
  <si>
    <t xml:space="preserve">SO2 Rate</t>
  </si>
  <si>
    <t xml:space="preserve">NOx Rate</t>
  </si>
  <si>
    <t xml:space="preserve">       NOx Plan</t>
  </si>
  <si>
    <t xml:space="preserve">Red.</t>
  </si>
  <si>
    <t xml:space="preserve">SCR</t>
  </si>
  <si>
    <t xml:space="preserve">OPT/SCR</t>
  </si>
  <si>
    <t xml:space="preserve">SNCR/LNB</t>
  </si>
  <si>
    <t xml:space="preserve">OPT</t>
  </si>
  <si>
    <t xml:space="preserve">OPT/LNB</t>
  </si>
  <si>
    <t xml:space="preserve">EPA Allowances</t>
  </si>
  <si>
    <t xml:space="preserve">Allocated EPA Allowances</t>
  </si>
  <si>
    <t xml:space="preserve">Baseload</t>
  </si>
  <si>
    <t xml:space="preserve">Dispatch</t>
  </si>
  <si>
    <t xml:space="preserve">Price Duration Curves</t>
  </si>
  <si>
    <t xml:space="preserve">Reg.</t>
  </si>
  <si>
    <t xml:space="preserve">Env.</t>
  </si>
  <si>
    <t xml:space="preserve">Availabilty</t>
  </si>
  <si>
    <t xml:space="preserve">VOM</t>
  </si>
  <si>
    <t xml:space="preserve">Cost</t>
  </si>
  <si>
    <t xml:space="preserve">Bucket 1</t>
  </si>
  <si>
    <t xml:space="preserve">Bucket 2</t>
  </si>
  <si>
    <t xml:space="preserve">Bucket 3</t>
  </si>
  <si>
    <t xml:space="preserve">Bucket 4</t>
  </si>
  <si>
    <t xml:space="preserve">Bucket 5</t>
  </si>
  <si>
    <t xml:space="preserve">Bucket 6</t>
  </si>
  <si>
    <t xml:space="preserve">Bucket 7</t>
  </si>
  <si>
    <t xml:space="preserve">Bucket 8</t>
  </si>
  <si>
    <t xml:space="preserve">Bucket 9</t>
  </si>
  <si>
    <t xml:space="preserve">Bucket 10</t>
  </si>
  <si>
    <t xml:space="preserve">Bucket 11</t>
  </si>
  <si>
    <t xml:space="preserve">Bucket 12</t>
  </si>
  <si>
    <t xml:space="preserve">Bucket 13</t>
  </si>
  <si>
    <t xml:space="preserve">Bucket 14</t>
  </si>
  <si>
    <t xml:space="preserve">Bucket 15</t>
  </si>
  <si>
    <t xml:space="preserve">Bucket 16</t>
  </si>
  <si>
    <t xml:space="preserve">Bucket 17</t>
  </si>
  <si>
    <t xml:space="preserve">Bucket 18</t>
  </si>
  <si>
    <t xml:space="preserve">Bucket 19</t>
  </si>
  <si>
    <t xml:space="preserve">Bucket 20</t>
  </si>
  <si>
    <t xml:space="preserve">Seas. Flag</t>
  </si>
  <si>
    <t xml:space="preserve">Spring</t>
  </si>
  <si>
    <t xml:space="preserve">Fall</t>
  </si>
  <si>
    <t xml:space="preserve">Average</t>
  </si>
  <si>
    <t xml:space="preserve">Annual</t>
  </si>
  <si>
    <t xml:space="preserve">Monthly Total</t>
  </si>
  <si>
    <t xml:space="preserve">Second Call </t>
  </si>
  <si>
    <t xml:space="preserve">First Call</t>
  </si>
  <si>
    <t xml:space="preserve">Monthly</t>
  </si>
  <si>
    <t xml:space="preserve">Yearly</t>
  </si>
  <si>
    <t xml:space="preserve">Seasonal</t>
  </si>
  <si>
    <t xml:space="preserve">2nd Call</t>
  </si>
  <si>
    <t xml:space="preserve">PPA</t>
  </si>
  <si>
    <t xml:space="preserve">Yearly </t>
  </si>
</sst>
</file>

<file path=xl/styles.xml><?xml version="1.0" encoding="utf-8"?>
<styleSheet xmlns="http://schemas.openxmlformats.org/spreadsheetml/2006/main">
  <numFmts count="32">
    <numFmt numFmtId="164" formatCode="General"/>
    <numFmt numFmtId="165" formatCode="0.000000"/>
    <numFmt numFmtId="166" formatCode="[$-409]#,##0_);[RED]\(#,##0\)"/>
    <numFmt numFmtId="167" formatCode="#,##0"/>
    <numFmt numFmtId="168" formatCode="_(* #,##0.00_);_(* \(#,##0.00\);_(* \-??_);_(@_)"/>
    <numFmt numFmtId="169" formatCode="_(* #,##0_);_(* \(#,##0\);_(* \-??_);_(@_)"/>
    <numFmt numFmtId="170" formatCode="0"/>
    <numFmt numFmtId="171" formatCode="#,##0.0_);[RED]\(#,##0.0\)"/>
    <numFmt numFmtId="172" formatCode="0.00%"/>
    <numFmt numFmtId="173" formatCode="[$-409]#,##0.00_);[RED]\(#,##0.00\)"/>
    <numFmt numFmtId="174" formatCode="_(\$* #,##0_);_(\$* \(#,##0\);_(\$* \-_);_(@_)"/>
    <numFmt numFmtId="175" formatCode="_(\$* #,##0.00_);_(\$* \(#,##0.00\);_(\$* \-??_);_(@_)"/>
    <numFmt numFmtId="176" formatCode="_(\$* #,##0_);_(\$* \(#,##0\);_(\$* \-??_);_(@_)"/>
    <numFmt numFmtId="177" formatCode="0%"/>
    <numFmt numFmtId="178" formatCode="\$#,##0_);[RED]&quot;($&quot;#,##0\)"/>
    <numFmt numFmtId="179" formatCode="[$-409]m/d/yyyy"/>
    <numFmt numFmtId="180" formatCode="_(* #,##0_);_(* \(#,##0\);_(* \-_);_(@_)"/>
    <numFmt numFmtId="181" formatCode="0.00"/>
    <numFmt numFmtId="182" formatCode="0.0%"/>
    <numFmt numFmtId="183" formatCode="0.0"/>
    <numFmt numFmtId="184" formatCode="_(* #,##0.0_);_(* \(#,##0.0\);_(* \-??_);_(@_)"/>
    <numFmt numFmtId="185" formatCode="#,##0.00"/>
    <numFmt numFmtId="186" formatCode="#,##0.0"/>
    <numFmt numFmtId="187" formatCode="0.000"/>
    <numFmt numFmtId="188" formatCode="_(* #,##0.00000_);_(* \(#,##0.00000\);_(* \-??_);_(@_)"/>
    <numFmt numFmtId="189" formatCode="[$-409]mmm\-yy"/>
    <numFmt numFmtId="190" formatCode="#,##0.0_);\(#,##0.0\)"/>
    <numFmt numFmtId="191" formatCode="_(* #,##0.000_);_(* \(#,##0.000\);_(* \-??_);_(@_)"/>
    <numFmt numFmtId="192" formatCode="_(\$* #,##0.0_);_(\$* \(#,##0.0\);_(\$* \-??_);_(@_)"/>
    <numFmt numFmtId="193" formatCode="[$-409]#,##0.00_);\(#,##0.00\)"/>
    <numFmt numFmtId="194" formatCode="0.00_);[RED]\(0.00\)"/>
    <numFmt numFmtId="195" formatCode="_(* #,##0.00_);[RED]_(* \(#,##0.00\);_(* \-??_);_(@_)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</font>
    <font>
      <b val="true"/>
      <sz val="10"/>
      <name val="Arial"/>
      <family val="2"/>
    </font>
    <font>
      <b val="true"/>
      <sz val="8"/>
      <name val="Arial"/>
      <family val="2"/>
    </font>
    <font>
      <b val="true"/>
      <sz val="10"/>
      <color rgb="FF0000FF"/>
      <name val="Arial"/>
      <family val="2"/>
    </font>
    <font>
      <sz val="10"/>
      <name val="Arial"/>
      <family val="2"/>
    </font>
    <font>
      <b val="true"/>
      <sz val="12"/>
      <name val="Arial"/>
      <family val="2"/>
    </font>
    <font>
      <b val="true"/>
      <sz val="8"/>
      <color rgb="FF0000FF"/>
      <name val="Arial"/>
      <family val="2"/>
    </font>
    <font>
      <sz val="10"/>
      <color rgb="FF0000FF"/>
      <name val="Arial"/>
      <family val="2"/>
    </font>
    <font>
      <b val="true"/>
      <sz val="12"/>
      <color rgb="FF0000FF"/>
      <name val="Arial"/>
      <family val="2"/>
    </font>
    <font>
      <sz val="8"/>
      <color rgb="FF0000FF"/>
      <name val="Arial"/>
      <family val="2"/>
    </font>
    <font>
      <sz val="10"/>
      <color rgb="FFC0C0C0"/>
      <name val="Arial"/>
      <family val="2"/>
    </font>
    <font>
      <b val="true"/>
      <sz val="18"/>
      <name val="Arial"/>
      <family val="2"/>
    </font>
    <font>
      <sz val="10"/>
      <color rgb="FF000080"/>
      <name val="Arial"/>
      <family val="2"/>
    </font>
    <font>
      <b val="true"/>
      <u val="single"/>
      <sz val="8"/>
      <name val="Arial"/>
      <family val="2"/>
    </font>
    <font>
      <b val="true"/>
      <u val="single"/>
      <sz val="10"/>
      <name val="Arial"/>
      <family val="2"/>
    </font>
    <font>
      <u val="single"/>
      <sz val="10"/>
      <name val="Arial"/>
      <family val="2"/>
    </font>
    <font>
      <sz val="10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FFFFCC"/>
        <bgColor rgb="FFFFFFFF"/>
      </patternFill>
    </fill>
  </fills>
  <borders count="49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thin">
        <color rgb="FF0000FF"/>
      </right>
      <top/>
      <bottom/>
      <diagonal/>
    </border>
    <border diagonalUp="false" diagonalDown="false">
      <left style="thin">
        <color rgb="FF0000FF"/>
      </left>
      <right style="thin">
        <color rgb="FF0000FF"/>
      </right>
      <top/>
      <bottom/>
      <diagonal/>
    </border>
    <border diagonalUp="false" diagonalDown="false">
      <left/>
      <right style="thin">
        <color rgb="FF0000FF"/>
      </right>
      <top/>
      <bottom style="thin"/>
      <diagonal/>
    </border>
    <border diagonalUp="false" diagonalDown="false">
      <left style="thin">
        <color rgb="FF0000FF"/>
      </left>
      <right style="thin">
        <color rgb="FF0000FF"/>
      </right>
      <top/>
      <bottom style="thin"/>
      <diagonal/>
    </border>
    <border diagonalUp="false" diagonalDown="false">
      <left style="thin">
        <color rgb="FF0000FF"/>
      </left>
      <right style="thin">
        <color rgb="FF0000FF"/>
      </right>
      <top style="thin"/>
      <bottom style="thin"/>
      <diagonal/>
    </border>
    <border diagonalUp="false" diagonalDown="false">
      <left style="thin">
        <color rgb="FF0000FF"/>
      </left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</cellStyleXfs>
  <cellXfs count="4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4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4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4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2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4" fillId="4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" fillId="4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4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3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3" fillId="3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3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3" fillId="3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3" fillId="3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4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3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3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0" fillId="3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0" fillId="3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1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1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13" fillId="3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9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3" fillId="3" borderId="38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0" borderId="2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3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0" fillId="0" borderId="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0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0" fillId="0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4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4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1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6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4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5" fillId="4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3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5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5" fontId="4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3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5" fillId="3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3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6" fillId="3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4" fillId="3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4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4" fillId="3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4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4" fillId="3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4" fillId="3" borderId="4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4" fillId="3" borderId="4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4" fontId="4" fillId="3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1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3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RH giant OLD" xfId="20"/>
  </cellStyles>
  <dxfs count="1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 style="thin"/>
        <right style="thin"/>
        <top style="thin"/>
        <bottom style="thin"/>
        <diagonal/>
      </border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externalLink" Target="externalLinks/externalLink1.xml"/><Relationship Id="rId26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5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7.xml><?xml version="1.0" encoding="utf-8"?>
<formControlPr xmlns="http://schemas.microsoft.com/office/spreadsheetml/2009/9/main" objectType="Button" lockText="1"/>
</file>

<file path=xl/ctrlProps/ctrlProps28.xml><?xml version="1.0" encoding="utf-8"?>
<formControlPr xmlns="http://schemas.microsoft.com/office/spreadsheetml/2009/9/main" objectType="Button" lockText="1"/>
</file>

<file path=xl/ctrlProps/ctrlProps29.xml><?xml version="1.0" encoding="utf-8"?>
<formControlPr xmlns="http://schemas.microsoft.com/office/spreadsheetml/2009/9/main" objectType="Button" lockText="1"/>
</file>

<file path=xl/ctrlProps/ctrlProps30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Button" lockText="1"/>
</file>

<file path=xl/ctrlProps/ctrlProps32.xml><?xml version="1.0" encoding="utf-8"?>
<formControlPr xmlns="http://schemas.microsoft.com/office/spreadsheetml/2009/9/main" objectType="Button" lockText="1"/>
</file>

<file path=xl/ctrlProps/ctrlProps33.xml><?xml version="1.0" encoding="utf-8"?>
<formControlPr xmlns="http://schemas.microsoft.com/office/spreadsheetml/2009/9/main" objectType="Button" lockText="1"/>
</file>

<file path=xl/ctrlProps/ctrlProps34.xml><?xml version="1.0" encoding="utf-8"?>
<formControlPr xmlns="http://schemas.microsoft.com/office/spreadsheetml/2009/9/main" objectType="Button" lockText="1"/>
</file>

<file path=xl/ctrlProps/ctrlProps35.xml><?xml version="1.0" encoding="utf-8"?>
<formControlPr xmlns="http://schemas.microsoft.com/office/spreadsheetml/2009/9/main" objectType="Button" lockText="1"/>
</file>

<file path=xl/ctrlProps/ctrlProps36.xml><?xml version="1.0" encoding="utf-8"?>
<formControlPr xmlns="http://schemas.microsoft.com/office/spreadsheetml/2009/9/main" objectType="Button" lockText="1"/>
</file>

<file path=xl/ctrlProps/ctrlProps39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40.xml><?xml version="1.0" encoding="utf-8"?>
<formControlPr xmlns="http://schemas.microsoft.com/office/spreadsheetml/2009/9/main" objectType="Button" lockText="1"/>
</file>

<file path=xl/ctrlProps/ctrlProps41.xml><?xml version="1.0" encoding="utf-8"?>
<formControlPr xmlns="http://schemas.microsoft.com/office/spreadsheetml/2009/9/main" objectType="Button" lockText="1"/>
</file>

<file path=xl/ctrlProps/ctrlProps42.xml><?xml version="1.0" encoding="utf-8"?>
<formControlPr xmlns="http://schemas.microsoft.com/office/spreadsheetml/2009/9/main" objectType="Button" lockText="1"/>
</file>

<file path=xl/ctrlProps/ctrlProps43.xml><?xml version="1.0" encoding="utf-8"?>
<formControlPr xmlns="http://schemas.microsoft.com/office/spreadsheetml/2009/9/main" objectType="Button" lockText="1"/>
</file>

<file path=xl/ctrlProps/ctrlProps44.xml><?xml version="1.0" encoding="utf-8"?>
<formControlPr xmlns="http://schemas.microsoft.com/office/spreadsheetml/2009/9/main" objectType="Button" lockText="1"/>
</file>

<file path=xl/ctrlProps/ctrlProps45.xml><?xml version="1.0" encoding="utf-8"?>
<formControlPr xmlns="http://schemas.microsoft.com/office/spreadsheetml/2009/9/main" objectType="Button" lockText="1"/>
</file>

<file path=xl/ctrlProps/ctrlProps46.xml><?xml version="1.0" encoding="utf-8"?>
<formControlPr xmlns="http://schemas.microsoft.com/office/spreadsheetml/2009/9/main" objectType="Button" lockText="1"/>
</file>

<file path=xl/ctrlProps/ctrlProps47.xml><?xml version="1.0" encoding="utf-8"?>
<formControlPr xmlns="http://schemas.microsoft.com/office/spreadsheetml/2009/9/main" objectType="Button" lockText="1"/>
</file>

<file path=xl/ctrlProps/ctrlProps48.xml><?xml version="1.0" encoding="utf-8"?>
<formControlPr xmlns="http://schemas.microsoft.com/office/spreadsheetml/2009/9/main" objectType="Button" lockText="1"/>
</file>

<file path=xl/ctrlProps/ctrlProps49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50.xml><?xml version="1.0" encoding="utf-8"?>
<formControlPr xmlns="http://schemas.microsoft.com/office/spreadsheetml/2009/9/main" objectType="Button" lockText="1"/>
</file>

<file path=xl/ctrlProps/ctrlProps51.xml><?xml version="1.0" encoding="utf-8"?>
<formControlPr xmlns="http://schemas.microsoft.com/office/spreadsheetml/2009/9/main" objectType="Button" lockText="1"/>
</file>

<file path=xl/ctrlProps/ctrlProps52.xml><?xml version="1.0" encoding="utf-8"?>
<formControlPr xmlns="http://schemas.microsoft.com/office/spreadsheetml/2009/9/main" objectType="Button" lockText="1"/>
</file>

<file path=xl/ctrlProps/ctrlProps53.xml><?xml version="1.0" encoding="utf-8"?>
<formControlPr xmlns="http://schemas.microsoft.com/office/spreadsheetml/2009/9/main" objectType="Button" lockText="1"/>
</file>

<file path=xl/ctrlProps/ctrlProps54.xml><?xml version="1.0" encoding="utf-8"?>
<formControlPr xmlns="http://schemas.microsoft.com/office/spreadsheetml/2009/9/main" objectType="Button" lockText="1"/>
</file>

<file path=xl/ctrlProps/ctrlProps55.xml><?xml version="1.0" encoding="utf-8"?>
<formControlPr xmlns="http://schemas.microsoft.com/office/spreadsheetml/2009/9/main" objectType="Button" lockText="1"/>
</file>

<file path=xl/ctrlProps/ctrlProps56.xml><?xml version="1.0" encoding="utf-8"?>
<formControlPr xmlns="http://schemas.microsoft.com/office/spreadsheetml/2009/9/main" objectType="Button" lockText="1"/>
</file>

<file path=xl/ctrlProps/ctrlProps57.xml><?xml version="1.0" encoding="utf-8"?>
<formControlPr xmlns="http://schemas.microsoft.com/office/spreadsheetml/2009/9/main" objectType="Button" lockText="1"/>
</file>

<file path=xl/ctrlProps/ctrlProps58.xml><?xml version="1.0" encoding="utf-8"?>
<formControlPr xmlns="http://schemas.microsoft.com/office/spreadsheetml/2009/9/main" objectType="Button" lockText="1"/>
</file>

<file path=xl/ctrlProps/ctrlProps59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60.xml><?xml version="1.0" encoding="utf-8"?>
<formControlPr xmlns="http://schemas.microsoft.com/office/spreadsheetml/2009/9/main" objectType="Button" lockText="1"/>
</file>

<file path=xl/ctrlProps/ctrlProps61.xml><?xml version="1.0" encoding="utf-8"?>
<formControlPr xmlns="http://schemas.microsoft.com/office/spreadsheetml/2009/9/main" objectType="Button" lockText="1"/>
</file>

<file path=xl/ctrlProps/ctrlProps62.xml><?xml version="1.0" encoding="utf-8"?>
<formControlPr xmlns="http://schemas.microsoft.com/office/spreadsheetml/2009/9/main" objectType="Button" lockText="1"/>
</file>

<file path=xl/ctrlProps/ctrlProps63.xml><?xml version="1.0" encoding="utf-8"?>
<formControlPr xmlns="http://schemas.microsoft.com/office/spreadsheetml/2009/9/main" objectType="Button" lockText="1"/>
</file>

<file path=xl/ctrlProps/ctrlProps64.xml><?xml version="1.0" encoding="utf-8"?>
<formControlPr xmlns="http://schemas.microsoft.com/office/spreadsheetml/2009/9/main" objectType="Button" lockText="1"/>
</file>

<file path=xl/ctrlProps/ctrlProps65.xml><?xml version="1.0" encoding="utf-8"?>
<formControlPr xmlns="http://schemas.microsoft.com/office/spreadsheetml/2009/9/main" objectType="Button" lockText="1"/>
</file>

<file path=xl/ctrlProps/ctrlProps66.xml><?xml version="1.0" encoding="utf-8"?>
<formControlPr xmlns="http://schemas.microsoft.com/office/spreadsheetml/2009/9/main" objectType="Button" lockText="1"/>
</file>

<file path=xl/ctrlProps/ctrlProps67.xml><?xml version="1.0" encoding="utf-8"?>
<formControlPr xmlns="http://schemas.microsoft.com/office/spreadsheetml/2009/9/main" objectType="Button" lockText="1"/>
</file>

<file path=xl/ctrlProps/ctrlProps68.xml><?xml version="1.0" encoding="utf-8"?>
<formControlPr xmlns="http://schemas.microsoft.com/office/spreadsheetml/2009/9/main" objectType="Button" lockText="1"/>
</file>

<file path=xl/ctrlProps/ctrlProps69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70.xml><?xml version="1.0" encoding="utf-8"?>
<formControlPr xmlns="http://schemas.microsoft.com/office/spreadsheetml/2009/9/main" objectType="Button" lockText="1"/>
</file>

<file path=xl/ctrlProps/ctrlProps71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10440</xdr:colOff>
          <xdr:row>5</xdr:row>
          <xdr:rowOff>9360</xdr:rowOff>
        </xdr:from>
        <xdr:to>
          <xdr:col>7</xdr:col>
          <xdr:colOff>524160</xdr:colOff>
          <xdr:row>7</xdr:row>
          <xdr:rowOff>171720</xdr:rowOff>
        </xdr:to>
        <xdr:sp>
          <xdr:nvSpPr>
            <xdr:cNvPr id="1001" name="Button 2" descr="Update Valu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Update Values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1118</xdr:row>
          <xdr:rowOff>66240</xdr:rowOff>
        </xdr:from>
        <xdr:to>
          <xdr:col>1</xdr:col>
          <xdr:colOff>-1196280</xdr:colOff>
          <xdr:row>1119</xdr:row>
          <xdr:rowOff>114480</xdr:rowOff>
        </xdr:to>
        <xdr:sp>
          <xdr:nvSpPr>
            <xdr:cNvPr id="1001" name="Button 5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109800</xdr:colOff>
          <xdr:row>69</xdr:row>
          <xdr:rowOff>66240</xdr:rowOff>
        </xdr:from>
        <xdr:to>
          <xdr:col>1</xdr:col>
          <xdr:colOff>-1246320</xdr:colOff>
          <xdr:row>70</xdr:row>
          <xdr:rowOff>114480</xdr:rowOff>
        </xdr:to>
        <xdr:sp>
          <xdr:nvSpPr>
            <xdr:cNvPr id="1002" name="Button 8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109800</xdr:colOff>
          <xdr:row>128</xdr:row>
          <xdr:rowOff>66600</xdr:rowOff>
        </xdr:from>
        <xdr:to>
          <xdr:col>1</xdr:col>
          <xdr:colOff>-1246320</xdr:colOff>
          <xdr:row>129</xdr:row>
          <xdr:rowOff>114480</xdr:rowOff>
        </xdr:to>
        <xdr:sp>
          <xdr:nvSpPr>
            <xdr:cNvPr id="1003" name="Button 9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81000</xdr:colOff>
          <xdr:row>194</xdr:row>
          <xdr:rowOff>9720</xdr:rowOff>
        </xdr:from>
        <xdr:to>
          <xdr:col>1</xdr:col>
          <xdr:colOff>-1277280</xdr:colOff>
          <xdr:row>195</xdr:row>
          <xdr:rowOff>66600</xdr:rowOff>
        </xdr:to>
        <xdr:sp>
          <xdr:nvSpPr>
            <xdr:cNvPr id="1004" name="Button 9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100080</xdr:colOff>
          <xdr:row>261</xdr:row>
          <xdr:rowOff>152640</xdr:rowOff>
        </xdr:from>
        <xdr:to>
          <xdr:col>1</xdr:col>
          <xdr:colOff>-1256040</xdr:colOff>
          <xdr:row>263</xdr:row>
          <xdr:rowOff>38160</xdr:rowOff>
        </xdr:to>
        <xdr:sp>
          <xdr:nvSpPr>
            <xdr:cNvPr id="1005" name="Button 9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121320</xdr:colOff>
          <xdr:row>327</xdr:row>
          <xdr:rowOff>19080</xdr:rowOff>
        </xdr:from>
        <xdr:to>
          <xdr:col>1</xdr:col>
          <xdr:colOff>-1236960</xdr:colOff>
          <xdr:row>328</xdr:row>
          <xdr:rowOff>66600</xdr:rowOff>
        </xdr:to>
        <xdr:sp>
          <xdr:nvSpPr>
            <xdr:cNvPr id="1006" name="Button 9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200520</xdr:colOff>
          <xdr:row>393</xdr:row>
          <xdr:rowOff>18720</xdr:rowOff>
        </xdr:from>
        <xdr:to>
          <xdr:col>1</xdr:col>
          <xdr:colOff>-1155960</xdr:colOff>
          <xdr:row>394</xdr:row>
          <xdr:rowOff>66600</xdr:rowOff>
        </xdr:to>
        <xdr:sp>
          <xdr:nvSpPr>
            <xdr:cNvPr id="1007" name="Button 9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81000</xdr:colOff>
          <xdr:row>459</xdr:row>
          <xdr:rowOff>75960</xdr:rowOff>
        </xdr:from>
        <xdr:to>
          <xdr:col>1</xdr:col>
          <xdr:colOff>-1277280</xdr:colOff>
          <xdr:row>460</xdr:row>
          <xdr:rowOff>123840</xdr:rowOff>
        </xdr:to>
        <xdr:sp>
          <xdr:nvSpPr>
            <xdr:cNvPr id="1008" name="Button 9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525</xdr:row>
          <xdr:rowOff>142920</xdr:rowOff>
        </xdr:from>
        <xdr:to>
          <xdr:col>1</xdr:col>
          <xdr:colOff>-1196280</xdr:colOff>
          <xdr:row>527</xdr:row>
          <xdr:rowOff>28800</xdr:rowOff>
        </xdr:to>
        <xdr:sp>
          <xdr:nvSpPr>
            <xdr:cNvPr id="1009" name="Button 9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71280</xdr:colOff>
          <xdr:row>591</xdr:row>
          <xdr:rowOff>9360</xdr:rowOff>
        </xdr:from>
        <xdr:to>
          <xdr:col>1</xdr:col>
          <xdr:colOff>-1287000</xdr:colOff>
          <xdr:row>592</xdr:row>
          <xdr:rowOff>66240</xdr:rowOff>
        </xdr:to>
        <xdr:sp>
          <xdr:nvSpPr>
            <xdr:cNvPr id="1010" name="Button 9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121320</xdr:colOff>
          <xdr:row>657</xdr:row>
          <xdr:rowOff>105120</xdr:rowOff>
        </xdr:from>
        <xdr:to>
          <xdr:col>1</xdr:col>
          <xdr:colOff>-1236960</xdr:colOff>
          <xdr:row>658</xdr:row>
          <xdr:rowOff>152280</xdr:rowOff>
        </xdr:to>
        <xdr:sp>
          <xdr:nvSpPr>
            <xdr:cNvPr id="1011" name="Button 9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131040</xdr:colOff>
          <xdr:row>723</xdr:row>
          <xdr:rowOff>28440</xdr:rowOff>
        </xdr:from>
        <xdr:to>
          <xdr:col>1</xdr:col>
          <xdr:colOff>-1215720</xdr:colOff>
          <xdr:row>724</xdr:row>
          <xdr:rowOff>75960</xdr:rowOff>
        </xdr:to>
        <xdr:sp>
          <xdr:nvSpPr>
            <xdr:cNvPr id="1012" name="Button 9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100080</xdr:colOff>
          <xdr:row>789</xdr:row>
          <xdr:rowOff>56880</xdr:rowOff>
        </xdr:from>
        <xdr:to>
          <xdr:col>1</xdr:col>
          <xdr:colOff>-1256040</xdr:colOff>
          <xdr:row>790</xdr:row>
          <xdr:rowOff>105120</xdr:rowOff>
        </xdr:to>
        <xdr:sp>
          <xdr:nvSpPr>
            <xdr:cNvPr id="1013" name="Button 10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140760</xdr:colOff>
          <xdr:row>855</xdr:row>
          <xdr:rowOff>142920</xdr:rowOff>
        </xdr:from>
        <xdr:to>
          <xdr:col>1</xdr:col>
          <xdr:colOff>-1215720</xdr:colOff>
          <xdr:row>857</xdr:row>
          <xdr:rowOff>29160</xdr:rowOff>
        </xdr:to>
        <xdr:sp>
          <xdr:nvSpPr>
            <xdr:cNvPr id="1014" name="Button 10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221400</xdr:colOff>
          <xdr:row>921</xdr:row>
          <xdr:rowOff>28440</xdr:rowOff>
        </xdr:from>
        <xdr:to>
          <xdr:col>1</xdr:col>
          <xdr:colOff>-1134720</xdr:colOff>
          <xdr:row>922</xdr:row>
          <xdr:rowOff>75960</xdr:rowOff>
        </xdr:to>
        <xdr:sp>
          <xdr:nvSpPr>
            <xdr:cNvPr id="1015" name="Button 10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171360</xdr:colOff>
          <xdr:row>987</xdr:row>
          <xdr:rowOff>0</xdr:rowOff>
        </xdr:from>
        <xdr:to>
          <xdr:col>1</xdr:col>
          <xdr:colOff>-1184760</xdr:colOff>
          <xdr:row>988</xdr:row>
          <xdr:rowOff>47520</xdr:rowOff>
        </xdr:to>
        <xdr:sp>
          <xdr:nvSpPr>
            <xdr:cNvPr id="1016" name="Button 10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150120</xdr:colOff>
          <xdr:row>1053</xdr:row>
          <xdr:rowOff>142920</xdr:rowOff>
        </xdr:from>
        <xdr:to>
          <xdr:col>1</xdr:col>
          <xdr:colOff>-1206000</xdr:colOff>
          <xdr:row>1055</xdr:row>
          <xdr:rowOff>28800</xdr:rowOff>
        </xdr:to>
        <xdr:sp>
          <xdr:nvSpPr>
            <xdr:cNvPr id="1017" name="Button 10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1185</xdr:row>
          <xdr:rowOff>66240</xdr:rowOff>
        </xdr:from>
        <xdr:to>
          <xdr:col>1</xdr:col>
          <xdr:colOff>-1196280</xdr:colOff>
          <xdr:row>1186</xdr:row>
          <xdr:rowOff>114480</xdr:rowOff>
        </xdr:to>
        <xdr:sp>
          <xdr:nvSpPr>
            <xdr:cNvPr id="1018" name="Button 10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1251</xdr:row>
          <xdr:rowOff>66240</xdr:rowOff>
        </xdr:from>
        <xdr:to>
          <xdr:col>1</xdr:col>
          <xdr:colOff>-1196280</xdr:colOff>
          <xdr:row>1252</xdr:row>
          <xdr:rowOff>114480</xdr:rowOff>
        </xdr:to>
        <xdr:sp>
          <xdr:nvSpPr>
            <xdr:cNvPr id="1019" name="Button 10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1317</xdr:row>
          <xdr:rowOff>66240</xdr:rowOff>
        </xdr:from>
        <xdr:to>
          <xdr:col>1</xdr:col>
          <xdr:colOff>-1196280</xdr:colOff>
          <xdr:row>1318</xdr:row>
          <xdr:rowOff>114120</xdr:rowOff>
        </xdr:to>
        <xdr:sp>
          <xdr:nvSpPr>
            <xdr:cNvPr id="1020" name="Button 10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1383</xdr:row>
          <xdr:rowOff>66240</xdr:rowOff>
        </xdr:from>
        <xdr:to>
          <xdr:col>1</xdr:col>
          <xdr:colOff>-1196280</xdr:colOff>
          <xdr:row>1384</xdr:row>
          <xdr:rowOff>114480</xdr:rowOff>
        </xdr:to>
        <xdr:sp>
          <xdr:nvSpPr>
            <xdr:cNvPr id="1021" name="Button 10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1449</xdr:row>
          <xdr:rowOff>66240</xdr:rowOff>
        </xdr:from>
        <xdr:to>
          <xdr:col>1</xdr:col>
          <xdr:colOff>-1196280</xdr:colOff>
          <xdr:row>1450</xdr:row>
          <xdr:rowOff>114480</xdr:rowOff>
        </xdr:to>
        <xdr:sp>
          <xdr:nvSpPr>
            <xdr:cNvPr id="1022" name="Button 10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1515</xdr:row>
          <xdr:rowOff>66240</xdr:rowOff>
        </xdr:from>
        <xdr:to>
          <xdr:col>1</xdr:col>
          <xdr:colOff>-1196280</xdr:colOff>
          <xdr:row>1516</xdr:row>
          <xdr:rowOff>114480</xdr:rowOff>
        </xdr:to>
        <xdr:sp>
          <xdr:nvSpPr>
            <xdr:cNvPr id="1023" name="Button 11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1581</xdr:row>
          <xdr:rowOff>66240</xdr:rowOff>
        </xdr:from>
        <xdr:to>
          <xdr:col>1</xdr:col>
          <xdr:colOff>-1196280</xdr:colOff>
          <xdr:row>1582</xdr:row>
          <xdr:rowOff>114480</xdr:rowOff>
        </xdr:to>
        <xdr:sp>
          <xdr:nvSpPr>
            <xdr:cNvPr id="1024" name="Button 11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1647</xdr:row>
          <xdr:rowOff>66600</xdr:rowOff>
        </xdr:from>
        <xdr:to>
          <xdr:col>1</xdr:col>
          <xdr:colOff>-1196280</xdr:colOff>
          <xdr:row>1648</xdr:row>
          <xdr:rowOff>114480</xdr:rowOff>
        </xdr:to>
        <xdr:sp>
          <xdr:nvSpPr>
            <xdr:cNvPr id="1025" name="Button 11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1713</xdr:row>
          <xdr:rowOff>66600</xdr:rowOff>
        </xdr:from>
        <xdr:to>
          <xdr:col>1</xdr:col>
          <xdr:colOff>-1196280</xdr:colOff>
          <xdr:row>1714</xdr:row>
          <xdr:rowOff>114480</xdr:rowOff>
        </xdr:to>
        <xdr:sp>
          <xdr:nvSpPr>
            <xdr:cNvPr id="1026" name="Button 11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1779</xdr:row>
          <xdr:rowOff>66600</xdr:rowOff>
        </xdr:from>
        <xdr:to>
          <xdr:col>1</xdr:col>
          <xdr:colOff>-1196280</xdr:colOff>
          <xdr:row>1780</xdr:row>
          <xdr:rowOff>114480</xdr:rowOff>
        </xdr:to>
        <xdr:sp>
          <xdr:nvSpPr>
            <xdr:cNvPr id="1027" name="Button 11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1845</xdr:row>
          <xdr:rowOff>66240</xdr:rowOff>
        </xdr:from>
        <xdr:to>
          <xdr:col>1</xdr:col>
          <xdr:colOff>-1196280</xdr:colOff>
          <xdr:row>1846</xdr:row>
          <xdr:rowOff>114480</xdr:rowOff>
        </xdr:to>
        <xdr:sp>
          <xdr:nvSpPr>
            <xdr:cNvPr id="1028" name="Button 11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1911</xdr:row>
          <xdr:rowOff>66240</xdr:rowOff>
        </xdr:from>
        <xdr:to>
          <xdr:col>1</xdr:col>
          <xdr:colOff>-1196280</xdr:colOff>
          <xdr:row>1912</xdr:row>
          <xdr:rowOff>114480</xdr:rowOff>
        </xdr:to>
        <xdr:sp>
          <xdr:nvSpPr>
            <xdr:cNvPr id="1029" name="Button 11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1977</xdr:row>
          <xdr:rowOff>66240</xdr:rowOff>
        </xdr:from>
        <xdr:to>
          <xdr:col>1</xdr:col>
          <xdr:colOff>-1196280</xdr:colOff>
          <xdr:row>1978</xdr:row>
          <xdr:rowOff>114480</xdr:rowOff>
        </xdr:to>
        <xdr:sp>
          <xdr:nvSpPr>
            <xdr:cNvPr id="1030" name="Button 11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2043</xdr:row>
          <xdr:rowOff>66600</xdr:rowOff>
        </xdr:from>
        <xdr:to>
          <xdr:col>1</xdr:col>
          <xdr:colOff>-1196280</xdr:colOff>
          <xdr:row>2044</xdr:row>
          <xdr:rowOff>114480</xdr:rowOff>
        </xdr:to>
        <xdr:sp>
          <xdr:nvSpPr>
            <xdr:cNvPr id="1031" name="Button 11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2108</xdr:row>
          <xdr:rowOff>66600</xdr:rowOff>
        </xdr:from>
        <xdr:to>
          <xdr:col>1</xdr:col>
          <xdr:colOff>-1196280</xdr:colOff>
          <xdr:row>2109</xdr:row>
          <xdr:rowOff>114480</xdr:rowOff>
        </xdr:to>
        <xdr:sp>
          <xdr:nvSpPr>
            <xdr:cNvPr id="1032" name="Button 11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162000</xdr:colOff>
          <xdr:row>2175</xdr:row>
          <xdr:rowOff>66600</xdr:rowOff>
        </xdr:from>
        <xdr:to>
          <xdr:col>1</xdr:col>
          <xdr:colOff>-1196280</xdr:colOff>
          <xdr:row>2176</xdr:row>
          <xdr:rowOff>114480</xdr:rowOff>
        </xdr:to>
        <xdr:sp>
          <xdr:nvSpPr>
            <xdr:cNvPr id="1033" name="Button 12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79920</xdr:colOff>
          <xdr:row>1</xdr:row>
          <xdr:rowOff>66240</xdr:rowOff>
        </xdr:from>
        <xdr:to>
          <xdr:col>3</xdr:col>
          <xdr:colOff>644760</xdr:colOff>
          <xdr:row>2</xdr:row>
          <xdr:rowOff>104760</xdr:rowOff>
        </xdr:to>
        <xdr:sp>
          <xdr:nvSpPr>
            <xdr:cNvPr id="0" name="Drop Down 1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0</xdr:col>
      <xdr:colOff>0</xdr:colOff>
      <xdr:row>1</xdr:row>
      <xdr:rowOff>0</xdr:rowOff>
    </xdr:from>
    <xdr:to>
      <xdr:col>4</xdr:col>
      <xdr:colOff>1080</xdr:colOff>
      <xdr:row>2</xdr:row>
      <xdr:rowOff>161640</xdr:rowOff>
    </xdr:to>
    <xdr:sp>
      <xdr:nvSpPr>
        <xdr:cNvPr id="0" name="Rectangle 124"/>
        <xdr:cNvSpPr/>
      </xdr:nvSpPr>
      <xdr:spPr>
        <a:xfrm>
          <a:off x="0" y="162000"/>
          <a:ext cx="6563160" cy="3236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80808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3</xdr:col>
      <xdr:colOff>1080</xdr:colOff>
      <xdr:row>3</xdr:row>
      <xdr:rowOff>162000</xdr:rowOff>
    </xdr:to>
    <xdr:sp>
      <xdr:nvSpPr>
        <xdr:cNvPr id="1" name="Rectangle 20"/>
        <xdr:cNvSpPr/>
      </xdr:nvSpPr>
      <xdr:spPr>
        <a:xfrm>
          <a:off x="0" y="0"/>
          <a:ext cx="3905640" cy="6476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80808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152640</xdr:rowOff>
        </xdr:from>
        <xdr:to>
          <xdr:col>3</xdr:col>
          <xdr:colOff>1078200</xdr:colOff>
          <xdr:row>17</xdr:row>
          <xdr:rowOff>28800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10080</xdr:colOff>
          <xdr:row>0</xdr:row>
          <xdr:rowOff>18720</xdr:rowOff>
        </xdr:from>
        <xdr:to>
          <xdr:col>3</xdr:col>
          <xdr:colOff>-240840</xdr:colOff>
          <xdr:row>1</xdr:row>
          <xdr:rowOff>28440</xdr:rowOff>
        </xdr:to>
        <xdr:sp>
          <xdr:nvSpPr>
            <xdr:cNvPr id="1001" name="Button 4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43</xdr:row>
          <xdr:rowOff>95400</xdr:rowOff>
        </xdr:from>
        <xdr:to>
          <xdr:col>1</xdr:col>
          <xdr:colOff>151560</xdr:colOff>
          <xdr:row>44</xdr:row>
          <xdr:rowOff>142920</xdr:rowOff>
        </xdr:to>
        <xdr:sp>
          <xdr:nvSpPr>
            <xdr:cNvPr id="1002" name="Button 4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66</xdr:row>
          <xdr:rowOff>86040</xdr:rowOff>
        </xdr:from>
        <xdr:to>
          <xdr:col>1</xdr:col>
          <xdr:colOff>172080</xdr:colOff>
          <xdr:row>67</xdr:row>
          <xdr:rowOff>133560</xdr:rowOff>
        </xdr:to>
        <xdr:sp>
          <xdr:nvSpPr>
            <xdr:cNvPr id="1003" name="Button 5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89</xdr:row>
          <xdr:rowOff>86040</xdr:rowOff>
        </xdr:from>
        <xdr:to>
          <xdr:col>1</xdr:col>
          <xdr:colOff>172080</xdr:colOff>
          <xdr:row>90</xdr:row>
          <xdr:rowOff>133560</xdr:rowOff>
        </xdr:to>
        <xdr:sp>
          <xdr:nvSpPr>
            <xdr:cNvPr id="1004" name="Button 5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112</xdr:row>
          <xdr:rowOff>86040</xdr:rowOff>
        </xdr:from>
        <xdr:to>
          <xdr:col>1</xdr:col>
          <xdr:colOff>172080</xdr:colOff>
          <xdr:row>113</xdr:row>
          <xdr:rowOff>133560</xdr:rowOff>
        </xdr:to>
        <xdr:sp>
          <xdr:nvSpPr>
            <xdr:cNvPr id="1005" name="Button 5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171000</xdr:colOff>
          <xdr:row>135</xdr:row>
          <xdr:rowOff>95400</xdr:rowOff>
        </xdr:from>
        <xdr:to>
          <xdr:col>1</xdr:col>
          <xdr:colOff>142200</xdr:colOff>
          <xdr:row>136</xdr:row>
          <xdr:rowOff>142920</xdr:rowOff>
        </xdr:to>
        <xdr:sp>
          <xdr:nvSpPr>
            <xdr:cNvPr id="1006" name="Button 5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158</xdr:row>
          <xdr:rowOff>75960</xdr:rowOff>
        </xdr:from>
        <xdr:to>
          <xdr:col>1</xdr:col>
          <xdr:colOff>132120</xdr:colOff>
          <xdr:row>159</xdr:row>
          <xdr:rowOff>123840</xdr:rowOff>
        </xdr:to>
        <xdr:sp>
          <xdr:nvSpPr>
            <xdr:cNvPr id="1007" name="Button 5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181</xdr:row>
          <xdr:rowOff>75960</xdr:rowOff>
        </xdr:from>
        <xdr:to>
          <xdr:col>1</xdr:col>
          <xdr:colOff>132120</xdr:colOff>
          <xdr:row>182</xdr:row>
          <xdr:rowOff>123840</xdr:rowOff>
        </xdr:to>
        <xdr:sp>
          <xdr:nvSpPr>
            <xdr:cNvPr id="1008" name="Button 5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204</xdr:row>
          <xdr:rowOff>75960</xdr:rowOff>
        </xdr:from>
        <xdr:to>
          <xdr:col>1</xdr:col>
          <xdr:colOff>132120</xdr:colOff>
          <xdr:row>205</xdr:row>
          <xdr:rowOff>123840</xdr:rowOff>
        </xdr:to>
        <xdr:sp>
          <xdr:nvSpPr>
            <xdr:cNvPr id="1009" name="Button 5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227</xdr:row>
          <xdr:rowOff>75960</xdr:rowOff>
        </xdr:from>
        <xdr:to>
          <xdr:col>1</xdr:col>
          <xdr:colOff>132120</xdr:colOff>
          <xdr:row>228</xdr:row>
          <xdr:rowOff>124200</xdr:rowOff>
        </xdr:to>
        <xdr:sp>
          <xdr:nvSpPr>
            <xdr:cNvPr id="1010" name="Button 5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249</xdr:row>
          <xdr:rowOff>95400</xdr:rowOff>
        </xdr:from>
        <xdr:to>
          <xdr:col>1</xdr:col>
          <xdr:colOff>151560</xdr:colOff>
          <xdr:row>250</xdr:row>
          <xdr:rowOff>142920</xdr:rowOff>
        </xdr:to>
        <xdr:sp>
          <xdr:nvSpPr>
            <xdr:cNvPr id="1011" name="Button 5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273</xdr:row>
          <xdr:rowOff>95400</xdr:rowOff>
        </xdr:from>
        <xdr:to>
          <xdr:col>1</xdr:col>
          <xdr:colOff>151560</xdr:colOff>
          <xdr:row>274</xdr:row>
          <xdr:rowOff>142920</xdr:rowOff>
        </xdr:to>
        <xdr:sp>
          <xdr:nvSpPr>
            <xdr:cNvPr id="1012" name="Button 5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296</xdr:row>
          <xdr:rowOff>95400</xdr:rowOff>
        </xdr:from>
        <xdr:to>
          <xdr:col>1</xdr:col>
          <xdr:colOff>151560</xdr:colOff>
          <xdr:row>297</xdr:row>
          <xdr:rowOff>142920</xdr:rowOff>
        </xdr:to>
        <xdr:sp>
          <xdr:nvSpPr>
            <xdr:cNvPr id="1013" name="Button 6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319</xdr:row>
          <xdr:rowOff>95760</xdr:rowOff>
        </xdr:from>
        <xdr:to>
          <xdr:col>1</xdr:col>
          <xdr:colOff>151560</xdr:colOff>
          <xdr:row>320</xdr:row>
          <xdr:rowOff>142920</xdr:rowOff>
        </xdr:to>
        <xdr:sp>
          <xdr:nvSpPr>
            <xdr:cNvPr id="1014" name="Button 6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342</xdr:row>
          <xdr:rowOff>95400</xdr:rowOff>
        </xdr:from>
        <xdr:to>
          <xdr:col>1</xdr:col>
          <xdr:colOff>151560</xdr:colOff>
          <xdr:row>343</xdr:row>
          <xdr:rowOff>142920</xdr:rowOff>
        </xdr:to>
        <xdr:sp>
          <xdr:nvSpPr>
            <xdr:cNvPr id="1015" name="Button 6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365</xdr:row>
          <xdr:rowOff>95400</xdr:rowOff>
        </xdr:from>
        <xdr:to>
          <xdr:col>1</xdr:col>
          <xdr:colOff>151560</xdr:colOff>
          <xdr:row>366</xdr:row>
          <xdr:rowOff>142920</xdr:rowOff>
        </xdr:to>
        <xdr:sp>
          <xdr:nvSpPr>
            <xdr:cNvPr id="1016" name="Button 6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388</xdr:row>
          <xdr:rowOff>95400</xdr:rowOff>
        </xdr:from>
        <xdr:to>
          <xdr:col>1</xdr:col>
          <xdr:colOff>151560</xdr:colOff>
          <xdr:row>389</xdr:row>
          <xdr:rowOff>142920</xdr:rowOff>
        </xdr:to>
        <xdr:sp>
          <xdr:nvSpPr>
            <xdr:cNvPr id="1017" name="Button 6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411</xdr:row>
          <xdr:rowOff>95400</xdr:rowOff>
        </xdr:from>
        <xdr:to>
          <xdr:col>1</xdr:col>
          <xdr:colOff>151560</xdr:colOff>
          <xdr:row>412</xdr:row>
          <xdr:rowOff>142920</xdr:rowOff>
        </xdr:to>
        <xdr:sp>
          <xdr:nvSpPr>
            <xdr:cNvPr id="1018" name="Button 6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434</xdr:row>
          <xdr:rowOff>95760</xdr:rowOff>
        </xdr:from>
        <xdr:to>
          <xdr:col>1</xdr:col>
          <xdr:colOff>151560</xdr:colOff>
          <xdr:row>435</xdr:row>
          <xdr:rowOff>142920</xdr:rowOff>
        </xdr:to>
        <xdr:sp>
          <xdr:nvSpPr>
            <xdr:cNvPr id="1019" name="Button 6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457</xdr:row>
          <xdr:rowOff>95400</xdr:rowOff>
        </xdr:from>
        <xdr:to>
          <xdr:col>1</xdr:col>
          <xdr:colOff>151560</xdr:colOff>
          <xdr:row>458</xdr:row>
          <xdr:rowOff>142920</xdr:rowOff>
        </xdr:to>
        <xdr:sp>
          <xdr:nvSpPr>
            <xdr:cNvPr id="1020" name="Button 6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480</xdr:row>
          <xdr:rowOff>95400</xdr:rowOff>
        </xdr:from>
        <xdr:to>
          <xdr:col>1</xdr:col>
          <xdr:colOff>151560</xdr:colOff>
          <xdr:row>481</xdr:row>
          <xdr:rowOff>142920</xdr:rowOff>
        </xdr:to>
        <xdr:sp>
          <xdr:nvSpPr>
            <xdr:cNvPr id="1021" name="Button 6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503</xdr:row>
          <xdr:rowOff>95400</xdr:rowOff>
        </xdr:from>
        <xdr:to>
          <xdr:col>1</xdr:col>
          <xdr:colOff>151560</xdr:colOff>
          <xdr:row>504</xdr:row>
          <xdr:rowOff>142920</xdr:rowOff>
        </xdr:to>
        <xdr:sp>
          <xdr:nvSpPr>
            <xdr:cNvPr id="1022" name="Button 6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526</xdr:row>
          <xdr:rowOff>95400</xdr:rowOff>
        </xdr:from>
        <xdr:to>
          <xdr:col>1</xdr:col>
          <xdr:colOff>151560</xdr:colOff>
          <xdr:row>527</xdr:row>
          <xdr:rowOff>142920</xdr:rowOff>
        </xdr:to>
        <xdr:sp>
          <xdr:nvSpPr>
            <xdr:cNvPr id="1023" name="Button 7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549</xdr:row>
          <xdr:rowOff>95760</xdr:rowOff>
        </xdr:from>
        <xdr:to>
          <xdr:col>1</xdr:col>
          <xdr:colOff>151560</xdr:colOff>
          <xdr:row>550</xdr:row>
          <xdr:rowOff>142920</xdr:rowOff>
        </xdr:to>
        <xdr:sp>
          <xdr:nvSpPr>
            <xdr:cNvPr id="1024" name="Button 7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572</xdr:row>
          <xdr:rowOff>95400</xdr:rowOff>
        </xdr:from>
        <xdr:to>
          <xdr:col>1</xdr:col>
          <xdr:colOff>151560</xdr:colOff>
          <xdr:row>573</xdr:row>
          <xdr:rowOff>142920</xdr:rowOff>
        </xdr:to>
        <xdr:sp>
          <xdr:nvSpPr>
            <xdr:cNvPr id="1025" name="Button 7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595</xdr:row>
          <xdr:rowOff>95400</xdr:rowOff>
        </xdr:from>
        <xdr:to>
          <xdr:col>1</xdr:col>
          <xdr:colOff>151560</xdr:colOff>
          <xdr:row>596</xdr:row>
          <xdr:rowOff>142920</xdr:rowOff>
        </xdr:to>
        <xdr:sp>
          <xdr:nvSpPr>
            <xdr:cNvPr id="1026" name="Button 7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618</xdr:row>
          <xdr:rowOff>95400</xdr:rowOff>
        </xdr:from>
        <xdr:to>
          <xdr:col>1</xdr:col>
          <xdr:colOff>151560</xdr:colOff>
          <xdr:row>619</xdr:row>
          <xdr:rowOff>142920</xdr:rowOff>
        </xdr:to>
        <xdr:sp>
          <xdr:nvSpPr>
            <xdr:cNvPr id="1027" name="Button 7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641</xdr:row>
          <xdr:rowOff>95760</xdr:rowOff>
        </xdr:from>
        <xdr:to>
          <xdr:col>1</xdr:col>
          <xdr:colOff>151560</xdr:colOff>
          <xdr:row>642</xdr:row>
          <xdr:rowOff>142920</xdr:rowOff>
        </xdr:to>
        <xdr:sp>
          <xdr:nvSpPr>
            <xdr:cNvPr id="1028" name="Button 7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664</xdr:row>
          <xdr:rowOff>95760</xdr:rowOff>
        </xdr:from>
        <xdr:to>
          <xdr:col>1</xdr:col>
          <xdr:colOff>151560</xdr:colOff>
          <xdr:row>665</xdr:row>
          <xdr:rowOff>142920</xdr:rowOff>
        </xdr:to>
        <xdr:sp>
          <xdr:nvSpPr>
            <xdr:cNvPr id="1029" name="Button 7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687</xdr:row>
          <xdr:rowOff>95400</xdr:rowOff>
        </xdr:from>
        <xdr:to>
          <xdr:col>1</xdr:col>
          <xdr:colOff>151560</xdr:colOff>
          <xdr:row>688</xdr:row>
          <xdr:rowOff>142920</xdr:rowOff>
        </xdr:to>
        <xdr:sp>
          <xdr:nvSpPr>
            <xdr:cNvPr id="1030" name="Button 7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710</xdr:row>
          <xdr:rowOff>95400</xdr:rowOff>
        </xdr:from>
        <xdr:to>
          <xdr:col>1</xdr:col>
          <xdr:colOff>151560</xdr:colOff>
          <xdr:row>711</xdr:row>
          <xdr:rowOff>142920</xdr:rowOff>
        </xdr:to>
        <xdr:sp>
          <xdr:nvSpPr>
            <xdr:cNvPr id="1031" name="Button 7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733</xdr:row>
          <xdr:rowOff>95400</xdr:rowOff>
        </xdr:from>
        <xdr:to>
          <xdr:col>1</xdr:col>
          <xdr:colOff>151560</xdr:colOff>
          <xdr:row>734</xdr:row>
          <xdr:rowOff>142920</xdr:rowOff>
        </xdr:to>
        <xdr:sp>
          <xdr:nvSpPr>
            <xdr:cNvPr id="1032" name="Button 7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756</xdr:row>
          <xdr:rowOff>95760</xdr:rowOff>
        </xdr:from>
        <xdr:to>
          <xdr:col>1</xdr:col>
          <xdr:colOff>151560</xdr:colOff>
          <xdr:row>757</xdr:row>
          <xdr:rowOff>142920</xdr:rowOff>
        </xdr:to>
        <xdr:sp>
          <xdr:nvSpPr>
            <xdr:cNvPr id="1033" name="Button 8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X:/Wildwood/abc/plants/assetvaluation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iami"/>
      <sheetName val="Input-Output"/>
      <sheetName val="Detailed"/>
      <sheetName val="Assumptions"/>
      <sheetName val="Summary"/>
      <sheetName val="Cayuga"/>
      <sheetName val="Conesville"/>
      <sheetName val="EastBend"/>
      <sheetName val="Edwardsport"/>
      <sheetName val="Gallagher"/>
      <sheetName val="Gibson"/>
      <sheetName val="Sheet1"/>
      <sheetName val="Miami Fort"/>
      <sheetName val="Stuart"/>
      <sheetName val="Killen"/>
      <sheetName val="Noblesville"/>
      <sheetName val="Wabash River"/>
      <sheetName val="Zimmer"/>
      <sheetName val="Beckjord"/>
      <sheetName val="Markland"/>
      <sheetName val="Peakers"/>
      <sheetName val="Unit Data"/>
      <sheetName val="Tech Decisions"/>
      <sheetName val="IP-Annual MWh"/>
      <sheetName val="IP-MMBtus"/>
      <sheetName val="IP-NOx MMBtus"/>
      <sheetName val="IP-SO2"/>
      <sheetName val="IP-NOx"/>
      <sheetName val="IP-CO2"/>
      <sheetName val="IP-Total Revenues"/>
      <sheetName val="IP-Fuel Costs"/>
      <sheetName val="IP-VOM"/>
      <sheetName val="IP-SO2 Costs"/>
      <sheetName val="IP-NOx Costs"/>
      <sheetName val="IP-CO2 Costs"/>
      <sheetName val="IP-Fixed Costs"/>
      <sheetName val="IP-Valuation"/>
      <sheetName val="IP-Tech Decisions"/>
      <sheetName val="AssetValu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<Relationship Id="rId7" Type="http://schemas.openxmlformats.org/officeDocument/2006/relationships/ctrlProp" Target="../ctrlProps/ctrlProps8.xml"/><Relationship Id="rId8" Type="http://schemas.openxmlformats.org/officeDocument/2006/relationships/ctrlProp" Target="../ctrlProps/ctrlProps9.xml"/><Relationship Id="rId9" Type="http://schemas.openxmlformats.org/officeDocument/2006/relationships/ctrlProp" Target="../ctrlProps/ctrlProps10.xml"/><Relationship Id="rId10" Type="http://schemas.openxmlformats.org/officeDocument/2006/relationships/ctrlProp" Target="../ctrlProps/ctrlProps11.xml"/><Relationship Id="rId11" Type="http://schemas.openxmlformats.org/officeDocument/2006/relationships/ctrlProp" Target="../ctrlProps/ctrlProps12.xml"/><Relationship Id="rId12" Type="http://schemas.openxmlformats.org/officeDocument/2006/relationships/ctrlProp" Target="../ctrlProps/ctrlProps13.xml"/><Relationship Id="rId13" Type="http://schemas.openxmlformats.org/officeDocument/2006/relationships/ctrlProp" Target="../ctrlProps/ctrlProps14.xml"/><Relationship Id="rId14" Type="http://schemas.openxmlformats.org/officeDocument/2006/relationships/ctrlProp" Target="../ctrlProps/ctrlProps15.xml"/><Relationship Id="rId15" Type="http://schemas.openxmlformats.org/officeDocument/2006/relationships/ctrlProp" Target="../ctrlProps/ctrlProps16.xml"/><Relationship Id="rId16" Type="http://schemas.openxmlformats.org/officeDocument/2006/relationships/ctrlProp" Target="../ctrlProps/ctrlProps17.xml"/><Relationship Id="rId17" Type="http://schemas.openxmlformats.org/officeDocument/2006/relationships/ctrlProp" Target="../ctrlProps/ctrlProps18.xml"/><Relationship Id="rId18" Type="http://schemas.openxmlformats.org/officeDocument/2006/relationships/ctrlProp" Target="../ctrlProps/ctrlProps19.xml"/><Relationship Id="rId19" Type="http://schemas.openxmlformats.org/officeDocument/2006/relationships/ctrlProp" Target="../ctrlProps/ctrlProps20.xml"/><Relationship Id="rId20" Type="http://schemas.openxmlformats.org/officeDocument/2006/relationships/ctrlProp" Target="../ctrlProps/ctrlProps21.xml"/><Relationship Id="rId21" Type="http://schemas.openxmlformats.org/officeDocument/2006/relationships/ctrlProp" Target="../ctrlProps/ctrlProps22.xml"/><Relationship Id="rId22" Type="http://schemas.openxmlformats.org/officeDocument/2006/relationships/ctrlProp" Target="../ctrlProps/ctrlProps23.xml"/><Relationship Id="rId23" Type="http://schemas.openxmlformats.org/officeDocument/2006/relationships/ctrlProp" Target="../ctrlProps/ctrlProps24.xml"/><Relationship Id="rId24" Type="http://schemas.openxmlformats.org/officeDocument/2006/relationships/ctrlProp" Target="../ctrlProps/ctrlProps25.xml"/><Relationship Id="rId25" Type="http://schemas.openxmlformats.org/officeDocument/2006/relationships/ctrlProp" Target="../ctrlProps/ctrlProps26.xml"/><Relationship Id="rId26" Type="http://schemas.openxmlformats.org/officeDocument/2006/relationships/ctrlProp" Target="../ctrlProps/ctrlProps27.xml"/><Relationship Id="rId27" Type="http://schemas.openxmlformats.org/officeDocument/2006/relationships/ctrlProp" Target="../ctrlProps/ctrlProps28.xml"/><Relationship Id="rId28" Type="http://schemas.openxmlformats.org/officeDocument/2006/relationships/ctrlProp" Target="../ctrlProps/ctrlProps29.xml"/><Relationship Id="rId29" Type="http://schemas.openxmlformats.org/officeDocument/2006/relationships/ctrlProp" Target="../ctrlProps/ctrlProps30.xml"/><Relationship Id="rId30" Type="http://schemas.openxmlformats.org/officeDocument/2006/relationships/ctrlProp" Target="../ctrlProps/ctrlProps31.xml"/><Relationship Id="rId31" Type="http://schemas.openxmlformats.org/officeDocument/2006/relationships/ctrlProp" Target="../ctrlProps/ctrlProps32.xml"/><Relationship Id="rId32" Type="http://schemas.openxmlformats.org/officeDocument/2006/relationships/ctrlProp" Target="../ctrlProps/ctrlProps33.xml"/><Relationship Id="rId33" Type="http://schemas.openxmlformats.org/officeDocument/2006/relationships/ctrlProp" Target="../ctrlProps/ctrlProps34.xml"/><Relationship Id="rId34" Type="http://schemas.openxmlformats.org/officeDocument/2006/relationships/ctrlProp" Target="../ctrlProps/ctrlProps35.xml"/><Relationship Id="rId35" Type="http://schemas.openxmlformats.org/officeDocument/2006/relationships/ctrlProp" Target="../ctrlProps/ctrlProps36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39.xml"/><Relationship Id="rId4" Type="http://schemas.openxmlformats.org/officeDocument/2006/relationships/ctrlProp" Target="../ctrlProps/ctrlProps40.xml"/><Relationship Id="rId5" Type="http://schemas.openxmlformats.org/officeDocument/2006/relationships/ctrlProp" Target="../ctrlProps/ctrlProps41.xml"/><Relationship Id="rId6" Type="http://schemas.openxmlformats.org/officeDocument/2006/relationships/ctrlProp" Target="../ctrlProps/ctrlProps42.xml"/><Relationship Id="rId7" Type="http://schemas.openxmlformats.org/officeDocument/2006/relationships/ctrlProp" Target="../ctrlProps/ctrlProps43.xml"/><Relationship Id="rId8" Type="http://schemas.openxmlformats.org/officeDocument/2006/relationships/ctrlProp" Target="../ctrlProps/ctrlProps44.xml"/><Relationship Id="rId9" Type="http://schemas.openxmlformats.org/officeDocument/2006/relationships/ctrlProp" Target="../ctrlProps/ctrlProps45.xml"/><Relationship Id="rId10" Type="http://schemas.openxmlformats.org/officeDocument/2006/relationships/ctrlProp" Target="../ctrlProps/ctrlProps46.xml"/><Relationship Id="rId11" Type="http://schemas.openxmlformats.org/officeDocument/2006/relationships/ctrlProp" Target="../ctrlProps/ctrlProps47.xml"/><Relationship Id="rId12" Type="http://schemas.openxmlformats.org/officeDocument/2006/relationships/ctrlProp" Target="../ctrlProps/ctrlProps48.xml"/><Relationship Id="rId13" Type="http://schemas.openxmlformats.org/officeDocument/2006/relationships/ctrlProp" Target="../ctrlProps/ctrlProps49.xml"/><Relationship Id="rId14" Type="http://schemas.openxmlformats.org/officeDocument/2006/relationships/ctrlProp" Target="../ctrlProps/ctrlProps50.xml"/><Relationship Id="rId15" Type="http://schemas.openxmlformats.org/officeDocument/2006/relationships/ctrlProp" Target="../ctrlProps/ctrlProps51.xml"/><Relationship Id="rId16" Type="http://schemas.openxmlformats.org/officeDocument/2006/relationships/ctrlProp" Target="../ctrlProps/ctrlProps52.xml"/><Relationship Id="rId17" Type="http://schemas.openxmlformats.org/officeDocument/2006/relationships/ctrlProp" Target="../ctrlProps/ctrlProps53.xml"/><Relationship Id="rId18" Type="http://schemas.openxmlformats.org/officeDocument/2006/relationships/ctrlProp" Target="../ctrlProps/ctrlProps54.xml"/><Relationship Id="rId19" Type="http://schemas.openxmlformats.org/officeDocument/2006/relationships/ctrlProp" Target="../ctrlProps/ctrlProps55.xml"/><Relationship Id="rId20" Type="http://schemas.openxmlformats.org/officeDocument/2006/relationships/ctrlProp" Target="../ctrlProps/ctrlProps56.xml"/><Relationship Id="rId21" Type="http://schemas.openxmlformats.org/officeDocument/2006/relationships/ctrlProp" Target="../ctrlProps/ctrlProps57.xml"/><Relationship Id="rId22" Type="http://schemas.openxmlformats.org/officeDocument/2006/relationships/ctrlProp" Target="../ctrlProps/ctrlProps58.xml"/><Relationship Id="rId23" Type="http://schemas.openxmlformats.org/officeDocument/2006/relationships/ctrlProp" Target="../ctrlProps/ctrlProps59.xml"/><Relationship Id="rId24" Type="http://schemas.openxmlformats.org/officeDocument/2006/relationships/ctrlProp" Target="../ctrlProps/ctrlProps60.xml"/><Relationship Id="rId25" Type="http://schemas.openxmlformats.org/officeDocument/2006/relationships/ctrlProp" Target="../ctrlProps/ctrlProps61.xml"/><Relationship Id="rId26" Type="http://schemas.openxmlformats.org/officeDocument/2006/relationships/ctrlProp" Target="../ctrlProps/ctrlProps62.xml"/><Relationship Id="rId27" Type="http://schemas.openxmlformats.org/officeDocument/2006/relationships/ctrlProp" Target="../ctrlProps/ctrlProps63.xml"/><Relationship Id="rId28" Type="http://schemas.openxmlformats.org/officeDocument/2006/relationships/ctrlProp" Target="../ctrlProps/ctrlProps64.xml"/><Relationship Id="rId29" Type="http://schemas.openxmlformats.org/officeDocument/2006/relationships/ctrlProp" Target="../ctrlProps/ctrlProps65.xml"/><Relationship Id="rId30" Type="http://schemas.openxmlformats.org/officeDocument/2006/relationships/ctrlProp" Target="../ctrlProps/ctrlProps66.xml"/><Relationship Id="rId31" Type="http://schemas.openxmlformats.org/officeDocument/2006/relationships/ctrlProp" Target="../ctrlProps/ctrlProps67.xml"/><Relationship Id="rId32" Type="http://schemas.openxmlformats.org/officeDocument/2006/relationships/ctrlProp" Target="../ctrlProps/ctrlProps68.xml"/><Relationship Id="rId33" Type="http://schemas.openxmlformats.org/officeDocument/2006/relationships/ctrlProp" Target="../ctrlProps/ctrlProps69.xml"/><Relationship Id="rId34" Type="http://schemas.openxmlformats.org/officeDocument/2006/relationships/ctrlProp" Target="../ctrlProps/ctrlProps70.xml"/><Relationship Id="rId35" Type="http://schemas.openxmlformats.org/officeDocument/2006/relationships/ctrlProp" Target="../ctrlProps/ctrlProps7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7.5625" defaultRowHeight="12.75" customHeight="true" zeroHeight="false" outlineLevelRow="0" outlineLevelCol="0"/>
  <cols>
    <col collapsed="false" customWidth="false" hidden="false" outlineLevel="0" max="1" min="1" style="1" width="7.56"/>
    <col collapsed="false" customWidth="true" hidden="false" outlineLevel="0" max="2" min="2" style="0" width="16.28"/>
    <col collapsed="false" customWidth="true" hidden="false" outlineLevel="0" max="3" min="3" style="0" width="9.99"/>
    <col collapsed="false" customWidth="true" hidden="false" outlineLevel="0" max="4" min="4" style="0" width="14.56"/>
    <col collapsed="false" customWidth="true" hidden="false" outlineLevel="0" max="6" min="5" style="0" width="14.99"/>
    <col collapsed="false" customWidth="true" hidden="true" outlineLevel="0" max="7" min="7" style="0" width="10.85"/>
    <col collapsed="false" customWidth="true" hidden="false" outlineLevel="0" max="8" min="8" style="0" width="14.99"/>
    <col collapsed="false" customWidth="true" hidden="false" outlineLevel="0" max="9" min="9" style="0" width="7.42"/>
    <col collapsed="false" customWidth="false" hidden="false" outlineLevel="0" max="257" min="10" style="2" width="7.56"/>
  </cols>
  <sheetData>
    <row r="1" customFormat="false" ht="12.75" hidden="false" customHeight="false" outlineLevel="0" collapsed="false">
      <c r="D1" s="3" t="n">
        <v>0</v>
      </c>
      <c r="E1" s="3" t="n">
        <v>0</v>
      </c>
      <c r="F1" s="3" t="n">
        <v>0</v>
      </c>
      <c r="G1" s="3" t="n">
        <v>0</v>
      </c>
      <c r="H1" s="4"/>
    </row>
    <row r="2" customFormat="false" ht="13.5" hidden="false" customHeight="false" outlineLevel="0" collapsed="false">
      <c r="D2" s="3" t="n">
        <f aca="false">IS!C27</f>
        <v>151522921.554127</v>
      </c>
      <c r="E2" s="3" t="n">
        <f aca="false">IS!C28</f>
        <v>184239025.686536</v>
      </c>
      <c r="F2" s="3" t="n">
        <f aca="false">IS!C29</f>
        <v>36678180.1345996</v>
      </c>
      <c r="G2" s="3" t="n">
        <f aca="false">IS!C30</f>
        <v>372440127.375262</v>
      </c>
      <c r="H2" s="4"/>
    </row>
    <row r="3" customFormat="false" ht="13.5" hidden="false" customHeight="false" outlineLevel="0" collapsed="false">
      <c r="A3" s="5" t="s">
        <v>0</v>
      </c>
      <c r="B3" s="6"/>
      <c r="C3" s="7"/>
      <c r="D3" s="8"/>
      <c r="E3" s="9"/>
      <c r="F3" s="9"/>
      <c r="G3" s="9"/>
      <c r="H3" s="9"/>
    </row>
    <row r="4" customFormat="false" ht="12.75" hidden="false" customHeight="false" outlineLevel="0" collapsed="false">
      <c r="D4" s="9"/>
      <c r="E4" s="9"/>
      <c r="F4" s="9"/>
      <c r="G4" s="9"/>
      <c r="H4" s="9"/>
    </row>
    <row r="5" customFormat="false" ht="12.75" hidden="false" customHeight="false" outlineLevel="0" collapsed="false">
      <c r="A5" s="10" t="s">
        <v>1</v>
      </c>
      <c r="C5" s="11"/>
      <c r="D5" s="12"/>
      <c r="E5" s="9"/>
      <c r="F5" s="9"/>
      <c r="G5" s="9"/>
      <c r="H5" s="9"/>
    </row>
    <row r="6" customFormat="false" ht="12.75" hidden="false" customHeight="false" outlineLevel="0" collapsed="false">
      <c r="A6" s="10"/>
      <c r="C6" s="11"/>
      <c r="D6" s="12"/>
      <c r="E6" s="9"/>
      <c r="F6" s="9"/>
      <c r="G6" s="9"/>
      <c r="H6" s="9"/>
    </row>
    <row r="7" customFormat="false" ht="12.75" hidden="false" customHeight="false" outlineLevel="0" collapsed="false">
      <c r="A7" s="10"/>
      <c r="C7" s="11"/>
      <c r="D7" s="12"/>
      <c r="E7" s="9"/>
      <c r="F7" s="9"/>
      <c r="G7" s="9"/>
      <c r="H7" s="9"/>
    </row>
    <row r="8" customFormat="false" ht="13.5" hidden="false" customHeight="false" outlineLevel="0" collapsed="false">
      <c r="A8" s="10"/>
      <c r="C8" s="13"/>
      <c r="D8" s="14"/>
      <c r="E8" s="9"/>
      <c r="F8" s="9"/>
      <c r="G8" s="9"/>
      <c r="H8" s="9"/>
    </row>
    <row r="9" customFormat="false" ht="13.5" hidden="false" customHeight="false" outlineLevel="0" collapsed="false">
      <c r="A9" s="10"/>
      <c r="B9" s="15"/>
      <c r="C9" s="16"/>
      <c r="D9" s="16" t="s">
        <v>2</v>
      </c>
      <c r="E9" s="16" t="s">
        <v>2</v>
      </c>
      <c r="F9" s="16" t="s">
        <v>2</v>
      </c>
      <c r="G9" s="17"/>
      <c r="H9" s="16" t="s">
        <v>3</v>
      </c>
      <c r="I9" s="16"/>
    </row>
    <row r="10" customFormat="false" ht="13.5" hidden="false" customHeight="false" outlineLevel="0" collapsed="false">
      <c r="A10" s="10"/>
      <c r="B10" s="18" t="s">
        <v>4</v>
      </c>
      <c r="C10" s="17" t="s">
        <v>5</v>
      </c>
      <c r="D10" s="17" t="s">
        <v>6</v>
      </c>
      <c r="E10" s="17" t="s">
        <v>7</v>
      </c>
      <c r="F10" s="17" t="s">
        <v>8</v>
      </c>
      <c r="G10" s="19"/>
      <c r="H10" s="17" t="s">
        <v>2</v>
      </c>
      <c r="I10" s="17" t="s">
        <v>9</v>
      </c>
    </row>
    <row r="11" customFormat="false" ht="12.75" hidden="false" customHeight="false" outlineLevel="0" collapsed="false">
      <c r="A11" s="10"/>
      <c r="B11" s="20" t="s">
        <v>10</v>
      </c>
      <c r="C11" s="21" t="n">
        <f aca="false">SUM(Summary!C17:C34)</f>
        <v>4183.35</v>
      </c>
      <c r="D11" s="22" t="n">
        <f aca="false">SUM(Summary!D17:D34)</f>
        <v>1402358035.52222</v>
      </c>
      <c r="E11" s="22" t="n">
        <f aca="false">SUM(Summary!E17:E34)</f>
        <v>2159330843.73506</v>
      </c>
      <c r="F11" s="22" t="n">
        <f aca="false">SUM(Summary!F17:F34)</f>
        <v>467211036.696737</v>
      </c>
      <c r="G11" s="22"/>
      <c r="H11" s="22" t="n">
        <f aca="false">SUM(Summary!H17:H34)</f>
        <v>4028899915.95401</v>
      </c>
      <c r="I11" s="22" t="n">
        <f aca="false">H11/C11/1000</f>
        <v>963.079808276624</v>
      </c>
    </row>
    <row r="12" customFormat="false" ht="13.5" hidden="false" customHeight="false" outlineLevel="0" collapsed="false">
      <c r="A12" s="10"/>
      <c r="B12" s="23" t="s">
        <v>11</v>
      </c>
      <c r="C12" s="24" t="n">
        <f aca="false">SUM(C35:C49)</f>
        <v>1648.498</v>
      </c>
      <c r="D12" s="25" t="n">
        <f aca="false">SUM(D35:D49)</f>
        <v>249748936.041822</v>
      </c>
      <c r="E12" s="25" t="n">
        <f aca="false">SUM(E35:E49)</f>
        <v>262246336.474813</v>
      </c>
      <c r="F12" s="25" t="n">
        <f aca="false">SUM(F35:F49)</f>
        <v>51922010.3909276</v>
      </c>
      <c r="G12" s="25"/>
      <c r="H12" s="25" t="n">
        <f aca="false">SUM(H35:H49)</f>
        <v>563917282.907563</v>
      </c>
      <c r="I12" s="25" t="n">
        <f aca="false">H12/C12/1000</f>
        <v>342.079446203491</v>
      </c>
    </row>
    <row r="13" customFormat="false" ht="14.25" hidden="false" customHeight="false" outlineLevel="0" collapsed="false">
      <c r="B13" s="26" t="s">
        <v>12</v>
      </c>
      <c r="C13" s="27" t="n">
        <f aca="false">SUM(C17:C49)</f>
        <v>5831.848</v>
      </c>
      <c r="D13" s="28" t="n">
        <f aca="false">SUM(D17:D49)</f>
        <v>1652106971.56404</v>
      </c>
      <c r="E13" s="28" t="n">
        <f aca="false">SUM(E17:E49)</f>
        <v>2421577180.20987</v>
      </c>
      <c r="F13" s="28" t="n">
        <f aca="false">SUM(F17:F49)</f>
        <v>519133047.087665</v>
      </c>
      <c r="G13" s="28"/>
      <c r="H13" s="28" t="n">
        <f aca="false">SUM(H17:H49)</f>
        <v>4592817198.86158</v>
      </c>
      <c r="I13" s="28" t="n">
        <f aca="false">H13/C13/1000</f>
        <v>787.540621576827</v>
      </c>
    </row>
    <row r="14" customFormat="false" ht="13.5" hidden="false" customHeight="false" outlineLevel="0" collapsed="false">
      <c r="B14" s="29"/>
      <c r="C14" s="30"/>
      <c r="D14" s="30"/>
      <c r="E14" s="30"/>
      <c r="F14" s="30"/>
      <c r="G14" s="30"/>
      <c r="H14" s="30"/>
      <c r="I14" s="30"/>
    </row>
    <row r="15" customFormat="false" ht="12.75" hidden="false" customHeight="false" outlineLevel="0" collapsed="false">
      <c r="B15" s="17"/>
      <c r="C15" s="17"/>
      <c r="D15" s="17" t="s">
        <v>13</v>
      </c>
      <c r="E15" s="17" t="s">
        <v>2</v>
      </c>
      <c r="F15" s="17" t="s">
        <v>2</v>
      </c>
      <c r="G15" s="17"/>
      <c r="H15" s="17" t="s">
        <v>3</v>
      </c>
      <c r="I15" s="17"/>
    </row>
    <row r="16" customFormat="false" ht="13.5" hidden="false" customHeight="false" outlineLevel="0" collapsed="false">
      <c r="A16" s="31"/>
      <c r="B16" s="32" t="s">
        <v>4</v>
      </c>
      <c r="C16" s="32" t="s">
        <v>5</v>
      </c>
      <c r="D16" s="32" t="s">
        <v>6</v>
      </c>
      <c r="E16" s="32" t="s">
        <v>7</v>
      </c>
      <c r="F16" s="32" t="s">
        <v>8</v>
      </c>
      <c r="G16" s="32"/>
      <c r="H16" s="32" t="s">
        <v>2</v>
      </c>
      <c r="I16" s="32" t="s">
        <v>9</v>
      </c>
    </row>
    <row r="17" customFormat="false" ht="12.75" hidden="false" customHeight="false" outlineLevel="0" collapsed="false">
      <c r="A17" s="33" t="n">
        <v>1</v>
      </c>
      <c r="B17" s="34" t="str">
        <f aca="false">VLOOKUP(A17,UnitData,2)</f>
        <v>Conesville 4</v>
      </c>
      <c r="C17" s="35" t="n">
        <f aca="false">VLOOKUP(A17,UnitData,3)</f>
        <v>312</v>
      </c>
      <c r="D17" s="3" t="n">
        <v>107783523.712581</v>
      </c>
      <c r="E17" s="3" t="n">
        <v>169183002.407019</v>
      </c>
      <c r="F17" s="3" t="n">
        <v>35638283.5407876</v>
      </c>
      <c r="G17" s="36"/>
      <c r="H17" s="37" t="n">
        <f aca="false">SUM(D17:G17)</f>
        <v>312604809.660387</v>
      </c>
      <c r="I17" s="38" t="n">
        <f aca="false">H17/(C17*1000)</f>
        <v>1001.93849250124</v>
      </c>
    </row>
    <row r="18" customFormat="false" ht="12.75" hidden="false" customHeight="false" outlineLevel="0" collapsed="false">
      <c r="A18" s="33" t="n">
        <v>2</v>
      </c>
      <c r="B18" s="34" t="str">
        <f aca="false">VLOOKUP(A18,UnitData,2)</f>
        <v>East Bend 2</v>
      </c>
      <c r="C18" s="35" t="n">
        <f aca="false">VLOOKUP(A18,UnitData,3)</f>
        <v>414</v>
      </c>
      <c r="D18" s="3" t="n">
        <v>149589011.115209</v>
      </c>
      <c r="E18" s="3" t="n">
        <v>258782362.682519</v>
      </c>
      <c r="F18" s="3" t="n">
        <v>56382647.1479353</v>
      </c>
      <c r="G18" s="36"/>
      <c r="H18" s="37" t="n">
        <f aca="false">SUM(D18:G18)</f>
        <v>464754020.945664</v>
      </c>
      <c r="I18" s="38" t="n">
        <f aca="false">H18/(C18*1000)</f>
        <v>1122.59425349194</v>
      </c>
    </row>
    <row r="19" customFormat="false" ht="12.75" hidden="false" customHeight="false" outlineLevel="0" collapsed="false">
      <c r="A19" s="33" t="n">
        <v>3</v>
      </c>
      <c r="B19" s="34" t="str">
        <f aca="false">VLOOKUP(A19,UnitData,2)</f>
        <v>JM Stuart 1</v>
      </c>
      <c r="C19" s="35" t="n">
        <f aca="false">VLOOKUP(A19,UnitData,3)</f>
        <v>228.15</v>
      </c>
      <c r="D19" s="3" t="n">
        <v>74719425.6112762</v>
      </c>
      <c r="E19" s="3" t="n">
        <v>120709445.283487</v>
      </c>
      <c r="F19" s="3" t="n">
        <v>26144863.6196484</v>
      </c>
      <c r="G19" s="36"/>
      <c r="H19" s="37" t="n">
        <f aca="false">SUM(D19:G19)</f>
        <v>221573734.514412</v>
      </c>
      <c r="I19" s="38" t="n">
        <f aca="false">H19/(C19*1000)</f>
        <v>971.175693685785</v>
      </c>
    </row>
    <row r="20" customFormat="false" ht="12.75" hidden="false" customHeight="false" outlineLevel="0" collapsed="false">
      <c r="A20" s="33" t="n">
        <v>4</v>
      </c>
      <c r="B20" s="34" t="str">
        <f aca="false">VLOOKUP(A20,UnitData,2)</f>
        <v>JM Stuart 2</v>
      </c>
      <c r="C20" s="35" t="n">
        <f aca="false">VLOOKUP(A20,UnitData,3)</f>
        <v>228.15</v>
      </c>
      <c r="D20" s="3" t="n">
        <v>72098806.1578172</v>
      </c>
      <c r="E20" s="3" t="n">
        <v>118465728.864726</v>
      </c>
      <c r="F20" s="3" t="n">
        <v>25661806.8551502</v>
      </c>
      <c r="G20" s="36"/>
      <c r="H20" s="37" t="n">
        <f aca="false">SUM(D20:G20)</f>
        <v>216226341.877694</v>
      </c>
      <c r="I20" s="38" t="n">
        <f aca="false">H20/(C20*1000)</f>
        <v>947.737636983097</v>
      </c>
    </row>
    <row r="21" customFormat="false" ht="12.75" hidden="false" customHeight="false" outlineLevel="0" collapsed="false">
      <c r="A21" s="33" t="n">
        <v>5</v>
      </c>
      <c r="B21" s="34" t="str">
        <f aca="false">VLOOKUP(A21,UnitData,2)</f>
        <v>JM Stuart 3</v>
      </c>
      <c r="C21" s="35" t="n">
        <f aca="false">VLOOKUP(A21,UnitData,3)</f>
        <v>228.15</v>
      </c>
      <c r="D21" s="3" t="n">
        <v>73783798.9143284</v>
      </c>
      <c r="E21" s="3" t="n">
        <v>116778749.486657</v>
      </c>
      <c r="F21" s="3" t="n">
        <v>25281208.2648383</v>
      </c>
      <c r="G21" s="36"/>
      <c r="H21" s="37" t="n">
        <f aca="false">SUM(D21:G21)</f>
        <v>215843756.665824</v>
      </c>
      <c r="I21" s="38" t="n">
        <f aca="false">H21/(C21*1000)</f>
        <v>946.060734892938</v>
      </c>
    </row>
    <row r="22" customFormat="false" ht="12.75" hidden="false" customHeight="false" outlineLevel="0" collapsed="false">
      <c r="A22" s="33" t="n">
        <v>6</v>
      </c>
      <c r="B22" s="34" t="str">
        <f aca="false">VLOOKUP(A22,UnitData,2)</f>
        <v>JM Stuart 4</v>
      </c>
      <c r="C22" s="35" t="n">
        <f aca="false">VLOOKUP(A22,UnitData,3)</f>
        <v>228.15</v>
      </c>
      <c r="D22" s="3" t="n">
        <v>74828326.8235713</v>
      </c>
      <c r="E22" s="3" t="n">
        <v>118643446.343935</v>
      </c>
      <c r="F22" s="3" t="n">
        <v>25725795.7799412</v>
      </c>
      <c r="G22" s="36"/>
      <c r="H22" s="37" t="n">
        <f aca="false">SUM(D22:G22)</f>
        <v>219197568.947447</v>
      </c>
      <c r="I22" s="38" t="n">
        <f aca="false">H22/(C22*1000)</f>
        <v>960.760766808885</v>
      </c>
    </row>
    <row r="23" customFormat="false" ht="12.75" hidden="false" customHeight="false" outlineLevel="0" collapsed="false">
      <c r="A23" s="33" t="n">
        <v>7</v>
      </c>
      <c r="B23" s="34" t="str">
        <f aca="false">VLOOKUP(A23,UnitData,2)</f>
        <v>Killen 2</v>
      </c>
      <c r="C23" s="35" t="n">
        <f aca="false">VLOOKUP(A23,UnitData,3)</f>
        <v>198</v>
      </c>
      <c r="D23" s="3" t="n">
        <v>69302142.6474077</v>
      </c>
      <c r="E23" s="3" t="n">
        <v>110875262.629301</v>
      </c>
      <c r="F23" s="3" t="n">
        <v>23927760.5397946</v>
      </c>
      <c r="G23" s="36"/>
      <c r="H23" s="37" t="n">
        <f aca="false">SUM(D23:G23)</f>
        <v>204105165.816503</v>
      </c>
      <c r="I23" s="38" t="n">
        <f aca="false">H23/(C23*1000)</f>
        <v>1030.83417079042</v>
      </c>
    </row>
    <row r="24" customFormat="false" ht="12.75" hidden="false" customHeight="false" outlineLevel="0" collapsed="false">
      <c r="A24" s="33" t="n">
        <v>8</v>
      </c>
      <c r="B24" s="34" t="str">
        <f aca="false">VLOOKUP(A24,UnitData,2)</f>
        <v>Miami Fort 5</v>
      </c>
      <c r="C24" s="35" t="n">
        <f aca="false">VLOOKUP(A24,UnitData,3)</f>
        <v>80</v>
      </c>
      <c r="D24" s="3" t="n">
        <v>14786498.4611668</v>
      </c>
      <c r="E24" s="3" t="n">
        <v>13373881.3184404</v>
      </c>
      <c r="F24" s="3" t="n">
        <v>2837000.62201141</v>
      </c>
      <c r="G24" s="36"/>
      <c r="H24" s="37" t="n">
        <f aca="false">SUM(D24:G24)</f>
        <v>30997380.4016186</v>
      </c>
      <c r="I24" s="38" t="n">
        <f aca="false">H24/(C24*1000)</f>
        <v>387.467255020232</v>
      </c>
    </row>
    <row r="25" customFormat="false" ht="12.75" hidden="false" customHeight="false" outlineLevel="0" collapsed="false">
      <c r="A25" s="33" t="n">
        <v>9</v>
      </c>
      <c r="B25" s="34" t="str">
        <f aca="false">VLOOKUP(A25,UnitData,2)</f>
        <v>Miami Fort 6</v>
      </c>
      <c r="C25" s="35" t="n">
        <f aca="false">VLOOKUP(A25,UnitData,3)</f>
        <v>163</v>
      </c>
      <c r="D25" s="3" t="n">
        <v>50707812.0201838</v>
      </c>
      <c r="E25" s="3" t="n">
        <v>75215232.2675086</v>
      </c>
      <c r="F25" s="3" t="n">
        <v>16240077.0106905</v>
      </c>
      <c r="G25" s="36"/>
      <c r="H25" s="37" t="n">
        <f aca="false">SUM(D25:G25)</f>
        <v>142163121.298383</v>
      </c>
      <c r="I25" s="38" t="n">
        <f aca="false">H25/(C25*1000)</f>
        <v>872.166388333637</v>
      </c>
    </row>
    <row r="26" customFormat="false" ht="12.75" hidden="false" customHeight="false" outlineLevel="0" collapsed="false">
      <c r="A26" s="33" t="n">
        <v>10</v>
      </c>
      <c r="B26" s="34" t="str">
        <f aca="false">VLOOKUP(A26,UnitData,2)</f>
        <v>Miami Fort 7</v>
      </c>
      <c r="C26" s="35" t="n">
        <f aca="false">VLOOKUP(A26,UnitData,3)</f>
        <v>320</v>
      </c>
      <c r="D26" s="3" t="n">
        <v>93301607.6768975</v>
      </c>
      <c r="E26" s="3" t="n">
        <v>170813250.177193</v>
      </c>
      <c r="F26" s="3" t="n">
        <v>36982003.5672152</v>
      </c>
      <c r="G26" s="36"/>
      <c r="H26" s="37" t="n">
        <f aca="false">SUM(D26:G26)</f>
        <v>301096861.421306</v>
      </c>
      <c r="I26" s="38" t="n">
        <f aca="false">H26/(C26*1000)</f>
        <v>940.927691941581</v>
      </c>
    </row>
    <row r="27" customFormat="false" ht="12.75" hidden="false" customHeight="false" outlineLevel="0" collapsed="false">
      <c r="A27" s="33" t="n">
        <v>11</v>
      </c>
      <c r="B27" s="34" t="str">
        <f aca="false">VLOOKUP(A27,UnitData,2)</f>
        <v>Miami Fort 8</v>
      </c>
      <c r="C27" s="35" t="n">
        <f aca="false">VLOOKUP(A27,UnitData,3)</f>
        <v>320</v>
      </c>
      <c r="D27" s="3" t="n">
        <v>101357072.280585</v>
      </c>
      <c r="E27" s="3" t="n">
        <v>175634597.916849</v>
      </c>
      <c r="F27" s="3" t="n">
        <v>38203712.7102492</v>
      </c>
      <c r="G27" s="36"/>
      <c r="H27" s="37" t="n">
        <f aca="false">SUM(D27:G27)</f>
        <v>315195382.907684</v>
      </c>
      <c r="I27" s="38" t="n">
        <f aca="false">H27/(C27*1000)</f>
        <v>984.985571586512</v>
      </c>
    </row>
    <row r="28" customFormat="false" ht="12.75" hidden="false" customHeight="false" outlineLevel="0" collapsed="false">
      <c r="A28" s="33" t="n">
        <v>12</v>
      </c>
      <c r="B28" s="34" t="str">
        <f aca="false">VLOOKUP(A28,UnitData,2)</f>
        <v>WC Beckjord 1</v>
      </c>
      <c r="C28" s="35" t="n">
        <f aca="false">VLOOKUP(A28,UnitData,3)</f>
        <v>94</v>
      </c>
      <c r="D28" s="3" t="n">
        <v>23730630.8507615</v>
      </c>
      <c r="E28" s="3" t="n">
        <v>31980239.2132417</v>
      </c>
      <c r="F28" s="3" t="n">
        <v>6977691.1975122</v>
      </c>
      <c r="G28" s="36"/>
      <c r="H28" s="37" t="n">
        <f aca="false">SUM(D28:G28)</f>
        <v>62688561.2615153</v>
      </c>
      <c r="I28" s="38" t="n">
        <f aca="false">H28/(C28*1000)</f>
        <v>666.899587888461</v>
      </c>
    </row>
    <row r="29" customFormat="false" ht="12.75" hidden="false" customHeight="false" outlineLevel="0" collapsed="false">
      <c r="A29" s="33" t="n">
        <v>13</v>
      </c>
      <c r="B29" s="34" t="str">
        <f aca="false">VLOOKUP(A29,UnitData,2)</f>
        <v>WC Beckjord 2</v>
      </c>
      <c r="C29" s="35" t="n">
        <f aca="false">VLOOKUP(A29,UnitData,3)</f>
        <v>94</v>
      </c>
      <c r="D29" s="3" t="n">
        <v>23128886.4339318</v>
      </c>
      <c r="E29" s="3" t="n">
        <v>31284472.6545389</v>
      </c>
      <c r="F29" s="3" t="n">
        <v>6829348.51825162</v>
      </c>
      <c r="G29" s="36"/>
      <c r="H29" s="37" t="n">
        <f aca="false">SUM(D29:G29)</f>
        <v>61242707.6067224</v>
      </c>
      <c r="I29" s="38" t="n">
        <f aca="false">H29/(C29*1000)</f>
        <v>651.518166028962</v>
      </c>
    </row>
    <row r="30" customFormat="false" ht="12.75" hidden="false" customHeight="false" outlineLevel="0" collapsed="false">
      <c r="A30" s="33" t="n">
        <v>14</v>
      </c>
      <c r="B30" s="34" t="str">
        <f aca="false">VLOOKUP(A30,UnitData,2)</f>
        <v>WC Beckjord 3</v>
      </c>
      <c r="C30" s="35" t="n">
        <f aca="false">VLOOKUP(A30,UnitData,3)</f>
        <v>128</v>
      </c>
      <c r="D30" s="3" t="n">
        <v>36467024.9713165</v>
      </c>
      <c r="E30" s="3" t="n">
        <v>51128149.6666076</v>
      </c>
      <c r="F30" s="3" t="n">
        <v>11123907.2645417</v>
      </c>
      <c r="G30" s="36"/>
      <c r="H30" s="37" t="n">
        <f aca="false">SUM(D30:G30)</f>
        <v>98719081.9024658</v>
      </c>
      <c r="I30" s="38" t="n">
        <f aca="false">H30/(C30*1000)</f>
        <v>771.242827363014</v>
      </c>
    </row>
    <row r="31" customFormat="false" ht="12.75" hidden="false" customHeight="false" outlineLevel="0" collapsed="false">
      <c r="A31" s="33" t="n">
        <v>15</v>
      </c>
      <c r="B31" s="34" t="str">
        <f aca="false">VLOOKUP(A31,UnitData,2)</f>
        <v>WC Beckjord 4</v>
      </c>
      <c r="C31" s="35" t="n">
        <f aca="false">VLOOKUP(A31,UnitData,3)</f>
        <v>150</v>
      </c>
      <c r="D31" s="3" t="n">
        <v>44209553.1770852</v>
      </c>
      <c r="E31" s="3" t="n">
        <v>63356847.6852639</v>
      </c>
      <c r="F31" s="3" t="n">
        <v>13704749.4117855</v>
      </c>
      <c r="G31" s="36"/>
      <c r="H31" s="37" t="n">
        <f aca="false">SUM(D31:G31)</f>
        <v>121271150.274135</v>
      </c>
      <c r="I31" s="38" t="n">
        <f aca="false">H31/(C31*1000)</f>
        <v>808.474335160897</v>
      </c>
    </row>
    <row r="32" customFormat="false" ht="12.75" hidden="false" customHeight="false" outlineLevel="0" collapsed="false">
      <c r="A32" s="33" t="n">
        <v>16</v>
      </c>
      <c r="B32" s="34" t="str">
        <f aca="false">VLOOKUP(A32,UnitData,2)</f>
        <v>WC Beckjord 5</v>
      </c>
      <c r="C32" s="35" t="n">
        <f aca="false">VLOOKUP(A32,UnitData,3)</f>
        <v>238</v>
      </c>
      <c r="D32" s="3" t="n">
        <v>74414111.86103</v>
      </c>
      <c r="E32" s="3" t="n">
        <v>99685656.1271527</v>
      </c>
      <c r="F32" s="3" t="n">
        <v>21697798.943251</v>
      </c>
      <c r="G32" s="36"/>
      <c r="H32" s="37" t="n">
        <f aca="false">SUM(D32:G32)</f>
        <v>195797566.931434</v>
      </c>
      <c r="I32" s="38" t="n">
        <f aca="false">H32/(C32*1000)</f>
        <v>822.678852653083</v>
      </c>
    </row>
    <row r="33" customFormat="false" ht="12.75" hidden="false" customHeight="false" outlineLevel="0" collapsed="false">
      <c r="A33" s="33" t="n">
        <v>17</v>
      </c>
      <c r="B33" s="34" t="str">
        <f aca="false">VLOOKUP(A33,UnitData,2)</f>
        <v>WC Beckjord 6</v>
      </c>
      <c r="C33" s="35" t="n">
        <f aca="false">VLOOKUP(A33,UnitData,3)</f>
        <v>155.25</v>
      </c>
      <c r="D33" s="3" t="n">
        <v>46265138.2726142</v>
      </c>
      <c r="E33" s="3" t="n">
        <v>64729986.1657094</v>
      </c>
      <c r="F33" s="3" t="n">
        <v>14197788.6005732</v>
      </c>
      <c r="G33" s="36"/>
      <c r="H33" s="37" t="n">
        <f aca="false">SUM(D33:G33)</f>
        <v>125192913.038897</v>
      </c>
      <c r="I33" s="38" t="n">
        <f aca="false">H33/(C33*1000)</f>
        <v>806.395575129771</v>
      </c>
    </row>
    <row r="34" customFormat="false" ht="12.75" hidden="false" customHeight="false" outlineLevel="0" collapsed="false">
      <c r="A34" s="33" t="n">
        <v>18</v>
      </c>
      <c r="B34" s="34" t="str">
        <f aca="false">VLOOKUP(A34,UnitData,2)</f>
        <v>WH Zimmer 1</v>
      </c>
      <c r="C34" s="35" t="n">
        <f aca="false">VLOOKUP(A34,UnitData,3)</f>
        <v>604.5</v>
      </c>
      <c r="D34" s="3" t="n">
        <v>271884664.534456</v>
      </c>
      <c r="E34" s="3" t="n">
        <v>368690532.844907</v>
      </c>
      <c r="F34" s="3" t="n">
        <v>79654593.1025603</v>
      </c>
      <c r="G34" s="36"/>
      <c r="H34" s="37" t="n">
        <f aca="false">SUM(D34:G34)</f>
        <v>720229790.481923</v>
      </c>
      <c r="I34" s="38" t="n">
        <f aca="false">H34/(C34*1000)</f>
        <v>1191.44713065661</v>
      </c>
    </row>
    <row r="35" customFormat="false" ht="12.75" hidden="false" customHeight="false" outlineLevel="0" collapsed="false">
      <c r="A35" s="33" t="n">
        <v>19</v>
      </c>
      <c r="B35" s="34" t="str">
        <f aca="false">VLOOKUP(A35,UnitData,2)</f>
        <v>Dicks Creek 1</v>
      </c>
      <c r="C35" s="35" t="n">
        <f aca="false">VLOOKUP(A35,UnitData,3)</f>
        <v>92</v>
      </c>
      <c r="D35" s="3" t="n">
        <v>6911270.43518096</v>
      </c>
      <c r="E35" s="3" t="n">
        <v>3763504.90617612</v>
      </c>
      <c r="F35" s="3" t="n">
        <v>727088.288823772</v>
      </c>
      <c r="G35" s="36"/>
      <c r="H35" s="37" t="n">
        <f aca="false">SUM(D35:G35)</f>
        <v>11401863.6301809</v>
      </c>
      <c r="I35" s="38" t="n">
        <f aca="false">H35/(C35*1000)</f>
        <v>123.933300328053</v>
      </c>
    </row>
    <row r="36" customFormat="false" ht="12.75" hidden="false" customHeight="false" outlineLevel="0" collapsed="false">
      <c r="A36" s="33" t="n">
        <v>20</v>
      </c>
      <c r="B36" s="34" t="str">
        <f aca="false">VLOOKUP(A36,UnitData,2)</f>
        <v>Dicks Creek 3</v>
      </c>
      <c r="C36" s="35" t="n">
        <f aca="false">VLOOKUP(A36,UnitData,3)</f>
        <v>14.2</v>
      </c>
      <c r="D36" s="3" t="n">
        <v>1079519.96500023</v>
      </c>
      <c r="E36" s="3" t="n">
        <v>390723.290416859</v>
      </c>
      <c r="F36" s="3" t="n">
        <v>72346.5225432352</v>
      </c>
      <c r="G36" s="36"/>
      <c r="H36" s="37" t="n">
        <f aca="false">SUM(D36:G36)</f>
        <v>1542589.77796032</v>
      </c>
      <c r="I36" s="38" t="n">
        <f aca="false">H36/(C36*1000)</f>
        <v>108.633082954952</v>
      </c>
    </row>
    <row r="37" customFormat="false" ht="12.75" hidden="false" customHeight="false" outlineLevel="0" collapsed="false">
      <c r="A37" s="33" t="n">
        <v>21</v>
      </c>
      <c r="B37" s="34" t="str">
        <f aca="false">VLOOKUP(A37,UnitData,2)</f>
        <v>Dicks Creek 4&amp;5</v>
      </c>
      <c r="C37" s="35" t="n">
        <f aca="false">VLOOKUP(A37,UnitData,3)</f>
        <v>30</v>
      </c>
      <c r="D37" s="3" t="n">
        <v>2432619.71589095</v>
      </c>
      <c r="E37" s="3" t="n">
        <v>935246.397749752</v>
      </c>
      <c r="F37" s="3" t="n">
        <v>174085.637739237</v>
      </c>
      <c r="G37" s="36"/>
      <c r="H37" s="37" t="n">
        <f aca="false">SUM(D37:G37)</f>
        <v>3541951.75137994</v>
      </c>
      <c r="I37" s="38" t="n">
        <f aca="false">H37/(C37*1000)</f>
        <v>118.065058379331</v>
      </c>
    </row>
    <row r="38" customFormat="false" ht="12.75" hidden="false" customHeight="false" outlineLevel="0" collapsed="false">
      <c r="A38" s="33" t="n">
        <v>22</v>
      </c>
      <c r="B38" s="34" t="str">
        <f aca="false">VLOOKUP(A38,UnitData,2)</f>
        <v>Miami Fort 3-6</v>
      </c>
      <c r="C38" s="35" t="n">
        <f aca="false">VLOOKUP(A38,UnitData,3)</f>
        <v>56.8</v>
      </c>
      <c r="D38" s="3" t="n">
        <v>4418856.92968855</v>
      </c>
      <c r="E38" s="3" t="n">
        <v>2051323.58397608</v>
      </c>
      <c r="F38" s="3" t="n">
        <v>414601.82485105</v>
      </c>
      <c r="G38" s="36"/>
      <c r="H38" s="37" t="n">
        <f aca="false">SUM(D38:G38)</f>
        <v>6884782.33851568</v>
      </c>
      <c r="I38" s="38" t="n">
        <f aca="false">H38/(C38*1000)</f>
        <v>121.210956664008</v>
      </c>
    </row>
    <row r="39" customFormat="false" ht="12.75" hidden="false" customHeight="false" outlineLevel="0" collapsed="false">
      <c r="A39" s="33" t="n">
        <v>23</v>
      </c>
      <c r="B39" s="34" t="str">
        <f aca="false">VLOOKUP(A39,UnitData,2)</f>
        <v>Beckjord CT1</v>
      </c>
      <c r="C39" s="35" t="n">
        <f aca="false">VLOOKUP(A39,UnitData,3)</f>
        <v>51.225</v>
      </c>
      <c r="D39" s="3" t="n">
        <v>4650269.67649583</v>
      </c>
      <c r="E39" s="3" t="n">
        <v>3703529.06682512</v>
      </c>
      <c r="F39" s="3" t="n">
        <v>768760.155864634</v>
      </c>
      <c r="G39" s="36"/>
      <c r="H39" s="37" t="n">
        <f aca="false">SUM(D39:G39)</f>
        <v>9122558.89918559</v>
      </c>
      <c r="I39" s="38" t="n">
        <f aca="false">H39/(C39*1000)</f>
        <v>178.088021457991</v>
      </c>
    </row>
    <row r="40" customFormat="false" ht="12.75" hidden="false" customHeight="false" outlineLevel="0" collapsed="false">
      <c r="A40" s="33" t="n">
        <v>24</v>
      </c>
      <c r="B40" s="34" t="str">
        <f aca="false">VLOOKUP(A40,UnitData,2)</f>
        <v>Beckjord CT2</v>
      </c>
      <c r="C40" s="35" t="n">
        <f aca="false">VLOOKUP(A40,UnitData,3)</f>
        <v>51.225</v>
      </c>
      <c r="D40" s="3" t="n">
        <v>4650269.67649583</v>
      </c>
      <c r="E40" s="3" t="n">
        <v>3703529.06682512</v>
      </c>
      <c r="F40" s="3" t="n">
        <v>768760.155864634</v>
      </c>
      <c r="G40" s="36"/>
      <c r="H40" s="37" t="n">
        <f aca="false">SUM(D40:G40)</f>
        <v>9122558.89918559</v>
      </c>
      <c r="I40" s="38" t="n">
        <f aca="false">H40/(C40*1000)</f>
        <v>178.088021457991</v>
      </c>
    </row>
    <row r="41" customFormat="false" ht="12.75" hidden="false" customHeight="false" outlineLevel="0" collapsed="false">
      <c r="A41" s="33" t="n">
        <v>25</v>
      </c>
      <c r="B41" s="34" t="str">
        <f aca="false">VLOOKUP(A41,UnitData,2)</f>
        <v>Beckjord CT3</v>
      </c>
      <c r="C41" s="35" t="n">
        <f aca="false">VLOOKUP(A41,UnitData,3)</f>
        <v>51.225</v>
      </c>
      <c r="D41" s="3" t="n">
        <v>4650269.67649583</v>
      </c>
      <c r="E41" s="3" t="n">
        <v>3703529.06682512</v>
      </c>
      <c r="F41" s="3" t="n">
        <v>768760.155864634</v>
      </c>
      <c r="G41" s="36"/>
      <c r="H41" s="37" t="n">
        <f aca="false">SUM(D41:G41)</f>
        <v>9122558.89918559</v>
      </c>
      <c r="I41" s="38" t="n">
        <f aca="false">H41/(C41*1000)</f>
        <v>178.088021457991</v>
      </c>
    </row>
    <row r="42" customFormat="false" ht="12.75" hidden="false" customHeight="false" outlineLevel="0" collapsed="false">
      <c r="A42" s="33" t="n">
        <v>26</v>
      </c>
      <c r="B42" s="34" t="str">
        <f aca="false">VLOOKUP(A42,UnitData,2)</f>
        <v>Beckjord CT4</v>
      </c>
      <c r="C42" s="35" t="n">
        <f aca="false">VLOOKUP(A42,UnitData,3)</f>
        <v>51.225</v>
      </c>
      <c r="D42" s="3" t="n">
        <v>4650269.67649583</v>
      </c>
      <c r="E42" s="3" t="n">
        <v>3703529.06682512</v>
      </c>
      <c r="F42" s="3" t="n">
        <v>768760.155864634</v>
      </c>
      <c r="G42" s="36"/>
      <c r="H42" s="37" t="n">
        <f aca="false">SUM(D42:G42)</f>
        <v>9122558.89918559</v>
      </c>
      <c r="I42" s="38" t="n">
        <f aca="false">H42/(C42*1000)</f>
        <v>178.088021457991</v>
      </c>
    </row>
    <row r="43" customFormat="false" ht="12.75" hidden="false" customHeight="false" outlineLevel="0" collapsed="false">
      <c r="A43" s="33" t="n">
        <v>27</v>
      </c>
      <c r="B43" s="34" t="str">
        <f aca="false">VLOOKUP(A43,UnitData,2)</f>
        <v>Woodsdale 1</v>
      </c>
      <c r="C43" s="35" t="n">
        <f aca="false">VLOOKUP(A43,UnitData,3)</f>
        <v>83.433</v>
      </c>
      <c r="D43" s="3" t="n">
        <v>10811128.6860941</v>
      </c>
      <c r="E43" s="3" t="n">
        <v>9336883.47895621</v>
      </c>
      <c r="F43" s="3" t="n">
        <v>1795459.26088492</v>
      </c>
      <c r="G43" s="36"/>
      <c r="H43" s="37" t="n">
        <f aca="false">SUM(D43:G43)</f>
        <v>21943471.4259353</v>
      </c>
      <c r="I43" s="38" t="n">
        <f aca="false">H43/(C43*1000)</f>
        <v>263.007100618883</v>
      </c>
    </row>
    <row r="44" customFormat="false" ht="12.75" hidden="false" customHeight="false" outlineLevel="0" collapsed="false">
      <c r="A44" s="33" t="n">
        <v>28</v>
      </c>
      <c r="B44" s="34" t="str">
        <f aca="false">VLOOKUP(A44,UnitData,2)</f>
        <v>Woodsdale 2</v>
      </c>
      <c r="C44" s="35" t="n">
        <f aca="false">VLOOKUP(A44,UnitData,3)</f>
        <v>83.433</v>
      </c>
      <c r="D44" s="3" t="n">
        <v>10811577.4848964</v>
      </c>
      <c r="E44" s="3" t="n">
        <v>9336883.56963711</v>
      </c>
      <c r="F44" s="3" t="n">
        <v>1795461.72376901</v>
      </c>
      <c r="G44" s="36"/>
      <c r="H44" s="37" t="n">
        <f aca="false">SUM(D44:G44)</f>
        <v>21943922.7783025</v>
      </c>
      <c r="I44" s="38" t="n">
        <f aca="false">H44/(C44*1000)</f>
        <v>263.012510377219</v>
      </c>
    </row>
    <row r="45" customFormat="false" ht="12.75" hidden="false" customHeight="false" outlineLevel="0" collapsed="false">
      <c r="A45" s="33" t="n">
        <v>29</v>
      </c>
      <c r="B45" s="34" t="str">
        <f aca="false">VLOOKUP(A45,UnitData,2)</f>
        <v>Woodsdale 3</v>
      </c>
      <c r="C45" s="35" t="n">
        <f aca="false">VLOOKUP(A45,UnitData,3)</f>
        <v>83.433</v>
      </c>
      <c r="D45" s="3" t="n">
        <v>10796453.4040549</v>
      </c>
      <c r="E45" s="3" t="n">
        <v>9340644.39561887</v>
      </c>
      <c r="F45" s="3" t="n">
        <v>1796501.53336826</v>
      </c>
      <c r="G45" s="36"/>
      <c r="H45" s="37" t="n">
        <f aca="false">SUM(D45:G45)</f>
        <v>21933599.333042</v>
      </c>
      <c r="I45" s="38" t="n">
        <f aca="false">H45/(C45*1000)</f>
        <v>262.888777019189</v>
      </c>
    </row>
    <row r="46" customFormat="false" ht="12.75" hidden="false" customHeight="false" outlineLevel="0" collapsed="false">
      <c r="A46" s="33" t="n">
        <v>30</v>
      </c>
      <c r="B46" s="34" t="str">
        <f aca="false">VLOOKUP(A46,UnitData,2)</f>
        <v>Woodsdale 4</v>
      </c>
      <c r="C46" s="35" t="n">
        <f aca="false">VLOOKUP(A46,UnitData,3)</f>
        <v>83.433</v>
      </c>
      <c r="D46" s="3" t="n">
        <v>10796453.4040549</v>
      </c>
      <c r="E46" s="3" t="n">
        <v>9340644.39561887</v>
      </c>
      <c r="F46" s="3" t="n">
        <v>1796501.53336826</v>
      </c>
      <c r="G46" s="36"/>
      <c r="H46" s="37" t="n">
        <f aca="false">SUM(D46:G46)</f>
        <v>21933599.333042</v>
      </c>
      <c r="I46" s="38" t="n">
        <f aca="false">H46/(C46*1000)</f>
        <v>262.888777019189</v>
      </c>
    </row>
    <row r="47" customFormat="false" ht="12.75" hidden="false" customHeight="false" outlineLevel="0" collapsed="false">
      <c r="A47" s="33" t="n">
        <v>31</v>
      </c>
      <c r="B47" s="34" t="str">
        <f aca="false">VLOOKUP(A47,UnitData,2)</f>
        <v>Woodsdale 5</v>
      </c>
      <c r="C47" s="35" t="n">
        <f aca="false">VLOOKUP(A47,UnitData,3)</f>
        <v>83.433</v>
      </c>
      <c r="D47" s="3" t="n">
        <v>10782420.5404313</v>
      </c>
      <c r="E47" s="3" t="n">
        <v>9347298.49796956</v>
      </c>
      <c r="F47" s="3" t="n">
        <v>1798084.67693616</v>
      </c>
      <c r="G47" s="36"/>
      <c r="H47" s="37" t="n">
        <f aca="false">SUM(D47:G47)</f>
        <v>21927803.7153371</v>
      </c>
      <c r="I47" s="38" t="n">
        <f aca="false">H47/(C47*1000)</f>
        <v>262.819312686072</v>
      </c>
    </row>
    <row r="48" customFormat="false" ht="12.75" hidden="false" customHeight="false" outlineLevel="0" collapsed="false">
      <c r="A48" s="33" t="n">
        <v>32</v>
      </c>
      <c r="B48" s="34" t="str">
        <f aca="false">VLOOKUP(A48,UnitData,2)</f>
        <v>Woodsdale 6</v>
      </c>
      <c r="C48" s="35" t="n">
        <f aca="false">VLOOKUP(A48,UnitData,3)</f>
        <v>83.433</v>
      </c>
      <c r="D48" s="3" t="n">
        <v>10784635.2164199</v>
      </c>
      <c r="E48" s="3" t="n">
        <v>9350042.00485728</v>
      </c>
      <c r="F48" s="3" t="n">
        <v>1798658.63058564</v>
      </c>
      <c r="G48" s="36"/>
      <c r="H48" s="37" t="n">
        <f aca="false">SUM(D48:G48)</f>
        <v>21933335.8518628</v>
      </c>
      <c r="I48" s="38" t="n">
        <f aca="false">H48/(C48*1000)</f>
        <v>262.885619022004</v>
      </c>
    </row>
    <row r="49" customFormat="false" ht="12.75" hidden="false" customHeight="false" outlineLevel="0" collapsed="false">
      <c r="A49" s="33" t="n">
        <v>33</v>
      </c>
      <c r="B49" s="39" t="s">
        <v>14</v>
      </c>
      <c r="C49" s="35" t="n">
        <v>750</v>
      </c>
      <c r="D49" s="3" t="n">
        <v>151522921.554126</v>
      </c>
      <c r="E49" s="3" t="n">
        <v>184239025.686536</v>
      </c>
      <c r="F49" s="3" t="n">
        <v>36678180.1345996</v>
      </c>
      <c r="G49" s="36"/>
      <c r="H49" s="37" t="n">
        <f aca="false">SUM(D49:G49)</f>
        <v>372440127.375262</v>
      </c>
      <c r="I49" s="38" t="n">
        <f aca="false">H49/(C49*1000)</f>
        <v>496.586836500349</v>
      </c>
    </row>
    <row r="50" customFormat="false" ht="12.75" hidden="false" customHeight="false" outlineLevel="0" collapsed="false">
      <c r="A50" s="33"/>
      <c r="B50" s="40"/>
      <c r="C50" s="41"/>
      <c r="D50" s="3"/>
      <c r="E50" s="3"/>
      <c r="F50" s="3"/>
      <c r="G50" s="3"/>
      <c r="H50" s="37"/>
      <c r="I50" s="38"/>
    </row>
    <row r="51" customFormat="false" ht="13.5" hidden="false" customHeight="false" outlineLevel="0" collapsed="false">
      <c r="A51" s="42"/>
      <c r="B51" s="43"/>
      <c r="C51" s="44" t="n">
        <f aca="false">SUM(C17:C49)</f>
        <v>5831.848</v>
      </c>
      <c r="D51" s="44" t="n">
        <f aca="false">SUM(D17:D49)</f>
        <v>1652106971.56404</v>
      </c>
      <c r="E51" s="44" t="n">
        <f aca="false">SUM(E17:E49)</f>
        <v>2421577180.20987</v>
      </c>
      <c r="F51" s="44" t="n">
        <f aca="false">SUM(F17:F49)</f>
        <v>519133047.087665</v>
      </c>
      <c r="G51" s="45"/>
      <c r="H51" s="46" t="n">
        <f aca="false">SUM(H17:H49)</f>
        <v>4592817198.86158</v>
      </c>
      <c r="I51" s="47" t="n">
        <f aca="false">H51/(C51*1000)</f>
        <v>787.540621576827</v>
      </c>
    </row>
    <row r="79" customFormat="false" ht="12.75" hidden="false" customHeight="false" outlineLevel="0" collapsed="false">
      <c r="A79" s="31"/>
      <c r="B79" s="2"/>
      <c r="C79" s="2"/>
      <c r="D79" s="2"/>
      <c r="E79" s="2"/>
      <c r="F79" s="2"/>
      <c r="G79" s="2"/>
      <c r="H79" s="2"/>
      <c r="I79" s="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Module1.UpdateVals">
                <anchor moveWithCells="true" sizeWithCells="false">
                  <from>
                    <xdr:col>5</xdr:col>
                    <xdr:colOff>10440</xdr:colOff>
                    <xdr:row>5</xdr:row>
                    <xdr:rowOff>9360</xdr:rowOff>
                  </from>
                  <to>
                    <xdr:col>7</xdr:col>
                    <xdr:colOff>524160</xdr:colOff>
                    <xdr:row>7</xdr:row>
                    <xdr:rowOff>171720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0" width="15.41"/>
    <col collapsed="false" customWidth="true" hidden="false" outlineLevel="0" max="3" min="3" style="0" width="6.7"/>
    <col collapsed="false" customWidth="true" hidden="false" outlineLevel="0" max="4" min="4" style="0" width="8.7"/>
    <col collapsed="false" customWidth="true" hidden="false" outlineLevel="0" max="12" min="5" style="0" width="9.7"/>
    <col collapsed="false" customWidth="true" hidden="false" outlineLevel="0" max="13" min="13" style="0" width="11.85"/>
    <col collapsed="false" customWidth="true" hidden="false" outlineLevel="0" max="21" min="14" style="0" width="9.7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27" t="s">
        <v>172</v>
      </c>
      <c r="B1" s="338"/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</row>
    <row r="5" customFormat="false" ht="12.75" hidden="false" customHeight="false" outlineLevel="0" collapsed="false">
      <c r="A5" s="263"/>
    </row>
    <row r="6" customFormat="false" ht="12.75" hidden="false" customHeight="false" outlineLevel="0" collapsed="false">
      <c r="A6" s="263"/>
      <c r="L6" s="0" t="s">
        <v>173</v>
      </c>
    </row>
    <row r="7" customFormat="false" ht="12.75" hidden="false" customHeight="false" outlineLevel="0" collapsed="false">
      <c r="A7" s="263"/>
    </row>
    <row r="9" customFormat="false" ht="12.75" hidden="false" customHeight="false" outlineLevel="0" collapsed="false">
      <c r="C9" s="322" t="n">
        <v>2000</v>
      </c>
      <c r="D9" s="323" t="n">
        <v>2001</v>
      </c>
      <c r="E9" s="323" t="n">
        <v>2002</v>
      </c>
      <c r="F9" s="323" t="n">
        <v>2003</v>
      </c>
      <c r="G9" s="323" t="n">
        <v>2004</v>
      </c>
      <c r="H9" s="323" t="n">
        <v>2005</v>
      </c>
      <c r="I9" s="323" t="n">
        <v>2006</v>
      </c>
      <c r="J9" s="323" t="n">
        <v>2007</v>
      </c>
      <c r="K9" s="323" t="n">
        <v>2008</v>
      </c>
      <c r="L9" s="323" t="n">
        <v>2009</v>
      </c>
      <c r="M9" s="323" t="n">
        <v>2010</v>
      </c>
      <c r="N9" s="323" t="n">
        <v>2011</v>
      </c>
      <c r="O9" s="323" t="n">
        <v>2012</v>
      </c>
      <c r="P9" s="323" t="n">
        <v>2013</v>
      </c>
      <c r="Q9" s="323" t="n">
        <v>2014</v>
      </c>
      <c r="R9" s="323" t="n">
        <v>2015</v>
      </c>
      <c r="S9" s="323" t="n">
        <v>2016</v>
      </c>
      <c r="T9" s="323" t="n">
        <v>2017</v>
      </c>
      <c r="U9" s="323" t="n">
        <v>2018</v>
      </c>
      <c r="V9" s="323" t="n">
        <v>2019</v>
      </c>
    </row>
    <row r="10" customFormat="false" ht="12.75" hidden="false" customHeight="false" outlineLevel="0" collapsed="false">
      <c r="C10" s="324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</row>
    <row r="11" customFormat="false" ht="12.75" hidden="false" customHeight="false" outlineLevel="0" collapsed="false">
      <c r="A11" s="2" t="n">
        <f aca="false">Summary!A17</f>
        <v>1</v>
      </c>
      <c r="B11" s="2" t="s">
        <v>69</v>
      </c>
      <c r="C11" s="333" t="n">
        <v>0</v>
      </c>
      <c r="D11" s="334" t="n">
        <v>526501.973231713</v>
      </c>
      <c r="E11" s="334" t="n">
        <v>537611.164866905</v>
      </c>
      <c r="F11" s="334" t="n">
        <v>549384.849377491</v>
      </c>
      <c r="G11" s="334" t="n">
        <v>561800.946973418</v>
      </c>
      <c r="H11" s="334" t="n">
        <v>575171.809511387</v>
      </c>
      <c r="I11" s="334" t="n">
        <v>589585.672880798</v>
      </c>
      <c r="J11" s="334" t="n">
        <v>604209.040078254</v>
      </c>
      <c r="K11" s="334" t="n">
        <v>619502.819525451</v>
      </c>
      <c r="L11" s="334" t="n">
        <v>634804.539167731</v>
      </c>
      <c r="M11" s="334" t="n">
        <v>650992.054916505</v>
      </c>
      <c r="N11" s="334" t="n">
        <v>666746.062645488</v>
      </c>
      <c r="O11" s="334" t="n">
        <v>683548.063424152</v>
      </c>
      <c r="P11" s="334" t="n">
        <v>700910.184235124</v>
      </c>
      <c r="Q11" s="334" t="n">
        <v>718432.938841002</v>
      </c>
      <c r="R11" s="334" t="n">
        <v>736465.605605911</v>
      </c>
      <c r="S11" s="334" t="n">
        <v>754877.24574606</v>
      </c>
      <c r="T11" s="334" t="n">
        <v>773598.201440562</v>
      </c>
      <c r="U11" s="334" t="n">
        <v>793015.516296721</v>
      </c>
      <c r="V11" s="334" t="n">
        <v>812920.205755769</v>
      </c>
    </row>
    <row r="12" customFormat="false" ht="12.75" hidden="false" customHeight="false" outlineLevel="0" collapsed="false">
      <c r="A12" s="2" t="n">
        <f aca="false">Summary!A18</f>
        <v>2</v>
      </c>
      <c r="B12" s="2" t="s">
        <v>71</v>
      </c>
      <c r="C12" s="333" t="n">
        <v>0</v>
      </c>
      <c r="D12" s="335" t="n">
        <v>972786.000315297</v>
      </c>
      <c r="E12" s="335" t="n">
        <v>993311.784921956</v>
      </c>
      <c r="F12" s="335" t="n">
        <v>1015065.31301175</v>
      </c>
      <c r="G12" s="335" t="n">
        <v>1038005.78908581</v>
      </c>
      <c r="H12" s="335" t="n">
        <v>1062710.32686605</v>
      </c>
      <c r="I12" s="335" t="n">
        <v>1089341.95449349</v>
      </c>
      <c r="J12" s="335" t="n">
        <v>1116360.6697318</v>
      </c>
      <c r="K12" s="335" t="n">
        <v>1144618.06532488</v>
      </c>
      <c r="L12" s="335" t="n">
        <v>1172890.1315384</v>
      </c>
      <c r="M12" s="335" t="n">
        <v>1202798.82989263</v>
      </c>
      <c r="N12" s="335" t="n">
        <v>1231906.56157603</v>
      </c>
      <c r="O12" s="335" t="n">
        <v>1262950.60692775</v>
      </c>
      <c r="P12" s="335" t="n">
        <v>1295029.55234371</v>
      </c>
      <c r="Q12" s="335" t="n">
        <v>1327405.2911523</v>
      </c>
      <c r="R12" s="335" t="n">
        <v>1360723.16396022</v>
      </c>
      <c r="S12" s="335" t="n">
        <v>1394741.24305923</v>
      </c>
      <c r="T12" s="335" t="n">
        <v>1429330.8258871</v>
      </c>
      <c r="U12" s="335" t="n">
        <v>1465207.02961687</v>
      </c>
      <c r="V12" s="335" t="n">
        <v>1501983.72606025</v>
      </c>
    </row>
    <row r="13" customFormat="false" ht="12.75" hidden="false" customHeight="false" outlineLevel="0" collapsed="false">
      <c r="A13" s="2" t="n">
        <f aca="false">Summary!A19</f>
        <v>3</v>
      </c>
      <c r="B13" s="2" t="s">
        <v>72</v>
      </c>
      <c r="C13" s="333" t="n">
        <v>0</v>
      </c>
      <c r="D13" s="335" t="n">
        <v>535405.353751207</v>
      </c>
      <c r="E13" s="335" t="n">
        <v>546702.406715361</v>
      </c>
      <c r="F13" s="335" t="n">
        <v>558675.189422428</v>
      </c>
      <c r="G13" s="335" t="n">
        <v>571301.24870337</v>
      </c>
      <c r="H13" s="335" t="n">
        <v>584898.218422512</v>
      </c>
      <c r="I13" s="335" t="n">
        <v>599555.826577049</v>
      </c>
      <c r="J13" s="335" t="n">
        <v>614426.48136174</v>
      </c>
      <c r="K13" s="335" t="n">
        <v>629978.885362923</v>
      </c>
      <c r="L13" s="335" t="n">
        <v>645539.363831388</v>
      </c>
      <c r="M13" s="335" t="n">
        <v>662000.617609086</v>
      </c>
      <c r="N13" s="335" t="n">
        <v>678021.032555229</v>
      </c>
      <c r="O13" s="335" t="n">
        <v>695107.162575619</v>
      </c>
      <c r="P13" s="335" t="n">
        <v>712762.884505038</v>
      </c>
      <c r="Q13" s="335" t="n">
        <v>730581.956617664</v>
      </c>
      <c r="R13" s="335" t="n">
        <v>748919.563728767</v>
      </c>
      <c r="S13" s="335" t="n">
        <v>767642.552821988</v>
      </c>
      <c r="T13" s="335" t="n">
        <v>786680.088131972</v>
      </c>
      <c r="U13" s="335" t="n">
        <v>806425.758344086</v>
      </c>
      <c r="V13" s="335" t="n">
        <v>826667.044878523</v>
      </c>
    </row>
    <row r="14" customFormat="false" ht="12.75" hidden="false" customHeight="false" outlineLevel="0" collapsed="false">
      <c r="A14" s="2" t="n">
        <f aca="false">Summary!A20</f>
        <v>4</v>
      </c>
      <c r="B14" s="2" t="s">
        <v>73</v>
      </c>
      <c r="C14" s="333" t="n">
        <v>0</v>
      </c>
      <c r="D14" s="335" t="n">
        <v>535405.353751207</v>
      </c>
      <c r="E14" s="335" t="n">
        <v>546702.406715361</v>
      </c>
      <c r="F14" s="335" t="n">
        <v>558675.189422428</v>
      </c>
      <c r="G14" s="335" t="n">
        <v>571301.24870337</v>
      </c>
      <c r="H14" s="335" t="n">
        <v>584898.218422512</v>
      </c>
      <c r="I14" s="335" t="n">
        <v>599555.826577049</v>
      </c>
      <c r="J14" s="335" t="n">
        <v>614426.48136174</v>
      </c>
      <c r="K14" s="335" t="n">
        <v>629978.885362923</v>
      </c>
      <c r="L14" s="335" t="n">
        <v>645539.363831388</v>
      </c>
      <c r="M14" s="335" t="n">
        <v>662000.617609086</v>
      </c>
      <c r="N14" s="335" t="n">
        <v>678021.032555229</v>
      </c>
      <c r="O14" s="335" t="n">
        <v>695107.162575619</v>
      </c>
      <c r="P14" s="335" t="n">
        <v>712762.884505038</v>
      </c>
      <c r="Q14" s="335" t="n">
        <v>730581.956617664</v>
      </c>
      <c r="R14" s="335" t="n">
        <v>748919.563728767</v>
      </c>
      <c r="S14" s="335" t="n">
        <v>767642.552821988</v>
      </c>
      <c r="T14" s="335" t="n">
        <v>786680.088131972</v>
      </c>
      <c r="U14" s="335" t="n">
        <v>806425.758344086</v>
      </c>
      <c r="V14" s="335" t="n">
        <v>826667.044878523</v>
      </c>
    </row>
    <row r="15" customFormat="false" ht="12.75" hidden="false" customHeight="false" outlineLevel="0" collapsed="false">
      <c r="A15" s="2" t="n">
        <f aca="false">Summary!A21</f>
        <v>5</v>
      </c>
      <c r="B15" s="2" t="s">
        <v>74</v>
      </c>
      <c r="C15" s="333" t="n">
        <v>0</v>
      </c>
      <c r="D15" s="335" t="n">
        <v>535405.353751207</v>
      </c>
      <c r="E15" s="335" t="n">
        <v>546702.406715361</v>
      </c>
      <c r="F15" s="335" t="n">
        <v>558675.189422428</v>
      </c>
      <c r="G15" s="335" t="n">
        <v>571301.24870337</v>
      </c>
      <c r="H15" s="335" t="n">
        <v>584898.218422512</v>
      </c>
      <c r="I15" s="335" t="n">
        <v>599555.826577049</v>
      </c>
      <c r="J15" s="335" t="n">
        <v>614426.48136174</v>
      </c>
      <c r="K15" s="335" t="n">
        <v>629978.885362923</v>
      </c>
      <c r="L15" s="335" t="n">
        <v>645539.363831388</v>
      </c>
      <c r="M15" s="335" t="n">
        <v>662000.617609086</v>
      </c>
      <c r="N15" s="335" t="n">
        <v>678021.032555229</v>
      </c>
      <c r="O15" s="335" t="n">
        <v>695107.162575619</v>
      </c>
      <c r="P15" s="335" t="n">
        <v>712762.884505038</v>
      </c>
      <c r="Q15" s="335" t="n">
        <v>730581.956617664</v>
      </c>
      <c r="R15" s="335" t="n">
        <v>748919.563728767</v>
      </c>
      <c r="S15" s="335" t="n">
        <v>767642.552821988</v>
      </c>
      <c r="T15" s="335" t="n">
        <v>786680.088131972</v>
      </c>
      <c r="U15" s="335" t="n">
        <v>806425.758344086</v>
      </c>
      <c r="V15" s="335" t="n">
        <v>826667.044878523</v>
      </c>
    </row>
    <row r="16" customFormat="false" ht="12.75" hidden="false" customHeight="false" outlineLevel="0" collapsed="false">
      <c r="A16" s="2" t="n">
        <f aca="false">Summary!A22</f>
        <v>6</v>
      </c>
      <c r="B16" s="2" t="s">
        <v>75</v>
      </c>
      <c r="C16" s="333" t="n">
        <v>0</v>
      </c>
      <c r="D16" s="335" t="n">
        <v>535405.353751207</v>
      </c>
      <c r="E16" s="335" t="n">
        <v>546702.406715361</v>
      </c>
      <c r="F16" s="335" t="n">
        <v>558675.189422428</v>
      </c>
      <c r="G16" s="335" t="n">
        <v>571301.24870337</v>
      </c>
      <c r="H16" s="335" t="n">
        <v>584898.218422512</v>
      </c>
      <c r="I16" s="335" t="n">
        <v>599555.826577049</v>
      </c>
      <c r="J16" s="335" t="n">
        <v>614426.48136174</v>
      </c>
      <c r="K16" s="335" t="n">
        <v>629978.885362923</v>
      </c>
      <c r="L16" s="335" t="n">
        <v>645539.363831388</v>
      </c>
      <c r="M16" s="335" t="n">
        <v>662000.617609086</v>
      </c>
      <c r="N16" s="335" t="n">
        <v>678021.032555229</v>
      </c>
      <c r="O16" s="335" t="n">
        <v>695107.162575619</v>
      </c>
      <c r="P16" s="335" t="n">
        <v>712762.884505038</v>
      </c>
      <c r="Q16" s="335" t="n">
        <v>730581.956617664</v>
      </c>
      <c r="R16" s="335" t="n">
        <v>748919.563728767</v>
      </c>
      <c r="S16" s="335" t="n">
        <v>767642.552821988</v>
      </c>
      <c r="T16" s="335" t="n">
        <v>786680.088131972</v>
      </c>
      <c r="U16" s="335" t="n">
        <v>806425.758344086</v>
      </c>
      <c r="V16" s="335" t="n">
        <v>826667.044878523</v>
      </c>
    </row>
    <row r="17" customFormat="false" ht="12.75" hidden="false" customHeight="false" outlineLevel="0" collapsed="false">
      <c r="A17" s="2" t="n">
        <f aca="false">Summary!A23</f>
        <v>7</v>
      </c>
      <c r="B17" s="2" t="s">
        <v>76</v>
      </c>
      <c r="C17" s="333" t="n">
        <v>0</v>
      </c>
      <c r="D17" s="335" t="n">
        <v>467999.200989959</v>
      </c>
      <c r="E17" s="335" t="n">
        <v>477873.98413085</v>
      </c>
      <c r="F17" s="335" t="n">
        <v>488339.424383316</v>
      </c>
      <c r="G17" s="335" t="n">
        <v>499375.895374375</v>
      </c>
      <c r="H17" s="335" t="n">
        <v>511261.041684286</v>
      </c>
      <c r="I17" s="335" t="n">
        <v>524073.294786886</v>
      </c>
      <c r="J17" s="335" t="n">
        <v>537071.772498536</v>
      </c>
      <c r="K17" s="335" t="n">
        <v>550666.168959145</v>
      </c>
      <c r="L17" s="335" t="n">
        <v>564267.623332437</v>
      </c>
      <c r="M17" s="335" t="n">
        <v>578656.447727412</v>
      </c>
      <c r="N17" s="335" t="n">
        <v>592659.933762418</v>
      </c>
      <c r="O17" s="335" t="n">
        <v>607594.964093229</v>
      </c>
      <c r="P17" s="335" t="n">
        <v>623027.876181196</v>
      </c>
      <c r="Q17" s="335" t="n">
        <v>638603.573085725</v>
      </c>
      <c r="R17" s="335" t="n">
        <v>654632.522770177</v>
      </c>
      <c r="S17" s="335" t="n">
        <v>670998.335839433</v>
      </c>
      <c r="T17" s="335" t="n">
        <v>687639.09456825</v>
      </c>
      <c r="U17" s="335" t="n">
        <v>704898.835841914</v>
      </c>
      <c r="V17" s="335" t="n">
        <v>722591.796621546</v>
      </c>
    </row>
    <row r="18" customFormat="false" ht="12.75" hidden="false" customHeight="false" outlineLevel="0" collapsed="false">
      <c r="A18" s="2" t="n">
        <f aca="false">Summary!A24</f>
        <v>8</v>
      </c>
      <c r="B18" s="2" t="s">
        <v>77</v>
      </c>
      <c r="C18" s="333" t="n">
        <v>0</v>
      </c>
      <c r="D18" s="335" t="n">
        <v>224390.184795808</v>
      </c>
      <c r="E18" s="335" t="n">
        <v>229124.817695001</v>
      </c>
      <c r="F18" s="335" t="n">
        <v>234142.651202522</v>
      </c>
      <c r="G18" s="335" t="n">
        <v>239434.275119697</v>
      </c>
      <c r="H18" s="335" t="n">
        <v>245132.810867547</v>
      </c>
      <c r="I18" s="335" t="n">
        <v>251275.863751529</v>
      </c>
      <c r="J18" s="335" t="n">
        <v>257508.205194873</v>
      </c>
      <c r="K18" s="335" t="n">
        <v>264026.270028169</v>
      </c>
      <c r="L18" s="335" t="n">
        <v>270547.718897866</v>
      </c>
      <c r="M18" s="335" t="n">
        <v>277446.68572976</v>
      </c>
      <c r="N18" s="335" t="n">
        <v>284160.895524422</v>
      </c>
      <c r="O18" s="335" t="n">
        <v>291321.750091636</v>
      </c>
      <c r="P18" s="335" t="n">
        <v>298721.322543963</v>
      </c>
      <c r="Q18" s="335" t="n">
        <v>306189.355607562</v>
      </c>
      <c r="R18" s="335" t="n">
        <v>313874.708433312</v>
      </c>
      <c r="S18" s="335" t="n">
        <v>321721.576144145</v>
      </c>
      <c r="T18" s="335" t="n">
        <v>329700.27123252</v>
      </c>
      <c r="U18" s="335" t="n">
        <v>337975.748040456</v>
      </c>
      <c r="V18" s="335" t="n">
        <v>346458.939316272</v>
      </c>
    </row>
    <row r="19" customFormat="false" ht="12.75" hidden="false" customHeight="false" outlineLevel="0" collapsed="false">
      <c r="A19" s="2" t="n">
        <f aca="false">Summary!A25</f>
        <v>9</v>
      </c>
      <c r="B19" s="2" t="s">
        <v>78</v>
      </c>
      <c r="C19" s="333" t="n">
        <v>0</v>
      </c>
      <c r="D19" s="335" t="n">
        <v>457195.00152146</v>
      </c>
      <c r="E19" s="335" t="n">
        <v>466841.816053565</v>
      </c>
      <c r="F19" s="335" t="n">
        <v>477065.651825139</v>
      </c>
      <c r="G19" s="335" t="n">
        <v>487847.335556383</v>
      </c>
      <c r="H19" s="335" t="n">
        <v>499458.102142626</v>
      </c>
      <c r="I19" s="335" t="n">
        <v>511974.572393741</v>
      </c>
      <c r="J19" s="335" t="n">
        <v>524672.968084553</v>
      </c>
      <c r="K19" s="335" t="n">
        <v>537953.525182395</v>
      </c>
      <c r="L19" s="335" t="n">
        <v>551240.977254401</v>
      </c>
      <c r="M19" s="335" t="n">
        <v>565297.622174386</v>
      </c>
      <c r="N19" s="335" t="n">
        <v>578977.824631009</v>
      </c>
      <c r="O19" s="335" t="n">
        <v>593568.065811709</v>
      </c>
      <c r="P19" s="335" t="n">
        <v>608644.694683325</v>
      </c>
      <c r="Q19" s="335" t="n">
        <v>623860.812050408</v>
      </c>
      <c r="R19" s="335" t="n">
        <v>639519.718432873</v>
      </c>
      <c r="S19" s="335" t="n">
        <v>655507.711393696</v>
      </c>
      <c r="T19" s="335" t="n">
        <v>671764.302636259</v>
      </c>
      <c r="U19" s="335" t="n">
        <v>688625.58663243</v>
      </c>
      <c r="V19" s="335" t="n">
        <v>705910.088856904</v>
      </c>
    </row>
    <row r="20" customFormat="false" ht="12.75" hidden="false" customHeight="false" outlineLevel="0" collapsed="false">
      <c r="A20" s="2" t="n">
        <f aca="false">Summary!A26</f>
        <v>10</v>
      </c>
      <c r="B20" s="2" t="s">
        <v>79</v>
      </c>
      <c r="C20" s="333" t="n">
        <v>0</v>
      </c>
      <c r="D20" s="335" t="n">
        <v>657011.694616466</v>
      </c>
      <c r="E20" s="335" t="n">
        <v>670874.641372877</v>
      </c>
      <c r="F20" s="335" t="n">
        <v>685566.796018944</v>
      </c>
      <c r="G20" s="335" t="n">
        <v>701060.605608967</v>
      </c>
      <c r="H20" s="335" t="n">
        <v>717745.848022462</v>
      </c>
      <c r="I20" s="335" t="n">
        <v>735732.631130185</v>
      </c>
      <c r="J20" s="335" t="n">
        <v>753980.850038893</v>
      </c>
      <c r="K20" s="335" t="n">
        <v>773065.663510754</v>
      </c>
      <c r="L20" s="335" t="n">
        <v>792160.38539947</v>
      </c>
      <c r="M20" s="335" t="n">
        <v>812360.475227154</v>
      </c>
      <c r="N20" s="335" t="n">
        <v>832019.598727655</v>
      </c>
      <c r="O20" s="335" t="n">
        <v>852986.492615589</v>
      </c>
      <c r="P20" s="335" t="n">
        <v>874652.349528023</v>
      </c>
      <c r="Q20" s="335" t="n">
        <v>896518.658266224</v>
      </c>
      <c r="R20" s="335" t="n">
        <v>919021.276588706</v>
      </c>
      <c r="S20" s="335" t="n">
        <v>941996.808503425</v>
      </c>
      <c r="T20" s="335" t="n">
        <v>965358.329354309</v>
      </c>
      <c r="U20" s="335" t="n">
        <v>989588.823421104</v>
      </c>
      <c r="V20" s="335" t="n">
        <v>1014427.50288897</v>
      </c>
    </row>
    <row r="21" customFormat="false" ht="12.75" hidden="false" customHeight="false" outlineLevel="0" collapsed="false">
      <c r="A21" s="2" t="n">
        <f aca="false">Summary!A27</f>
        <v>11</v>
      </c>
      <c r="B21" s="2" t="s">
        <v>80</v>
      </c>
      <c r="C21" s="333" t="n">
        <v>0</v>
      </c>
      <c r="D21" s="335" t="n">
        <v>657011.694616466</v>
      </c>
      <c r="E21" s="335" t="n">
        <v>670874.641372877</v>
      </c>
      <c r="F21" s="335" t="n">
        <v>685566.796018944</v>
      </c>
      <c r="G21" s="335" t="n">
        <v>701060.605608967</v>
      </c>
      <c r="H21" s="335" t="n">
        <v>717745.848022462</v>
      </c>
      <c r="I21" s="335" t="n">
        <v>735732.631130185</v>
      </c>
      <c r="J21" s="335" t="n">
        <v>753980.850038893</v>
      </c>
      <c r="K21" s="335" t="n">
        <v>773065.663510754</v>
      </c>
      <c r="L21" s="335" t="n">
        <v>792160.38539947</v>
      </c>
      <c r="M21" s="335" t="n">
        <v>812360.475227154</v>
      </c>
      <c r="N21" s="335" t="n">
        <v>832019.598727655</v>
      </c>
      <c r="O21" s="335" t="n">
        <v>852986.492615589</v>
      </c>
      <c r="P21" s="335" t="n">
        <v>874652.349528023</v>
      </c>
      <c r="Q21" s="335" t="n">
        <v>896518.658266224</v>
      </c>
      <c r="R21" s="335" t="n">
        <v>919021.276588706</v>
      </c>
      <c r="S21" s="335" t="n">
        <v>941996.808503425</v>
      </c>
      <c r="T21" s="335" t="n">
        <v>965358.329354309</v>
      </c>
      <c r="U21" s="335" t="n">
        <v>989588.823421104</v>
      </c>
      <c r="V21" s="335" t="n">
        <v>1014427.50288897</v>
      </c>
    </row>
    <row r="22" customFormat="false" ht="12.75" hidden="false" customHeight="false" outlineLevel="0" collapsed="false">
      <c r="A22" s="2" t="n">
        <f aca="false">Summary!A28</f>
        <v>12</v>
      </c>
      <c r="B22" s="2" t="s">
        <v>81</v>
      </c>
      <c r="C22" s="333" t="n">
        <v>0</v>
      </c>
      <c r="D22" s="335" t="n">
        <v>307061.972034519</v>
      </c>
      <c r="E22" s="335" t="n">
        <v>313540.979644449</v>
      </c>
      <c r="F22" s="335" t="n">
        <v>320407.527098663</v>
      </c>
      <c r="G22" s="335" t="n">
        <v>327648.737211091</v>
      </c>
      <c r="H22" s="335" t="n">
        <v>335446.777156715</v>
      </c>
      <c r="I22" s="335" t="n">
        <v>343853.10711533</v>
      </c>
      <c r="J22" s="335" t="n">
        <v>352381.622102413</v>
      </c>
      <c r="K22" s="335" t="n">
        <v>361301.129180596</v>
      </c>
      <c r="L22" s="335" t="n">
        <v>370225.267071357</v>
      </c>
      <c r="M22" s="335" t="n">
        <v>379666.011381676</v>
      </c>
      <c r="N22" s="335" t="n">
        <v>388853.928857114</v>
      </c>
      <c r="O22" s="335" t="n">
        <v>398653.047864312</v>
      </c>
      <c r="P22" s="335" t="n">
        <v>408778.835280065</v>
      </c>
      <c r="Q22" s="335" t="n">
        <v>418998.306162066</v>
      </c>
      <c r="R22" s="335" t="n">
        <v>429515.163646734</v>
      </c>
      <c r="S22" s="335" t="n">
        <v>440253.042737903</v>
      </c>
      <c r="T22" s="335" t="n">
        <v>451171.318197802</v>
      </c>
      <c r="U22" s="335" t="n">
        <v>462495.718284568</v>
      </c>
      <c r="V22" s="335" t="n">
        <v>474104.360813511</v>
      </c>
    </row>
    <row r="23" customFormat="false" ht="12.75" hidden="false" customHeight="false" outlineLevel="0" collapsed="false">
      <c r="A23" s="2" t="n">
        <f aca="false">Summary!A29</f>
        <v>13</v>
      </c>
      <c r="B23" s="0" t="s">
        <v>82</v>
      </c>
      <c r="C23" s="333" t="n">
        <v>0</v>
      </c>
      <c r="D23" s="335" t="n">
        <v>307061.972034519</v>
      </c>
      <c r="E23" s="335" t="n">
        <v>313540.979644449</v>
      </c>
      <c r="F23" s="335" t="n">
        <v>320407.527098663</v>
      </c>
      <c r="G23" s="335" t="n">
        <v>327648.737211091</v>
      </c>
      <c r="H23" s="335" t="n">
        <v>335446.777156715</v>
      </c>
      <c r="I23" s="335" t="n">
        <v>343853.10711533</v>
      </c>
      <c r="J23" s="335" t="n">
        <v>352381.622102413</v>
      </c>
      <c r="K23" s="335" t="n">
        <v>361301.129180596</v>
      </c>
      <c r="L23" s="335" t="n">
        <v>370225.267071357</v>
      </c>
      <c r="M23" s="335" t="n">
        <v>379666.011381676</v>
      </c>
      <c r="N23" s="335" t="n">
        <v>388853.928857114</v>
      </c>
      <c r="O23" s="335" t="n">
        <v>398653.047864312</v>
      </c>
      <c r="P23" s="335" t="n">
        <v>408778.835280065</v>
      </c>
      <c r="Q23" s="335" t="n">
        <v>418998.306162066</v>
      </c>
      <c r="R23" s="335" t="n">
        <v>429515.163646734</v>
      </c>
      <c r="S23" s="335" t="n">
        <v>440253.042737903</v>
      </c>
      <c r="T23" s="335" t="n">
        <v>451171.318197802</v>
      </c>
      <c r="U23" s="335" t="n">
        <v>462495.718284568</v>
      </c>
      <c r="V23" s="335" t="n">
        <v>474104.360813511</v>
      </c>
    </row>
    <row r="24" customFormat="false" ht="12.75" hidden="false" customHeight="false" outlineLevel="0" collapsed="false">
      <c r="A24" s="2" t="n">
        <f aca="false">Summary!A30</f>
        <v>14</v>
      </c>
      <c r="B24" s="2" t="s">
        <v>83</v>
      </c>
      <c r="C24" s="333" t="n">
        <v>0</v>
      </c>
      <c r="D24" s="335" t="n">
        <v>418126.94064275</v>
      </c>
      <c r="E24" s="335" t="n">
        <v>426949.419090314</v>
      </c>
      <c r="F24" s="335" t="n">
        <v>436299.611368393</v>
      </c>
      <c r="G24" s="335" t="n">
        <v>446159.982585315</v>
      </c>
      <c r="H24" s="335" t="n">
        <v>456778.590170846</v>
      </c>
      <c r="I24" s="335" t="n">
        <v>468225.507561301</v>
      </c>
      <c r="J24" s="335" t="n">
        <v>479838.804564989</v>
      </c>
      <c r="K24" s="335" t="n">
        <v>491984.516331025</v>
      </c>
      <c r="L24" s="335" t="n">
        <v>504136.533884402</v>
      </c>
      <c r="M24" s="335" t="n">
        <v>516992.015498452</v>
      </c>
      <c r="N24" s="335" t="n">
        <v>529503.222273517</v>
      </c>
      <c r="O24" s="335" t="n">
        <v>542846.703474808</v>
      </c>
      <c r="P24" s="335" t="n">
        <v>556635.009743067</v>
      </c>
      <c r="Q24" s="335" t="n">
        <v>570550.884986643</v>
      </c>
      <c r="R24" s="335" t="n">
        <v>584871.712199808</v>
      </c>
      <c r="S24" s="335" t="n">
        <v>599493.505004804</v>
      </c>
      <c r="T24" s="335" t="n">
        <v>614360.943928923</v>
      </c>
      <c r="U24" s="335" t="n">
        <v>629781.40362154</v>
      </c>
      <c r="V24" s="335" t="n">
        <v>645588.91685244</v>
      </c>
    </row>
    <row r="25" customFormat="false" ht="12.75" hidden="false" customHeight="false" outlineLevel="0" collapsed="false">
      <c r="A25" s="2" t="n">
        <f aca="false">Summary!A31</f>
        <v>15</v>
      </c>
      <c r="B25" s="2" t="s">
        <v>84</v>
      </c>
      <c r="C25" s="333" t="n">
        <v>0</v>
      </c>
      <c r="D25" s="335" t="n">
        <v>489992.508565722</v>
      </c>
      <c r="E25" s="335" t="n">
        <v>500331.350496462</v>
      </c>
      <c r="F25" s="335" t="n">
        <v>511288.607072335</v>
      </c>
      <c r="G25" s="335" t="n">
        <v>522843.729592166</v>
      </c>
      <c r="H25" s="335" t="n">
        <v>535287.410356461</v>
      </c>
      <c r="I25" s="335" t="n">
        <v>548701.766673399</v>
      </c>
      <c r="J25" s="335" t="n">
        <v>562311.099099596</v>
      </c>
      <c r="K25" s="335" t="n">
        <v>576544.35507542</v>
      </c>
      <c r="L25" s="335" t="n">
        <v>590785.000645783</v>
      </c>
      <c r="M25" s="335" t="n">
        <v>605850.018162248</v>
      </c>
      <c r="N25" s="335" t="n">
        <v>620511.588601778</v>
      </c>
      <c r="O25" s="335" t="n">
        <v>636148.480634541</v>
      </c>
      <c r="P25" s="335" t="n">
        <v>652306.652042657</v>
      </c>
      <c r="Q25" s="335" t="n">
        <v>668614.318343723</v>
      </c>
      <c r="R25" s="335" t="n">
        <v>685396.53773415</v>
      </c>
      <c r="S25" s="335" t="n">
        <v>702531.451177505</v>
      </c>
      <c r="T25" s="335" t="n">
        <v>719954.231166706</v>
      </c>
      <c r="U25" s="335" t="n">
        <v>738025.082368992</v>
      </c>
      <c r="V25" s="335" t="n">
        <v>756549.511936453</v>
      </c>
    </row>
    <row r="26" customFormat="false" ht="12.75" hidden="false" customHeight="false" outlineLevel="0" collapsed="false">
      <c r="A26" s="2" t="n">
        <f aca="false">Summary!A32</f>
        <v>16</v>
      </c>
      <c r="B26" s="2" t="s">
        <v>85</v>
      </c>
      <c r="C26" s="333" t="n">
        <v>0</v>
      </c>
      <c r="D26" s="335" t="n">
        <v>777454.780257613</v>
      </c>
      <c r="E26" s="335" t="n">
        <v>793859.076121053</v>
      </c>
      <c r="F26" s="335" t="n">
        <v>811244.589888105</v>
      </c>
      <c r="G26" s="335" t="n">
        <v>829578.71761957</v>
      </c>
      <c r="H26" s="335" t="n">
        <v>849322.691098917</v>
      </c>
      <c r="I26" s="335" t="n">
        <v>870606.803121793</v>
      </c>
      <c r="J26" s="335" t="n">
        <v>892200.277238025</v>
      </c>
      <c r="K26" s="335" t="n">
        <v>914783.710052999</v>
      </c>
      <c r="L26" s="335" t="n">
        <v>937378.867691309</v>
      </c>
      <c r="M26" s="335" t="n">
        <v>961282.028817434</v>
      </c>
      <c r="N26" s="335" t="n">
        <v>984545.053914821</v>
      </c>
      <c r="O26" s="335" t="n">
        <v>1009355.58927347</v>
      </c>
      <c r="P26" s="335" t="n">
        <v>1034993.22124101</v>
      </c>
      <c r="Q26" s="335" t="n">
        <v>1060868.05177204</v>
      </c>
      <c r="R26" s="335" t="n">
        <v>1087495.83987152</v>
      </c>
      <c r="S26" s="335" t="n">
        <v>1114683.23586831</v>
      </c>
      <c r="T26" s="335" t="n">
        <v>1142327.38011784</v>
      </c>
      <c r="U26" s="335" t="n">
        <v>1170999.7973588</v>
      </c>
      <c r="V26" s="335" t="n">
        <v>1200391.89227251</v>
      </c>
    </row>
    <row r="27" customFormat="false" ht="12.75" hidden="false" customHeight="false" outlineLevel="0" collapsed="false">
      <c r="A27" s="2" t="n">
        <f aca="false">Summary!A33</f>
        <v>17</v>
      </c>
      <c r="B27" s="2" t="s">
        <v>86</v>
      </c>
      <c r="C27" s="333" t="n">
        <v>0</v>
      </c>
      <c r="D27" s="335" t="n">
        <v>358876.373490596</v>
      </c>
      <c r="E27" s="335" t="n">
        <v>366448.664971249</v>
      </c>
      <c r="F27" s="335" t="n">
        <v>374473.89073412</v>
      </c>
      <c r="G27" s="335" t="n">
        <v>382937.000664708</v>
      </c>
      <c r="H27" s="335" t="n">
        <v>392050.901280529</v>
      </c>
      <c r="I27" s="335" t="n">
        <v>401875.736280201</v>
      </c>
      <c r="J27" s="335" t="n">
        <v>411843.374114171</v>
      </c>
      <c r="K27" s="335" t="n">
        <v>422267.981017894</v>
      </c>
      <c r="L27" s="335" t="n">
        <v>432698.000149037</v>
      </c>
      <c r="M27" s="335" t="n">
        <v>443731.799152836</v>
      </c>
      <c r="N27" s="335" t="n">
        <v>454470.108692336</v>
      </c>
      <c r="O27" s="335" t="n">
        <v>465922.755431382</v>
      </c>
      <c r="P27" s="335" t="n">
        <v>477757.193419338</v>
      </c>
      <c r="Q27" s="335" t="n">
        <v>489701.123254821</v>
      </c>
      <c r="R27" s="335" t="n">
        <v>501992.621448517</v>
      </c>
      <c r="S27" s="335" t="n">
        <v>514542.436984731</v>
      </c>
      <c r="T27" s="335" t="n">
        <v>527303.089421952</v>
      </c>
      <c r="U27" s="335" t="n">
        <v>540538.396966444</v>
      </c>
      <c r="V27" s="335" t="n">
        <v>554105.910730301</v>
      </c>
    </row>
    <row r="28" customFormat="false" ht="12.75" hidden="false" customHeight="false" outlineLevel="0" collapsed="false">
      <c r="A28" s="2" t="n">
        <f aca="false">Summary!A34</f>
        <v>18</v>
      </c>
      <c r="B28" s="2" t="s">
        <v>87</v>
      </c>
      <c r="C28" s="333" t="n">
        <v>0</v>
      </c>
      <c r="D28" s="335" t="n">
        <v>1314527.41905882</v>
      </c>
      <c r="E28" s="335" t="n">
        <v>1342263.94760097</v>
      </c>
      <c r="F28" s="335" t="n">
        <v>1371659.52805344</v>
      </c>
      <c r="G28" s="335" t="n">
        <v>1402659.03338743</v>
      </c>
      <c r="H28" s="335" t="n">
        <v>1436042.31838206</v>
      </c>
      <c r="I28" s="335" t="n">
        <v>1472029.68324863</v>
      </c>
      <c r="J28" s="335" t="n">
        <v>1508540.12027896</v>
      </c>
      <c r="K28" s="335" t="n">
        <v>1546724.38823332</v>
      </c>
      <c r="L28" s="335" t="n">
        <v>1584928.48062268</v>
      </c>
      <c r="M28" s="335" t="n">
        <v>1625344.15687855</v>
      </c>
      <c r="N28" s="335" t="n">
        <v>1664677.48547502</v>
      </c>
      <c r="O28" s="335" t="n">
        <v>1706627.35810899</v>
      </c>
      <c r="P28" s="335" t="n">
        <v>1749975.69300495</v>
      </c>
      <c r="Q28" s="335" t="n">
        <v>1793725.08533008</v>
      </c>
      <c r="R28" s="335" t="n">
        <v>1838747.58497186</v>
      </c>
      <c r="S28" s="335" t="n">
        <v>1884716.27459616</v>
      </c>
      <c r="T28" s="335" t="n">
        <v>1931457.23820614</v>
      </c>
      <c r="U28" s="335" t="n">
        <v>1979936.81488512</v>
      </c>
      <c r="V28" s="335" t="n">
        <v>2029633.22893874</v>
      </c>
    </row>
    <row r="29" customFormat="false" ht="12.75" hidden="false" customHeight="false" outlineLevel="0" collapsed="false">
      <c r="A29" s="2" t="n">
        <f aca="false">Summary!A35</f>
        <v>19</v>
      </c>
      <c r="B29" s="0" t="s">
        <v>88</v>
      </c>
      <c r="C29" s="333" t="n">
        <v>0</v>
      </c>
      <c r="D29" s="335" t="n">
        <v>11201.203682604</v>
      </c>
      <c r="E29" s="335" t="n">
        <v>11437.549080307</v>
      </c>
      <c r="F29" s="335" t="n">
        <v>11688.0314051657</v>
      </c>
      <c r="G29" s="335" t="n">
        <v>11952.1809149224</v>
      </c>
      <c r="H29" s="335" t="n">
        <v>12236.6428206976</v>
      </c>
      <c r="I29" s="335" t="n">
        <v>12543.2943199559</v>
      </c>
      <c r="J29" s="335" t="n">
        <v>12854.4029630989</v>
      </c>
      <c r="K29" s="335" t="n">
        <v>13179.7744666725</v>
      </c>
      <c r="L29" s="335" t="n">
        <v>13505.3148959993</v>
      </c>
      <c r="M29" s="335" t="n">
        <v>13849.7004258473</v>
      </c>
      <c r="N29" s="335" t="n">
        <v>14184.8631761529</v>
      </c>
      <c r="O29" s="335" t="n">
        <v>14542.3217281919</v>
      </c>
      <c r="P29" s="335" t="n">
        <v>14911.6967000879</v>
      </c>
      <c r="Q29" s="335" t="n">
        <v>15284.4891175901</v>
      </c>
      <c r="R29" s="335" t="n">
        <v>15668.1297944416</v>
      </c>
      <c r="S29" s="335" t="n">
        <v>16059.8330393027</v>
      </c>
      <c r="T29" s="335" t="n">
        <v>16458.1168986774</v>
      </c>
      <c r="U29" s="335" t="n">
        <v>16871.2156328342</v>
      </c>
      <c r="V29" s="335" t="n">
        <v>17294.6831452183</v>
      </c>
    </row>
    <row r="30" customFormat="false" ht="12.75" hidden="false" customHeight="false" outlineLevel="0" collapsed="false">
      <c r="A30" s="2" t="n">
        <f aca="false">Summary!A36</f>
        <v>20</v>
      </c>
      <c r="B30" s="2" t="s">
        <v>89</v>
      </c>
      <c r="C30" s="333" t="n">
        <v>0</v>
      </c>
      <c r="D30" s="335" t="n">
        <v>1728.88143796714</v>
      </c>
      <c r="E30" s="335" t="n">
        <v>1765.36083630825</v>
      </c>
      <c r="F30" s="335" t="n">
        <v>1804.02223862341</v>
      </c>
      <c r="G30" s="335" t="n">
        <v>1844.79314121628</v>
      </c>
      <c r="H30" s="335" t="n">
        <v>1888.69921797723</v>
      </c>
      <c r="I30" s="335" t="n">
        <v>1936.03021025407</v>
      </c>
      <c r="J30" s="335" t="n">
        <v>1984.04915300005</v>
      </c>
      <c r="K30" s="335" t="n">
        <v>2034.26953724728</v>
      </c>
      <c r="L30" s="335" t="n">
        <v>2084.51599481729</v>
      </c>
      <c r="M30" s="335" t="n">
        <v>2137.67115268512</v>
      </c>
      <c r="N30" s="335" t="n">
        <v>2189.40279458011</v>
      </c>
      <c r="O30" s="335" t="n">
        <v>2244.57574500353</v>
      </c>
      <c r="P30" s="335" t="n">
        <v>2301.58796892661</v>
      </c>
      <c r="Q30" s="335" t="n">
        <v>2359.12766814978</v>
      </c>
      <c r="R30" s="335" t="n">
        <v>2418.34177262034</v>
      </c>
      <c r="S30" s="335" t="n">
        <v>2478.80031693585</v>
      </c>
      <c r="T30" s="335" t="n">
        <v>2540.27456479585</v>
      </c>
      <c r="U30" s="335" t="n">
        <v>2604.03545637223</v>
      </c>
      <c r="V30" s="335" t="n">
        <v>2669.39674632718</v>
      </c>
    </row>
    <row r="31" customFormat="false" ht="12.75" hidden="false" customHeight="false" outlineLevel="0" collapsed="false">
      <c r="A31" s="2" t="n">
        <f aca="false">Summary!A37</f>
        <v>21</v>
      </c>
      <c r="B31" s="2" t="s">
        <v>90</v>
      </c>
      <c r="C31" s="333" t="n">
        <v>0</v>
      </c>
      <c r="D31" s="335" t="n">
        <v>3652.56641824043</v>
      </c>
      <c r="E31" s="335" t="n">
        <v>3729.63556966532</v>
      </c>
      <c r="F31" s="335" t="n">
        <v>3811.314588641</v>
      </c>
      <c r="G31" s="335" t="n">
        <v>3897.45029834425</v>
      </c>
      <c r="H31" s="335" t="n">
        <v>3990.20961544486</v>
      </c>
      <c r="I31" s="335" t="n">
        <v>4090.20466955085</v>
      </c>
      <c r="J31" s="335" t="n">
        <v>4191.65314014095</v>
      </c>
      <c r="K31" s="335" t="n">
        <v>4297.75254348017</v>
      </c>
      <c r="L31" s="335" t="n">
        <v>4403.90703130414</v>
      </c>
      <c r="M31" s="335" t="n">
        <v>4516.20666060238</v>
      </c>
      <c r="N31" s="335" t="n">
        <v>4625.49886178897</v>
      </c>
      <c r="O31" s="335" t="n">
        <v>4742.06143310604</v>
      </c>
      <c r="P31" s="335" t="n">
        <v>4862.50979350693</v>
      </c>
      <c r="Q31" s="335" t="n">
        <v>4984.0725383446</v>
      </c>
      <c r="R31" s="335" t="n">
        <v>5109.17275905705</v>
      </c>
      <c r="S31" s="335" t="n">
        <v>5236.90207803348</v>
      </c>
      <c r="T31" s="335" t="n">
        <v>5366.7772495687</v>
      </c>
      <c r="U31" s="335" t="n">
        <v>5501.48335853289</v>
      </c>
      <c r="V31" s="335" t="n">
        <v>5639.57059083206</v>
      </c>
    </row>
    <row r="32" customFormat="false" ht="12.75" hidden="false" customHeight="false" outlineLevel="0" collapsed="false">
      <c r="A32" s="2" t="n">
        <f aca="false">Summary!A38</f>
        <v>22</v>
      </c>
      <c r="B32" s="2" t="s">
        <v>91</v>
      </c>
      <c r="C32" s="333" t="n">
        <v>0</v>
      </c>
      <c r="D32" s="335" t="n">
        <v>5527.55051293718</v>
      </c>
      <c r="E32" s="335" t="n">
        <v>5644.18182876019</v>
      </c>
      <c r="F32" s="335" t="n">
        <v>5767.78941081004</v>
      </c>
      <c r="G32" s="335" t="n">
        <v>5898.14145149431</v>
      </c>
      <c r="H32" s="335" t="n">
        <v>6038.51721803988</v>
      </c>
      <c r="I32" s="335" t="n">
        <v>6189.84306658695</v>
      </c>
      <c r="J32" s="335" t="n">
        <v>6343.36841874663</v>
      </c>
      <c r="K32" s="335" t="n">
        <v>6503.93218246666</v>
      </c>
      <c r="L32" s="335" t="n">
        <v>6664.57930737359</v>
      </c>
      <c r="M32" s="335" t="n">
        <v>6834.52607971159</v>
      </c>
      <c r="N32" s="335" t="n">
        <v>6999.92161084065</v>
      </c>
      <c r="O32" s="335" t="n">
        <v>7176.31963543381</v>
      </c>
      <c r="P32" s="335" t="n">
        <v>7358.59815417381</v>
      </c>
      <c r="Q32" s="335" t="n">
        <v>7542.56310802815</v>
      </c>
      <c r="R32" s="335" t="n">
        <v>7731.88144203966</v>
      </c>
      <c r="S32" s="335" t="n">
        <v>7925.17847809067</v>
      </c>
      <c r="T32" s="335" t="n">
        <v>8121.7229043473</v>
      </c>
      <c r="U32" s="335" t="n">
        <v>8325.57814924644</v>
      </c>
      <c r="V32" s="335" t="n">
        <v>8534.55016079252</v>
      </c>
    </row>
    <row r="33" customFormat="false" ht="12.75" hidden="false" customHeight="false" outlineLevel="0" collapsed="false">
      <c r="A33" s="2" t="n">
        <f aca="false">Summary!A39</f>
        <v>23</v>
      </c>
      <c r="B33" s="0" t="s">
        <v>92</v>
      </c>
      <c r="C33" s="333" t="n">
        <v>0</v>
      </c>
      <c r="D33" s="335" t="n">
        <v>4145.66288470289</v>
      </c>
      <c r="E33" s="335" t="n">
        <v>4233.13637157014</v>
      </c>
      <c r="F33" s="335" t="n">
        <v>4325.84205810753</v>
      </c>
      <c r="G33" s="335" t="n">
        <v>4423.60608862073</v>
      </c>
      <c r="H33" s="335" t="n">
        <v>4528.88791352991</v>
      </c>
      <c r="I33" s="335" t="n">
        <v>4642.38229994021</v>
      </c>
      <c r="J33" s="335" t="n">
        <v>4757.52631405997</v>
      </c>
      <c r="K33" s="335" t="n">
        <v>4877.94913684999</v>
      </c>
      <c r="L33" s="335" t="n">
        <v>4998.43448053019</v>
      </c>
      <c r="M33" s="335" t="n">
        <v>5125.8945597837</v>
      </c>
      <c r="N33" s="335" t="n">
        <v>5249.94120813049</v>
      </c>
      <c r="O33" s="335" t="n">
        <v>5382.23972657536</v>
      </c>
      <c r="P33" s="335" t="n">
        <v>5518.94861563036</v>
      </c>
      <c r="Q33" s="335" t="n">
        <v>5656.92233102112</v>
      </c>
      <c r="R33" s="335" t="n">
        <v>5798.91108152975</v>
      </c>
      <c r="S33" s="335" t="n">
        <v>5943.883858568</v>
      </c>
      <c r="T33" s="335" t="n">
        <v>6091.29217826048</v>
      </c>
      <c r="U33" s="335" t="n">
        <v>6244.18361193483</v>
      </c>
      <c r="V33" s="335" t="n">
        <v>6400.91262059439</v>
      </c>
    </row>
    <row r="34" customFormat="false" ht="12.75" hidden="false" customHeight="false" outlineLevel="0" collapsed="false">
      <c r="A34" s="2" t="n">
        <f aca="false">Summary!A40</f>
        <v>24</v>
      </c>
      <c r="B34" s="2" t="s">
        <v>93</v>
      </c>
      <c r="C34" s="333" t="n">
        <v>0</v>
      </c>
      <c r="D34" s="335" t="n">
        <v>4145.66288470289</v>
      </c>
      <c r="E34" s="335" t="n">
        <v>4233.13637157014</v>
      </c>
      <c r="F34" s="335" t="n">
        <v>4325.84205810753</v>
      </c>
      <c r="G34" s="335" t="n">
        <v>4423.60608862073</v>
      </c>
      <c r="H34" s="335" t="n">
        <v>4528.88791352991</v>
      </c>
      <c r="I34" s="335" t="n">
        <v>4642.38229994021</v>
      </c>
      <c r="J34" s="335" t="n">
        <v>4757.52631405997</v>
      </c>
      <c r="K34" s="335" t="n">
        <v>4877.94913684999</v>
      </c>
      <c r="L34" s="335" t="n">
        <v>4998.43448053019</v>
      </c>
      <c r="M34" s="335" t="n">
        <v>5125.8945597837</v>
      </c>
      <c r="N34" s="335" t="n">
        <v>5249.94120813049</v>
      </c>
      <c r="O34" s="335" t="n">
        <v>5382.23972657536</v>
      </c>
      <c r="P34" s="335" t="n">
        <v>5518.94861563036</v>
      </c>
      <c r="Q34" s="335" t="n">
        <v>5656.92233102112</v>
      </c>
      <c r="R34" s="335" t="n">
        <v>5798.91108152975</v>
      </c>
      <c r="S34" s="335" t="n">
        <v>5943.883858568</v>
      </c>
      <c r="T34" s="335" t="n">
        <v>6091.29217826048</v>
      </c>
      <c r="U34" s="335" t="n">
        <v>6244.18361193483</v>
      </c>
      <c r="V34" s="335" t="n">
        <v>6400.91262059439</v>
      </c>
    </row>
    <row r="35" customFormat="false" ht="12.75" hidden="false" customHeight="false" outlineLevel="0" collapsed="false">
      <c r="A35" s="2" t="n">
        <f aca="false">Summary!A41</f>
        <v>25</v>
      </c>
      <c r="B35" s="2" t="s">
        <v>94</v>
      </c>
      <c r="C35" s="333" t="n">
        <v>0</v>
      </c>
      <c r="D35" s="335" t="n">
        <v>4145.66288470289</v>
      </c>
      <c r="E35" s="335" t="n">
        <v>4233.13637157014</v>
      </c>
      <c r="F35" s="335" t="n">
        <v>4325.84205810753</v>
      </c>
      <c r="G35" s="335" t="n">
        <v>4423.60608862073</v>
      </c>
      <c r="H35" s="335" t="n">
        <v>4528.88791352991</v>
      </c>
      <c r="I35" s="335" t="n">
        <v>4642.38229994021</v>
      </c>
      <c r="J35" s="335" t="n">
        <v>4757.52631405997</v>
      </c>
      <c r="K35" s="335" t="n">
        <v>4877.94913684999</v>
      </c>
      <c r="L35" s="335" t="n">
        <v>4998.43448053019</v>
      </c>
      <c r="M35" s="335" t="n">
        <v>5125.8945597837</v>
      </c>
      <c r="N35" s="335" t="n">
        <v>5249.94120813049</v>
      </c>
      <c r="O35" s="335" t="n">
        <v>5382.23972657536</v>
      </c>
      <c r="P35" s="335" t="n">
        <v>5518.94861563036</v>
      </c>
      <c r="Q35" s="335" t="n">
        <v>5656.92233102112</v>
      </c>
      <c r="R35" s="335" t="n">
        <v>5798.91108152975</v>
      </c>
      <c r="S35" s="335" t="n">
        <v>5943.883858568</v>
      </c>
      <c r="T35" s="335" t="n">
        <v>6091.29217826048</v>
      </c>
      <c r="U35" s="335" t="n">
        <v>6244.18361193483</v>
      </c>
      <c r="V35" s="335" t="n">
        <v>6400.91262059439</v>
      </c>
    </row>
    <row r="36" customFormat="false" ht="12.75" hidden="false" customHeight="false" outlineLevel="0" collapsed="false">
      <c r="A36" s="2" t="n">
        <f aca="false">Summary!A42</f>
        <v>26</v>
      </c>
      <c r="B36" s="2" t="s">
        <v>95</v>
      </c>
      <c r="C36" s="333" t="n">
        <v>0</v>
      </c>
      <c r="D36" s="335" t="n">
        <v>4145.66288470289</v>
      </c>
      <c r="E36" s="335" t="n">
        <v>4233.13637157014</v>
      </c>
      <c r="F36" s="335" t="n">
        <v>4325.84205810753</v>
      </c>
      <c r="G36" s="335" t="n">
        <v>4423.60608862073</v>
      </c>
      <c r="H36" s="335" t="n">
        <v>4528.88791352991</v>
      </c>
      <c r="I36" s="335" t="n">
        <v>4642.38229994021</v>
      </c>
      <c r="J36" s="335" t="n">
        <v>4757.52631405997</v>
      </c>
      <c r="K36" s="335" t="n">
        <v>4877.94913684999</v>
      </c>
      <c r="L36" s="335" t="n">
        <v>4998.43448053019</v>
      </c>
      <c r="M36" s="335" t="n">
        <v>5125.8945597837</v>
      </c>
      <c r="N36" s="335" t="n">
        <v>5249.94120813049</v>
      </c>
      <c r="O36" s="335" t="n">
        <v>5382.23972657536</v>
      </c>
      <c r="P36" s="335" t="n">
        <v>5518.94861563036</v>
      </c>
      <c r="Q36" s="335" t="n">
        <v>5656.92233102112</v>
      </c>
      <c r="R36" s="335" t="n">
        <v>5798.91108152975</v>
      </c>
      <c r="S36" s="335" t="n">
        <v>5943.883858568</v>
      </c>
      <c r="T36" s="335" t="n">
        <v>6091.29217826048</v>
      </c>
      <c r="U36" s="335" t="n">
        <v>6244.18361193483</v>
      </c>
      <c r="V36" s="335" t="n">
        <v>6400.91262059439</v>
      </c>
    </row>
    <row r="37" customFormat="false" ht="12.75" hidden="false" customHeight="false" outlineLevel="0" collapsed="false">
      <c r="A37" s="2" t="n">
        <f aca="false">Summary!A43</f>
        <v>27</v>
      </c>
      <c r="B37" s="0" t="s">
        <v>96</v>
      </c>
      <c r="C37" s="333" t="n">
        <v>0</v>
      </c>
      <c r="D37" s="335" t="n">
        <v>34547.1907058574</v>
      </c>
      <c r="E37" s="335" t="n">
        <v>35276.1364297512</v>
      </c>
      <c r="F37" s="335" t="n">
        <v>36048.6838175628</v>
      </c>
      <c r="G37" s="335" t="n">
        <v>36863.3840718394</v>
      </c>
      <c r="H37" s="335" t="n">
        <v>37740.7326127493</v>
      </c>
      <c r="I37" s="335" t="n">
        <v>38686.5191661684</v>
      </c>
      <c r="J37" s="335" t="n">
        <v>39646.0526171664</v>
      </c>
      <c r="K37" s="335" t="n">
        <v>40649.5761404166</v>
      </c>
      <c r="L37" s="335" t="n">
        <v>41653.6206710849</v>
      </c>
      <c r="M37" s="335" t="n">
        <v>42715.7879981975</v>
      </c>
      <c r="N37" s="335" t="n">
        <v>43749.510067754</v>
      </c>
      <c r="O37" s="335" t="n">
        <v>44851.9977214613</v>
      </c>
      <c r="P37" s="335" t="n">
        <v>45991.2384635863</v>
      </c>
      <c r="Q37" s="335" t="n">
        <v>47141.019425176</v>
      </c>
      <c r="R37" s="335" t="n">
        <v>48324.2590127479</v>
      </c>
      <c r="S37" s="335" t="n">
        <v>49532.3654880667</v>
      </c>
      <c r="T37" s="335" t="n">
        <v>50760.7681521706</v>
      </c>
      <c r="U37" s="335" t="n">
        <v>52034.8634327902</v>
      </c>
      <c r="V37" s="335" t="n">
        <v>53340.9385049533</v>
      </c>
    </row>
    <row r="38" customFormat="false" ht="12.75" hidden="false" customHeight="false" outlineLevel="0" collapsed="false">
      <c r="A38" s="2" t="n">
        <f aca="false">Summary!A44</f>
        <v>28</v>
      </c>
      <c r="B38" s="2" t="s">
        <v>97</v>
      </c>
      <c r="C38" s="333" t="n">
        <v>0</v>
      </c>
      <c r="D38" s="335" t="n">
        <v>34547.1907058574</v>
      </c>
      <c r="E38" s="335" t="n">
        <v>35276.1364297512</v>
      </c>
      <c r="F38" s="335" t="n">
        <v>36048.6838175628</v>
      </c>
      <c r="G38" s="335" t="n">
        <v>36863.3840718394</v>
      </c>
      <c r="H38" s="335" t="n">
        <v>37740.7326127493</v>
      </c>
      <c r="I38" s="335" t="n">
        <v>38686.5191661684</v>
      </c>
      <c r="J38" s="335" t="n">
        <v>39646.0526171664</v>
      </c>
      <c r="K38" s="335" t="n">
        <v>40649.5761404166</v>
      </c>
      <c r="L38" s="335" t="n">
        <v>41653.6206710849</v>
      </c>
      <c r="M38" s="335" t="n">
        <v>42715.7879981975</v>
      </c>
      <c r="N38" s="335" t="n">
        <v>43749.510067754</v>
      </c>
      <c r="O38" s="335" t="n">
        <v>44851.9977214613</v>
      </c>
      <c r="P38" s="335" t="n">
        <v>45991.2384635863</v>
      </c>
      <c r="Q38" s="335" t="n">
        <v>47141.019425176</v>
      </c>
      <c r="R38" s="335" t="n">
        <v>48324.2590127479</v>
      </c>
      <c r="S38" s="335" t="n">
        <v>49532.3654880667</v>
      </c>
      <c r="T38" s="335" t="n">
        <v>50760.7681521706</v>
      </c>
      <c r="U38" s="335" t="n">
        <v>52034.8634327902</v>
      </c>
      <c r="V38" s="335" t="n">
        <v>53340.9385049533</v>
      </c>
    </row>
    <row r="39" customFormat="false" ht="12.75" hidden="false" customHeight="false" outlineLevel="0" collapsed="false">
      <c r="A39" s="2" t="n">
        <f aca="false">Summary!A45</f>
        <v>29</v>
      </c>
      <c r="B39" s="2" t="s">
        <v>98</v>
      </c>
      <c r="C39" s="333" t="n">
        <v>0</v>
      </c>
      <c r="D39" s="335" t="n">
        <v>34547.1907058574</v>
      </c>
      <c r="E39" s="335" t="n">
        <v>35276.1364297512</v>
      </c>
      <c r="F39" s="335" t="n">
        <v>36048.6838175628</v>
      </c>
      <c r="G39" s="335" t="n">
        <v>36863.3840718394</v>
      </c>
      <c r="H39" s="335" t="n">
        <v>37740.7326127493</v>
      </c>
      <c r="I39" s="335" t="n">
        <v>38686.5191661684</v>
      </c>
      <c r="J39" s="335" t="n">
        <v>39646.0526171664</v>
      </c>
      <c r="K39" s="335" t="n">
        <v>40649.5761404166</v>
      </c>
      <c r="L39" s="335" t="n">
        <v>41653.6206710849</v>
      </c>
      <c r="M39" s="335" t="n">
        <v>42715.7879981975</v>
      </c>
      <c r="N39" s="335" t="n">
        <v>43749.510067754</v>
      </c>
      <c r="O39" s="335" t="n">
        <v>44851.9977214613</v>
      </c>
      <c r="P39" s="335" t="n">
        <v>45991.2384635863</v>
      </c>
      <c r="Q39" s="335" t="n">
        <v>47141.019425176</v>
      </c>
      <c r="R39" s="335" t="n">
        <v>48324.2590127479</v>
      </c>
      <c r="S39" s="335" t="n">
        <v>49532.3654880667</v>
      </c>
      <c r="T39" s="335" t="n">
        <v>50760.7681521706</v>
      </c>
      <c r="U39" s="335" t="n">
        <v>52034.8634327902</v>
      </c>
      <c r="V39" s="335" t="n">
        <v>53340.9385049533</v>
      </c>
    </row>
    <row r="40" customFormat="false" ht="12.75" hidden="false" customHeight="false" outlineLevel="0" collapsed="false">
      <c r="A40" s="2" t="n">
        <f aca="false">Summary!A46</f>
        <v>30</v>
      </c>
      <c r="B40" s="2" t="s">
        <v>99</v>
      </c>
      <c r="C40" s="333" t="n">
        <v>0</v>
      </c>
      <c r="D40" s="335" t="n">
        <v>34547.1907058574</v>
      </c>
      <c r="E40" s="335" t="n">
        <v>35276.1364297512</v>
      </c>
      <c r="F40" s="335" t="n">
        <v>36048.6838175628</v>
      </c>
      <c r="G40" s="335" t="n">
        <v>36863.3840718394</v>
      </c>
      <c r="H40" s="335" t="n">
        <v>37740.7326127493</v>
      </c>
      <c r="I40" s="335" t="n">
        <v>38686.5191661684</v>
      </c>
      <c r="J40" s="335" t="n">
        <v>39646.0526171664</v>
      </c>
      <c r="K40" s="335" t="n">
        <v>40649.5761404166</v>
      </c>
      <c r="L40" s="335" t="n">
        <v>41653.6206710849</v>
      </c>
      <c r="M40" s="335" t="n">
        <v>42715.7879981975</v>
      </c>
      <c r="N40" s="335" t="n">
        <v>43749.510067754</v>
      </c>
      <c r="O40" s="335" t="n">
        <v>44851.9977214613</v>
      </c>
      <c r="P40" s="335" t="n">
        <v>45991.2384635863</v>
      </c>
      <c r="Q40" s="335" t="n">
        <v>47141.019425176</v>
      </c>
      <c r="R40" s="335" t="n">
        <v>48324.2590127479</v>
      </c>
      <c r="S40" s="335" t="n">
        <v>49532.3654880667</v>
      </c>
      <c r="T40" s="335" t="n">
        <v>50760.7681521706</v>
      </c>
      <c r="U40" s="335" t="n">
        <v>52034.8634327902</v>
      </c>
      <c r="V40" s="335" t="n">
        <v>53340.9385049533</v>
      </c>
    </row>
    <row r="41" customFormat="false" ht="12.75" hidden="false" customHeight="false" outlineLevel="0" collapsed="false">
      <c r="A41" s="2" t="n">
        <f aca="false">Summary!A47</f>
        <v>31</v>
      </c>
      <c r="B41" s="2" t="s">
        <v>100</v>
      </c>
      <c r="C41" s="333" t="n">
        <v>0</v>
      </c>
      <c r="D41" s="335" t="n">
        <v>34547.1907058574</v>
      </c>
      <c r="E41" s="335" t="n">
        <v>35276.1364297512</v>
      </c>
      <c r="F41" s="335" t="n">
        <v>36048.6838175628</v>
      </c>
      <c r="G41" s="335" t="n">
        <v>36863.3840718394</v>
      </c>
      <c r="H41" s="335" t="n">
        <v>37740.7326127493</v>
      </c>
      <c r="I41" s="335" t="n">
        <v>38686.5191661684</v>
      </c>
      <c r="J41" s="335" t="n">
        <v>39646.0526171664</v>
      </c>
      <c r="K41" s="335" t="n">
        <v>40649.5761404166</v>
      </c>
      <c r="L41" s="335" t="n">
        <v>41653.6206710849</v>
      </c>
      <c r="M41" s="335" t="n">
        <v>42715.7879981975</v>
      </c>
      <c r="N41" s="335" t="n">
        <v>43749.510067754</v>
      </c>
      <c r="O41" s="335" t="n">
        <v>44851.9977214613</v>
      </c>
      <c r="P41" s="335" t="n">
        <v>45991.2384635863</v>
      </c>
      <c r="Q41" s="335" t="n">
        <v>47141.019425176</v>
      </c>
      <c r="R41" s="335" t="n">
        <v>48324.2590127479</v>
      </c>
      <c r="S41" s="335" t="n">
        <v>49532.3654880667</v>
      </c>
      <c r="T41" s="335" t="n">
        <v>50760.7681521706</v>
      </c>
      <c r="U41" s="335" t="n">
        <v>52034.8634327902</v>
      </c>
      <c r="V41" s="335" t="n">
        <v>53340.9385049533</v>
      </c>
    </row>
    <row r="42" customFormat="false" ht="12.75" hidden="false" customHeight="false" outlineLevel="0" collapsed="false">
      <c r="A42" s="11" t="n">
        <f aca="false">Summary!A48</f>
        <v>32</v>
      </c>
      <c r="B42" s="11" t="s">
        <v>101</v>
      </c>
      <c r="C42" s="333" t="n">
        <v>0</v>
      </c>
      <c r="D42" s="335" t="n">
        <v>34547.1907058574</v>
      </c>
      <c r="E42" s="335" t="n">
        <v>35276.1364297512</v>
      </c>
      <c r="F42" s="335" t="n">
        <v>36048.6838175628</v>
      </c>
      <c r="G42" s="335" t="n">
        <v>36863.3840718394</v>
      </c>
      <c r="H42" s="335" t="n">
        <v>37740.7326127493</v>
      </c>
      <c r="I42" s="335" t="n">
        <v>38686.5191661684</v>
      </c>
      <c r="J42" s="335" t="n">
        <v>39646.0526171664</v>
      </c>
      <c r="K42" s="335" t="n">
        <v>40649.5761404166</v>
      </c>
      <c r="L42" s="335" t="n">
        <v>41653.6206710849</v>
      </c>
      <c r="M42" s="335" t="n">
        <v>42715.7879981975</v>
      </c>
      <c r="N42" s="335" t="n">
        <v>43749.510067754</v>
      </c>
      <c r="O42" s="335" t="n">
        <v>44851.9977214613</v>
      </c>
      <c r="P42" s="335" t="n">
        <v>45991.2384635863</v>
      </c>
      <c r="Q42" s="335" t="n">
        <v>47141.019425176</v>
      </c>
      <c r="R42" s="335" t="n">
        <v>48324.2590127479</v>
      </c>
      <c r="S42" s="335" t="n">
        <v>49532.3654880667</v>
      </c>
      <c r="T42" s="335" t="n">
        <v>50760.7681521706</v>
      </c>
      <c r="U42" s="335" t="n">
        <v>52034.8634327902</v>
      </c>
      <c r="V42" s="335" t="n">
        <v>53340.9385049533</v>
      </c>
    </row>
    <row r="43" customFormat="false" ht="13.5" hidden="false" customHeight="false" outlineLevel="0" collapsed="false">
      <c r="A43" s="2" t="n">
        <f aca="false">Summary!A49</f>
        <v>33</v>
      </c>
      <c r="B43" s="336" t="s">
        <v>14</v>
      </c>
      <c r="C43" s="339" t="n">
        <v>0</v>
      </c>
      <c r="D43" s="340" t="n">
        <v>374900</v>
      </c>
      <c r="E43" s="340" t="n">
        <v>383147.8</v>
      </c>
      <c r="F43" s="340" t="n">
        <v>391577.0516</v>
      </c>
      <c r="G43" s="340" t="n">
        <v>400191.7467352</v>
      </c>
      <c r="H43" s="340" t="n">
        <v>408995.965163374</v>
      </c>
      <c r="I43" s="340" t="n">
        <v>417993.876396969</v>
      </c>
      <c r="J43" s="340" t="n">
        <v>427189.741677702</v>
      </c>
      <c r="K43" s="340" t="n">
        <v>436587.915994611</v>
      </c>
      <c r="L43" s="340" t="n">
        <v>446192.850146493</v>
      </c>
      <c r="M43" s="340" t="n">
        <v>456009.092849716</v>
      </c>
      <c r="N43" s="340" t="n">
        <v>466041.292892409</v>
      </c>
      <c r="O43" s="340" t="n">
        <v>476294.201336043</v>
      </c>
      <c r="P43" s="340" t="n">
        <v>486772.673765435</v>
      </c>
      <c r="Q43" s="340" t="n">
        <v>497481.672588275</v>
      </c>
      <c r="R43" s="340" t="n">
        <v>508426.269385217</v>
      </c>
      <c r="S43" s="340" t="n">
        <v>519611.647311692</v>
      </c>
      <c r="T43" s="340" t="n">
        <v>531043.103552549</v>
      </c>
      <c r="U43" s="340" t="n">
        <v>542726.051830705</v>
      </c>
      <c r="V43" s="337" t="n">
        <v>554666.024970981</v>
      </c>
    </row>
    <row r="44" customFormat="false" ht="13.5" hidden="false" customHeight="false" outlineLevel="0" collapsed="false">
      <c r="C44" s="9" t="n">
        <f aca="false">SUM(C11:C43)</f>
        <v>0</v>
      </c>
      <c r="D44" s="9" t="n">
        <f aca="false">SUM(D11:D43)</f>
        <v>10698495.1290022</v>
      </c>
      <c r="E44" s="9" t="n">
        <f aca="false">SUM(E11:E43)</f>
        <v>10924570.7862243</v>
      </c>
      <c r="F44" s="9" t="n">
        <f aca="false">SUM(F11:F43)</f>
        <v>11163857.2012226</v>
      </c>
      <c r="G44" s="9" t="n">
        <f aca="false">SUM(G11:G43)</f>
        <v>11415925.4277392</v>
      </c>
      <c r="H44" s="9" t="n">
        <f aca="false">SUM(H11:H43)</f>
        <v>11686904.1077753</v>
      </c>
      <c r="I44" s="9" t="n">
        <f aca="false">SUM(I11:I43)</f>
        <v>11978527.5308511</v>
      </c>
      <c r="J44" s="9" t="n">
        <f aca="false">SUM(J11:J43)</f>
        <v>12274456.8369253</v>
      </c>
      <c r="K44" s="9" t="n">
        <f aca="false">SUM(K11:K43)</f>
        <v>12583733.8246795</v>
      </c>
      <c r="L44" s="9" t="n">
        <f aca="false">SUM(L11:L43)</f>
        <v>12893373.2627759</v>
      </c>
      <c r="M44" s="9" t="n">
        <f aca="false">SUM(M11:M43)</f>
        <v>13220592.6060011</v>
      </c>
      <c r="N44" s="9" t="n">
        <f aca="false">SUM(N11:N43)</f>
        <v>13539527.7270621</v>
      </c>
      <c r="O44" s="9" t="n">
        <f aca="false">SUM(O11:O43)</f>
        <v>13879232.4936468</v>
      </c>
      <c r="P44" s="9" t="n">
        <f aca="false">SUM(P11:P43)</f>
        <v>14230145.5987008</v>
      </c>
      <c r="Q44" s="9" t="n">
        <f aca="false">SUM(Q11:Q43)</f>
        <v>14584438.9206471</v>
      </c>
      <c r="R44" s="9" t="n">
        <f aca="false">SUM(R11:R43)</f>
        <v>14948966.1443703</v>
      </c>
      <c r="S44" s="9" t="n">
        <f aca="false">SUM(S11:S43)</f>
        <v>15321165.0191714</v>
      </c>
      <c r="T44" s="9" t="n">
        <f aca="false">SUM(T11:T43)</f>
        <v>15699674.9990344</v>
      </c>
      <c r="U44" s="9" t="n">
        <f aca="false">SUM(U11:U43)</f>
        <v>16092090.6078891</v>
      </c>
      <c r="V44" s="9" t="n">
        <f aca="false">SUM(V11:V43)</f>
        <v>16494319.6313865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56"/>
    <col collapsed="false" customWidth="true" hidden="false" outlineLevel="0" max="2" min="2" style="0" width="15.41"/>
    <col collapsed="false" customWidth="true" hidden="false" outlineLevel="0" max="4" min="3" style="0" width="8.7"/>
    <col collapsed="false" customWidth="true" hidden="false" outlineLevel="0" max="6" min="6" style="0" width="8.7"/>
    <col collapsed="false" customWidth="true" hidden="false" outlineLevel="0" max="8" min="8" style="0" width="9.28"/>
    <col collapsed="false" customWidth="true" hidden="false" outlineLevel="0" max="9" min="9" style="0" width="9.41"/>
    <col collapsed="false" customWidth="true" hidden="false" outlineLevel="0" max="10" min="10" style="0" width="8.7"/>
    <col collapsed="false" customWidth="true" hidden="false" outlineLevel="0" max="14" min="14" style="0" width="9.28"/>
    <col collapsed="false" customWidth="true" hidden="false" outlineLevel="0" max="16" min="15" style="0" width="9.7"/>
    <col collapsed="false" customWidth="true" hidden="false" outlineLevel="0" max="18" min="18" style="0" width="9.7"/>
    <col collapsed="false" customWidth="true" hidden="false" outlineLevel="0" max="21" min="19" style="0" width="9.56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97" t="s">
        <v>174</v>
      </c>
    </row>
    <row r="2" customFormat="false" ht="12.75" hidden="false" customHeight="false" outlineLevel="0" collapsed="false">
      <c r="A2" s="197"/>
    </row>
    <row r="3" customFormat="false" ht="12.75" hidden="false" customHeight="false" outlineLevel="0" collapsed="false">
      <c r="A3" s="197"/>
    </row>
    <row r="4" customFormat="false" ht="12.75" hidden="false" customHeight="false" outlineLevel="0" collapsed="false">
      <c r="A4" s="197"/>
    </row>
    <row r="5" customFormat="false" ht="12.75" hidden="false" customHeight="false" outlineLevel="0" collapsed="false">
      <c r="A5" s="197"/>
    </row>
    <row r="6" customFormat="false" ht="12.75" hidden="false" customHeight="false" outlineLevel="0" collapsed="false">
      <c r="A6" s="197"/>
    </row>
    <row r="8" customFormat="false" ht="12.75" hidden="false" customHeight="false" outlineLevel="0" collapsed="false">
      <c r="C8" s="235" t="n">
        <v>2000</v>
      </c>
      <c r="D8" s="235" t="n">
        <v>2001</v>
      </c>
      <c r="E8" s="235" t="n">
        <v>2002</v>
      </c>
      <c r="F8" s="235" t="n">
        <v>2003</v>
      </c>
      <c r="G8" s="235" t="n">
        <v>2004</v>
      </c>
      <c r="H8" s="235" t="n">
        <v>2005</v>
      </c>
      <c r="I8" s="235" t="n">
        <v>2006</v>
      </c>
      <c r="J8" s="235" t="n">
        <v>2007</v>
      </c>
      <c r="K8" s="235" t="n">
        <v>2008</v>
      </c>
      <c r="L8" s="235" t="n">
        <v>2009</v>
      </c>
      <c r="M8" s="235" t="n">
        <v>2010</v>
      </c>
      <c r="N8" s="235" t="n">
        <v>2011</v>
      </c>
      <c r="O8" s="235" t="n">
        <v>2012</v>
      </c>
      <c r="P8" s="235" t="n">
        <v>2013</v>
      </c>
      <c r="Q8" s="235" t="n">
        <v>2014</v>
      </c>
      <c r="R8" s="235" t="n">
        <v>2015</v>
      </c>
      <c r="S8" s="235" t="n">
        <v>2016</v>
      </c>
      <c r="T8" s="235" t="n">
        <v>2017</v>
      </c>
      <c r="U8" s="235" t="n">
        <v>2018</v>
      </c>
      <c r="V8" s="235" t="n">
        <v>2019</v>
      </c>
    </row>
    <row r="10" customFormat="false" ht="12.75" hidden="false" customHeight="false" outlineLevel="0" collapsed="false">
      <c r="A10" s="2" t="n">
        <f aca="false">Summary!A17</f>
        <v>1</v>
      </c>
      <c r="B10" s="2" t="s">
        <v>69</v>
      </c>
      <c r="C10" s="333" t="n">
        <f aca="false">UnitData!H10*UnitData!F10*1000</f>
        <v>4132625.85114861</v>
      </c>
      <c r="D10" s="334" t="n">
        <f aca="false">C10*(1+Assumptions!$L$14)</f>
        <v>4215278.36817158</v>
      </c>
      <c r="E10" s="334" t="n">
        <f aca="false">D10*(1+Assumptions!$L$14)</f>
        <v>4299583.93553501</v>
      </c>
      <c r="F10" s="334" t="n">
        <f aca="false">E10*(1+Assumptions!$L$14)</f>
        <v>4385575.61424571</v>
      </c>
      <c r="G10" s="334" t="n">
        <f aca="false">F10*(1+Assumptions!$L$14)</f>
        <v>4473287.12653063</v>
      </c>
      <c r="H10" s="334" t="n">
        <f aca="false">G10*(1+Assumptions!$L$14)</f>
        <v>4562752.86906124</v>
      </c>
      <c r="I10" s="334" t="n">
        <f aca="false">H10*(1+Assumptions!$L$14)</f>
        <v>4654007.92644246</v>
      </c>
      <c r="J10" s="334" t="n">
        <f aca="false">I10*(1+Assumptions!$L$14)</f>
        <v>4747088.08497131</v>
      </c>
      <c r="K10" s="334" t="n">
        <f aca="false">J10*(1+Assumptions!$L$14)</f>
        <v>4842029.84667074</v>
      </c>
      <c r="L10" s="334" t="n">
        <f aca="false">K10*(1+Assumptions!$L$14)</f>
        <v>4938870.44360415</v>
      </c>
      <c r="M10" s="334" t="n">
        <f aca="false">L10*(1+Assumptions!$L$14)</f>
        <v>5037647.85247624</v>
      </c>
      <c r="N10" s="334" t="n">
        <f aca="false">M10*(1+Assumptions!$L$14)</f>
        <v>5138400.80952576</v>
      </c>
      <c r="O10" s="334" t="n">
        <f aca="false">N10*(1+Assumptions!$L$14)</f>
        <v>5241168.82571628</v>
      </c>
      <c r="P10" s="334" t="n">
        <f aca="false">O10*(1+Assumptions!$L$14)</f>
        <v>5345992.2022306</v>
      </c>
      <c r="Q10" s="334" t="n">
        <f aca="false">P10*(1+Assumptions!$L$14)</f>
        <v>5452912.04627521</v>
      </c>
      <c r="R10" s="334" t="n">
        <f aca="false">Q10*(1+Assumptions!$L$14)</f>
        <v>5561970.28720072</v>
      </c>
      <c r="S10" s="334" t="n">
        <f aca="false">R10*(1+Assumptions!$L$14)</f>
        <v>5673209.69294473</v>
      </c>
      <c r="T10" s="334" t="n">
        <f aca="false">S10*(1+Assumptions!$L$14)</f>
        <v>5786673.88680363</v>
      </c>
      <c r="U10" s="334" t="n">
        <f aca="false">T10*(1+Assumptions!$L$14)</f>
        <v>5902407.3645397</v>
      </c>
      <c r="V10" s="334" t="n">
        <f aca="false">U10*(1+Assumptions!$L$14)</f>
        <v>6020455.51183049</v>
      </c>
    </row>
    <row r="11" customFormat="false" ht="12.75" hidden="false" customHeight="false" outlineLevel="0" collapsed="false">
      <c r="A11" s="2" t="n">
        <f aca="false">Summary!A18</f>
        <v>2</v>
      </c>
      <c r="B11" s="2" t="s">
        <v>71</v>
      </c>
      <c r="C11" s="333" t="n">
        <f aca="false">UnitData!H11*UnitData!F11*1000</f>
        <v>2359857.1433218</v>
      </c>
      <c r="D11" s="335" t="n">
        <f aca="false">C11*(1+Assumptions!$L$14)</f>
        <v>2407054.28618824</v>
      </c>
      <c r="E11" s="335" t="n">
        <f aca="false">D11*(1+Assumptions!$L$14)</f>
        <v>2455195.371912</v>
      </c>
      <c r="F11" s="335" t="n">
        <f aca="false">E11*(1+Assumptions!$L$14)</f>
        <v>2504299.27935024</v>
      </c>
      <c r="G11" s="335" t="n">
        <f aca="false">F11*(1+Assumptions!$L$14)</f>
        <v>2554385.26493725</v>
      </c>
      <c r="H11" s="335" t="n">
        <f aca="false">G11*(1+Assumptions!$L$14)</f>
        <v>2605472.97023599</v>
      </c>
      <c r="I11" s="335" t="n">
        <f aca="false">H11*(1+Assumptions!$L$14)</f>
        <v>2657582.42964071</v>
      </c>
      <c r="J11" s="335" t="n">
        <f aca="false">I11*(1+Assumptions!$L$14)</f>
        <v>2710734.07823353</v>
      </c>
      <c r="K11" s="335" t="n">
        <f aca="false">J11*(1+Assumptions!$L$14)</f>
        <v>2764948.7597982</v>
      </c>
      <c r="L11" s="335" t="n">
        <f aca="false">K11*(1+Assumptions!$L$14)</f>
        <v>2820247.73499416</v>
      </c>
      <c r="M11" s="335" t="n">
        <f aca="false">L11*(1+Assumptions!$L$14)</f>
        <v>2876652.68969404</v>
      </c>
      <c r="N11" s="335" t="n">
        <f aca="false">M11*(1+Assumptions!$L$14)</f>
        <v>2934185.74348792</v>
      </c>
      <c r="O11" s="335" t="n">
        <f aca="false">N11*(1+Assumptions!$L$14)</f>
        <v>2992869.45835768</v>
      </c>
      <c r="P11" s="335" t="n">
        <f aca="false">O11*(1+Assumptions!$L$14)</f>
        <v>3052726.84752484</v>
      </c>
      <c r="Q11" s="335" t="n">
        <f aca="false">P11*(1+Assumptions!$L$14)</f>
        <v>3113781.38447533</v>
      </c>
      <c r="R11" s="335" t="n">
        <f aca="false">Q11*(1+Assumptions!$L$14)</f>
        <v>3176057.01216484</v>
      </c>
      <c r="S11" s="335" t="n">
        <f aca="false">R11*(1+Assumptions!$L$14)</f>
        <v>3239578.15240814</v>
      </c>
      <c r="T11" s="335" t="n">
        <f aca="false">S11*(1+Assumptions!$L$14)</f>
        <v>3304369.7154563</v>
      </c>
      <c r="U11" s="335" t="n">
        <f aca="false">T11*(1+Assumptions!$L$14)</f>
        <v>3370457.10976543</v>
      </c>
      <c r="V11" s="335" t="n">
        <f aca="false">U11*(1+Assumptions!$L$14)</f>
        <v>3437866.25196073</v>
      </c>
    </row>
    <row r="12" customFormat="false" ht="12.75" hidden="false" customHeight="false" outlineLevel="0" collapsed="false">
      <c r="A12" s="2" t="n">
        <f aca="false">Summary!A19</f>
        <v>3</v>
      </c>
      <c r="B12" s="2" t="s">
        <v>72</v>
      </c>
      <c r="C12" s="333" t="n">
        <f aca="false">UnitData!H12*UnitData!F12*1000</f>
        <v>2710448.77618941</v>
      </c>
      <c r="D12" s="335" t="n">
        <f aca="false">C12*(1+Assumptions!$L$14)</f>
        <v>2764657.7517132</v>
      </c>
      <c r="E12" s="335" t="n">
        <f aca="false">D12*(1+Assumptions!$L$14)</f>
        <v>2819950.90674747</v>
      </c>
      <c r="F12" s="335" t="n">
        <f aca="false">E12*(1+Assumptions!$L$14)</f>
        <v>2876349.92488242</v>
      </c>
      <c r="G12" s="335" t="n">
        <f aca="false">F12*(1+Assumptions!$L$14)</f>
        <v>2933876.92338006</v>
      </c>
      <c r="H12" s="335" t="n">
        <f aca="false">G12*(1+Assumptions!$L$14)</f>
        <v>2992554.46184767</v>
      </c>
      <c r="I12" s="335" t="n">
        <f aca="false">H12*(1+Assumptions!$L$14)</f>
        <v>3052405.55108462</v>
      </c>
      <c r="J12" s="335" t="n">
        <f aca="false">I12*(1+Assumptions!$L$14)</f>
        <v>3113453.66210631</v>
      </c>
      <c r="K12" s="335" t="n">
        <f aca="false">J12*(1+Assumptions!$L$14)</f>
        <v>3175722.73534844</v>
      </c>
      <c r="L12" s="335" t="n">
        <f aca="false">K12*(1+Assumptions!$L$14)</f>
        <v>3239237.19005541</v>
      </c>
      <c r="M12" s="335" t="n">
        <f aca="false">L12*(1+Assumptions!$L$14)</f>
        <v>3304021.93385651</v>
      </c>
      <c r="N12" s="335" t="n">
        <f aca="false">M12*(1+Assumptions!$L$14)</f>
        <v>3370102.37253365</v>
      </c>
      <c r="O12" s="335" t="n">
        <f aca="false">N12*(1+Assumptions!$L$14)</f>
        <v>3437504.41998432</v>
      </c>
      <c r="P12" s="335" t="n">
        <f aca="false">O12*(1+Assumptions!$L$14)</f>
        <v>3506254.508384</v>
      </c>
      <c r="Q12" s="335" t="n">
        <f aca="false">P12*(1+Assumptions!$L$14)</f>
        <v>3576379.59855168</v>
      </c>
      <c r="R12" s="335" t="n">
        <f aca="false">Q12*(1+Assumptions!$L$14)</f>
        <v>3647907.19052272</v>
      </c>
      <c r="S12" s="335" t="n">
        <f aca="false">R12*(1+Assumptions!$L$14)</f>
        <v>3720865.33433317</v>
      </c>
      <c r="T12" s="335" t="n">
        <f aca="false">S12*(1+Assumptions!$L$14)</f>
        <v>3795282.64101984</v>
      </c>
      <c r="U12" s="335" t="n">
        <f aca="false">T12*(1+Assumptions!$L$14)</f>
        <v>3871188.29384023</v>
      </c>
      <c r="V12" s="335" t="n">
        <f aca="false">U12*(1+Assumptions!$L$14)</f>
        <v>3948612.05971704</v>
      </c>
    </row>
    <row r="13" customFormat="false" ht="12.75" hidden="false" customHeight="false" outlineLevel="0" collapsed="false">
      <c r="A13" s="2" t="n">
        <f aca="false">Summary!A20</f>
        <v>4</v>
      </c>
      <c r="B13" s="2" t="s">
        <v>73</v>
      </c>
      <c r="C13" s="333" t="n">
        <f aca="false">UnitData!H13*UnitData!F13*1000</f>
        <v>2754682.58827501</v>
      </c>
      <c r="D13" s="335" t="n">
        <f aca="false">C13*(1+Assumptions!$L$14)</f>
        <v>2809776.24004051</v>
      </c>
      <c r="E13" s="335" t="n">
        <f aca="false">D13*(1+Assumptions!$L$14)</f>
        <v>2865971.76484132</v>
      </c>
      <c r="F13" s="335" t="n">
        <f aca="false">E13*(1+Assumptions!$L$14)</f>
        <v>2923291.20013815</v>
      </c>
      <c r="G13" s="335" t="n">
        <f aca="false">F13*(1+Assumptions!$L$14)</f>
        <v>2981757.02414091</v>
      </c>
      <c r="H13" s="335" t="n">
        <f aca="false">G13*(1+Assumptions!$L$14)</f>
        <v>3041392.16462373</v>
      </c>
      <c r="I13" s="335" t="n">
        <f aca="false">H13*(1+Assumptions!$L$14)</f>
        <v>3102220.00791621</v>
      </c>
      <c r="J13" s="335" t="n">
        <f aca="false">I13*(1+Assumptions!$L$14)</f>
        <v>3164264.40807453</v>
      </c>
      <c r="K13" s="335" t="n">
        <f aca="false">J13*(1+Assumptions!$L$14)</f>
        <v>3227549.69623602</v>
      </c>
      <c r="L13" s="335" t="n">
        <f aca="false">K13*(1+Assumptions!$L$14)</f>
        <v>3292100.69016074</v>
      </c>
      <c r="M13" s="335" t="n">
        <f aca="false">L13*(1+Assumptions!$L$14)</f>
        <v>3357942.70396396</v>
      </c>
      <c r="N13" s="335" t="n">
        <f aca="false">M13*(1+Assumptions!$L$14)</f>
        <v>3425101.55804324</v>
      </c>
      <c r="O13" s="335" t="n">
        <f aca="false">N13*(1+Assumptions!$L$14)</f>
        <v>3493603.5892041</v>
      </c>
      <c r="P13" s="335" t="n">
        <f aca="false">O13*(1+Assumptions!$L$14)</f>
        <v>3563475.66098818</v>
      </c>
      <c r="Q13" s="335" t="n">
        <f aca="false">P13*(1+Assumptions!$L$14)</f>
        <v>3634745.17420795</v>
      </c>
      <c r="R13" s="335" t="n">
        <f aca="false">Q13*(1+Assumptions!$L$14)</f>
        <v>3707440.07769211</v>
      </c>
      <c r="S13" s="335" t="n">
        <f aca="false">R13*(1+Assumptions!$L$14)</f>
        <v>3781588.87924595</v>
      </c>
      <c r="T13" s="335" t="n">
        <f aca="false">S13*(1+Assumptions!$L$14)</f>
        <v>3857220.65683087</v>
      </c>
      <c r="U13" s="335" t="n">
        <f aca="false">T13*(1+Assumptions!$L$14)</f>
        <v>3934365.06996748</v>
      </c>
      <c r="V13" s="335" t="n">
        <f aca="false">U13*(1+Assumptions!$L$14)</f>
        <v>4013052.37136683</v>
      </c>
    </row>
    <row r="14" customFormat="false" ht="12.75" hidden="false" customHeight="false" outlineLevel="0" collapsed="false">
      <c r="A14" s="2" t="n">
        <f aca="false">Summary!A21</f>
        <v>5</v>
      </c>
      <c r="B14" s="2" t="s">
        <v>74</v>
      </c>
      <c r="C14" s="333" t="n">
        <f aca="false">UnitData!H14*UnitData!F14*1000</f>
        <v>2739937.98424648</v>
      </c>
      <c r="D14" s="335" t="n">
        <f aca="false">C14*(1+Assumptions!$L$14)</f>
        <v>2794736.74393141</v>
      </c>
      <c r="E14" s="335" t="n">
        <f aca="false">D14*(1+Assumptions!$L$14)</f>
        <v>2850631.47881004</v>
      </c>
      <c r="F14" s="335" t="n">
        <f aca="false">E14*(1+Assumptions!$L$14)</f>
        <v>2907644.10838624</v>
      </c>
      <c r="G14" s="335" t="n">
        <f aca="false">F14*(1+Assumptions!$L$14)</f>
        <v>2965796.99055396</v>
      </c>
      <c r="H14" s="335" t="n">
        <f aca="false">G14*(1+Assumptions!$L$14)</f>
        <v>3025112.93036504</v>
      </c>
      <c r="I14" s="335" t="n">
        <f aca="false">H14*(1+Assumptions!$L$14)</f>
        <v>3085615.18897234</v>
      </c>
      <c r="J14" s="335" t="n">
        <f aca="false">I14*(1+Assumptions!$L$14)</f>
        <v>3147327.49275179</v>
      </c>
      <c r="K14" s="335" t="n">
        <f aca="false">J14*(1+Assumptions!$L$14)</f>
        <v>3210274.04260682</v>
      </c>
      <c r="L14" s="335" t="n">
        <f aca="false">K14*(1+Assumptions!$L$14)</f>
        <v>3274479.52345896</v>
      </c>
      <c r="M14" s="335" t="n">
        <f aca="false">L14*(1+Assumptions!$L$14)</f>
        <v>3339969.11392814</v>
      </c>
      <c r="N14" s="335" t="n">
        <f aca="false">M14*(1+Assumptions!$L$14)</f>
        <v>3406768.4962067</v>
      </c>
      <c r="O14" s="335" t="n">
        <f aca="false">N14*(1+Assumptions!$L$14)</f>
        <v>3474903.86613084</v>
      </c>
      <c r="P14" s="335" t="n">
        <f aca="false">O14*(1+Assumptions!$L$14)</f>
        <v>3544401.94345345</v>
      </c>
      <c r="Q14" s="335" t="n">
        <f aca="false">P14*(1+Assumptions!$L$14)</f>
        <v>3615289.98232252</v>
      </c>
      <c r="R14" s="335" t="n">
        <f aca="false">Q14*(1+Assumptions!$L$14)</f>
        <v>3687595.78196897</v>
      </c>
      <c r="S14" s="335" t="n">
        <f aca="false">R14*(1+Assumptions!$L$14)</f>
        <v>3761347.69760835</v>
      </c>
      <c r="T14" s="335" t="n">
        <f aca="false">S14*(1+Assumptions!$L$14)</f>
        <v>3836574.65156052</v>
      </c>
      <c r="U14" s="335" t="n">
        <f aca="false">T14*(1+Assumptions!$L$14)</f>
        <v>3913306.14459173</v>
      </c>
      <c r="V14" s="335" t="n">
        <f aca="false">U14*(1+Assumptions!$L$14)</f>
        <v>3991572.26748356</v>
      </c>
    </row>
    <row r="15" customFormat="false" ht="12.75" hidden="false" customHeight="false" outlineLevel="0" collapsed="false">
      <c r="A15" s="2" t="n">
        <f aca="false">Summary!A22</f>
        <v>6</v>
      </c>
      <c r="B15" s="2" t="s">
        <v>75</v>
      </c>
      <c r="C15" s="333" t="n">
        <f aca="false">UnitData!H15*UnitData!F15*1000</f>
        <v>2739937.98424648</v>
      </c>
      <c r="D15" s="335" t="n">
        <f aca="false">C15*(1+Assumptions!$L$14)</f>
        <v>2794736.74393141</v>
      </c>
      <c r="E15" s="335" t="n">
        <f aca="false">D15*(1+Assumptions!$L$14)</f>
        <v>2850631.47881004</v>
      </c>
      <c r="F15" s="335" t="n">
        <f aca="false">E15*(1+Assumptions!$L$14)</f>
        <v>2907644.10838624</v>
      </c>
      <c r="G15" s="335" t="n">
        <f aca="false">F15*(1+Assumptions!$L$14)</f>
        <v>2965796.99055396</v>
      </c>
      <c r="H15" s="335" t="n">
        <f aca="false">G15*(1+Assumptions!$L$14)</f>
        <v>3025112.93036504</v>
      </c>
      <c r="I15" s="335" t="n">
        <f aca="false">H15*(1+Assumptions!$L$14)</f>
        <v>3085615.18897234</v>
      </c>
      <c r="J15" s="335" t="n">
        <f aca="false">I15*(1+Assumptions!$L$14)</f>
        <v>3147327.49275179</v>
      </c>
      <c r="K15" s="335" t="n">
        <f aca="false">J15*(1+Assumptions!$L$14)</f>
        <v>3210274.04260682</v>
      </c>
      <c r="L15" s="335" t="n">
        <f aca="false">K15*(1+Assumptions!$L$14)</f>
        <v>3274479.52345896</v>
      </c>
      <c r="M15" s="335" t="n">
        <f aca="false">L15*(1+Assumptions!$L$14)</f>
        <v>3339969.11392814</v>
      </c>
      <c r="N15" s="335" t="n">
        <f aca="false">M15*(1+Assumptions!$L$14)</f>
        <v>3406768.4962067</v>
      </c>
      <c r="O15" s="335" t="n">
        <f aca="false">N15*(1+Assumptions!$L$14)</f>
        <v>3474903.86613084</v>
      </c>
      <c r="P15" s="335" t="n">
        <f aca="false">O15*(1+Assumptions!$L$14)</f>
        <v>3544401.94345345</v>
      </c>
      <c r="Q15" s="335" t="n">
        <f aca="false">P15*(1+Assumptions!$L$14)</f>
        <v>3615289.98232252</v>
      </c>
      <c r="R15" s="335" t="n">
        <f aca="false">Q15*(1+Assumptions!$L$14)</f>
        <v>3687595.78196897</v>
      </c>
      <c r="S15" s="335" t="n">
        <f aca="false">R15*(1+Assumptions!$L$14)</f>
        <v>3761347.69760835</v>
      </c>
      <c r="T15" s="335" t="n">
        <f aca="false">S15*(1+Assumptions!$L$14)</f>
        <v>3836574.65156052</v>
      </c>
      <c r="U15" s="335" t="n">
        <f aca="false">T15*(1+Assumptions!$L$14)</f>
        <v>3913306.14459173</v>
      </c>
      <c r="V15" s="335" t="n">
        <f aca="false">U15*(1+Assumptions!$L$14)</f>
        <v>3991572.26748356</v>
      </c>
    </row>
    <row r="16" customFormat="false" ht="12.75" hidden="false" customHeight="false" outlineLevel="0" collapsed="false">
      <c r="A16" s="2" t="n">
        <f aca="false">Summary!A23</f>
        <v>7</v>
      </c>
      <c r="B16" s="2" t="s">
        <v>76</v>
      </c>
      <c r="C16" s="333" t="n">
        <f aca="false">UnitData!H16*UnitData!F16*1000</f>
        <v>2277244.05850833</v>
      </c>
      <c r="D16" s="335" t="n">
        <f aca="false">C16*(1+Assumptions!$L$14)</f>
        <v>2322788.9396785</v>
      </c>
      <c r="E16" s="335" t="n">
        <f aca="false">D16*(1+Assumptions!$L$14)</f>
        <v>2369244.71847207</v>
      </c>
      <c r="F16" s="335" t="n">
        <f aca="false">E16*(1+Assumptions!$L$14)</f>
        <v>2416629.61284151</v>
      </c>
      <c r="G16" s="335" t="n">
        <f aca="false">F16*(1+Assumptions!$L$14)</f>
        <v>2464962.20509834</v>
      </c>
      <c r="H16" s="335" t="n">
        <f aca="false">G16*(1+Assumptions!$L$14)</f>
        <v>2514261.44920031</v>
      </c>
      <c r="I16" s="335" t="n">
        <f aca="false">H16*(1+Assumptions!$L$14)</f>
        <v>2564546.67818431</v>
      </c>
      <c r="J16" s="335" t="n">
        <f aca="false">I16*(1+Assumptions!$L$14)</f>
        <v>2615837.611748</v>
      </c>
      <c r="K16" s="335" t="n">
        <f aca="false">J16*(1+Assumptions!$L$14)</f>
        <v>2668154.36398296</v>
      </c>
      <c r="L16" s="335" t="n">
        <f aca="false">K16*(1+Assumptions!$L$14)</f>
        <v>2721517.45126262</v>
      </c>
      <c r="M16" s="335" t="n">
        <f aca="false">L16*(1+Assumptions!$L$14)</f>
        <v>2775947.80028787</v>
      </c>
      <c r="N16" s="335" t="n">
        <f aca="false">M16*(1+Assumptions!$L$14)</f>
        <v>2831466.75629363</v>
      </c>
      <c r="O16" s="335" t="n">
        <f aca="false">N16*(1+Assumptions!$L$14)</f>
        <v>2888096.0914195</v>
      </c>
      <c r="P16" s="335" t="n">
        <f aca="false">O16*(1+Assumptions!$L$14)</f>
        <v>2945858.01324789</v>
      </c>
      <c r="Q16" s="335" t="n">
        <f aca="false">P16*(1+Assumptions!$L$14)</f>
        <v>3004775.17351285</v>
      </c>
      <c r="R16" s="335" t="n">
        <f aca="false">Q16*(1+Assumptions!$L$14)</f>
        <v>3064870.67698311</v>
      </c>
      <c r="S16" s="335" t="n">
        <f aca="false">R16*(1+Assumptions!$L$14)</f>
        <v>3126168.09052277</v>
      </c>
      <c r="T16" s="335" t="n">
        <f aca="false">S16*(1+Assumptions!$L$14)</f>
        <v>3188691.45233323</v>
      </c>
      <c r="U16" s="335" t="n">
        <f aca="false">T16*(1+Assumptions!$L$14)</f>
        <v>3252465.28137989</v>
      </c>
      <c r="V16" s="335" t="n">
        <f aca="false">U16*(1+Assumptions!$L$14)</f>
        <v>3317514.58700749</v>
      </c>
    </row>
    <row r="17" customFormat="false" ht="12.75" hidden="false" customHeight="false" outlineLevel="0" collapsed="false">
      <c r="A17" s="2" t="n">
        <f aca="false">Summary!A24</f>
        <v>8</v>
      </c>
      <c r="B17" s="2" t="s">
        <v>77</v>
      </c>
      <c r="C17" s="333" t="n">
        <f aca="false">UnitData!H17*UnitData!F17*1000</f>
        <v>913359.478225151</v>
      </c>
      <c r="D17" s="335" t="n">
        <f aca="false">C17*(1+Assumptions!$L$14)</f>
        <v>931626.667789654</v>
      </c>
      <c r="E17" s="335" t="n">
        <f aca="false">D17*(1+Assumptions!$L$14)</f>
        <v>950259.201145447</v>
      </c>
      <c r="F17" s="335" t="n">
        <f aca="false">E17*(1+Assumptions!$L$14)</f>
        <v>969264.385168356</v>
      </c>
      <c r="G17" s="335" t="n">
        <f aca="false">F17*(1+Assumptions!$L$14)</f>
        <v>988649.672871723</v>
      </c>
      <c r="H17" s="335" t="n">
        <f aca="false">G17*(1+Assumptions!$L$14)</f>
        <v>1008422.66632916</v>
      </c>
      <c r="I17" s="335" t="n">
        <f aca="false">H17*(1+Assumptions!$L$14)</f>
        <v>1028591.11965574</v>
      </c>
      <c r="J17" s="335" t="n">
        <f aca="false">I17*(1+Assumptions!$L$14)</f>
        <v>1049162.94204886</v>
      </c>
      <c r="K17" s="335" t="n">
        <f aca="false">J17*(1+Assumptions!$L$14)</f>
        <v>1070146.20088983</v>
      </c>
      <c r="L17" s="335" t="n">
        <f aca="false">K17*(1+Assumptions!$L$14)</f>
        <v>1091549.12490763</v>
      </c>
      <c r="M17" s="335" t="n">
        <f aca="false">L17*(1+Assumptions!$L$14)</f>
        <v>1113380.10740578</v>
      </c>
      <c r="N17" s="335" t="n">
        <f aca="false">M17*(1+Assumptions!$L$14)</f>
        <v>1135647.7095539</v>
      </c>
      <c r="O17" s="335" t="n">
        <f aca="false">N17*(1+Assumptions!$L$14)</f>
        <v>1158360.66374498</v>
      </c>
      <c r="P17" s="335" t="n">
        <f aca="false">O17*(1+Assumptions!$L$14)</f>
        <v>1181527.87701988</v>
      </c>
      <c r="Q17" s="335" t="n">
        <f aca="false">P17*(1+Assumptions!$L$14)</f>
        <v>1205158.43456027</v>
      </c>
      <c r="R17" s="335" t="n">
        <f aca="false">Q17*(1+Assumptions!$L$14)</f>
        <v>1229261.60325148</v>
      </c>
      <c r="S17" s="335" t="n">
        <f aca="false">R17*(1+Assumptions!$L$14)</f>
        <v>1253846.83531651</v>
      </c>
      <c r="T17" s="335" t="n">
        <f aca="false">S17*(1+Assumptions!$L$14)</f>
        <v>1278923.77202284</v>
      </c>
      <c r="U17" s="335" t="n">
        <f aca="false">T17*(1+Assumptions!$L$14)</f>
        <v>1304502.2474633</v>
      </c>
      <c r="V17" s="335" t="n">
        <f aca="false">U17*(1+Assumptions!$L$14)</f>
        <v>1330592.29241256</v>
      </c>
    </row>
    <row r="18" customFormat="false" ht="12.75" hidden="false" customHeight="false" outlineLevel="0" collapsed="false">
      <c r="A18" s="2" t="n">
        <f aca="false">Summary!A25</f>
        <v>9</v>
      </c>
      <c r="B18" s="2" t="s">
        <v>78</v>
      </c>
      <c r="C18" s="333" t="n">
        <f aca="false">UnitData!H18*UnitData!F18*1000</f>
        <v>2666460.32724719</v>
      </c>
      <c r="D18" s="335" t="n">
        <f aca="false">C18*(1+Assumptions!$L$14)</f>
        <v>2719789.53379214</v>
      </c>
      <c r="E18" s="335" t="n">
        <f aca="false">D18*(1+Assumptions!$L$14)</f>
        <v>2774185.32446798</v>
      </c>
      <c r="F18" s="335" t="n">
        <f aca="false">E18*(1+Assumptions!$L$14)</f>
        <v>2829669.03095734</v>
      </c>
      <c r="G18" s="335" t="n">
        <f aca="false">F18*(1+Assumptions!$L$14)</f>
        <v>2886262.41157648</v>
      </c>
      <c r="H18" s="335" t="n">
        <f aca="false">G18*(1+Assumptions!$L$14)</f>
        <v>2943987.65980801</v>
      </c>
      <c r="I18" s="335" t="n">
        <f aca="false">H18*(1+Assumptions!$L$14)</f>
        <v>3002867.41300417</v>
      </c>
      <c r="J18" s="335" t="n">
        <f aca="false">I18*(1+Assumptions!$L$14)</f>
        <v>3062924.76126426</v>
      </c>
      <c r="K18" s="335" t="n">
        <f aca="false">J18*(1+Assumptions!$L$14)</f>
        <v>3124183.25648954</v>
      </c>
      <c r="L18" s="335" t="n">
        <f aca="false">K18*(1+Assumptions!$L$14)</f>
        <v>3186666.92161933</v>
      </c>
      <c r="M18" s="335" t="n">
        <f aca="false">L18*(1+Assumptions!$L$14)</f>
        <v>3250400.26005172</v>
      </c>
      <c r="N18" s="335" t="n">
        <f aca="false">M18*(1+Assumptions!$L$14)</f>
        <v>3315408.26525276</v>
      </c>
      <c r="O18" s="335" t="n">
        <f aca="false">N18*(1+Assumptions!$L$14)</f>
        <v>3381716.43055781</v>
      </c>
      <c r="P18" s="335" t="n">
        <f aca="false">O18*(1+Assumptions!$L$14)</f>
        <v>3449350.75916897</v>
      </c>
      <c r="Q18" s="335" t="n">
        <f aca="false">P18*(1+Assumptions!$L$14)</f>
        <v>3518337.77435235</v>
      </c>
      <c r="R18" s="335" t="n">
        <f aca="false">Q18*(1+Assumptions!$L$14)</f>
        <v>3588704.52983939</v>
      </c>
      <c r="S18" s="335" t="n">
        <f aca="false">R18*(1+Assumptions!$L$14)</f>
        <v>3660478.62043618</v>
      </c>
      <c r="T18" s="335" t="n">
        <f aca="false">S18*(1+Assumptions!$L$14)</f>
        <v>3733688.19284491</v>
      </c>
      <c r="U18" s="335" t="n">
        <f aca="false">T18*(1+Assumptions!$L$14)</f>
        <v>3808361.9567018</v>
      </c>
      <c r="V18" s="335" t="n">
        <f aca="false">U18*(1+Assumptions!$L$14)</f>
        <v>3884529.19583584</v>
      </c>
    </row>
    <row r="19" customFormat="false" ht="12.75" hidden="false" customHeight="false" outlineLevel="0" collapsed="false">
      <c r="A19" s="2" t="n">
        <f aca="false">Summary!A26</f>
        <v>10</v>
      </c>
      <c r="B19" s="2" t="s">
        <v>79</v>
      </c>
      <c r="C19" s="333" t="n">
        <f aca="false">UnitData!H19*UnitData!F19*1000</f>
        <v>3748962.42638412</v>
      </c>
      <c r="D19" s="335" t="n">
        <f aca="false">C19*(1+Assumptions!$L$14)</f>
        <v>3823941.67491181</v>
      </c>
      <c r="E19" s="335" t="n">
        <f aca="false">D19*(1+Assumptions!$L$14)</f>
        <v>3900420.50841004</v>
      </c>
      <c r="F19" s="335" t="n">
        <f aca="false">E19*(1+Assumptions!$L$14)</f>
        <v>3978428.91857824</v>
      </c>
      <c r="G19" s="335" t="n">
        <f aca="false">F19*(1+Assumptions!$L$14)</f>
        <v>4057997.49694981</v>
      </c>
      <c r="H19" s="335" t="n">
        <f aca="false">G19*(1+Assumptions!$L$14)</f>
        <v>4139157.4468888</v>
      </c>
      <c r="I19" s="335" t="n">
        <f aca="false">H19*(1+Assumptions!$L$14)</f>
        <v>4221940.59582658</v>
      </c>
      <c r="J19" s="335" t="n">
        <f aca="false">I19*(1+Assumptions!$L$14)</f>
        <v>4306379.40774311</v>
      </c>
      <c r="K19" s="335" t="n">
        <f aca="false">J19*(1+Assumptions!$L$14)</f>
        <v>4392506.99589797</v>
      </c>
      <c r="L19" s="335" t="n">
        <f aca="false">K19*(1+Assumptions!$L$14)</f>
        <v>4480357.13581593</v>
      </c>
      <c r="M19" s="335" t="n">
        <f aca="false">L19*(1+Assumptions!$L$14)</f>
        <v>4569964.27853225</v>
      </c>
      <c r="N19" s="335" t="n">
        <f aca="false">M19*(1+Assumptions!$L$14)</f>
        <v>4661363.5641029</v>
      </c>
      <c r="O19" s="335" t="n">
        <f aca="false">N19*(1+Assumptions!$L$14)</f>
        <v>4754590.83538496</v>
      </c>
      <c r="P19" s="335" t="n">
        <f aca="false">O19*(1+Assumptions!$L$14)</f>
        <v>4849682.65209265</v>
      </c>
      <c r="Q19" s="335" t="n">
        <f aca="false">P19*(1+Assumptions!$L$14)</f>
        <v>4946676.30513451</v>
      </c>
      <c r="R19" s="335" t="n">
        <f aca="false">Q19*(1+Assumptions!$L$14)</f>
        <v>5045609.8312372</v>
      </c>
      <c r="S19" s="335" t="n">
        <f aca="false">R19*(1+Assumptions!$L$14)</f>
        <v>5146522.02786194</v>
      </c>
      <c r="T19" s="335" t="n">
        <f aca="false">S19*(1+Assumptions!$L$14)</f>
        <v>5249452.46841918</v>
      </c>
      <c r="U19" s="335" t="n">
        <f aca="false">T19*(1+Assumptions!$L$14)</f>
        <v>5354441.51778756</v>
      </c>
      <c r="V19" s="335" t="n">
        <f aca="false">U19*(1+Assumptions!$L$14)</f>
        <v>5461530.34814332</v>
      </c>
    </row>
    <row r="20" customFormat="false" ht="12.75" hidden="false" customHeight="false" outlineLevel="0" collapsed="false">
      <c r="A20" s="2" t="n">
        <f aca="false">Summary!A27</f>
        <v>11</v>
      </c>
      <c r="B20" s="2" t="s">
        <v>80</v>
      </c>
      <c r="C20" s="333" t="n">
        <f aca="false">UnitData!H20*UnitData!F20*1000</f>
        <v>4620585.22795542</v>
      </c>
      <c r="D20" s="335" t="n">
        <f aca="false">C20*(1+Assumptions!$L$14)</f>
        <v>4712996.93251453</v>
      </c>
      <c r="E20" s="335" t="n">
        <f aca="false">D20*(1+Assumptions!$L$14)</f>
        <v>4807256.87116482</v>
      </c>
      <c r="F20" s="335" t="n">
        <f aca="false">E20*(1+Assumptions!$L$14)</f>
        <v>4903402.00858812</v>
      </c>
      <c r="G20" s="335" t="n">
        <f aca="false">F20*(1+Assumptions!$L$14)</f>
        <v>5001470.04875988</v>
      </c>
      <c r="H20" s="335" t="n">
        <f aca="false">G20*(1+Assumptions!$L$14)</f>
        <v>5101499.44973508</v>
      </c>
      <c r="I20" s="335" t="n">
        <f aca="false">H20*(1+Assumptions!$L$14)</f>
        <v>5203529.43872978</v>
      </c>
      <c r="J20" s="335" t="n">
        <f aca="false">I20*(1+Assumptions!$L$14)</f>
        <v>5307600.02750438</v>
      </c>
      <c r="K20" s="335" t="n">
        <f aca="false">J20*(1+Assumptions!$L$14)</f>
        <v>5413752.02805447</v>
      </c>
      <c r="L20" s="335" t="n">
        <f aca="false">K20*(1+Assumptions!$L$14)</f>
        <v>5522027.06861555</v>
      </c>
      <c r="M20" s="335" t="n">
        <f aca="false">L20*(1+Assumptions!$L$14)</f>
        <v>5632467.60998787</v>
      </c>
      <c r="N20" s="335" t="n">
        <f aca="false">M20*(1+Assumptions!$L$14)</f>
        <v>5745116.96218762</v>
      </c>
      <c r="O20" s="335" t="n">
        <f aca="false">N20*(1+Assumptions!$L$14)</f>
        <v>5860019.30143138</v>
      </c>
      <c r="P20" s="335" t="n">
        <f aca="false">O20*(1+Assumptions!$L$14)</f>
        <v>5977219.68746</v>
      </c>
      <c r="Q20" s="335" t="n">
        <f aca="false">P20*(1+Assumptions!$L$14)</f>
        <v>6096764.0812092</v>
      </c>
      <c r="R20" s="335" t="n">
        <f aca="false">Q20*(1+Assumptions!$L$14)</f>
        <v>6218699.36283339</v>
      </c>
      <c r="S20" s="335" t="n">
        <f aca="false">R20*(1+Assumptions!$L$14)</f>
        <v>6343073.35009006</v>
      </c>
      <c r="T20" s="335" t="n">
        <f aca="false">S20*(1+Assumptions!$L$14)</f>
        <v>6469934.81709186</v>
      </c>
      <c r="U20" s="335" t="n">
        <f aca="false">T20*(1+Assumptions!$L$14)</f>
        <v>6599333.51343369</v>
      </c>
      <c r="V20" s="335" t="n">
        <f aca="false">U20*(1+Assumptions!$L$14)</f>
        <v>6731320.18370237</v>
      </c>
    </row>
    <row r="21" customFormat="false" ht="12.75" hidden="false" customHeight="false" outlineLevel="0" collapsed="false">
      <c r="A21" s="2" t="n">
        <f aca="false">Summary!A28</f>
        <v>12</v>
      </c>
      <c r="B21" s="2" t="s">
        <v>81</v>
      </c>
      <c r="C21" s="333" t="n">
        <f aca="false">UnitData!H21*UnitData!F21*1000</f>
        <v>2826111.11508105</v>
      </c>
      <c r="D21" s="335" t="n">
        <f aca="false">C21*(1+Assumptions!$L$14)</f>
        <v>2882633.33738267</v>
      </c>
      <c r="E21" s="335" t="n">
        <f aca="false">D21*(1+Assumptions!$L$14)</f>
        <v>2940286.00413032</v>
      </c>
      <c r="F21" s="335" t="n">
        <f aca="false">E21*(1+Assumptions!$L$14)</f>
        <v>2999091.72421293</v>
      </c>
      <c r="G21" s="335" t="n">
        <f aca="false">F21*(1+Assumptions!$L$14)</f>
        <v>3059073.55869719</v>
      </c>
      <c r="H21" s="335" t="n">
        <f aca="false">G21*(1+Assumptions!$L$14)</f>
        <v>3120255.02987113</v>
      </c>
      <c r="I21" s="335" t="n">
        <f aca="false">H21*(1+Assumptions!$L$14)</f>
        <v>3182660.13046855</v>
      </c>
      <c r="J21" s="335" t="n">
        <f aca="false">I21*(1+Assumptions!$L$14)</f>
        <v>3246313.33307792</v>
      </c>
      <c r="K21" s="335" t="n">
        <f aca="false">J21*(1+Assumptions!$L$14)</f>
        <v>3311239.59973948</v>
      </c>
      <c r="L21" s="335" t="n">
        <f aca="false">K21*(1+Assumptions!$L$14)</f>
        <v>3377464.39173427</v>
      </c>
      <c r="M21" s="335" t="n">
        <f aca="false">L21*(1+Assumptions!$L$14)</f>
        <v>3445013.67956896</v>
      </c>
      <c r="N21" s="335" t="n">
        <f aca="false">M21*(1+Assumptions!$L$14)</f>
        <v>3513913.95316034</v>
      </c>
      <c r="O21" s="335" t="n">
        <f aca="false">N21*(1+Assumptions!$L$14)</f>
        <v>3584192.23222354</v>
      </c>
      <c r="P21" s="335" t="n">
        <f aca="false">O21*(1+Assumptions!$L$14)</f>
        <v>3655876.07686801</v>
      </c>
      <c r="Q21" s="335" t="n">
        <f aca="false">P21*(1+Assumptions!$L$14)</f>
        <v>3728993.59840537</v>
      </c>
      <c r="R21" s="335" t="n">
        <f aca="false">Q21*(1+Assumptions!$L$14)</f>
        <v>3803573.47037348</v>
      </c>
      <c r="S21" s="335" t="n">
        <f aca="false">R21*(1+Assumptions!$L$14)</f>
        <v>3879644.93978095</v>
      </c>
      <c r="T21" s="335" t="n">
        <f aca="false">S21*(1+Assumptions!$L$14)</f>
        <v>3957237.83857657</v>
      </c>
      <c r="U21" s="335" t="n">
        <f aca="false">T21*(1+Assumptions!$L$14)</f>
        <v>4036382.5953481</v>
      </c>
      <c r="V21" s="335" t="n">
        <f aca="false">U21*(1+Assumptions!$L$14)</f>
        <v>4117110.24725506</v>
      </c>
    </row>
    <row r="22" customFormat="false" ht="12.75" hidden="false" customHeight="false" outlineLevel="0" collapsed="false">
      <c r="A22" s="2" t="n">
        <f aca="false">Summary!A29</f>
        <v>13</v>
      </c>
      <c r="B22" s="2" t="s">
        <v>82</v>
      </c>
      <c r="C22" s="333" t="n">
        <f aca="false">UnitData!H22*UnitData!F22*1000</f>
        <v>3054335.11074108</v>
      </c>
      <c r="D22" s="335" t="n">
        <f aca="false">C22*(1+Assumptions!$L$14)</f>
        <v>3115421.81295591</v>
      </c>
      <c r="E22" s="335" t="n">
        <f aca="false">D22*(1+Assumptions!$L$14)</f>
        <v>3177730.24921502</v>
      </c>
      <c r="F22" s="335" t="n">
        <f aca="false">E22*(1+Assumptions!$L$14)</f>
        <v>3241284.85419932</v>
      </c>
      <c r="G22" s="335" t="n">
        <f aca="false">F22*(1+Assumptions!$L$14)</f>
        <v>3306110.55128331</v>
      </c>
      <c r="H22" s="335" t="n">
        <f aca="false">G22*(1+Assumptions!$L$14)</f>
        <v>3372232.76230898</v>
      </c>
      <c r="I22" s="335" t="n">
        <f aca="false">H22*(1+Assumptions!$L$14)</f>
        <v>3439677.41755516</v>
      </c>
      <c r="J22" s="335" t="n">
        <f aca="false">I22*(1+Assumptions!$L$14)</f>
        <v>3508470.96590626</v>
      </c>
      <c r="K22" s="335" t="n">
        <f aca="false">J22*(1+Assumptions!$L$14)</f>
        <v>3578640.38522439</v>
      </c>
      <c r="L22" s="335" t="n">
        <f aca="false">K22*(1+Assumptions!$L$14)</f>
        <v>3650213.19292887</v>
      </c>
      <c r="M22" s="335" t="n">
        <f aca="false">L22*(1+Assumptions!$L$14)</f>
        <v>3723217.45678745</v>
      </c>
      <c r="N22" s="335" t="n">
        <f aca="false">M22*(1+Assumptions!$L$14)</f>
        <v>3797681.8059232</v>
      </c>
      <c r="O22" s="335" t="n">
        <f aca="false">N22*(1+Assumptions!$L$14)</f>
        <v>3873635.44204166</v>
      </c>
      <c r="P22" s="335" t="n">
        <f aca="false">O22*(1+Assumptions!$L$14)</f>
        <v>3951108.1508825</v>
      </c>
      <c r="Q22" s="335" t="n">
        <f aca="false">P22*(1+Assumptions!$L$14)</f>
        <v>4030130.31390015</v>
      </c>
      <c r="R22" s="335" t="n">
        <f aca="false">Q22*(1+Assumptions!$L$14)</f>
        <v>4110732.92017815</v>
      </c>
      <c r="S22" s="335" t="n">
        <f aca="false">R22*(1+Assumptions!$L$14)</f>
        <v>4192947.57858171</v>
      </c>
      <c r="T22" s="335" t="n">
        <f aca="false">S22*(1+Assumptions!$L$14)</f>
        <v>4276806.53015335</v>
      </c>
      <c r="U22" s="335" t="n">
        <f aca="false">T22*(1+Assumptions!$L$14)</f>
        <v>4362342.66075642</v>
      </c>
      <c r="V22" s="335" t="n">
        <f aca="false">U22*(1+Assumptions!$L$14)</f>
        <v>4449589.51397154</v>
      </c>
    </row>
    <row r="23" customFormat="false" ht="12.75" hidden="false" customHeight="false" outlineLevel="0" collapsed="false">
      <c r="A23" s="2" t="n">
        <f aca="false">Summary!A30</f>
        <v>14</v>
      </c>
      <c r="B23" s="2" t="s">
        <v>83</v>
      </c>
      <c r="C23" s="333" t="n">
        <f aca="false">UnitData!H23*UnitData!F23*1000</f>
        <v>2832481.54378596</v>
      </c>
      <c r="D23" s="335" t="n">
        <f aca="false">C23*(1+Assumptions!$L$14)</f>
        <v>2889131.17466168</v>
      </c>
      <c r="E23" s="335" t="n">
        <f aca="false">D23*(1+Assumptions!$L$14)</f>
        <v>2946913.79815491</v>
      </c>
      <c r="F23" s="335" t="n">
        <f aca="false">E23*(1+Assumptions!$L$14)</f>
        <v>3005852.07411801</v>
      </c>
      <c r="G23" s="335" t="n">
        <f aca="false">F23*(1+Assumptions!$L$14)</f>
        <v>3065969.11560037</v>
      </c>
      <c r="H23" s="335" t="n">
        <f aca="false">G23*(1+Assumptions!$L$14)</f>
        <v>3127288.49791238</v>
      </c>
      <c r="I23" s="335" t="n">
        <f aca="false">H23*(1+Assumptions!$L$14)</f>
        <v>3189834.26787062</v>
      </c>
      <c r="J23" s="335" t="n">
        <f aca="false">I23*(1+Assumptions!$L$14)</f>
        <v>3253630.95322804</v>
      </c>
      <c r="K23" s="335" t="n">
        <f aca="false">J23*(1+Assumptions!$L$14)</f>
        <v>3318703.5722926</v>
      </c>
      <c r="L23" s="335" t="n">
        <f aca="false">K23*(1+Assumptions!$L$14)</f>
        <v>3385077.64373845</v>
      </c>
      <c r="M23" s="335" t="n">
        <f aca="false">L23*(1+Assumptions!$L$14)</f>
        <v>3452779.19661322</v>
      </c>
      <c r="N23" s="335" t="n">
        <f aca="false">M23*(1+Assumptions!$L$14)</f>
        <v>3521834.78054548</v>
      </c>
      <c r="O23" s="335" t="n">
        <f aca="false">N23*(1+Assumptions!$L$14)</f>
        <v>3592271.47615639</v>
      </c>
      <c r="P23" s="335" t="n">
        <f aca="false">O23*(1+Assumptions!$L$14)</f>
        <v>3664116.90567952</v>
      </c>
      <c r="Q23" s="335" t="n">
        <f aca="false">P23*(1+Assumptions!$L$14)</f>
        <v>3737399.24379311</v>
      </c>
      <c r="R23" s="335" t="n">
        <f aca="false">Q23*(1+Assumptions!$L$14)</f>
        <v>3812147.22866897</v>
      </c>
      <c r="S23" s="335" t="n">
        <f aca="false">R23*(1+Assumptions!$L$14)</f>
        <v>3888390.17324235</v>
      </c>
      <c r="T23" s="335" t="n">
        <f aca="false">S23*(1+Assumptions!$L$14)</f>
        <v>3966157.9767072</v>
      </c>
      <c r="U23" s="335" t="n">
        <f aca="false">T23*(1+Assumptions!$L$14)</f>
        <v>4045481.13624134</v>
      </c>
      <c r="V23" s="335" t="n">
        <f aca="false">U23*(1+Assumptions!$L$14)</f>
        <v>4126390.75896617</v>
      </c>
    </row>
    <row r="24" customFormat="false" ht="12.75" hidden="false" customHeight="false" outlineLevel="0" collapsed="false">
      <c r="A24" s="2" t="n">
        <f aca="false">Summary!A31</f>
        <v>15</v>
      </c>
      <c r="B24" s="2" t="s">
        <v>84</v>
      </c>
      <c r="C24" s="333" t="n">
        <f aca="false">UnitData!H24*UnitData!F24*1000</f>
        <v>3592380.55221472</v>
      </c>
      <c r="D24" s="335" t="n">
        <f aca="false">C24*(1+Assumptions!$L$14)</f>
        <v>3664228.16325901</v>
      </c>
      <c r="E24" s="335" t="n">
        <f aca="false">D24*(1+Assumptions!$L$14)</f>
        <v>3737512.72652419</v>
      </c>
      <c r="F24" s="335" t="n">
        <f aca="false">E24*(1+Assumptions!$L$14)</f>
        <v>3812262.98105467</v>
      </c>
      <c r="G24" s="335" t="n">
        <f aca="false">F24*(1+Assumptions!$L$14)</f>
        <v>3888508.24067577</v>
      </c>
      <c r="H24" s="335" t="n">
        <f aca="false">G24*(1+Assumptions!$L$14)</f>
        <v>3966278.40548928</v>
      </c>
      <c r="I24" s="335" t="n">
        <f aca="false">H24*(1+Assumptions!$L$14)</f>
        <v>4045603.97359907</v>
      </c>
      <c r="J24" s="335" t="n">
        <f aca="false">I24*(1+Assumptions!$L$14)</f>
        <v>4126516.05307105</v>
      </c>
      <c r="K24" s="335" t="n">
        <f aca="false">J24*(1+Assumptions!$L$14)</f>
        <v>4209046.37413247</v>
      </c>
      <c r="L24" s="335" t="n">
        <f aca="false">K24*(1+Assumptions!$L$14)</f>
        <v>4293227.30161512</v>
      </c>
      <c r="M24" s="335" t="n">
        <f aca="false">L24*(1+Assumptions!$L$14)</f>
        <v>4379091.84764742</v>
      </c>
      <c r="N24" s="335" t="n">
        <f aca="false">M24*(1+Assumptions!$L$14)</f>
        <v>4466673.68460037</v>
      </c>
      <c r="O24" s="335" t="n">
        <f aca="false">N24*(1+Assumptions!$L$14)</f>
        <v>4556007.15829238</v>
      </c>
      <c r="P24" s="335" t="n">
        <f aca="false">O24*(1+Assumptions!$L$14)</f>
        <v>4647127.30145823</v>
      </c>
      <c r="Q24" s="335" t="n">
        <f aca="false">P24*(1+Assumptions!$L$14)</f>
        <v>4740069.84748739</v>
      </c>
      <c r="R24" s="335" t="n">
        <f aca="false">Q24*(1+Assumptions!$L$14)</f>
        <v>4834871.24443714</v>
      </c>
      <c r="S24" s="335" t="n">
        <f aca="false">R24*(1+Assumptions!$L$14)</f>
        <v>4931568.66932588</v>
      </c>
      <c r="T24" s="335" t="n">
        <f aca="false">S24*(1+Assumptions!$L$14)</f>
        <v>5030200.0427124</v>
      </c>
      <c r="U24" s="335" t="n">
        <f aca="false">T24*(1+Assumptions!$L$14)</f>
        <v>5130804.04356665</v>
      </c>
      <c r="V24" s="335" t="n">
        <f aca="false">U24*(1+Assumptions!$L$14)</f>
        <v>5233420.12443798</v>
      </c>
    </row>
    <row r="25" customFormat="false" ht="12.75" hidden="false" customHeight="false" outlineLevel="0" collapsed="false">
      <c r="A25" s="2" t="n">
        <f aca="false">Summary!A32</f>
        <v>16</v>
      </c>
      <c r="B25" s="2" t="s">
        <v>85</v>
      </c>
      <c r="C25" s="333" t="n">
        <f aca="false">UnitData!H25*UnitData!F25*1000</f>
        <v>4667110.03684735</v>
      </c>
      <c r="D25" s="335" t="n">
        <f aca="false">C25*(1+Assumptions!$L$14)</f>
        <v>4760452.2375843</v>
      </c>
      <c r="E25" s="335" t="n">
        <f aca="false">D25*(1+Assumptions!$L$14)</f>
        <v>4855661.28233599</v>
      </c>
      <c r="F25" s="335" t="n">
        <f aca="false">E25*(1+Assumptions!$L$14)</f>
        <v>4952774.50798271</v>
      </c>
      <c r="G25" s="335" t="n">
        <f aca="false">F25*(1+Assumptions!$L$14)</f>
        <v>5051829.99814236</v>
      </c>
      <c r="H25" s="335" t="n">
        <f aca="false">G25*(1+Assumptions!$L$14)</f>
        <v>5152866.59810521</v>
      </c>
      <c r="I25" s="335" t="n">
        <f aca="false">H25*(1+Assumptions!$L$14)</f>
        <v>5255923.93006731</v>
      </c>
      <c r="J25" s="335" t="n">
        <f aca="false">I25*(1+Assumptions!$L$14)</f>
        <v>5361042.40866866</v>
      </c>
      <c r="K25" s="335" t="n">
        <f aca="false">J25*(1+Assumptions!$L$14)</f>
        <v>5468263.25684203</v>
      </c>
      <c r="L25" s="335" t="n">
        <f aca="false">K25*(1+Assumptions!$L$14)</f>
        <v>5577628.52197887</v>
      </c>
      <c r="M25" s="335" t="n">
        <f aca="false">L25*(1+Assumptions!$L$14)</f>
        <v>5689181.09241845</v>
      </c>
      <c r="N25" s="335" t="n">
        <f aca="false">M25*(1+Assumptions!$L$14)</f>
        <v>5802964.71426682</v>
      </c>
      <c r="O25" s="335" t="n">
        <f aca="false">N25*(1+Assumptions!$L$14)</f>
        <v>5919024.00855215</v>
      </c>
      <c r="P25" s="335" t="n">
        <f aca="false">O25*(1+Assumptions!$L$14)</f>
        <v>6037404.4887232</v>
      </c>
      <c r="Q25" s="335" t="n">
        <f aca="false">P25*(1+Assumptions!$L$14)</f>
        <v>6158152.57849766</v>
      </c>
      <c r="R25" s="335" t="n">
        <f aca="false">Q25*(1+Assumptions!$L$14)</f>
        <v>6281315.63006762</v>
      </c>
      <c r="S25" s="335" t="n">
        <f aca="false">R25*(1+Assumptions!$L$14)</f>
        <v>6406941.94266897</v>
      </c>
      <c r="T25" s="335" t="n">
        <f aca="false">S25*(1+Assumptions!$L$14)</f>
        <v>6535080.78152235</v>
      </c>
      <c r="U25" s="335" t="n">
        <f aca="false">T25*(1+Assumptions!$L$14)</f>
        <v>6665782.39715279</v>
      </c>
      <c r="V25" s="335" t="n">
        <f aca="false">U25*(1+Assumptions!$L$14)</f>
        <v>6799098.04509585</v>
      </c>
    </row>
    <row r="26" customFormat="false" ht="12.75" hidden="false" customHeight="false" outlineLevel="0" collapsed="false">
      <c r="A26" s="2" t="n">
        <f aca="false">Summary!A33</f>
        <v>17</v>
      </c>
      <c r="B26" s="2" t="s">
        <v>86</v>
      </c>
      <c r="C26" s="333" t="n">
        <f aca="false">UnitData!H26*UnitData!F26*1000</f>
        <v>1799946.0099868</v>
      </c>
      <c r="D26" s="335" t="n">
        <f aca="false">C26*(1+Assumptions!$L$14)</f>
        <v>1835944.93018654</v>
      </c>
      <c r="E26" s="335" t="n">
        <f aca="false">D26*(1+Assumptions!$L$14)</f>
        <v>1872663.82879027</v>
      </c>
      <c r="F26" s="335" t="n">
        <f aca="false">E26*(1+Assumptions!$L$14)</f>
        <v>1910117.10536607</v>
      </c>
      <c r="G26" s="335" t="n">
        <f aca="false">F26*(1+Assumptions!$L$14)</f>
        <v>1948319.44747339</v>
      </c>
      <c r="H26" s="335" t="n">
        <f aca="false">G26*(1+Assumptions!$L$14)</f>
        <v>1987285.83642286</v>
      </c>
      <c r="I26" s="335" t="n">
        <f aca="false">H26*(1+Assumptions!$L$14)</f>
        <v>2027031.55315132</v>
      </c>
      <c r="J26" s="335" t="n">
        <f aca="false">I26*(1+Assumptions!$L$14)</f>
        <v>2067572.18421435</v>
      </c>
      <c r="K26" s="335" t="n">
        <f aca="false">J26*(1+Assumptions!$L$14)</f>
        <v>2108923.62789863</v>
      </c>
      <c r="L26" s="335" t="n">
        <f aca="false">K26*(1+Assumptions!$L$14)</f>
        <v>2151102.1004566</v>
      </c>
      <c r="M26" s="335" t="n">
        <f aca="false">L26*(1+Assumptions!$L$14)</f>
        <v>2194124.14246574</v>
      </c>
      <c r="N26" s="335" t="n">
        <f aca="false">M26*(1+Assumptions!$L$14)</f>
        <v>2238006.62531505</v>
      </c>
      <c r="O26" s="335" t="n">
        <f aca="false">N26*(1+Assumptions!$L$14)</f>
        <v>2282766.75782135</v>
      </c>
      <c r="P26" s="335" t="n">
        <f aca="false">O26*(1+Assumptions!$L$14)</f>
        <v>2328422.09297778</v>
      </c>
      <c r="Q26" s="335" t="n">
        <f aca="false">P26*(1+Assumptions!$L$14)</f>
        <v>2374990.53483734</v>
      </c>
      <c r="R26" s="335" t="n">
        <f aca="false">Q26*(1+Assumptions!$L$14)</f>
        <v>2422490.34553408</v>
      </c>
      <c r="S26" s="335" t="n">
        <f aca="false">R26*(1+Assumptions!$L$14)</f>
        <v>2470940.15244476</v>
      </c>
      <c r="T26" s="335" t="n">
        <f aca="false">S26*(1+Assumptions!$L$14)</f>
        <v>2520358.95549366</v>
      </c>
      <c r="U26" s="335" t="n">
        <f aca="false">T26*(1+Assumptions!$L$14)</f>
        <v>2570766.13460353</v>
      </c>
      <c r="V26" s="335" t="n">
        <f aca="false">U26*(1+Assumptions!$L$14)</f>
        <v>2622181.4572956</v>
      </c>
    </row>
    <row r="27" customFormat="false" ht="12.75" hidden="false" customHeight="false" outlineLevel="0" collapsed="false">
      <c r="A27" s="2" t="n">
        <f aca="false">Summary!A34</f>
        <v>18</v>
      </c>
      <c r="B27" s="2" t="s">
        <v>87</v>
      </c>
      <c r="C27" s="333" t="n">
        <f aca="false">UnitData!H27*UnitData!F27*1000</f>
        <v>10698072.9199058</v>
      </c>
      <c r="D27" s="335" t="n">
        <f aca="false">C27*(1+Assumptions!$L$14)</f>
        <v>10912034.3783039</v>
      </c>
      <c r="E27" s="335" t="n">
        <f aca="false">D27*(1+Assumptions!$L$14)</f>
        <v>11130275.06587</v>
      </c>
      <c r="F27" s="335" t="n">
        <f aca="false">E27*(1+Assumptions!$L$14)</f>
        <v>11352880.5671874</v>
      </c>
      <c r="G27" s="335" t="n">
        <f aca="false">F27*(1+Assumptions!$L$14)</f>
        <v>11579938.1785312</v>
      </c>
      <c r="H27" s="335" t="n">
        <f aca="false">G27*(1+Assumptions!$L$14)</f>
        <v>11811536.9421018</v>
      </c>
      <c r="I27" s="335" t="n">
        <f aca="false">H27*(1+Assumptions!$L$14)</f>
        <v>12047767.6809438</v>
      </c>
      <c r="J27" s="335" t="n">
        <f aca="false">I27*(1+Assumptions!$L$14)</f>
        <v>12288723.0345627</v>
      </c>
      <c r="K27" s="335" t="n">
        <f aca="false">J27*(1+Assumptions!$L$14)</f>
        <v>12534497.495254</v>
      </c>
      <c r="L27" s="335" t="n">
        <f aca="false">K27*(1+Assumptions!$L$14)</f>
        <v>12785187.445159</v>
      </c>
      <c r="M27" s="335" t="n">
        <f aca="false">L27*(1+Assumptions!$L$14)</f>
        <v>13040891.1940622</v>
      </c>
      <c r="N27" s="335" t="n">
        <f aca="false">M27*(1+Assumptions!$L$14)</f>
        <v>13301709.0179435</v>
      </c>
      <c r="O27" s="335" t="n">
        <f aca="false">N27*(1+Assumptions!$L$14)</f>
        <v>13567743.1983023</v>
      </c>
      <c r="P27" s="335" t="n">
        <f aca="false">O27*(1+Assumptions!$L$14)</f>
        <v>13839098.0622684</v>
      </c>
      <c r="Q27" s="335" t="n">
        <f aca="false">P27*(1+Assumptions!$L$14)</f>
        <v>14115880.0235137</v>
      </c>
      <c r="R27" s="335" t="n">
        <f aca="false">Q27*(1+Assumptions!$L$14)</f>
        <v>14398197.623984</v>
      </c>
      <c r="S27" s="335" t="n">
        <f aca="false">R27*(1+Assumptions!$L$14)</f>
        <v>14686161.5764637</v>
      </c>
      <c r="T27" s="335" t="n">
        <f aca="false">S27*(1+Assumptions!$L$14)</f>
        <v>14979884.807993</v>
      </c>
      <c r="U27" s="335" t="n">
        <f aca="false">T27*(1+Assumptions!$L$14)</f>
        <v>15279482.5041528</v>
      </c>
      <c r="V27" s="335" t="n">
        <f aca="false">U27*(1+Assumptions!$L$14)</f>
        <v>15585072.1542359</v>
      </c>
    </row>
    <row r="28" customFormat="false" ht="12.75" hidden="false" customHeight="false" outlineLevel="0" collapsed="false">
      <c r="A28" s="2" t="n">
        <f aca="false">Summary!A35</f>
        <v>19</v>
      </c>
      <c r="B28" s="2" t="s">
        <v>88</v>
      </c>
      <c r="C28" s="333" t="n">
        <f aca="false">UnitData!H28*UnitData!F28*1000</f>
        <v>264786.623982461</v>
      </c>
      <c r="D28" s="335" t="n">
        <f aca="false">C28*(1+Assumptions!$L$14)</f>
        <v>270082.35646211</v>
      </c>
      <c r="E28" s="335" t="n">
        <f aca="false">D28*(1+Assumptions!$L$14)</f>
        <v>275484.003591353</v>
      </c>
      <c r="F28" s="335" t="n">
        <f aca="false">E28*(1+Assumptions!$L$14)</f>
        <v>280993.68366318</v>
      </c>
      <c r="G28" s="335" t="n">
        <f aca="false">F28*(1+Assumptions!$L$14)</f>
        <v>286613.557336443</v>
      </c>
      <c r="H28" s="335" t="n">
        <f aca="false">G28*(1+Assumptions!$L$14)</f>
        <v>292345.828483172</v>
      </c>
      <c r="I28" s="335" t="n">
        <f aca="false">H28*(1+Assumptions!$L$14)</f>
        <v>298192.745052836</v>
      </c>
      <c r="J28" s="335" t="n">
        <f aca="false">I28*(1+Assumptions!$L$14)</f>
        <v>304156.599953892</v>
      </c>
      <c r="K28" s="335" t="n">
        <f aca="false">J28*(1+Assumptions!$L$14)</f>
        <v>310239.73195297</v>
      </c>
      <c r="L28" s="335" t="n">
        <f aca="false">K28*(1+Assumptions!$L$14)</f>
        <v>316444.52659203</v>
      </c>
      <c r="M28" s="335" t="n">
        <f aca="false">L28*(1+Assumptions!$L$14)</f>
        <v>322773.41712387</v>
      </c>
      <c r="N28" s="335" t="n">
        <f aca="false">M28*(1+Assumptions!$L$14)</f>
        <v>329228.885466348</v>
      </c>
      <c r="O28" s="335" t="n">
        <f aca="false">N28*(1+Assumptions!$L$14)</f>
        <v>335813.463175675</v>
      </c>
      <c r="P28" s="335" t="n">
        <f aca="false">O28*(1+Assumptions!$L$14)</f>
        <v>342529.732439188</v>
      </c>
      <c r="Q28" s="335" t="n">
        <f aca="false">P28*(1+Assumptions!$L$14)</f>
        <v>349380.327087972</v>
      </c>
      <c r="R28" s="335" t="n">
        <f aca="false">Q28*(1+Assumptions!$L$14)</f>
        <v>356367.933629731</v>
      </c>
      <c r="S28" s="335" t="n">
        <f aca="false">R28*(1+Assumptions!$L$14)</f>
        <v>363495.292302326</v>
      </c>
      <c r="T28" s="335" t="n">
        <f aca="false">S28*(1+Assumptions!$L$14)</f>
        <v>370765.198148372</v>
      </c>
      <c r="U28" s="335" t="n">
        <f aca="false">T28*(1+Assumptions!$L$14)</f>
        <v>378180.50211134</v>
      </c>
      <c r="V28" s="335" t="n">
        <f aca="false">U28*(1+Assumptions!$L$14)</f>
        <v>385744.112153567</v>
      </c>
    </row>
    <row r="29" customFormat="false" ht="12.75" hidden="false" customHeight="false" outlineLevel="0" collapsed="false">
      <c r="A29" s="2" t="n">
        <f aca="false">Summary!A36</f>
        <v>20</v>
      </c>
      <c r="B29" s="2" t="s">
        <v>89</v>
      </c>
      <c r="C29" s="333" t="n">
        <f aca="false">UnitData!H29*UnitData!F29*1000</f>
        <v>42776.5849635032</v>
      </c>
      <c r="D29" s="335" t="n">
        <f aca="false">C29*(1+Assumptions!$L$14)</f>
        <v>43632.1166627733</v>
      </c>
      <c r="E29" s="335" t="n">
        <f aca="false">D29*(1+Assumptions!$L$14)</f>
        <v>44504.7589960288</v>
      </c>
      <c r="F29" s="335" t="n">
        <f aca="false">E29*(1+Assumptions!$L$14)</f>
        <v>45394.8541759493</v>
      </c>
      <c r="G29" s="335" t="n">
        <f aca="false">F29*(1+Assumptions!$L$14)</f>
        <v>46302.7512594683</v>
      </c>
      <c r="H29" s="335" t="n">
        <f aca="false">G29*(1+Assumptions!$L$14)</f>
        <v>47228.8062846577</v>
      </c>
      <c r="I29" s="335" t="n">
        <f aca="false">H29*(1+Assumptions!$L$14)</f>
        <v>48173.3824103508</v>
      </c>
      <c r="J29" s="335" t="n">
        <f aca="false">I29*(1+Assumptions!$L$14)</f>
        <v>49136.8500585579</v>
      </c>
      <c r="K29" s="335" t="n">
        <f aca="false">J29*(1+Assumptions!$L$14)</f>
        <v>50119.587059729</v>
      </c>
      <c r="L29" s="335" t="n">
        <f aca="false">K29*(1+Assumptions!$L$14)</f>
        <v>51121.9788009236</v>
      </c>
      <c r="M29" s="335" t="n">
        <f aca="false">L29*(1+Assumptions!$L$14)</f>
        <v>52144.4183769421</v>
      </c>
      <c r="N29" s="335" t="n">
        <f aca="false">M29*(1+Assumptions!$L$14)</f>
        <v>53187.3067444809</v>
      </c>
      <c r="O29" s="335" t="n">
        <f aca="false">N29*(1+Assumptions!$L$14)</f>
        <v>54251.0528793705</v>
      </c>
      <c r="P29" s="335" t="n">
        <f aca="false">O29*(1+Assumptions!$L$14)</f>
        <v>55336.0739369579</v>
      </c>
      <c r="Q29" s="335" t="n">
        <f aca="false">P29*(1+Assumptions!$L$14)</f>
        <v>56442.7954156971</v>
      </c>
      <c r="R29" s="335" t="n">
        <f aca="false">Q29*(1+Assumptions!$L$14)</f>
        <v>57571.651324011</v>
      </c>
      <c r="S29" s="335" t="n">
        <f aca="false">R29*(1+Assumptions!$L$14)</f>
        <v>58723.0843504913</v>
      </c>
      <c r="T29" s="335" t="n">
        <f aca="false">S29*(1+Assumptions!$L$14)</f>
        <v>59897.5460375011</v>
      </c>
      <c r="U29" s="335" t="n">
        <f aca="false">T29*(1+Assumptions!$L$14)</f>
        <v>61095.4969582511</v>
      </c>
      <c r="V29" s="335" t="n">
        <f aca="false">U29*(1+Assumptions!$L$14)</f>
        <v>62317.4068974161</v>
      </c>
    </row>
    <row r="30" customFormat="false" ht="12.75" hidden="false" customHeight="false" outlineLevel="0" collapsed="false">
      <c r="A30" s="2" t="n">
        <f aca="false">Summary!A37</f>
        <v>21</v>
      </c>
      <c r="B30" s="2" t="s">
        <v>90</v>
      </c>
      <c r="C30" s="333" t="n">
        <f aca="false">UnitData!H30*UnitData!F30*1000</f>
        <v>94001.3909467206</v>
      </c>
      <c r="D30" s="335" t="n">
        <f aca="false">C30*(1+Assumptions!$L$14)</f>
        <v>95881.418765655</v>
      </c>
      <c r="E30" s="335" t="n">
        <f aca="false">D30*(1+Assumptions!$L$14)</f>
        <v>97799.0471409681</v>
      </c>
      <c r="F30" s="335" t="n">
        <f aca="false">E30*(1+Assumptions!$L$14)</f>
        <v>99755.0280837875</v>
      </c>
      <c r="G30" s="335" t="n">
        <f aca="false">F30*(1+Assumptions!$L$14)</f>
        <v>101750.128645463</v>
      </c>
      <c r="H30" s="335" t="n">
        <f aca="false">G30*(1+Assumptions!$L$14)</f>
        <v>103785.131218373</v>
      </c>
      <c r="I30" s="335" t="n">
        <f aca="false">H30*(1+Assumptions!$L$14)</f>
        <v>105860.83384274</v>
      </c>
      <c r="J30" s="335" t="n">
        <f aca="false">I30*(1+Assumptions!$L$14)</f>
        <v>107978.050519595</v>
      </c>
      <c r="K30" s="335" t="n">
        <f aca="false">J30*(1+Assumptions!$L$14)</f>
        <v>110137.611529987</v>
      </c>
      <c r="L30" s="335" t="n">
        <f aca="false">K30*(1+Assumptions!$L$14)</f>
        <v>112340.363760586</v>
      </c>
      <c r="M30" s="335" t="n">
        <f aca="false">L30*(1+Assumptions!$L$14)</f>
        <v>114587.171035798</v>
      </c>
      <c r="N30" s="335" t="n">
        <f aca="false">M30*(1+Assumptions!$L$14)</f>
        <v>116878.914456514</v>
      </c>
      <c r="O30" s="335" t="n">
        <f aca="false">N30*(1+Assumptions!$L$14)</f>
        <v>119216.492745644</v>
      </c>
      <c r="P30" s="335" t="n">
        <f aca="false">O30*(1+Assumptions!$L$14)</f>
        <v>121600.822600557</v>
      </c>
      <c r="Q30" s="335" t="n">
        <f aca="false">P30*(1+Assumptions!$L$14)</f>
        <v>124032.839052568</v>
      </c>
      <c r="R30" s="335" t="n">
        <f aca="false">Q30*(1+Assumptions!$L$14)</f>
        <v>126513.49583362</v>
      </c>
      <c r="S30" s="335" t="n">
        <f aca="false">R30*(1+Assumptions!$L$14)</f>
        <v>129043.765750292</v>
      </c>
      <c r="T30" s="335" t="n">
        <f aca="false">S30*(1+Assumptions!$L$14)</f>
        <v>131624.641065298</v>
      </c>
      <c r="U30" s="335" t="n">
        <f aca="false">T30*(1+Assumptions!$L$14)</f>
        <v>134257.133886604</v>
      </c>
      <c r="V30" s="335" t="n">
        <f aca="false">U30*(1+Assumptions!$L$14)</f>
        <v>136942.276564336</v>
      </c>
    </row>
    <row r="31" customFormat="false" ht="12.75" hidden="false" customHeight="false" outlineLevel="0" collapsed="false">
      <c r="A31" s="2" t="n">
        <f aca="false">Summary!A38</f>
        <v>22</v>
      </c>
      <c r="B31" s="2" t="s">
        <v>91</v>
      </c>
      <c r="C31" s="333" t="n">
        <f aca="false">UnitData!H31*UnitData!F31*1000</f>
        <v>188970.5052701</v>
      </c>
      <c r="D31" s="335" t="n">
        <f aca="false">C31*(1+Assumptions!$L$14)</f>
        <v>192749.915375502</v>
      </c>
      <c r="E31" s="335" t="n">
        <f aca="false">D31*(1+Assumptions!$L$14)</f>
        <v>196604.913683012</v>
      </c>
      <c r="F31" s="335" t="n">
        <f aca="false">E31*(1+Assumptions!$L$14)</f>
        <v>200537.011956672</v>
      </c>
      <c r="G31" s="335" t="n">
        <f aca="false">F31*(1+Assumptions!$L$14)</f>
        <v>204547.752195805</v>
      </c>
      <c r="H31" s="335" t="n">
        <f aca="false">G31*(1+Assumptions!$L$14)</f>
        <v>208638.707239721</v>
      </c>
      <c r="I31" s="335" t="n">
        <f aca="false">H31*(1+Assumptions!$L$14)</f>
        <v>212811.481384516</v>
      </c>
      <c r="J31" s="335" t="n">
        <f aca="false">I31*(1+Assumptions!$L$14)</f>
        <v>217067.711012206</v>
      </c>
      <c r="K31" s="335" t="n">
        <f aca="false">J31*(1+Assumptions!$L$14)</f>
        <v>221409.06523245</v>
      </c>
      <c r="L31" s="335" t="n">
        <f aca="false">K31*(1+Assumptions!$L$14)</f>
        <v>225837.246537099</v>
      </c>
      <c r="M31" s="335" t="n">
        <f aca="false">L31*(1+Assumptions!$L$14)</f>
        <v>230353.991467841</v>
      </c>
      <c r="N31" s="335" t="n">
        <f aca="false">M31*(1+Assumptions!$L$14)</f>
        <v>234961.071297198</v>
      </c>
      <c r="O31" s="335" t="n">
        <f aca="false">N31*(1+Assumptions!$L$14)</f>
        <v>239660.292723142</v>
      </c>
      <c r="P31" s="335" t="n">
        <f aca="false">O31*(1+Assumptions!$L$14)</f>
        <v>244453.498577605</v>
      </c>
      <c r="Q31" s="335" t="n">
        <f aca="false">P31*(1+Assumptions!$L$14)</f>
        <v>249342.568549157</v>
      </c>
      <c r="R31" s="335" t="n">
        <f aca="false">Q31*(1+Assumptions!$L$14)</f>
        <v>254329.41992014</v>
      </c>
      <c r="S31" s="335" t="n">
        <f aca="false">R31*(1+Assumptions!$L$14)</f>
        <v>259416.008318543</v>
      </c>
      <c r="T31" s="335" t="n">
        <f aca="false">S31*(1+Assumptions!$L$14)</f>
        <v>264604.328484914</v>
      </c>
      <c r="U31" s="335" t="n">
        <f aca="false">T31*(1+Assumptions!$L$14)</f>
        <v>269896.415054612</v>
      </c>
      <c r="V31" s="335" t="n">
        <f aca="false">U31*(1+Assumptions!$L$14)</f>
        <v>275294.343355704</v>
      </c>
    </row>
    <row r="32" customFormat="false" ht="12.75" hidden="false" customHeight="false" outlineLevel="0" collapsed="false">
      <c r="A32" s="2" t="n">
        <f aca="false">Summary!A39</f>
        <v>23</v>
      </c>
      <c r="B32" s="2" t="s">
        <v>92</v>
      </c>
      <c r="C32" s="333" t="n">
        <f aca="false">UnitData!H32*UnitData!F32*1000</f>
        <v>89770.854293083</v>
      </c>
      <c r="D32" s="335" t="n">
        <f aca="false">C32*(1+Assumptions!$L$14)</f>
        <v>91566.2713789447</v>
      </c>
      <c r="E32" s="335" t="n">
        <f aca="false">D32*(1+Assumptions!$L$14)</f>
        <v>93397.5968065236</v>
      </c>
      <c r="F32" s="335" t="n">
        <f aca="false">E32*(1+Assumptions!$L$14)</f>
        <v>95265.548742654</v>
      </c>
      <c r="G32" s="335" t="n">
        <f aca="false">F32*(1+Assumptions!$L$14)</f>
        <v>97170.8597175071</v>
      </c>
      <c r="H32" s="335" t="n">
        <f aca="false">G32*(1+Assumptions!$L$14)</f>
        <v>99114.2769118573</v>
      </c>
      <c r="I32" s="335" t="n">
        <f aca="false">H32*(1+Assumptions!$L$14)</f>
        <v>101096.562450094</v>
      </c>
      <c r="J32" s="335" t="n">
        <f aca="false">I32*(1+Assumptions!$L$14)</f>
        <v>103118.493699096</v>
      </c>
      <c r="K32" s="335" t="n">
        <f aca="false">J32*(1+Assumptions!$L$14)</f>
        <v>105180.863573078</v>
      </c>
      <c r="L32" s="335" t="n">
        <f aca="false">K32*(1+Assumptions!$L$14)</f>
        <v>107284.48084454</v>
      </c>
      <c r="M32" s="335" t="n">
        <f aca="false">L32*(1+Assumptions!$L$14)</f>
        <v>109430.170461431</v>
      </c>
      <c r="N32" s="335" t="n">
        <f aca="false">M32*(1+Assumptions!$L$14)</f>
        <v>111618.773870659</v>
      </c>
      <c r="O32" s="335" t="n">
        <f aca="false">N32*(1+Assumptions!$L$14)</f>
        <v>113851.149348072</v>
      </c>
      <c r="P32" s="335" t="n">
        <f aca="false">O32*(1+Assumptions!$L$14)</f>
        <v>116128.172335034</v>
      </c>
      <c r="Q32" s="335" t="n">
        <f aca="false">P32*(1+Assumptions!$L$14)</f>
        <v>118450.735781735</v>
      </c>
      <c r="R32" s="335" t="n">
        <f aca="false">Q32*(1+Assumptions!$L$14)</f>
        <v>120819.750497369</v>
      </c>
      <c r="S32" s="335" t="n">
        <f aca="false">R32*(1+Assumptions!$L$14)</f>
        <v>123236.145507317</v>
      </c>
      <c r="T32" s="335" t="n">
        <f aca="false">S32*(1+Assumptions!$L$14)</f>
        <v>125700.868417463</v>
      </c>
      <c r="U32" s="335" t="n">
        <f aca="false">T32*(1+Assumptions!$L$14)</f>
        <v>128214.885785812</v>
      </c>
      <c r="V32" s="335" t="n">
        <f aca="false">U32*(1+Assumptions!$L$14)</f>
        <v>130779.183501528</v>
      </c>
    </row>
    <row r="33" customFormat="false" ht="12.75" hidden="false" customHeight="false" outlineLevel="0" collapsed="false">
      <c r="A33" s="2" t="n">
        <f aca="false">Summary!A40</f>
        <v>24</v>
      </c>
      <c r="B33" s="2" t="s">
        <v>93</v>
      </c>
      <c r="C33" s="333" t="n">
        <f aca="false">UnitData!H33*UnitData!F33*1000</f>
        <v>89770.854293083</v>
      </c>
      <c r="D33" s="335" t="n">
        <f aca="false">C33*(1+Assumptions!$L$14)</f>
        <v>91566.2713789447</v>
      </c>
      <c r="E33" s="335" t="n">
        <f aca="false">D33*(1+Assumptions!$L$14)</f>
        <v>93397.5968065236</v>
      </c>
      <c r="F33" s="335" t="n">
        <f aca="false">E33*(1+Assumptions!$L$14)</f>
        <v>95265.548742654</v>
      </c>
      <c r="G33" s="335" t="n">
        <f aca="false">F33*(1+Assumptions!$L$14)</f>
        <v>97170.8597175071</v>
      </c>
      <c r="H33" s="335" t="n">
        <f aca="false">G33*(1+Assumptions!$L$14)</f>
        <v>99114.2769118573</v>
      </c>
      <c r="I33" s="335" t="n">
        <f aca="false">H33*(1+Assumptions!$L$14)</f>
        <v>101096.562450094</v>
      </c>
      <c r="J33" s="335" t="n">
        <f aca="false">I33*(1+Assumptions!$L$14)</f>
        <v>103118.493699096</v>
      </c>
      <c r="K33" s="335" t="n">
        <f aca="false">J33*(1+Assumptions!$L$14)</f>
        <v>105180.863573078</v>
      </c>
      <c r="L33" s="335" t="n">
        <f aca="false">K33*(1+Assumptions!$L$14)</f>
        <v>107284.48084454</v>
      </c>
      <c r="M33" s="335" t="n">
        <f aca="false">L33*(1+Assumptions!$L$14)</f>
        <v>109430.170461431</v>
      </c>
      <c r="N33" s="335" t="n">
        <f aca="false">M33*(1+Assumptions!$L$14)</f>
        <v>111618.773870659</v>
      </c>
      <c r="O33" s="335" t="n">
        <f aca="false">N33*(1+Assumptions!$L$14)</f>
        <v>113851.149348072</v>
      </c>
      <c r="P33" s="335" t="n">
        <f aca="false">O33*(1+Assumptions!$L$14)</f>
        <v>116128.172335034</v>
      </c>
      <c r="Q33" s="335" t="n">
        <f aca="false">P33*(1+Assumptions!$L$14)</f>
        <v>118450.735781735</v>
      </c>
      <c r="R33" s="335" t="n">
        <f aca="false">Q33*(1+Assumptions!$L$14)</f>
        <v>120819.750497369</v>
      </c>
      <c r="S33" s="335" t="n">
        <f aca="false">R33*(1+Assumptions!$L$14)</f>
        <v>123236.145507317</v>
      </c>
      <c r="T33" s="335" t="n">
        <f aca="false">S33*(1+Assumptions!$L$14)</f>
        <v>125700.868417463</v>
      </c>
      <c r="U33" s="335" t="n">
        <f aca="false">T33*(1+Assumptions!$L$14)</f>
        <v>128214.885785812</v>
      </c>
      <c r="V33" s="335" t="n">
        <f aca="false">U33*(1+Assumptions!$L$14)</f>
        <v>130779.183501528</v>
      </c>
    </row>
    <row r="34" customFormat="false" ht="12.75" hidden="false" customHeight="false" outlineLevel="0" collapsed="false">
      <c r="A34" s="2" t="n">
        <f aca="false">Summary!A41</f>
        <v>25</v>
      </c>
      <c r="B34" s="2" t="s">
        <v>94</v>
      </c>
      <c r="C34" s="333" t="n">
        <f aca="false">UnitData!H34*UnitData!F34*1000</f>
        <v>89770.854293083</v>
      </c>
      <c r="D34" s="335" t="n">
        <f aca="false">C34*(1+Assumptions!$L$14)</f>
        <v>91566.2713789447</v>
      </c>
      <c r="E34" s="335" t="n">
        <f aca="false">D34*(1+Assumptions!$L$14)</f>
        <v>93397.5968065236</v>
      </c>
      <c r="F34" s="335" t="n">
        <f aca="false">E34*(1+Assumptions!$L$14)</f>
        <v>95265.548742654</v>
      </c>
      <c r="G34" s="335" t="n">
        <f aca="false">F34*(1+Assumptions!$L$14)</f>
        <v>97170.8597175071</v>
      </c>
      <c r="H34" s="335" t="n">
        <f aca="false">G34*(1+Assumptions!$L$14)</f>
        <v>99114.2769118573</v>
      </c>
      <c r="I34" s="335" t="n">
        <f aca="false">H34*(1+Assumptions!$L$14)</f>
        <v>101096.562450094</v>
      </c>
      <c r="J34" s="335" t="n">
        <f aca="false">I34*(1+Assumptions!$L$14)</f>
        <v>103118.493699096</v>
      </c>
      <c r="K34" s="335" t="n">
        <f aca="false">J34*(1+Assumptions!$L$14)</f>
        <v>105180.863573078</v>
      </c>
      <c r="L34" s="335" t="n">
        <f aca="false">K34*(1+Assumptions!$L$14)</f>
        <v>107284.48084454</v>
      </c>
      <c r="M34" s="335" t="n">
        <f aca="false">L34*(1+Assumptions!$L$14)</f>
        <v>109430.170461431</v>
      </c>
      <c r="N34" s="335" t="n">
        <f aca="false">M34*(1+Assumptions!$L$14)</f>
        <v>111618.773870659</v>
      </c>
      <c r="O34" s="335" t="n">
        <f aca="false">N34*(1+Assumptions!$L$14)</f>
        <v>113851.149348072</v>
      </c>
      <c r="P34" s="335" t="n">
        <f aca="false">O34*(1+Assumptions!$L$14)</f>
        <v>116128.172335034</v>
      </c>
      <c r="Q34" s="335" t="n">
        <f aca="false">P34*(1+Assumptions!$L$14)</f>
        <v>118450.735781735</v>
      </c>
      <c r="R34" s="335" t="n">
        <f aca="false">Q34*(1+Assumptions!$L$14)</f>
        <v>120819.750497369</v>
      </c>
      <c r="S34" s="335" t="n">
        <f aca="false">R34*(1+Assumptions!$L$14)</f>
        <v>123236.145507317</v>
      </c>
      <c r="T34" s="335" t="n">
        <f aca="false">S34*(1+Assumptions!$L$14)</f>
        <v>125700.868417463</v>
      </c>
      <c r="U34" s="335" t="n">
        <f aca="false">T34*(1+Assumptions!$L$14)</f>
        <v>128214.885785812</v>
      </c>
      <c r="V34" s="335" t="n">
        <f aca="false">U34*(1+Assumptions!$L$14)</f>
        <v>130779.183501528</v>
      </c>
    </row>
    <row r="35" customFormat="false" ht="12.75" hidden="false" customHeight="false" outlineLevel="0" collapsed="false">
      <c r="A35" s="2" t="n">
        <f aca="false">Summary!A42</f>
        <v>26</v>
      </c>
      <c r="B35" s="2" t="s">
        <v>95</v>
      </c>
      <c r="C35" s="333" t="n">
        <f aca="false">UnitData!H35*UnitData!F35*1000</f>
        <v>89770.854293083</v>
      </c>
      <c r="D35" s="335" t="n">
        <f aca="false">C35*(1+Assumptions!$L$14)</f>
        <v>91566.2713789447</v>
      </c>
      <c r="E35" s="335" t="n">
        <f aca="false">D35*(1+Assumptions!$L$14)</f>
        <v>93397.5968065236</v>
      </c>
      <c r="F35" s="335" t="n">
        <f aca="false">E35*(1+Assumptions!$L$14)</f>
        <v>95265.548742654</v>
      </c>
      <c r="G35" s="335" t="n">
        <f aca="false">F35*(1+Assumptions!$L$14)</f>
        <v>97170.8597175071</v>
      </c>
      <c r="H35" s="335" t="n">
        <f aca="false">G35*(1+Assumptions!$L$14)</f>
        <v>99114.2769118573</v>
      </c>
      <c r="I35" s="335" t="n">
        <f aca="false">H35*(1+Assumptions!$L$14)</f>
        <v>101096.562450094</v>
      </c>
      <c r="J35" s="335" t="n">
        <f aca="false">I35*(1+Assumptions!$L$14)</f>
        <v>103118.493699096</v>
      </c>
      <c r="K35" s="335" t="n">
        <f aca="false">J35*(1+Assumptions!$L$14)</f>
        <v>105180.863573078</v>
      </c>
      <c r="L35" s="335" t="n">
        <f aca="false">K35*(1+Assumptions!$L$14)</f>
        <v>107284.48084454</v>
      </c>
      <c r="M35" s="335" t="n">
        <f aca="false">L35*(1+Assumptions!$L$14)</f>
        <v>109430.170461431</v>
      </c>
      <c r="N35" s="335" t="n">
        <f aca="false">M35*(1+Assumptions!$L$14)</f>
        <v>111618.773870659</v>
      </c>
      <c r="O35" s="335" t="n">
        <f aca="false">N35*(1+Assumptions!$L$14)</f>
        <v>113851.149348072</v>
      </c>
      <c r="P35" s="335" t="n">
        <f aca="false">O35*(1+Assumptions!$L$14)</f>
        <v>116128.172335034</v>
      </c>
      <c r="Q35" s="335" t="n">
        <f aca="false">P35*(1+Assumptions!$L$14)</f>
        <v>118450.735781735</v>
      </c>
      <c r="R35" s="335" t="n">
        <f aca="false">Q35*(1+Assumptions!$L$14)</f>
        <v>120819.750497369</v>
      </c>
      <c r="S35" s="335" t="n">
        <f aca="false">R35*(1+Assumptions!$L$14)</f>
        <v>123236.145507317</v>
      </c>
      <c r="T35" s="335" t="n">
        <f aca="false">S35*(1+Assumptions!$L$14)</f>
        <v>125700.868417463</v>
      </c>
      <c r="U35" s="335" t="n">
        <f aca="false">T35*(1+Assumptions!$L$14)</f>
        <v>128214.885785812</v>
      </c>
      <c r="V35" s="335" t="n">
        <f aca="false">U35*(1+Assumptions!$L$14)</f>
        <v>130779.183501528</v>
      </c>
    </row>
    <row r="36" customFormat="false" ht="12.75" hidden="false" customHeight="false" outlineLevel="0" collapsed="false">
      <c r="A36" s="2" t="n">
        <f aca="false">Summary!A43</f>
        <v>27</v>
      </c>
      <c r="B36" s="2" t="s">
        <v>96</v>
      </c>
      <c r="C36" s="333" t="n">
        <f aca="false">UnitData!H36*UnitData!F36*1000</f>
        <v>348563.885069393</v>
      </c>
      <c r="D36" s="335" t="n">
        <f aca="false">C36*(1+Assumptions!$L$14)</f>
        <v>355535.162770781</v>
      </c>
      <c r="E36" s="335" t="n">
        <f aca="false">D36*(1+Assumptions!$L$14)</f>
        <v>362645.866026196</v>
      </c>
      <c r="F36" s="335" t="n">
        <f aca="false">E36*(1+Assumptions!$L$14)</f>
        <v>369898.78334672</v>
      </c>
      <c r="G36" s="335" t="n">
        <f aca="false">F36*(1+Assumptions!$L$14)</f>
        <v>377296.759013655</v>
      </c>
      <c r="H36" s="335" t="n">
        <f aca="false">G36*(1+Assumptions!$L$14)</f>
        <v>384842.694193928</v>
      </c>
      <c r="I36" s="335" t="n">
        <f aca="false">H36*(1+Assumptions!$L$14)</f>
        <v>392539.548077806</v>
      </c>
      <c r="J36" s="335" t="n">
        <f aca="false">I36*(1+Assumptions!$L$14)</f>
        <v>400390.339039362</v>
      </c>
      <c r="K36" s="335" t="n">
        <f aca="false">J36*(1+Assumptions!$L$14)</f>
        <v>408398.14582015</v>
      </c>
      <c r="L36" s="335" t="n">
        <f aca="false">K36*(1+Assumptions!$L$14)</f>
        <v>416566.108736553</v>
      </c>
      <c r="M36" s="335" t="n">
        <f aca="false">L36*(1+Assumptions!$L$14)</f>
        <v>424897.430911284</v>
      </c>
      <c r="N36" s="335" t="n">
        <f aca="false">M36*(1+Assumptions!$L$14)</f>
        <v>433395.379529509</v>
      </c>
      <c r="O36" s="335" t="n">
        <f aca="false">N36*(1+Assumptions!$L$14)</f>
        <v>442063.2871201</v>
      </c>
      <c r="P36" s="335" t="n">
        <f aca="false">O36*(1+Assumptions!$L$14)</f>
        <v>450904.552862502</v>
      </c>
      <c r="Q36" s="335" t="n">
        <f aca="false">P36*(1+Assumptions!$L$14)</f>
        <v>459922.643919752</v>
      </c>
      <c r="R36" s="335" t="n">
        <f aca="false">Q36*(1+Assumptions!$L$14)</f>
        <v>469121.096798147</v>
      </c>
      <c r="S36" s="335" t="n">
        <f aca="false">R36*(1+Assumptions!$L$14)</f>
        <v>478503.51873411</v>
      </c>
      <c r="T36" s="335" t="n">
        <f aca="false">S36*(1+Assumptions!$L$14)</f>
        <v>488073.589108792</v>
      </c>
      <c r="U36" s="335" t="n">
        <f aca="false">T36*(1+Assumptions!$L$14)</f>
        <v>497835.060890968</v>
      </c>
      <c r="V36" s="335" t="n">
        <f aca="false">U36*(1+Assumptions!$L$14)</f>
        <v>507791.762108787</v>
      </c>
    </row>
    <row r="37" customFormat="false" ht="12.75" hidden="false" customHeight="false" outlineLevel="0" collapsed="false">
      <c r="A37" s="2" t="n">
        <f aca="false">Summary!A44</f>
        <v>28</v>
      </c>
      <c r="B37" s="2" t="s">
        <v>97</v>
      </c>
      <c r="C37" s="333" t="n">
        <f aca="false">UnitData!H37*UnitData!F37*1000</f>
        <v>348563.885069393</v>
      </c>
      <c r="D37" s="335" t="n">
        <f aca="false">C37*(1+Assumptions!$L$14)</f>
        <v>355535.162770781</v>
      </c>
      <c r="E37" s="335" t="n">
        <f aca="false">D37*(1+Assumptions!$L$14)</f>
        <v>362645.866026196</v>
      </c>
      <c r="F37" s="335" t="n">
        <f aca="false">E37*(1+Assumptions!$L$14)</f>
        <v>369898.78334672</v>
      </c>
      <c r="G37" s="335" t="n">
        <f aca="false">F37*(1+Assumptions!$L$14)</f>
        <v>377296.759013655</v>
      </c>
      <c r="H37" s="335" t="n">
        <f aca="false">G37*(1+Assumptions!$L$14)</f>
        <v>384842.694193928</v>
      </c>
      <c r="I37" s="335" t="n">
        <f aca="false">H37*(1+Assumptions!$L$14)</f>
        <v>392539.548077806</v>
      </c>
      <c r="J37" s="335" t="n">
        <f aca="false">I37*(1+Assumptions!$L$14)</f>
        <v>400390.339039362</v>
      </c>
      <c r="K37" s="335" t="n">
        <f aca="false">J37*(1+Assumptions!$L$14)</f>
        <v>408398.14582015</v>
      </c>
      <c r="L37" s="335" t="n">
        <f aca="false">K37*(1+Assumptions!$L$14)</f>
        <v>416566.108736553</v>
      </c>
      <c r="M37" s="335" t="n">
        <f aca="false">L37*(1+Assumptions!$L$14)</f>
        <v>424897.430911284</v>
      </c>
      <c r="N37" s="335" t="n">
        <f aca="false">M37*(1+Assumptions!$L$14)</f>
        <v>433395.379529509</v>
      </c>
      <c r="O37" s="335" t="n">
        <f aca="false">N37*(1+Assumptions!$L$14)</f>
        <v>442063.2871201</v>
      </c>
      <c r="P37" s="335" t="n">
        <f aca="false">O37*(1+Assumptions!$L$14)</f>
        <v>450904.552862502</v>
      </c>
      <c r="Q37" s="335" t="n">
        <f aca="false">P37*(1+Assumptions!$L$14)</f>
        <v>459922.643919752</v>
      </c>
      <c r="R37" s="335" t="n">
        <f aca="false">Q37*(1+Assumptions!$L$14)</f>
        <v>469121.096798147</v>
      </c>
      <c r="S37" s="335" t="n">
        <f aca="false">R37*(1+Assumptions!$L$14)</f>
        <v>478503.51873411</v>
      </c>
      <c r="T37" s="335" t="n">
        <f aca="false">S37*(1+Assumptions!$L$14)</f>
        <v>488073.589108792</v>
      </c>
      <c r="U37" s="335" t="n">
        <f aca="false">T37*(1+Assumptions!$L$14)</f>
        <v>497835.060890968</v>
      </c>
      <c r="V37" s="335" t="n">
        <f aca="false">U37*(1+Assumptions!$L$14)</f>
        <v>507791.762108787</v>
      </c>
    </row>
    <row r="38" customFormat="false" ht="12.75" hidden="false" customHeight="false" outlineLevel="0" collapsed="false">
      <c r="A38" s="2" t="n">
        <f aca="false">Summary!A45</f>
        <v>29</v>
      </c>
      <c r="B38" s="2" t="s">
        <v>98</v>
      </c>
      <c r="C38" s="333" t="n">
        <f aca="false">UnitData!H38*UnitData!F38*1000</f>
        <v>348563.885069393</v>
      </c>
      <c r="D38" s="335" t="n">
        <f aca="false">C38*(1+Assumptions!$L$14)</f>
        <v>355535.162770781</v>
      </c>
      <c r="E38" s="335" t="n">
        <f aca="false">D38*(1+Assumptions!$L$14)</f>
        <v>362645.866026196</v>
      </c>
      <c r="F38" s="335" t="n">
        <f aca="false">E38*(1+Assumptions!$L$14)</f>
        <v>369898.78334672</v>
      </c>
      <c r="G38" s="335" t="n">
        <f aca="false">F38*(1+Assumptions!$L$14)</f>
        <v>377296.759013655</v>
      </c>
      <c r="H38" s="335" t="n">
        <f aca="false">G38*(1+Assumptions!$L$14)</f>
        <v>384842.694193928</v>
      </c>
      <c r="I38" s="335" t="n">
        <f aca="false">H38*(1+Assumptions!$L$14)</f>
        <v>392539.548077806</v>
      </c>
      <c r="J38" s="335" t="n">
        <f aca="false">I38*(1+Assumptions!$L$14)</f>
        <v>400390.339039362</v>
      </c>
      <c r="K38" s="335" t="n">
        <f aca="false">J38*(1+Assumptions!$L$14)</f>
        <v>408398.14582015</v>
      </c>
      <c r="L38" s="335" t="n">
        <f aca="false">K38*(1+Assumptions!$L$14)</f>
        <v>416566.108736553</v>
      </c>
      <c r="M38" s="335" t="n">
        <f aca="false">L38*(1+Assumptions!$L$14)</f>
        <v>424897.430911284</v>
      </c>
      <c r="N38" s="335" t="n">
        <f aca="false">M38*(1+Assumptions!$L$14)</f>
        <v>433395.379529509</v>
      </c>
      <c r="O38" s="335" t="n">
        <f aca="false">N38*(1+Assumptions!$L$14)</f>
        <v>442063.2871201</v>
      </c>
      <c r="P38" s="335" t="n">
        <f aca="false">O38*(1+Assumptions!$L$14)</f>
        <v>450904.552862502</v>
      </c>
      <c r="Q38" s="335" t="n">
        <f aca="false">P38*(1+Assumptions!$L$14)</f>
        <v>459922.643919752</v>
      </c>
      <c r="R38" s="335" t="n">
        <f aca="false">Q38*(1+Assumptions!$L$14)</f>
        <v>469121.096798147</v>
      </c>
      <c r="S38" s="335" t="n">
        <f aca="false">R38*(1+Assumptions!$L$14)</f>
        <v>478503.51873411</v>
      </c>
      <c r="T38" s="335" t="n">
        <f aca="false">S38*(1+Assumptions!$L$14)</f>
        <v>488073.589108792</v>
      </c>
      <c r="U38" s="335" t="n">
        <f aca="false">T38*(1+Assumptions!$L$14)</f>
        <v>497835.060890968</v>
      </c>
      <c r="V38" s="335" t="n">
        <f aca="false">U38*(1+Assumptions!$L$14)</f>
        <v>507791.762108787</v>
      </c>
    </row>
    <row r="39" customFormat="false" ht="12.75" hidden="false" customHeight="false" outlineLevel="0" collapsed="false">
      <c r="A39" s="2" t="n">
        <f aca="false">Summary!A46</f>
        <v>30</v>
      </c>
      <c r="B39" s="2" t="s">
        <v>99</v>
      </c>
      <c r="C39" s="333" t="n">
        <f aca="false">UnitData!H39*UnitData!F39*1000</f>
        <v>348563.885069393</v>
      </c>
      <c r="D39" s="335" t="n">
        <f aca="false">C39*(1+Assumptions!$L$14)</f>
        <v>355535.162770781</v>
      </c>
      <c r="E39" s="335" t="n">
        <f aca="false">D39*(1+Assumptions!$L$14)</f>
        <v>362645.866026196</v>
      </c>
      <c r="F39" s="335" t="n">
        <f aca="false">E39*(1+Assumptions!$L$14)</f>
        <v>369898.78334672</v>
      </c>
      <c r="G39" s="335" t="n">
        <f aca="false">F39*(1+Assumptions!$L$14)</f>
        <v>377296.759013655</v>
      </c>
      <c r="H39" s="335" t="n">
        <f aca="false">G39*(1+Assumptions!$L$14)</f>
        <v>384842.694193928</v>
      </c>
      <c r="I39" s="335" t="n">
        <f aca="false">H39*(1+Assumptions!$L$14)</f>
        <v>392539.548077806</v>
      </c>
      <c r="J39" s="335" t="n">
        <f aca="false">I39*(1+Assumptions!$L$14)</f>
        <v>400390.339039362</v>
      </c>
      <c r="K39" s="335" t="n">
        <f aca="false">J39*(1+Assumptions!$L$14)</f>
        <v>408398.14582015</v>
      </c>
      <c r="L39" s="335" t="n">
        <f aca="false">K39*(1+Assumptions!$L$14)</f>
        <v>416566.108736553</v>
      </c>
      <c r="M39" s="335" t="n">
        <f aca="false">L39*(1+Assumptions!$L$14)</f>
        <v>424897.430911284</v>
      </c>
      <c r="N39" s="335" t="n">
        <f aca="false">M39*(1+Assumptions!$L$14)</f>
        <v>433395.379529509</v>
      </c>
      <c r="O39" s="335" t="n">
        <f aca="false">N39*(1+Assumptions!$L$14)</f>
        <v>442063.2871201</v>
      </c>
      <c r="P39" s="335" t="n">
        <f aca="false">O39*(1+Assumptions!$L$14)</f>
        <v>450904.552862502</v>
      </c>
      <c r="Q39" s="335" t="n">
        <f aca="false">P39*(1+Assumptions!$L$14)</f>
        <v>459922.643919752</v>
      </c>
      <c r="R39" s="335" t="n">
        <f aca="false">Q39*(1+Assumptions!$L$14)</f>
        <v>469121.096798147</v>
      </c>
      <c r="S39" s="335" t="n">
        <f aca="false">R39*(1+Assumptions!$L$14)</f>
        <v>478503.51873411</v>
      </c>
      <c r="T39" s="335" t="n">
        <f aca="false">S39*(1+Assumptions!$L$14)</f>
        <v>488073.589108792</v>
      </c>
      <c r="U39" s="335" t="n">
        <f aca="false">T39*(1+Assumptions!$L$14)</f>
        <v>497835.060890968</v>
      </c>
      <c r="V39" s="335" t="n">
        <f aca="false">U39*(1+Assumptions!$L$14)</f>
        <v>507791.762108787</v>
      </c>
    </row>
    <row r="40" customFormat="false" ht="12.75" hidden="false" customHeight="false" outlineLevel="0" collapsed="false">
      <c r="A40" s="2" t="n">
        <f aca="false">Summary!A47</f>
        <v>31</v>
      </c>
      <c r="B40" s="2" t="s">
        <v>100</v>
      </c>
      <c r="C40" s="333" t="n">
        <f aca="false">UnitData!H40*UnitData!F40*1000</f>
        <v>348563.885069393</v>
      </c>
      <c r="D40" s="335" t="n">
        <f aca="false">C40*(1+Assumptions!$L$14)</f>
        <v>355535.162770781</v>
      </c>
      <c r="E40" s="335" t="n">
        <f aca="false">D40*(1+Assumptions!$L$14)</f>
        <v>362645.866026196</v>
      </c>
      <c r="F40" s="335" t="n">
        <f aca="false">E40*(1+Assumptions!$L$14)</f>
        <v>369898.78334672</v>
      </c>
      <c r="G40" s="335" t="n">
        <f aca="false">F40*(1+Assumptions!$L$14)</f>
        <v>377296.759013655</v>
      </c>
      <c r="H40" s="335" t="n">
        <f aca="false">G40*(1+Assumptions!$L$14)</f>
        <v>384842.694193928</v>
      </c>
      <c r="I40" s="335" t="n">
        <f aca="false">H40*(1+Assumptions!$L$14)</f>
        <v>392539.548077806</v>
      </c>
      <c r="J40" s="335" t="n">
        <f aca="false">I40*(1+Assumptions!$L$14)</f>
        <v>400390.339039362</v>
      </c>
      <c r="K40" s="335" t="n">
        <f aca="false">J40*(1+Assumptions!$L$14)</f>
        <v>408398.14582015</v>
      </c>
      <c r="L40" s="335" t="n">
        <f aca="false">K40*(1+Assumptions!$L$14)</f>
        <v>416566.108736553</v>
      </c>
      <c r="M40" s="335" t="n">
        <f aca="false">L40*(1+Assumptions!$L$14)</f>
        <v>424897.430911284</v>
      </c>
      <c r="N40" s="335" t="n">
        <f aca="false">M40*(1+Assumptions!$L$14)</f>
        <v>433395.379529509</v>
      </c>
      <c r="O40" s="335" t="n">
        <f aca="false">N40*(1+Assumptions!$L$14)</f>
        <v>442063.2871201</v>
      </c>
      <c r="P40" s="335" t="n">
        <f aca="false">O40*(1+Assumptions!$L$14)</f>
        <v>450904.552862502</v>
      </c>
      <c r="Q40" s="335" t="n">
        <f aca="false">P40*(1+Assumptions!$L$14)</f>
        <v>459922.643919752</v>
      </c>
      <c r="R40" s="335" t="n">
        <f aca="false">Q40*(1+Assumptions!$L$14)</f>
        <v>469121.096798147</v>
      </c>
      <c r="S40" s="335" t="n">
        <f aca="false">R40*(1+Assumptions!$L$14)</f>
        <v>478503.51873411</v>
      </c>
      <c r="T40" s="335" t="n">
        <f aca="false">S40*(1+Assumptions!$L$14)</f>
        <v>488073.589108792</v>
      </c>
      <c r="U40" s="335" t="n">
        <f aca="false">T40*(1+Assumptions!$L$14)</f>
        <v>497835.060890968</v>
      </c>
      <c r="V40" s="335" t="n">
        <f aca="false">U40*(1+Assumptions!$L$14)</f>
        <v>507791.762108787</v>
      </c>
    </row>
    <row r="41" customFormat="false" ht="12.75" hidden="false" customHeight="false" outlineLevel="0" collapsed="false">
      <c r="A41" s="2" t="n">
        <f aca="false">Summary!A48</f>
        <v>32</v>
      </c>
      <c r="B41" s="2" t="s">
        <v>101</v>
      </c>
      <c r="C41" s="333" t="n">
        <f aca="false">UnitData!H41*UnitData!F41*1000</f>
        <v>348563.885069393</v>
      </c>
      <c r="D41" s="335" t="n">
        <f aca="false">C41*(1+Assumptions!$L$14)</f>
        <v>355535.162770781</v>
      </c>
      <c r="E41" s="335" t="n">
        <f aca="false">D41*(1+Assumptions!$L$14)</f>
        <v>362645.866026196</v>
      </c>
      <c r="F41" s="335" t="n">
        <f aca="false">E41*(1+Assumptions!$L$14)</f>
        <v>369898.78334672</v>
      </c>
      <c r="G41" s="335" t="n">
        <f aca="false">F41*(1+Assumptions!$L$14)</f>
        <v>377296.759013655</v>
      </c>
      <c r="H41" s="335" t="n">
        <f aca="false">G41*(1+Assumptions!$L$14)</f>
        <v>384842.694193928</v>
      </c>
      <c r="I41" s="335" t="n">
        <f aca="false">H41*(1+Assumptions!$L$14)</f>
        <v>392539.548077806</v>
      </c>
      <c r="J41" s="335" t="n">
        <f aca="false">I41*(1+Assumptions!$L$14)</f>
        <v>400390.339039362</v>
      </c>
      <c r="K41" s="335" t="n">
        <f aca="false">J41*(1+Assumptions!$L$14)</f>
        <v>408398.14582015</v>
      </c>
      <c r="L41" s="335" t="n">
        <f aca="false">K41*(1+Assumptions!$L$14)</f>
        <v>416566.108736553</v>
      </c>
      <c r="M41" s="335" t="n">
        <f aca="false">L41*(1+Assumptions!$L$14)</f>
        <v>424897.430911284</v>
      </c>
      <c r="N41" s="335" t="n">
        <f aca="false">M41*(1+Assumptions!$L$14)</f>
        <v>433395.379529509</v>
      </c>
      <c r="O41" s="335" t="n">
        <f aca="false">N41*(1+Assumptions!$L$14)</f>
        <v>442063.2871201</v>
      </c>
      <c r="P41" s="335" t="n">
        <f aca="false">O41*(1+Assumptions!$L$14)</f>
        <v>450904.552862502</v>
      </c>
      <c r="Q41" s="335" t="n">
        <f aca="false">P41*(1+Assumptions!$L$14)</f>
        <v>459922.643919752</v>
      </c>
      <c r="R41" s="335" t="n">
        <f aca="false">Q41*(1+Assumptions!$L$14)</f>
        <v>469121.096798147</v>
      </c>
      <c r="S41" s="335" t="n">
        <f aca="false">R41*(1+Assumptions!$L$14)</f>
        <v>478503.51873411</v>
      </c>
      <c r="T41" s="335" t="n">
        <f aca="false">S41*(1+Assumptions!$L$14)</f>
        <v>488073.589108792</v>
      </c>
      <c r="U41" s="335" t="n">
        <f aca="false">T41*(1+Assumptions!$L$14)</f>
        <v>497835.060890968</v>
      </c>
      <c r="V41" s="335" t="n">
        <f aca="false">U41*(1+Assumptions!$L$14)</f>
        <v>507791.762108787</v>
      </c>
    </row>
    <row r="42" customFormat="false" ht="13.5" hidden="false" customHeight="false" outlineLevel="0" collapsed="false">
      <c r="A42" s="2" t="n">
        <f aca="false">Summary!A49</f>
        <v>33</v>
      </c>
      <c r="B42" s="336" t="s">
        <v>14</v>
      </c>
      <c r="C42" s="333" t="n">
        <f aca="false">UnitData!H42*UnitData!F42*1000</f>
        <v>3172500</v>
      </c>
      <c r="D42" s="337" t="n">
        <f aca="false">C42*(1+Assumptions!$L$14)</f>
        <v>3235950</v>
      </c>
      <c r="E42" s="337" t="n">
        <f aca="false">D42*(1+Assumptions!$L$14)</f>
        <v>3300669</v>
      </c>
      <c r="F42" s="337" t="n">
        <f aca="false">E42*(1+Assumptions!$L$14)</f>
        <v>3366682.38</v>
      </c>
      <c r="G42" s="337" t="n">
        <f aca="false">F42*(1+Assumptions!$L$14)</f>
        <v>3434016.0276</v>
      </c>
      <c r="H42" s="337" t="n">
        <f aca="false">G42*(1+Assumptions!$L$14)</f>
        <v>3502696.348152</v>
      </c>
      <c r="I42" s="337" t="n">
        <f aca="false">H42*(1+Assumptions!$L$14)</f>
        <v>3572750.27511504</v>
      </c>
      <c r="J42" s="337" t="n">
        <f aca="false">I42*(1+Assumptions!$L$14)</f>
        <v>3644205.28061734</v>
      </c>
      <c r="K42" s="337" t="n">
        <f aca="false">J42*(1+Assumptions!$L$14)</f>
        <v>3717089.38622969</v>
      </c>
      <c r="L42" s="337" t="n">
        <f aca="false">K42*(1+Assumptions!$L$14)</f>
        <v>3791431.17395428</v>
      </c>
      <c r="M42" s="337" t="n">
        <f aca="false">L42*(1+Assumptions!$L$14)</f>
        <v>3867259.79743337</v>
      </c>
      <c r="N42" s="337" t="n">
        <f aca="false">M42*(1+Assumptions!$L$14)</f>
        <v>3944604.99338203</v>
      </c>
      <c r="O42" s="337" t="n">
        <f aca="false">N42*(1+Assumptions!$L$14)</f>
        <v>4023497.09324968</v>
      </c>
      <c r="P42" s="337" t="n">
        <f aca="false">O42*(1+Assumptions!$L$14)</f>
        <v>4103967.03511467</v>
      </c>
      <c r="Q42" s="337" t="n">
        <f aca="false">P42*(1+Assumptions!$L$14)</f>
        <v>4186046.37581696</v>
      </c>
      <c r="R42" s="337" t="n">
        <f aca="false">Q42*(1+Assumptions!$L$14)</f>
        <v>4269767.3033333</v>
      </c>
      <c r="S42" s="337" t="n">
        <f aca="false">R42*(1+Assumptions!$L$14)</f>
        <v>4355162.64939997</v>
      </c>
      <c r="T42" s="337" t="n">
        <f aca="false">S42*(1+Assumptions!$L$14)</f>
        <v>4442265.90238797</v>
      </c>
      <c r="U42" s="337" t="n">
        <f aca="false">T42*(1+Assumptions!$L$14)</f>
        <v>4531111.22043573</v>
      </c>
      <c r="V42" s="337" t="n">
        <f aca="false">U42*(1+Assumptions!$L$14)</f>
        <v>4621733.44484444</v>
      </c>
    </row>
    <row r="43" customFormat="false" ht="13.5" hidden="false" customHeight="false" outlineLevel="0" collapsed="false">
      <c r="B43" s="2" t="s">
        <v>3</v>
      </c>
      <c r="C43" s="12" t="n">
        <f aca="false">SUM(C10:C42)</f>
        <v>67348040.9670623</v>
      </c>
      <c r="D43" s="12" t="n">
        <f aca="false">SUM(D10:D42)</f>
        <v>68695001.7864035</v>
      </c>
      <c r="E43" s="12" t="n">
        <f aca="false">SUM(E10:E42)</f>
        <v>70068901.8221316</v>
      </c>
      <c r="F43" s="12" t="n">
        <f aca="false">SUM(F10:F42)</f>
        <v>71470279.8585742</v>
      </c>
      <c r="G43" s="12" t="n">
        <f aca="false">SUM(G10:G42)</f>
        <v>72899685.4557457</v>
      </c>
      <c r="H43" s="12" t="n">
        <f aca="false">SUM(H10:H42)</f>
        <v>74357679.1648606</v>
      </c>
      <c r="I43" s="12" t="n">
        <f aca="false">SUM(I10:I42)</f>
        <v>75844832.7481578</v>
      </c>
      <c r="J43" s="12" t="n">
        <f aca="false">SUM(J10:J42)</f>
        <v>77361729.403121</v>
      </c>
      <c r="K43" s="12" t="n">
        <f aca="false">SUM(K10:K42)</f>
        <v>78908963.9911834</v>
      </c>
      <c r="L43" s="12" t="n">
        <f aca="false">SUM(L10:L42)</f>
        <v>80487143.2710071</v>
      </c>
      <c r="M43" s="12" t="n">
        <f aca="false">SUM(M10:M42)</f>
        <v>82096886.1364272</v>
      </c>
      <c r="N43" s="12" t="n">
        <f aca="false">SUM(N10:N42)</f>
        <v>83738823.8591558</v>
      </c>
      <c r="O43" s="12" t="n">
        <f aca="false">SUM(O10:O42)</f>
        <v>85413600.3363389</v>
      </c>
      <c r="P43" s="12" t="n">
        <f aca="false">SUM(P10:P42)</f>
        <v>87121872.3430657</v>
      </c>
      <c r="Q43" s="12" t="n">
        <f aca="false">SUM(Q10:Q42)</f>
        <v>88864309.789927</v>
      </c>
      <c r="R43" s="12" t="n">
        <f aca="false">SUM(R10:R42)</f>
        <v>90641595.9857255</v>
      </c>
      <c r="S43" s="12" t="n">
        <f aca="false">SUM(S10:S42)</f>
        <v>92454427.90544</v>
      </c>
      <c r="T43" s="12" t="n">
        <f aca="false">SUM(T10:T42)</f>
        <v>94303516.4635488</v>
      </c>
      <c r="U43" s="12" t="n">
        <f aca="false">SUM(U10:U42)</f>
        <v>96189586.7928198</v>
      </c>
      <c r="V43" s="12" t="n">
        <f aca="false">SUM(V10:V42)</f>
        <v>98113378.5286762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1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56"/>
    <col collapsed="false" customWidth="true" hidden="false" outlineLevel="0" max="2" min="2" style="0" width="15.41"/>
    <col collapsed="false" customWidth="true" hidden="false" outlineLevel="0" max="4" min="3" style="0" width="11.13"/>
    <col collapsed="false" customWidth="true" hidden="false" outlineLevel="0" max="5" min="5" style="0" width="13.41"/>
    <col collapsed="false" customWidth="true" hidden="false" outlineLevel="0" max="6" min="6" style="0" width="13.28"/>
    <col collapsed="false" customWidth="true" hidden="false" outlineLevel="0" max="7" min="7" style="0" width="13.41"/>
    <col collapsed="false" customWidth="true" hidden="false" outlineLevel="0" max="11" min="8" style="0" width="13.7"/>
    <col collapsed="false" customWidth="true" hidden="false" outlineLevel="0" max="12" min="12" style="0" width="13.41"/>
    <col collapsed="false" customWidth="true" hidden="false" outlineLevel="0" max="13" min="13" style="0" width="13.85"/>
    <col collapsed="false" customWidth="true" hidden="false" outlineLevel="0" max="14" min="14" style="0" width="13.7"/>
    <col collapsed="false" customWidth="true" hidden="false" outlineLevel="0" max="15" min="15" style="0" width="13.85"/>
    <col collapsed="false" customWidth="true" hidden="false" outlineLevel="0" max="16" min="16" style="0" width="13.7"/>
    <col collapsed="false" customWidth="true" hidden="false" outlineLevel="0" max="18" min="17" style="0" width="13.85"/>
    <col collapsed="false" customWidth="true" hidden="false" outlineLevel="0" max="19" min="19" style="0" width="15.13"/>
    <col collapsed="false" customWidth="true" hidden="false" outlineLevel="0" max="20" min="20" style="0" width="17.7"/>
    <col collapsed="false" customWidth="true" hidden="false" outlineLevel="0" max="21" min="21" style="0" width="12.85"/>
    <col collapsed="false" customWidth="true" hidden="false" outlineLevel="0" max="22" min="22" style="0" width="9.85"/>
  </cols>
  <sheetData>
    <row r="1" customFormat="false" ht="12.75" hidden="false" customHeight="false" outlineLevel="0" collapsed="false">
      <c r="A1" s="197" t="s">
        <v>175</v>
      </c>
    </row>
    <row r="2" customFormat="false" ht="12.75" hidden="false" customHeight="false" outlineLevel="0" collapsed="false">
      <c r="A2" s="197"/>
    </row>
    <row r="3" customFormat="false" ht="12.75" hidden="false" customHeight="false" outlineLevel="0" collapsed="false">
      <c r="A3" s="197"/>
    </row>
    <row r="4" customFormat="false" ht="12.75" hidden="false" customHeight="false" outlineLevel="0" collapsed="false">
      <c r="A4" s="197"/>
    </row>
    <row r="5" customFormat="false" ht="12.75" hidden="false" customHeight="false" outlineLevel="0" collapsed="false">
      <c r="A5" s="197"/>
    </row>
    <row r="6" customFormat="false" ht="12.75" hidden="false" customHeight="false" outlineLevel="0" collapsed="false">
      <c r="A6" s="197"/>
    </row>
    <row r="8" customFormat="false" ht="12.75" hidden="false" customHeight="false" outlineLevel="0" collapsed="false">
      <c r="C8" s="235" t="n">
        <v>2000</v>
      </c>
      <c r="D8" s="235" t="n">
        <v>2001</v>
      </c>
      <c r="E8" s="235" t="n">
        <v>2002</v>
      </c>
      <c r="F8" s="235" t="n">
        <v>2003</v>
      </c>
      <c r="G8" s="235" t="n">
        <v>2004</v>
      </c>
      <c r="H8" s="235" t="n">
        <v>2005</v>
      </c>
      <c r="I8" s="235" t="n">
        <v>2006</v>
      </c>
      <c r="J8" s="235" t="n">
        <v>2007</v>
      </c>
      <c r="K8" s="235" t="n">
        <v>2008</v>
      </c>
      <c r="L8" s="235" t="n">
        <v>2009</v>
      </c>
      <c r="M8" s="235" t="n">
        <v>2010</v>
      </c>
      <c r="N8" s="235" t="n">
        <v>2011</v>
      </c>
      <c r="O8" s="235" t="n">
        <v>2012</v>
      </c>
      <c r="P8" s="235" t="n">
        <v>2013</v>
      </c>
      <c r="Q8" s="235" t="n">
        <v>2014</v>
      </c>
      <c r="R8" s="235" t="n">
        <v>2015</v>
      </c>
      <c r="S8" s="235" t="n">
        <v>2016</v>
      </c>
      <c r="T8" s="235" t="n">
        <v>2017</v>
      </c>
      <c r="U8" s="235" t="n">
        <v>2018</v>
      </c>
      <c r="V8" s="235" t="n">
        <v>2019</v>
      </c>
    </row>
    <row r="10" customFormat="false" ht="12.75" hidden="false" customHeight="false" outlineLevel="0" collapsed="false">
      <c r="A10" s="0" t="n">
        <f aca="false">Summary!A17</f>
        <v>1</v>
      </c>
      <c r="B10" s="0" t="s">
        <v>69</v>
      </c>
      <c r="C10" s="341" t="n">
        <v>1296887</v>
      </c>
      <c r="D10" s="342" t="n">
        <v>1263820</v>
      </c>
      <c r="E10" s="342" t="n">
        <v>1233305</v>
      </c>
      <c r="F10" s="342" t="n">
        <v>1223334</v>
      </c>
      <c r="G10" s="342" t="n">
        <v>1216952</v>
      </c>
      <c r="H10" s="342" t="n">
        <v>1210984</v>
      </c>
      <c r="I10" s="342" t="n">
        <v>1205530</v>
      </c>
      <c r="J10" s="342" t="n">
        <v>1204607</v>
      </c>
      <c r="K10" s="342" t="n">
        <v>892019</v>
      </c>
      <c r="L10" s="342" t="n">
        <v>579551</v>
      </c>
      <c r="M10" s="342" t="n">
        <v>579421</v>
      </c>
      <c r="N10" s="342" t="n">
        <v>432924</v>
      </c>
      <c r="O10" s="342" t="n">
        <v>286238</v>
      </c>
      <c r="P10" s="342" t="n">
        <v>286302</v>
      </c>
      <c r="Q10" s="342" t="n">
        <v>286238</v>
      </c>
      <c r="R10" s="342" t="n">
        <v>176547</v>
      </c>
      <c r="S10" s="342" t="n">
        <v>66780</v>
      </c>
      <c r="T10" s="342" t="n">
        <v>66795</v>
      </c>
      <c r="U10" s="342" t="n">
        <v>66780</v>
      </c>
      <c r="V10" s="342" t="n">
        <v>33397</v>
      </c>
    </row>
    <row r="11" customFormat="false" ht="12.75" hidden="false" customHeight="false" outlineLevel="0" collapsed="false">
      <c r="A11" s="0" t="n">
        <f aca="false">Summary!A18</f>
        <v>2</v>
      </c>
      <c r="B11" s="0" t="s">
        <v>71</v>
      </c>
      <c r="C11" s="343" t="n">
        <v>1525702</v>
      </c>
      <c r="D11" s="344" t="n">
        <v>1413972</v>
      </c>
      <c r="E11" s="344" t="n">
        <v>1334000</v>
      </c>
      <c r="F11" s="344" t="n">
        <v>1251360</v>
      </c>
      <c r="G11" s="344" t="n">
        <v>1224779</v>
      </c>
      <c r="H11" s="344" t="n">
        <v>1200336</v>
      </c>
      <c r="I11" s="344" t="n">
        <v>1194913</v>
      </c>
      <c r="J11" s="344" t="n">
        <v>1194616</v>
      </c>
      <c r="K11" s="344" t="n">
        <v>1194635</v>
      </c>
      <c r="L11" s="344" t="n">
        <v>1194616</v>
      </c>
      <c r="M11" s="344" t="n">
        <v>1194635</v>
      </c>
      <c r="N11" s="344" t="n">
        <v>928375</v>
      </c>
      <c r="O11" s="344" t="n">
        <v>662277</v>
      </c>
      <c r="P11" s="344" t="n">
        <v>662138</v>
      </c>
      <c r="Q11" s="344" t="n">
        <v>479505</v>
      </c>
      <c r="R11" s="344" t="n">
        <v>296665</v>
      </c>
      <c r="S11" s="344" t="n">
        <v>296722</v>
      </c>
      <c r="T11" s="344" t="n">
        <v>296665</v>
      </c>
      <c r="U11" s="344" t="n">
        <v>158529</v>
      </c>
      <c r="V11" s="344" t="n">
        <v>10170</v>
      </c>
    </row>
    <row r="12" customFormat="false" ht="12.75" hidden="false" customHeight="false" outlineLevel="0" collapsed="false">
      <c r="A12" s="0" t="n">
        <f aca="false">Summary!A19</f>
        <v>3</v>
      </c>
      <c r="B12" s="2" t="s">
        <v>72</v>
      </c>
      <c r="C12" s="343" t="n">
        <v>1577681.75</v>
      </c>
      <c r="D12" s="344" t="n">
        <v>1448514.75</v>
      </c>
      <c r="E12" s="344" t="n">
        <v>1385844</v>
      </c>
      <c r="F12" s="344" t="n">
        <v>1191770.25</v>
      </c>
      <c r="G12" s="344" t="n">
        <v>1066151</v>
      </c>
      <c r="H12" s="344" t="n">
        <v>1032763.5</v>
      </c>
      <c r="I12" s="344" t="n">
        <v>1028237.25</v>
      </c>
      <c r="J12" s="344" t="n">
        <v>1004065.5</v>
      </c>
      <c r="K12" s="344" t="n">
        <v>980752.5</v>
      </c>
      <c r="L12" s="344" t="n">
        <v>823280.25</v>
      </c>
      <c r="M12" s="344" t="n">
        <v>665987.5</v>
      </c>
      <c r="N12" s="344" t="n">
        <v>665863.25</v>
      </c>
      <c r="O12" s="344" t="n">
        <v>548538.25</v>
      </c>
      <c r="P12" s="344" t="n">
        <v>431016.75</v>
      </c>
      <c r="Q12" s="344" t="n">
        <v>362563.5</v>
      </c>
      <c r="R12" s="344" t="n">
        <v>293995.25</v>
      </c>
      <c r="S12" s="344" t="n">
        <v>174942</v>
      </c>
      <c r="T12" s="344" t="n">
        <v>55860.75</v>
      </c>
      <c r="U12" s="344" t="n">
        <v>55848.25</v>
      </c>
      <c r="V12" s="344" t="n">
        <v>27929.75</v>
      </c>
    </row>
    <row r="13" customFormat="false" ht="12.75" hidden="false" customHeight="false" outlineLevel="0" collapsed="false">
      <c r="A13" s="0" t="n">
        <f aca="false">Summary!A20</f>
        <v>4</v>
      </c>
      <c r="B13" s="2" t="s">
        <v>73</v>
      </c>
      <c r="C13" s="343" t="n">
        <v>1577681.75</v>
      </c>
      <c r="D13" s="344" t="n">
        <v>1448514.75</v>
      </c>
      <c r="E13" s="344" t="n">
        <v>1385844</v>
      </c>
      <c r="F13" s="344" t="n">
        <v>1191770.25</v>
      </c>
      <c r="G13" s="344" t="n">
        <v>1066151</v>
      </c>
      <c r="H13" s="344" t="n">
        <v>1032763.5</v>
      </c>
      <c r="I13" s="344" t="n">
        <v>1028237.25</v>
      </c>
      <c r="J13" s="344" t="n">
        <v>1004065.5</v>
      </c>
      <c r="K13" s="344" t="n">
        <v>980752.5</v>
      </c>
      <c r="L13" s="344" t="n">
        <v>823280.25</v>
      </c>
      <c r="M13" s="344" t="n">
        <v>665987.5</v>
      </c>
      <c r="N13" s="344" t="n">
        <v>665863.25</v>
      </c>
      <c r="O13" s="344" t="n">
        <v>548538.25</v>
      </c>
      <c r="P13" s="344" t="n">
        <v>431016.75</v>
      </c>
      <c r="Q13" s="344" t="n">
        <v>362563.5</v>
      </c>
      <c r="R13" s="344" t="n">
        <v>293995.25</v>
      </c>
      <c r="S13" s="344" t="n">
        <v>174942</v>
      </c>
      <c r="T13" s="344" t="n">
        <v>55860.75</v>
      </c>
      <c r="U13" s="344" t="n">
        <v>55848.25</v>
      </c>
      <c r="V13" s="344" t="n">
        <v>27929.75</v>
      </c>
    </row>
    <row r="14" customFormat="false" ht="12.75" hidden="false" customHeight="false" outlineLevel="0" collapsed="false">
      <c r="A14" s="0" t="n">
        <f aca="false">Summary!A21</f>
        <v>5</v>
      </c>
      <c r="B14" s="2" t="s">
        <v>74</v>
      </c>
      <c r="C14" s="343" t="n">
        <v>1577681.75</v>
      </c>
      <c r="D14" s="344" t="n">
        <v>1448514.75</v>
      </c>
      <c r="E14" s="344" t="n">
        <v>1385844</v>
      </c>
      <c r="F14" s="344" t="n">
        <v>1191770.25</v>
      </c>
      <c r="G14" s="344" t="n">
        <v>1066151</v>
      </c>
      <c r="H14" s="344" t="n">
        <v>1032763.5</v>
      </c>
      <c r="I14" s="344" t="n">
        <v>1028237.25</v>
      </c>
      <c r="J14" s="344" t="n">
        <v>1004065.5</v>
      </c>
      <c r="K14" s="344" t="n">
        <v>980752.5</v>
      </c>
      <c r="L14" s="344" t="n">
        <v>823280.25</v>
      </c>
      <c r="M14" s="344" t="n">
        <v>665987.5</v>
      </c>
      <c r="N14" s="344" t="n">
        <v>665863.25</v>
      </c>
      <c r="O14" s="344" t="n">
        <v>548538.25</v>
      </c>
      <c r="P14" s="344" t="n">
        <v>431016.75</v>
      </c>
      <c r="Q14" s="344" t="n">
        <v>362563.5</v>
      </c>
      <c r="R14" s="344" t="n">
        <v>293995.25</v>
      </c>
      <c r="S14" s="344" t="n">
        <v>174942</v>
      </c>
      <c r="T14" s="344" t="n">
        <v>55860.75</v>
      </c>
      <c r="U14" s="344" t="n">
        <v>55848.25</v>
      </c>
      <c r="V14" s="344" t="n">
        <v>27929.75</v>
      </c>
    </row>
    <row r="15" customFormat="false" ht="12.75" hidden="false" customHeight="false" outlineLevel="0" collapsed="false">
      <c r="A15" s="0" t="n">
        <f aca="false">Summary!A22</f>
        <v>6</v>
      </c>
      <c r="B15" s="2" t="s">
        <v>75</v>
      </c>
      <c r="C15" s="343" t="n">
        <v>1577681.75</v>
      </c>
      <c r="D15" s="344" t="n">
        <v>1448514.75</v>
      </c>
      <c r="E15" s="344" t="n">
        <v>1385844</v>
      </c>
      <c r="F15" s="344" t="n">
        <v>1191770.25</v>
      </c>
      <c r="G15" s="344" t="n">
        <v>1066151</v>
      </c>
      <c r="H15" s="344" t="n">
        <v>1032763.5</v>
      </c>
      <c r="I15" s="344" t="n">
        <v>1028237.25</v>
      </c>
      <c r="J15" s="344" t="n">
        <v>1004065.5</v>
      </c>
      <c r="K15" s="344" t="n">
        <v>980752.5</v>
      </c>
      <c r="L15" s="344" t="n">
        <v>823280.25</v>
      </c>
      <c r="M15" s="344" t="n">
        <v>665987.5</v>
      </c>
      <c r="N15" s="344" t="n">
        <v>665863.25</v>
      </c>
      <c r="O15" s="344" t="n">
        <v>548538.25</v>
      </c>
      <c r="P15" s="344" t="n">
        <v>431016.75</v>
      </c>
      <c r="Q15" s="344" t="n">
        <v>362563.5</v>
      </c>
      <c r="R15" s="344" t="n">
        <v>293995.25</v>
      </c>
      <c r="S15" s="344" t="n">
        <v>174942</v>
      </c>
      <c r="T15" s="344" t="n">
        <v>55860.75</v>
      </c>
      <c r="U15" s="344" t="n">
        <v>55848.25</v>
      </c>
      <c r="V15" s="344" t="n">
        <v>27929.75</v>
      </c>
    </row>
    <row r="16" customFormat="false" ht="12.75" hidden="false" customHeight="false" outlineLevel="0" collapsed="false">
      <c r="A16" s="0" t="n">
        <f aca="false">Summary!A23</f>
        <v>7</v>
      </c>
      <c r="B16" s="0" t="s">
        <v>76</v>
      </c>
      <c r="C16" s="343" t="n">
        <v>246412</v>
      </c>
      <c r="D16" s="344" t="n">
        <v>239171</v>
      </c>
      <c r="E16" s="344" t="n">
        <v>232560</v>
      </c>
      <c r="F16" s="344" t="n">
        <v>231437</v>
      </c>
      <c r="G16" s="344" t="n">
        <v>231452</v>
      </c>
      <c r="H16" s="344" t="n">
        <v>231437</v>
      </c>
      <c r="I16" s="344" t="n">
        <v>231452</v>
      </c>
      <c r="J16" s="344" t="n">
        <v>231437</v>
      </c>
      <c r="K16" s="344" t="n">
        <v>231452</v>
      </c>
      <c r="L16" s="344" t="n">
        <v>231437</v>
      </c>
      <c r="M16" s="344" t="n">
        <v>156221</v>
      </c>
      <c r="N16" s="344" t="n">
        <v>81008</v>
      </c>
      <c r="O16" s="344" t="n">
        <v>80990</v>
      </c>
      <c r="P16" s="344" t="n">
        <v>81008</v>
      </c>
      <c r="Q16" s="344" t="n">
        <v>80990</v>
      </c>
      <c r="R16" s="344" t="n">
        <v>40508</v>
      </c>
      <c r="S16" s="344" t="n">
        <v>0</v>
      </c>
      <c r="T16" s="344" t="n">
        <v>0</v>
      </c>
      <c r="U16" s="344" t="n">
        <v>0</v>
      </c>
      <c r="V16" s="344" t="n">
        <v>0</v>
      </c>
    </row>
    <row r="17" customFormat="false" ht="12.75" hidden="false" customHeight="false" outlineLevel="0" collapsed="false">
      <c r="A17" s="0" t="n">
        <f aca="false">Summary!A24</f>
        <v>8</v>
      </c>
      <c r="B17" s="0" t="s">
        <v>77</v>
      </c>
      <c r="C17" s="343" t="n">
        <v>777615.144032922</v>
      </c>
      <c r="D17" s="344" t="n">
        <v>689717.860082305</v>
      </c>
      <c r="E17" s="344" t="n">
        <v>667884.444444445</v>
      </c>
      <c r="F17" s="344" t="n">
        <v>663419.588477366</v>
      </c>
      <c r="G17" s="344" t="n">
        <v>661996.378600823</v>
      </c>
      <c r="H17" s="344" t="n">
        <v>660704.197530864</v>
      </c>
      <c r="I17" s="344" t="n">
        <v>659665.185185185</v>
      </c>
      <c r="J17" s="344" t="n">
        <v>659507.818930041</v>
      </c>
      <c r="K17" s="344" t="n">
        <v>659413.991769547</v>
      </c>
      <c r="L17" s="344" t="n">
        <v>659507.818930041</v>
      </c>
      <c r="M17" s="344" t="n">
        <v>598991.604938272</v>
      </c>
      <c r="N17" s="344" t="n">
        <v>538687.736625515</v>
      </c>
      <c r="O17" s="344" t="n">
        <v>538566.913580247</v>
      </c>
      <c r="P17" s="344" t="n">
        <v>385627.654320988</v>
      </c>
      <c r="Q17" s="344" t="n">
        <v>232515.884773663</v>
      </c>
      <c r="R17" s="344" t="n">
        <v>118710.781893004</v>
      </c>
      <c r="S17" s="344" t="n">
        <v>4848.72427983539</v>
      </c>
      <c r="T17" s="344" t="n">
        <v>4850.04115226338</v>
      </c>
      <c r="U17" s="344" t="n">
        <v>4848.72427983539</v>
      </c>
      <c r="V17" s="344" t="n">
        <v>2424.3621399177</v>
      </c>
    </row>
    <row r="18" customFormat="false" ht="12.75" hidden="false" customHeight="false" outlineLevel="0" collapsed="false">
      <c r="A18" s="0" t="n">
        <f aca="false">Summary!A25</f>
        <v>9</v>
      </c>
      <c r="B18" s="0" t="s">
        <v>78</v>
      </c>
      <c r="C18" s="343" t="n">
        <v>1584390.85596708</v>
      </c>
      <c r="D18" s="344" t="n">
        <v>1405300.1399177</v>
      </c>
      <c r="E18" s="344" t="n">
        <v>1360814.55555556</v>
      </c>
      <c r="F18" s="344" t="n">
        <v>1351717.41152263</v>
      </c>
      <c r="G18" s="344" t="n">
        <v>1348817.62139918</v>
      </c>
      <c r="H18" s="344" t="n">
        <v>1346184.80246914</v>
      </c>
      <c r="I18" s="344" t="n">
        <v>1344067.81481481</v>
      </c>
      <c r="J18" s="344" t="n">
        <v>1343747.18106996</v>
      </c>
      <c r="K18" s="344" t="n">
        <v>1343556.00823045</v>
      </c>
      <c r="L18" s="344" t="n">
        <v>1343747.18106996</v>
      </c>
      <c r="M18" s="344" t="n">
        <v>1220445.39506173</v>
      </c>
      <c r="N18" s="344" t="n">
        <v>1097576.26337449</v>
      </c>
      <c r="O18" s="344" t="n">
        <v>1097330.08641975</v>
      </c>
      <c r="P18" s="344" t="n">
        <v>785716.345679012</v>
      </c>
      <c r="Q18" s="344" t="n">
        <v>473751.115226338</v>
      </c>
      <c r="R18" s="344" t="n">
        <v>241873.218106996</v>
      </c>
      <c r="S18" s="344" t="n">
        <v>9879.27572016461</v>
      </c>
      <c r="T18" s="344" t="n">
        <v>9881.95884773663</v>
      </c>
      <c r="U18" s="344" t="n">
        <v>9879.27572016461</v>
      </c>
      <c r="V18" s="344" t="n">
        <v>4939.6378600823</v>
      </c>
    </row>
    <row r="19" customFormat="false" ht="12.75" hidden="false" customHeight="false" outlineLevel="0" collapsed="false">
      <c r="A19" s="0" t="n">
        <f aca="false">Summary!A26</f>
        <v>10</v>
      </c>
      <c r="B19" s="0" t="s">
        <v>79</v>
      </c>
      <c r="C19" s="343" t="n">
        <v>1125172</v>
      </c>
      <c r="D19" s="344" t="n">
        <v>964501.5</v>
      </c>
      <c r="E19" s="344" t="n">
        <v>932085.5</v>
      </c>
      <c r="F19" s="344" t="n">
        <v>906047.5</v>
      </c>
      <c r="G19" s="344" t="n">
        <v>882160</v>
      </c>
      <c r="H19" s="344" t="n">
        <v>859874</v>
      </c>
      <c r="I19" s="344" t="n">
        <v>854973</v>
      </c>
      <c r="J19" s="344" t="n">
        <v>854507</v>
      </c>
      <c r="K19" s="344" t="n">
        <v>854689</v>
      </c>
      <c r="L19" s="344" t="n">
        <v>854507</v>
      </c>
      <c r="M19" s="344" t="n">
        <v>725222</v>
      </c>
      <c r="N19" s="344" t="n">
        <v>595629</v>
      </c>
      <c r="O19" s="344" t="n">
        <v>595753</v>
      </c>
      <c r="P19" s="344" t="n">
        <v>595629</v>
      </c>
      <c r="Q19" s="344" t="n">
        <v>432041</v>
      </c>
      <c r="R19" s="344" t="n">
        <v>268279.5</v>
      </c>
      <c r="S19" s="344" t="n">
        <v>268330</v>
      </c>
      <c r="T19" s="344" t="n">
        <v>268279.5</v>
      </c>
      <c r="U19" s="344" t="n">
        <v>144543</v>
      </c>
      <c r="V19" s="344" t="n">
        <v>10384</v>
      </c>
    </row>
    <row r="20" customFormat="false" ht="12.75" hidden="false" customHeight="false" outlineLevel="0" collapsed="false">
      <c r="A20" s="0" t="n">
        <f aca="false">Summary!A27</f>
        <v>11</v>
      </c>
      <c r="B20" s="0" t="s">
        <v>80</v>
      </c>
      <c r="C20" s="343" t="n">
        <v>1125172</v>
      </c>
      <c r="D20" s="344" t="n">
        <v>964501.5</v>
      </c>
      <c r="E20" s="344" t="n">
        <v>932085.5</v>
      </c>
      <c r="F20" s="344" t="n">
        <v>906047.5</v>
      </c>
      <c r="G20" s="344" t="n">
        <v>882160</v>
      </c>
      <c r="H20" s="344" t="n">
        <v>859874</v>
      </c>
      <c r="I20" s="344" t="n">
        <v>854973</v>
      </c>
      <c r="J20" s="344" t="n">
        <v>854507</v>
      </c>
      <c r="K20" s="344" t="n">
        <v>854689</v>
      </c>
      <c r="L20" s="344" t="n">
        <v>854507</v>
      </c>
      <c r="M20" s="344" t="n">
        <v>725222</v>
      </c>
      <c r="N20" s="344" t="n">
        <v>595629</v>
      </c>
      <c r="O20" s="344" t="n">
        <v>595753</v>
      </c>
      <c r="P20" s="344" t="n">
        <v>595629</v>
      </c>
      <c r="Q20" s="344" t="n">
        <v>432041</v>
      </c>
      <c r="R20" s="344" t="n">
        <v>268279.5</v>
      </c>
      <c r="S20" s="344" t="n">
        <v>268330</v>
      </c>
      <c r="T20" s="344" t="n">
        <v>268279.5</v>
      </c>
      <c r="U20" s="344" t="n">
        <v>144543</v>
      </c>
      <c r="V20" s="344" t="n">
        <v>10384</v>
      </c>
    </row>
    <row r="21" customFormat="false" ht="12.75" hidden="false" customHeight="false" outlineLevel="0" collapsed="false">
      <c r="A21" s="0" t="n">
        <f aca="false">Summary!A28</f>
        <v>12</v>
      </c>
      <c r="B21" s="0" t="s">
        <v>81</v>
      </c>
      <c r="C21" s="343" t="n">
        <v>831295.275568182</v>
      </c>
      <c r="D21" s="344" t="n">
        <v>686122.957386364</v>
      </c>
      <c r="E21" s="344" t="n">
        <v>673172.1875</v>
      </c>
      <c r="F21" s="344" t="n">
        <v>660496.340909091</v>
      </c>
      <c r="G21" s="344" t="n">
        <v>657320.502840909</v>
      </c>
      <c r="H21" s="344" t="n">
        <v>654852.869318182</v>
      </c>
      <c r="I21" s="344" t="n">
        <v>653870.008522727</v>
      </c>
      <c r="J21" s="344" t="n">
        <v>592682.284090909</v>
      </c>
      <c r="K21" s="344" t="n">
        <v>465822.207386364</v>
      </c>
      <c r="L21" s="344" t="n">
        <v>349460.755681818</v>
      </c>
      <c r="M21" s="344" t="n">
        <v>299030.289772727</v>
      </c>
      <c r="N21" s="344" t="n">
        <v>265541.321022727</v>
      </c>
      <c r="O21" s="344" t="n">
        <v>204495.264204545</v>
      </c>
      <c r="P21" s="344" t="n">
        <v>176826.684659091</v>
      </c>
      <c r="Q21" s="344" t="n">
        <v>125657.971590909</v>
      </c>
      <c r="R21" s="344" t="n">
        <v>74443.8607954545</v>
      </c>
      <c r="S21" s="344" t="n">
        <v>43301.9545454545</v>
      </c>
      <c r="T21" s="344" t="n">
        <v>12152.0369318182</v>
      </c>
      <c r="U21" s="344" t="n">
        <v>12149.3664772727</v>
      </c>
      <c r="V21" s="344" t="n">
        <v>6075.81818181818</v>
      </c>
    </row>
    <row r="22" customFormat="false" ht="12.75" hidden="false" customHeight="false" outlineLevel="0" collapsed="false">
      <c r="A22" s="0" t="n">
        <f aca="false">Summary!A29</f>
        <v>13</v>
      </c>
      <c r="B22" s="0" t="s">
        <v>82</v>
      </c>
      <c r="C22" s="343" t="n">
        <v>831295.275568182</v>
      </c>
      <c r="D22" s="344" t="n">
        <v>686122.957386364</v>
      </c>
      <c r="E22" s="344" t="n">
        <v>673172.1875</v>
      </c>
      <c r="F22" s="344" t="n">
        <v>660496.340909091</v>
      </c>
      <c r="G22" s="344" t="n">
        <v>657320.502840909</v>
      </c>
      <c r="H22" s="344" t="n">
        <v>654852.869318182</v>
      </c>
      <c r="I22" s="344" t="n">
        <v>653870.008522727</v>
      </c>
      <c r="J22" s="344" t="n">
        <v>592682.284090909</v>
      </c>
      <c r="K22" s="344" t="n">
        <v>465822.207386364</v>
      </c>
      <c r="L22" s="344" t="n">
        <v>349460.755681818</v>
      </c>
      <c r="M22" s="344" t="n">
        <v>299030.289772727</v>
      </c>
      <c r="N22" s="344" t="n">
        <v>265541.321022727</v>
      </c>
      <c r="O22" s="344" t="n">
        <v>204495.264204545</v>
      </c>
      <c r="P22" s="344" t="n">
        <v>176826.684659091</v>
      </c>
      <c r="Q22" s="344" t="n">
        <v>125657.971590909</v>
      </c>
      <c r="R22" s="344" t="n">
        <v>74443.8607954545</v>
      </c>
      <c r="S22" s="344" t="n">
        <v>43301.9545454545</v>
      </c>
      <c r="T22" s="344" t="n">
        <v>12152.0369318182</v>
      </c>
      <c r="U22" s="344" t="n">
        <v>12149.3664772727</v>
      </c>
      <c r="V22" s="344" t="n">
        <v>6075.81818181818</v>
      </c>
    </row>
    <row r="23" customFormat="false" ht="12.75" hidden="false" customHeight="false" outlineLevel="0" collapsed="false">
      <c r="A23" s="0" t="n">
        <f aca="false">Summary!A30</f>
        <v>14</v>
      </c>
      <c r="B23" s="0" t="s">
        <v>83</v>
      </c>
      <c r="C23" s="343" t="n">
        <v>1131976.54545455</v>
      </c>
      <c r="D23" s="344" t="n">
        <v>934295.090909091</v>
      </c>
      <c r="E23" s="344" t="n">
        <v>916660</v>
      </c>
      <c r="F23" s="344" t="n">
        <v>899399.272727273</v>
      </c>
      <c r="G23" s="344" t="n">
        <v>895074.727272727</v>
      </c>
      <c r="H23" s="344" t="n">
        <v>891714.545454546</v>
      </c>
      <c r="I23" s="344" t="n">
        <v>890376.181818182</v>
      </c>
      <c r="J23" s="344" t="n">
        <v>807056.727272727</v>
      </c>
      <c r="K23" s="344" t="n">
        <v>634311.090909091</v>
      </c>
      <c r="L23" s="344" t="n">
        <v>475861.454545455</v>
      </c>
      <c r="M23" s="344" t="n">
        <v>407190.181818182</v>
      </c>
      <c r="N23" s="344" t="n">
        <v>361588.181818182</v>
      </c>
      <c r="O23" s="344" t="n">
        <v>278461.636363636</v>
      </c>
      <c r="P23" s="344" t="n">
        <v>240785.272727273</v>
      </c>
      <c r="Q23" s="344" t="n">
        <v>171108.727272727</v>
      </c>
      <c r="R23" s="344" t="n">
        <v>101370.363636364</v>
      </c>
      <c r="S23" s="344" t="n">
        <v>58964.3636363636</v>
      </c>
      <c r="T23" s="344" t="n">
        <v>16547.4545454545</v>
      </c>
      <c r="U23" s="344" t="n">
        <v>16543.8181818182</v>
      </c>
      <c r="V23" s="344" t="n">
        <v>8273.45454545455</v>
      </c>
    </row>
    <row r="24" customFormat="false" ht="12.75" hidden="false" customHeight="false" outlineLevel="0" collapsed="false">
      <c r="A24" s="0" t="n">
        <f aca="false">Summary!A31</f>
        <v>15</v>
      </c>
      <c r="B24" s="0" t="s">
        <v>84</v>
      </c>
      <c r="C24" s="343" t="n">
        <v>1326535.01420455</v>
      </c>
      <c r="D24" s="344" t="n">
        <v>1094877.05965909</v>
      </c>
      <c r="E24" s="344" t="n">
        <v>1074210.9375</v>
      </c>
      <c r="F24" s="344" t="n">
        <v>1053983.52272727</v>
      </c>
      <c r="G24" s="344" t="n">
        <v>1048915.69602273</v>
      </c>
      <c r="H24" s="344" t="n">
        <v>1044977.98295455</v>
      </c>
      <c r="I24" s="344" t="n">
        <v>1043409.58806818</v>
      </c>
      <c r="J24" s="344" t="n">
        <v>945769.602272727</v>
      </c>
      <c r="K24" s="344" t="n">
        <v>743333.309659091</v>
      </c>
      <c r="L24" s="344" t="n">
        <v>557650.142045455</v>
      </c>
      <c r="M24" s="344" t="n">
        <v>477175.994318182</v>
      </c>
      <c r="N24" s="344" t="n">
        <v>423736.150568182</v>
      </c>
      <c r="O24" s="344" t="n">
        <v>326322.230113636</v>
      </c>
      <c r="P24" s="344" t="n">
        <v>282170.241477273</v>
      </c>
      <c r="Q24" s="344" t="n">
        <v>200518.039772727</v>
      </c>
      <c r="R24" s="344" t="n">
        <v>118793.394886364</v>
      </c>
      <c r="S24" s="344" t="n">
        <v>69098.8636363636</v>
      </c>
      <c r="T24" s="344" t="n">
        <v>19391.5482954545</v>
      </c>
      <c r="U24" s="344" t="n">
        <v>19387.2869318182</v>
      </c>
      <c r="V24" s="344" t="n">
        <v>9695.45454545455</v>
      </c>
    </row>
    <row r="25" customFormat="false" ht="12.75" hidden="false" customHeight="false" outlineLevel="0" collapsed="false">
      <c r="A25" s="0" t="n">
        <f aca="false">Summary!A32</f>
        <v>16</v>
      </c>
      <c r="B25" s="0" t="s">
        <v>85</v>
      </c>
      <c r="C25" s="343" t="n">
        <v>2104768.88920455</v>
      </c>
      <c r="D25" s="344" t="n">
        <v>1737204.93465909</v>
      </c>
      <c r="E25" s="344" t="n">
        <v>1704414.6875</v>
      </c>
      <c r="F25" s="344" t="n">
        <v>1672320.52272727</v>
      </c>
      <c r="G25" s="344" t="n">
        <v>1664279.57102273</v>
      </c>
      <c r="H25" s="344" t="n">
        <v>1658031.73295455</v>
      </c>
      <c r="I25" s="344" t="n">
        <v>1655543.21306818</v>
      </c>
      <c r="J25" s="344" t="n">
        <v>1500621.10227273</v>
      </c>
      <c r="K25" s="344" t="n">
        <v>1179422.18465909</v>
      </c>
      <c r="L25" s="344" t="n">
        <v>884804.892045455</v>
      </c>
      <c r="M25" s="344" t="n">
        <v>757119.244318182</v>
      </c>
      <c r="N25" s="344" t="n">
        <v>672328.025568182</v>
      </c>
      <c r="O25" s="344" t="n">
        <v>517764.605113636</v>
      </c>
      <c r="P25" s="344" t="n">
        <v>447710.116477273</v>
      </c>
      <c r="Q25" s="344" t="n">
        <v>318155.289772727</v>
      </c>
      <c r="R25" s="344" t="n">
        <v>188485.519886364</v>
      </c>
      <c r="S25" s="344" t="n">
        <v>109636.863636364</v>
      </c>
      <c r="T25" s="344" t="n">
        <v>30767.9232954545</v>
      </c>
      <c r="U25" s="344" t="n">
        <v>30761.1619318182</v>
      </c>
      <c r="V25" s="344" t="n">
        <v>15383.4545454545</v>
      </c>
    </row>
    <row r="26" customFormat="false" ht="12.75" hidden="false" customHeight="false" outlineLevel="0" collapsed="false">
      <c r="A26" s="0" t="n">
        <f aca="false">Summary!A33</f>
        <v>17</v>
      </c>
      <c r="B26" s="0" t="s">
        <v>86</v>
      </c>
      <c r="C26" s="343" t="n">
        <v>515079</v>
      </c>
      <c r="D26" s="344" t="n">
        <v>472129</v>
      </c>
      <c r="E26" s="344" t="n">
        <v>467567</v>
      </c>
      <c r="F26" s="344" t="n">
        <v>466076</v>
      </c>
      <c r="G26" s="344" t="n">
        <v>464694</v>
      </c>
      <c r="H26" s="344" t="n">
        <v>463419</v>
      </c>
      <c r="I26" s="344" t="n">
        <v>462236</v>
      </c>
      <c r="J26" s="344" t="n">
        <v>462047</v>
      </c>
      <c r="K26" s="344" t="n">
        <v>462040</v>
      </c>
      <c r="L26" s="344" t="n">
        <v>346061</v>
      </c>
      <c r="M26" s="344" t="n">
        <v>230119</v>
      </c>
      <c r="N26" s="344" t="n">
        <v>230074</v>
      </c>
      <c r="O26" s="344" t="n">
        <v>230119</v>
      </c>
      <c r="P26" s="344" t="n">
        <v>230074</v>
      </c>
      <c r="Q26" s="344" t="n">
        <v>122244</v>
      </c>
      <c r="R26" s="344" t="n">
        <v>14371</v>
      </c>
      <c r="S26" s="344" t="n">
        <v>14368</v>
      </c>
      <c r="T26" s="344" t="n">
        <v>14371</v>
      </c>
      <c r="U26" s="344" t="n">
        <v>14368</v>
      </c>
      <c r="V26" s="344" t="n">
        <v>7187</v>
      </c>
    </row>
    <row r="27" customFormat="false" ht="12.75" hidden="false" customHeight="false" outlineLevel="0" collapsed="false">
      <c r="A27" s="0" t="n">
        <f aca="false">Summary!A34</f>
        <v>18</v>
      </c>
      <c r="B27" s="0" t="s">
        <v>87</v>
      </c>
      <c r="C27" s="343" t="n">
        <v>44131884</v>
      </c>
      <c r="D27" s="344" t="n">
        <v>44077604</v>
      </c>
      <c r="E27" s="344" t="n">
        <v>44031299</v>
      </c>
      <c r="F27" s="344" t="n">
        <v>43988620</v>
      </c>
      <c r="G27" s="344" t="n">
        <v>43966930</v>
      </c>
      <c r="H27" s="344" t="n">
        <v>2134499</v>
      </c>
      <c r="I27" s="344" t="n">
        <v>794710</v>
      </c>
      <c r="J27" s="344" t="n">
        <v>792227</v>
      </c>
      <c r="K27" s="344" t="n">
        <v>792178</v>
      </c>
      <c r="L27" s="344" t="n">
        <v>792227</v>
      </c>
      <c r="M27" s="344" t="n">
        <v>792178</v>
      </c>
      <c r="N27" s="344" t="n">
        <v>792227</v>
      </c>
      <c r="O27" s="344" t="n">
        <v>792178</v>
      </c>
      <c r="P27" s="344" t="n">
        <v>631869</v>
      </c>
      <c r="Q27" s="344" t="n">
        <v>471531</v>
      </c>
      <c r="R27" s="344" t="n">
        <v>471508</v>
      </c>
      <c r="S27" s="344" t="n">
        <v>328366</v>
      </c>
      <c r="T27" s="344" t="n">
        <v>185242</v>
      </c>
      <c r="U27" s="344" t="n">
        <v>185201</v>
      </c>
      <c r="V27" s="344" t="n">
        <v>92624</v>
      </c>
    </row>
    <row r="28" customFormat="false" ht="12.75" hidden="false" customHeight="false" outlineLevel="0" collapsed="false">
      <c r="A28" s="0" t="n">
        <f aca="false">Summary!A35</f>
        <v>19</v>
      </c>
      <c r="B28" s="0" t="s">
        <v>88</v>
      </c>
      <c r="C28" s="343" t="n">
        <v>510076.06822058</v>
      </c>
      <c r="D28" s="344" t="n">
        <v>468779.183627061</v>
      </c>
      <c r="E28" s="344" t="n">
        <v>430045.712336555</v>
      </c>
      <c r="F28" s="344" t="n">
        <v>375007.315520182</v>
      </c>
      <c r="G28" s="344" t="n">
        <v>319224.079590676</v>
      </c>
      <c r="H28" s="344" t="n">
        <v>286156.254690165</v>
      </c>
      <c r="I28" s="344" t="n">
        <v>265388.955088118</v>
      </c>
      <c r="J28" s="344" t="n">
        <v>265670.078453667</v>
      </c>
      <c r="K28" s="344" t="n">
        <v>265388.955088118</v>
      </c>
      <c r="L28" s="344" t="n">
        <v>265670.078453667</v>
      </c>
      <c r="M28" s="344" t="n">
        <v>265388.955088118</v>
      </c>
      <c r="N28" s="344" t="n">
        <v>240837.284820921</v>
      </c>
      <c r="O28" s="344" t="n">
        <v>215639.076748152</v>
      </c>
      <c r="P28" s="344" t="n">
        <v>216004.491188175</v>
      </c>
      <c r="Q28" s="344" t="n">
        <v>107819.079022172</v>
      </c>
      <c r="R28" s="344" t="n">
        <v>0</v>
      </c>
      <c r="S28" s="344" t="n">
        <v>0</v>
      </c>
      <c r="T28" s="344" t="n">
        <v>0</v>
      </c>
      <c r="U28" s="344" t="n">
        <v>0</v>
      </c>
      <c r="V28" s="344" t="n">
        <v>0</v>
      </c>
    </row>
    <row r="29" customFormat="false" ht="12.75" hidden="false" customHeight="false" outlineLevel="0" collapsed="false">
      <c r="A29" s="0" t="n">
        <f aca="false">Summary!A36</f>
        <v>20</v>
      </c>
      <c r="B29" s="0" t="s">
        <v>89</v>
      </c>
      <c r="C29" s="343" t="n">
        <v>82403.3780178131</v>
      </c>
      <c r="D29" s="344" t="n">
        <v>75731.8186090582</v>
      </c>
      <c r="E29" s="344" t="n">
        <v>69474.3815804434</v>
      </c>
      <c r="F29" s="344" t="n">
        <v>60582.8649990525</v>
      </c>
      <c r="G29" s="344" t="n">
        <v>51571.0187985598</v>
      </c>
      <c r="H29" s="344" t="n">
        <v>46228.8734887247</v>
      </c>
      <c r="I29" s="344" t="n">
        <v>42873.8922493841</v>
      </c>
      <c r="J29" s="344" t="n">
        <v>42919.3080538185</v>
      </c>
      <c r="K29" s="344" t="n">
        <v>42873.8922493841</v>
      </c>
      <c r="L29" s="344" t="n">
        <v>42919.3080538185</v>
      </c>
      <c r="M29" s="344" t="n">
        <v>42873.8922493841</v>
      </c>
      <c r="N29" s="344" t="n">
        <v>38907.5415577032</v>
      </c>
      <c r="O29" s="344" t="n">
        <v>34836.7419367065</v>
      </c>
      <c r="P29" s="344" t="n">
        <v>34895.775061588</v>
      </c>
      <c r="Q29" s="344" t="n">
        <v>17418.2967595225</v>
      </c>
      <c r="R29" s="344" t="n">
        <v>0</v>
      </c>
      <c r="S29" s="344" t="n">
        <v>0</v>
      </c>
      <c r="T29" s="344" t="n">
        <v>0</v>
      </c>
      <c r="U29" s="344" t="n">
        <v>0</v>
      </c>
      <c r="V29" s="344" t="n">
        <v>0</v>
      </c>
    </row>
    <row r="30" customFormat="false" ht="12.75" hidden="false" customHeight="false" outlineLevel="0" collapsed="false">
      <c r="A30" s="0" t="n">
        <f aca="false">Summary!A37</f>
        <v>21</v>
      </c>
      <c r="B30" s="0" t="s">
        <v>90</v>
      </c>
      <c r="C30" s="343" t="n">
        <v>183156.027136631</v>
      </c>
      <c r="D30" s="344" t="n">
        <v>168327.310820542</v>
      </c>
      <c r="E30" s="344" t="n">
        <v>154419.054462763</v>
      </c>
      <c r="F30" s="344" t="n">
        <v>134656.092173583</v>
      </c>
      <c r="G30" s="344" t="n">
        <v>114625.676103847</v>
      </c>
      <c r="H30" s="344" t="n">
        <v>102751.816865643</v>
      </c>
      <c r="I30" s="344" t="n">
        <v>95294.7799128292</v>
      </c>
      <c r="J30" s="344" t="n">
        <v>95395.7245404586</v>
      </c>
      <c r="K30" s="344" t="n">
        <v>95294.7799128292</v>
      </c>
      <c r="L30" s="344" t="n">
        <v>95395.7245404586</v>
      </c>
      <c r="M30" s="344" t="n">
        <v>95294.7799128292</v>
      </c>
      <c r="N30" s="344" t="n">
        <v>86478.8666287663</v>
      </c>
      <c r="O30" s="344" t="n">
        <v>77430.7971953761</v>
      </c>
      <c r="P30" s="344" t="n">
        <v>77562.0087170741</v>
      </c>
      <c r="Q30" s="344" t="n">
        <v>38715.2336554861</v>
      </c>
      <c r="R30" s="344" t="n">
        <v>0</v>
      </c>
      <c r="S30" s="344" t="n">
        <v>0</v>
      </c>
      <c r="T30" s="344" t="n">
        <v>0</v>
      </c>
      <c r="U30" s="344" t="n">
        <v>0</v>
      </c>
      <c r="V30" s="344" t="n">
        <v>0</v>
      </c>
    </row>
    <row r="31" customFormat="false" ht="12.75" hidden="false" customHeight="false" outlineLevel="0" collapsed="false">
      <c r="A31" s="0" t="n">
        <f aca="false">Summary!A38</f>
        <v>22</v>
      </c>
      <c r="B31" s="0" t="s">
        <v>91</v>
      </c>
      <c r="C31" s="343" t="n">
        <v>329613.512071253</v>
      </c>
      <c r="D31" s="344" t="n">
        <v>302927.274436233</v>
      </c>
      <c r="E31" s="344" t="n">
        <v>277897.526321774</v>
      </c>
      <c r="F31" s="344" t="n">
        <v>242331.45999621</v>
      </c>
      <c r="G31" s="344" t="n">
        <v>206284.075194239</v>
      </c>
      <c r="H31" s="344" t="n">
        <v>184915.493954899</v>
      </c>
      <c r="I31" s="344" t="n">
        <v>171495.568997536</v>
      </c>
      <c r="J31" s="344" t="n">
        <v>171677.232215274</v>
      </c>
      <c r="K31" s="344" t="n">
        <v>171495.568997536</v>
      </c>
      <c r="L31" s="344" t="n">
        <v>171677.232215274</v>
      </c>
      <c r="M31" s="344" t="n">
        <v>171495.568997536</v>
      </c>
      <c r="N31" s="344" t="n">
        <v>155630.166230813</v>
      </c>
      <c r="O31" s="344" t="n">
        <v>139346.967746826</v>
      </c>
      <c r="P31" s="344" t="n">
        <v>139583.100246352</v>
      </c>
      <c r="Q31" s="344" t="n">
        <v>69673.1870380898</v>
      </c>
      <c r="R31" s="344" t="n">
        <v>0</v>
      </c>
      <c r="S31" s="344" t="n">
        <v>0</v>
      </c>
      <c r="T31" s="344" t="n">
        <v>0</v>
      </c>
      <c r="U31" s="344" t="n">
        <v>0</v>
      </c>
      <c r="V31" s="344" t="n">
        <v>0</v>
      </c>
    </row>
    <row r="32" customFormat="false" ht="12.75" hidden="false" customHeight="false" outlineLevel="0" collapsed="false">
      <c r="A32" s="0" t="n">
        <f aca="false">Summary!A39</f>
        <v>23</v>
      </c>
      <c r="B32" s="0" t="s">
        <v>92</v>
      </c>
      <c r="C32" s="343" t="n">
        <v>278900.503638431</v>
      </c>
      <c r="D32" s="344" t="n">
        <v>256320.103126777</v>
      </c>
      <c r="E32" s="344" t="n">
        <v>235141.331324616</v>
      </c>
      <c r="F32" s="344" t="n">
        <v>205047.316827743</v>
      </c>
      <c r="G32" s="344" t="n">
        <v>174546.037578169</v>
      </c>
      <c r="H32" s="344" t="n">
        <v>156465.140250142</v>
      </c>
      <c r="I32" s="344" t="n">
        <v>145109.950938033</v>
      </c>
      <c r="J32" s="344" t="n">
        <v>145263.664184196</v>
      </c>
      <c r="K32" s="344" t="n">
        <v>145109.950938033</v>
      </c>
      <c r="L32" s="344" t="n">
        <v>145263.664184196</v>
      </c>
      <c r="M32" s="344" t="n">
        <v>145109.950938033</v>
      </c>
      <c r="N32" s="344" t="n">
        <v>131685.535190449</v>
      </c>
      <c r="O32" s="344" t="n">
        <v>117907.604093235</v>
      </c>
      <c r="P32" s="344" t="n">
        <v>118107.406196703</v>
      </c>
      <c r="Q32" s="344" t="n">
        <v>58953.5508811825</v>
      </c>
      <c r="R32" s="344" t="n">
        <v>0</v>
      </c>
      <c r="S32" s="344" t="n">
        <v>0</v>
      </c>
      <c r="T32" s="344" t="n">
        <v>0</v>
      </c>
      <c r="U32" s="344" t="n">
        <v>0</v>
      </c>
      <c r="V32" s="344" t="n">
        <v>0</v>
      </c>
    </row>
    <row r="33" customFormat="false" ht="12.75" hidden="false" customHeight="false" outlineLevel="0" collapsed="false">
      <c r="A33" s="0" t="n">
        <f aca="false">Summary!A40</f>
        <v>24</v>
      </c>
      <c r="B33" s="0" t="s">
        <v>93</v>
      </c>
      <c r="C33" s="343" t="n">
        <v>278900.503638431</v>
      </c>
      <c r="D33" s="344" t="n">
        <v>256320.103126777</v>
      </c>
      <c r="E33" s="344" t="n">
        <v>235141.331324616</v>
      </c>
      <c r="F33" s="344" t="n">
        <v>205047.316827743</v>
      </c>
      <c r="G33" s="344" t="n">
        <v>174546.037578169</v>
      </c>
      <c r="H33" s="344" t="n">
        <v>156465.140250142</v>
      </c>
      <c r="I33" s="344" t="n">
        <v>145109.950938033</v>
      </c>
      <c r="J33" s="344" t="n">
        <v>145263.664184196</v>
      </c>
      <c r="K33" s="344" t="n">
        <v>145109.950938033</v>
      </c>
      <c r="L33" s="344" t="n">
        <v>145263.664184196</v>
      </c>
      <c r="M33" s="344" t="n">
        <v>145109.950938033</v>
      </c>
      <c r="N33" s="344" t="n">
        <v>131685.535190449</v>
      </c>
      <c r="O33" s="344" t="n">
        <v>117907.604093235</v>
      </c>
      <c r="P33" s="344" t="n">
        <v>118107.406196703</v>
      </c>
      <c r="Q33" s="344" t="n">
        <v>58953.5508811825</v>
      </c>
      <c r="R33" s="344" t="n">
        <v>0</v>
      </c>
      <c r="S33" s="344" t="n">
        <v>0</v>
      </c>
      <c r="T33" s="344" t="n">
        <v>0</v>
      </c>
      <c r="U33" s="344" t="n">
        <v>0</v>
      </c>
      <c r="V33" s="344" t="n">
        <v>0</v>
      </c>
    </row>
    <row r="34" customFormat="false" ht="12.75" hidden="false" customHeight="false" outlineLevel="0" collapsed="false">
      <c r="A34" s="0" t="n">
        <f aca="false">Summary!A41</f>
        <v>25</v>
      </c>
      <c r="B34" s="0" t="s">
        <v>94</v>
      </c>
      <c r="C34" s="343" t="n">
        <v>278900.503638431</v>
      </c>
      <c r="D34" s="344" t="n">
        <v>256320.103126777</v>
      </c>
      <c r="E34" s="344" t="n">
        <v>235141.331324616</v>
      </c>
      <c r="F34" s="344" t="n">
        <v>205047.316827743</v>
      </c>
      <c r="G34" s="344" t="n">
        <v>174546.037578169</v>
      </c>
      <c r="H34" s="344" t="n">
        <v>156465.140250142</v>
      </c>
      <c r="I34" s="344" t="n">
        <v>145109.950938033</v>
      </c>
      <c r="J34" s="344" t="n">
        <v>145263.664184196</v>
      </c>
      <c r="K34" s="344" t="n">
        <v>145109.950938033</v>
      </c>
      <c r="L34" s="344" t="n">
        <v>145263.664184196</v>
      </c>
      <c r="M34" s="344" t="n">
        <v>145109.950938033</v>
      </c>
      <c r="N34" s="344" t="n">
        <v>131685.535190449</v>
      </c>
      <c r="O34" s="344" t="n">
        <v>117907.604093235</v>
      </c>
      <c r="P34" s="344" t="n">
        <v>118107.406196703</v>
      </c>
      <c r="Q34" s="344" t="n">
        <v>58953.5508811825</v>
      </c>
      <c r="R34" s="344" t="n">
        <v>0</v>
      </c>
      <c r="S34" s="344" t="n">
        <v>0</v>
      </c>
      <c r="T34" s="344" t="n">
        <v>0</v>
      </c>
      <c r="U34" s="344" t="n">
        <v>0</v>
      </c>
      <c r="V34" s="344" t="n">
        <v>0</v>
      </c>
    </row>
    <row r="35" customFormat="false" ht="12.75" hidden="false" customHeight="false" outlineLevel="0" collapsed="false">
      <c r="A35" s="0" t="n">
        <f aca="false">Summary!A42</f>
        <v>26</v>
      </c>
      <c r="B35" s="0" t="s">
        <v>95</v>
      </c>
      <c r="C35" s="343" t="n">
        <v>278900.503638431</v>
      </c>
      <c r="D35" s="344" t="n">
        <v>256320.103126777</v>
      </c>
      <c r="E35" s="344" t="n">
        <v>235141.331324616</v>
      </c>
      <c r="F35" s="344" t="n">
        <v>205047.316827743</v>
      </c>
      <c r="G35" s="344" t="n">
        <v>174546.037578169</v>
      </c>
      <c r="H35" s="344" t="n">
        <v>156465.140250142</v>
      </c>
      <c r="I35" s="344" t="n">
        <v>145109.950938033</v>
      </c>
      <c r="J35" s="344" t="n">
        <v>145263.664184196</v>
      </c>
      <c r="K35" s="344" t="n">
        <v>145109.950938033</v>
      </c>
      <c r="L35" s="344" t="n">
        <v>145263.664184196</v>
      </c>
      <c r="M35" s="344" t="n">
        <v>145109.950938033</v>
      </c>
      <c r="N35" s="344" t="n">
        <v>131685.535190449</v>
      </c>
      <c r="O35" s="344" t="n">
        <v>117907.604093235</v>
      </c>
      <c r="P35" s="344" t="n">
        <v>118107.406196703</v>
      </c>
      <c r="Q35" s="344" t="n">
        <v>58953.5508811825</v>
      </c>
      <c r="R35" s="344" t="n">
        <v>0</v>
      </c>
      <c r="S35" s="344" t="n">
        <v>0</v>
      </c>
      <c r="T35" s="344" t="n">
        <v>0</v>
      </c>
      <c r="U35" s="344" t="n">
        <v>0</v>
      </c>
      <c r="V35" s="344" t="n">
        <v>0</v>
      </c>
    </row>
    <row r="36" customFormat="false" ht="12.75" hidden="false" customHeight="false" outlineLevel="0" collapsed="false">
      <c r="A36" s="0" t="n">
        <f aca="false">Summary!A43</f>
        <v>27</v>
      </c>
      <c r="B36" s="0" t="s">
        <v>96</v>
      </c>
      <c r="C36" s="343" t="n">
        <v>2194936.33333333</v>
      </c>
      <c r="D36" s="344" t="n">
        <v>2191982.66666667</v>
      </c>
      <c r="E36" s="344" t="n">
        <v>2194903.5</v>
      </c>
      <c r="F36" s="344" t="n">
        <v>2191915.33333333</v>
      </c>
      <c r="G36" s="344" t="n">
        <v>2194842.33333333</v>
      </c>
      <c r="H36" s="344" t="n">
        <v>2191872.5</v>
      </c>
      <c r="I36" s="344" t="n">
        <v>2194828.66666667</v>
      </c>
      <c r="J36" s="344" t="n">
        <v>1220411.16666667</v>
      </c>
      <c r="K36" s="344" t="n">
        <v>136829</v>
      </c>
      <c r="L36" s="344" t="n">
        <v>12625.1666666667</v>
      </c>
      <c r="M36" s="344" t="n">
        <v>245.5</v>
      </c>
      <c r="N36" s="344" t="n">
        <v>245.833333333333</v>
      </c>
      <c r="O36" s="344" t="n">
        <v>245.5</v>
      </c>
      <c r="P36" s="344" t="n">
        <v>245.833333333333</v>
      </c>
      <c r="Q36" s="344" t="n">
        <v>122.833333333333</v>
      </c>
      <c r="R36" s="344" t="n">
        <v>0</v>
      </c>
      <c r="S36" s="344" t="n">
        <v>0</v>
      </c>
      <c r="T36" s="344" t="n">
        <v>0</v>
      </c>
      <c r="U36" s="344" t="n">
        <v>0</v>
      </c>
      <c r="V36" s="344" t="n">
        <v>0</v>
      </c>
    </row>
    <row r="37" customFormat="false" ht="12.75" hidden="false" customHeight="false" outlineLevel="0" collapsed="false">
      <c r="A37" s="0" t="n">
        <f aca="false">Summary!A44</f>
        <v>28</v>
      </c>
      <c r="B37" s="0" t="s">
        <v>97</v>
      </c>
      <c r="C37" s="343" t="n">
        <v>2194936.33333333</v>
      </c>
      <c r="D37" s="344" t="n">
        <v>2191982.66666667</v>
      </c>
      <c r="E37" s="344" t="n">
        <v>2194903.5</v>
      </c>
      <c r="F37" s="344" t="n">
        <v>2191915.33333333</v>
      </c>
      <c r="G37" s="344" t="n">
        <v>2194842.33333333</v>
      </c>
      <c r="H37" s="344" t="n">
        <v>2191872.5</v>
      </c>
      <c r="I37" s="344" t="n">
        <v>2194828.66666667</v>
      </c>
      <c r="J37" s="344" t="n">
        <v>1220411.16666667</v>
      </c>
      <c r="K37" s="344" t="n">
        <v>136829</v>
      </c>
      <c r="L37" s="344" t="n">
        <v>12625.1666666667</v>
      </c>
      <c r="M37" s="344" t="n">
        <v>245.5</v>
      </c>
      <c r="N37" s="344" t="n">
        <v>245.833333333333</v>
      </c>
      <c r="O37" s="344" t="n">
        <v>245.5</v>
      </c>
      <c r="P37" s="344" t="n">
        <v>245.833333333333</v>
      </c>
      <c r="Q37" s="344" t="n">
        <v>122.833333333333</v>
      </c>
      <c r="R37" s="344" t="n">
        <v>0</v>
      </c>
      <c r="S37" s="344" t="n">
        <v>0</v>
      </c>
      <c r="T37" s="344" t="n">
        <v>0</v>
      </c>
      <c r="U37" s="344" t="n">
        <v>0</v>
      </c>
      <c r="V37" s="344" t="n">
        <v>0</v>
      </c>
    </row>
    <row r="38" customFormat="false" ht="12.75" hidden="false" customHeight="false" outlineLevel="0" collapsed="false">
      <c r="A38" s="0" t="n">
        <f aca="false">Summary!A45</f>
        <v>29</v>
      </c>
      <c r="B38" s="0" t="s">
        <v>98</v>
      </c>
      <c r="C38" s="343" t="n">
        <v>2194936.33333333</v>
      </c>
      <c r="D38" s="344" t="n">
        <v>2191982.66666667</v>
      </c>
      <c r="E38" s="344" t="n">
        <v>2194903.5</v>
      </c>
      <c r="F38" s="344" t="n">
        <v>2191915.33333333</v>
      </c>
      <c r="G38" s="344" t="n">
        <v>2194842.33333333</v>
      </c>
      <c r="H38" s="344" t="n">
        <v>2191872.5</v>
      </c>
      <c r="I38" s="344" t="n">
        <v>2194828.66666667</v>
      </c>
      <c r="J38" s="344" t="n">
        <v>1220411.16666667</v>
      </c>
      <c r="K38" s="344" t="n">
        <v>136829</v>
      </c>
      <c r="L38" s="344" t="n">
        <v>12625.1666666667</v>
      </c>
      <c r="M38" s="344" t="n">
        <v>245.5</v>
      </c>
      <c r="N38" s="344" t="n">
        <v>245.833333333333</v>
      </c>
      <c r="O38" s="344" t="n">
        <v>245.5</v>
      </c>
      <c r="P38" s="344" t="n">
        <v>245.833333333333</v>
      </c>
      <c r="Q38" s="344" t="n">
        <v>122.833333333333</v>
      </c>
      <c r="R38" s="344" t="n">
        <v>0</v>
      </c>
      <c r="S38" s="344" t="n">
        <v>0</v>
      </c>
      <c r="T38" s="344" t="n">
        <v>0</v>
      </c>
      <c r="U38" s="344" t="n">
        <v>0</v>
      </c>
      <c r="V38" s="344" t="n">
        <v>0</v>
      </c>
    </row>
    <row r="39" customFormat="false" ht="12.75" hidden="false" customHeight="false" outlineLevel="0" collapsed="false">
      <c r="A39" s="0" t="n">
        <f aca="false">Summary!A46</f>
        <v>30</v>
      </c>
      <c r="B39" s="0" t="s">
        <v>99</v>
      </c>
      <c r="C39" s="343" t="n">
        <v>2194936.33333333</v>
      </c>
      <c r="D39" s="344" t="n">
        <v>2191982.66666667</v>
      </c>
      <c r="E39" s="344" t="n">
        <v>2194903.5</v>
      </c>
      <c r="F39" s="344" t="n">
        <v>2191915.33333333</v>
      </c>
      <c r="G39" s="344" t="n">
        <v>2194842.33333333</v>
      </c>
      <c r="H39" s="344" t="n">
        <v>2191872.5</v>
      </c>
      <c r="I39" s="344" t="n">
        <v>2194828.66666667</v>
      </c>
      <c r="J39" s="344" t="n">
        <v>1220411.16666667</v>
      </c>
      <c r="K39" s="344" t="n">
        <v>136829</v>
      </c>
      <c r="L39" s="344" t="n">
        <v>12625.1666666667</v>
      </c>
      <c r="M39" s="344" t="n">
        <v>245.5</v>
      </c>
      <c r="N39" s="344" t="n">
        <v>245.833333333333</v>
      </c>
      <c r="O39" s="344" t="n">
        <v>245.5</v>
      </c>
      <c r="P39" s="344" t="n">
        <v>245.833333333333</v>
      </c>
      <c r="Q39" s="344" t="n">
        <v>122.833333333333</v>
      </c>
      <c r="R39" s="344" t="n">
        <v>0</v>
      </c>
      <c r="S39" s="344" t="n">
        <v>0</v>
      </c>
      <c r="T39" s="344" t="n">
        <v>0</v>
      </c>
      <c r="U39" s="344" t="n">
        <v>0</v>
      </c>
      <c r="V39" s="344" t="n">
        <v>0</v>
      </c>
    </row>
    <row r="40" customFormat="false" ht="12.75" hidden="false" customHeight="false" outlineLevel="0" collapsed="false">
      <c r="A40" s="0" t="n">
        <f aca="false">Summary!A47</f>
        <v>31</v>
      </c>
      <c r="B40" s="0" t="s">
        <v>100</v>
      </c>
      <c r="C40" s="343" t="n">
        <v>2194936.33333333</v>
      </c>
      <c r="D40" s="344" t="n">
        <v>2191982.66666667</v>
      </c>
      <c r="E40" s="344" t="n">
        <v>2194903.5</v>
      </c>
      <c r="F40" s="344" t="n">
        <v>2191915.33333333</v>
      </c>
      <c r="G40" s="344" t="n">
        <v>2194842.33333333</v>
      </c>
      <c r="H40" s="344" t="n">
        <v>2191872.5</v>
      </c>
      <c r="I40" s="344" t="n">
        <v>2194828.66666667</v>
      </c>
      <c r="J40" s="344" t="n">
        <v>1220411.16666667</v>
      </c>
      <c r="K40" s="344" t="n">
        <v>136829</v>
      </c>
      <c r="L40" s="344" t="n">
        <v>12625.1666666667</v>
      </c>
      <c r="M40" s="344" t="n">
        <v>245.5</v>
      </c>
      <c r="N40" s="344" t="n">
        <v>245.833333333333</v>
      </c>
      <c r="O40" s="344" t="n">
        <v>245.5</v>
      </c>
      <c r="P40" s="344" t="n">
        <v>245.833333333333</v>
      </c>
      <c r="Q40" s="344" t="n">
        <v>122.833333333333</v>
      </c>
      <c r="R40" s="344" t="n">
        <v>0</v>
      </c>
      <c r="S40" s="344" t="n">
        <v>0</v>
      </c>
      <c r="T40" s="344" t="n">
        <v>0</v>
      </c>
      <c r="U40" s="344" t="n">
        <v>0</v>
      </c>
      <c r="V40" s="344" t="n">
        <v>0</v>
      </c>
    </row>
    <row r="41" customFormat="false" ht="12.75" hidden="false" customHeight="false" outlineLevel="0" collapsed="false">
      <c r="A41" s="0" t="n">
        <f aca="false">Summary!A48</f>
        <v>32</v>
      </c>
      <c r="B41" s="0" t="s">
        <v>101</v>
      </c>
      <c r="C41" s="343" t="n">
        <v>2194936.33333333</v>
      </c>
      <c r="D41" s="344" t="n">
        <v>2191982.66666667</v>
      </c>
      <c r="E41" s="344" t="n">
        <v>2194903.5</v>
      </c>
      <c r="F41" s="344" t="n">
        <v>2191915.33333333</v>
      </c>
      <c r="G41" s="344" t="n">
        <v>2194842.33333333</v>
      </c>
      <c r="H41" s="344" t="n">
        <v>2191872.5</v>
      </c>
      <c r="I41" s="344" t="n">
        <v>2194828.66666667</v>
      </c>
      <c r="J41" s="344" t="n">
        <v>1220411.16666667</v>
      </c>
      <c r="K41" s="344" t="n">
        <v>136829</v>
      </c>
      <c r="L41" s="344" t="n">
        <v>12625.1666666667</v>
      </c>
      <c r="M41" s="344" t="n">
        <v>245.5</v>
      </c>
      <c r="N41" s="344" t="n">
        <v>245.833333333333</v>
      </c>
      <c r="O41" s="344" t="n">
        <v>245.5</v>
      </c>
      <c r="P41" s="344" t="n">
        <v>245.833333333333</v>
      </c>
      <c r="Q41" s="344" t="n">
        <v>122.833333333333</v>
      </c>
      <c r="R41" s="344" t="n">
        <v>0</v>
      </c>
      <c r="S41" s="344" t="n">
        <v>0</v>
      </c>
      <c r="T41" s="344" t="n">
        <v>0</v>
      </c>
      <c r="U41" s="344" t="n">
        <v>0</v>
      </c>
      <c r="V41" s="344" t="n">
        <v>0</v>
      </c>
    </row>
    <row r="42" customFormat="false" ht="13.5" hidden="false" customHeight="false" outlineLevel="0" collapsed="false">
      <c r="A42" s="0" t="n">
        <f aca="false">Summary!A49</f>
        <v>33</v>
      </c>
      <c r="B42" s="314" t="s">
        <v>14</v>
      </c>
      <c r="C42" s="345" t="n">
        <v>0</v>
      </c>
      <c r="D42" s="346" t="n">
        <v>32528000</v>
      </c>
      <c r="E42" s="346" t="n">
        <v>29275200</v>
      </c>
      <c r="F42" s="346" t="n">
        <v>26364800</v>
      </c>
      <c r="G42" s="346" t="n">
        <v>23728320</v>
      </c>
      <c r="H42" s="346" t="n">
        <v>21331520</v>
      </c>
      <c r="I42" s="346" t="n">
        <v>20201600</v>
      </c>
      <c r="J42" s="346" t="n">
        <v>20201600</v>
      </c>
      <c r="K42" s="346" t="n">
        <v>20235840</v>
      </c>
      <c r="L42" s="346" t="n">
        <v>20201600</v>
      </c>
      <c r="M42" s="346" t="n">
        <v>20235840</v>
      </c>
      <c r="N42" s="346" t="n">
        <v>20201600</v>
      </c>
      <c r="O42" s="346" t="n">
        <v>20235840</v>
      </c>
      <c r="P42" s="346" t="n">
        <v>20235840</v>
      </c>
      <c r="Q42" s="346" t="n">
        <v>20235840</v>
      </c>
      <c r="R42" s="346" t="n">
        <v>10100800</v>
      </c>
      <c r="S42" s="346" t="n">
        <v>10846000</v>
      </c>
      <c r="T42" s="346" t="n">
        <v>10846000</v>
      </c>
      <c r="U42" s="346" t="n">
        <v>10846000</v>
      </c>
      <c r="V42" s="346" t="n">
        <v>10846000</v>
      </c>
    </row>
    <row r="43" customFormat="false" ht="13.5" hidden="false" customHeight="false" outlineLevel="0" collapsed="false">
      <c r="B43" s="0" t="s">
        <v>3</v>
      </c>
      <c r="C43" s="347" t="n">
        <f aca="false">SUM(C10:C42)</f>
        <v>80255381</v>
      </c>
      <c r="D43" s="347" t="n">
        <f aca="false">SUM(D10:D42)</f>
        <v>110144341</v>
      </c>
      <c r="E43" s="347" t="n">
        <f aca="false">SUM(E10:E42)</f>
        <v>106093630</v>
      </c>
      <c r="F43" s="347" t="n">
        <f aca="false">SUM(F10:F42)</f>
        <v>101850895</v>
      </c>
      <c r="G43" s="347" t="n">
        <f aca="false">SUM(G10:G42)</f>
        <v>98354719</v>
      </c>
      <c r="H43" s="347" t="n">
        <f aca="false">SUM(H10:H42)</f>
        <v>53731464</v>
      </c>
      <c r="I43" s="347" t="n">
        <f aca="false">SUM(I10:I42)</f>
        <v>51138603</v>
      </c>
      <c r="J43" s="347" t="n">
        <f aca="false">SUM(J10:J42)</f>
        <v>44733061</v>
      </c>
      <c r="K43" s="347" t="n">
        <f aca="false">SUM(K10:K42)</f>
        <v>36908700</v>
      </c>
      <c r="L43" s="347" t="n">
        <f aca="false">SUM(L10:L42)</f>
        <v>34200588</v>
      </c>
      <c r="M43" s="347" t="n">
        <f aca="false">SUM(M10:M42)</f>
        <v>32518757</v>
      </c>
      <c r="N43" s="347" t="n">
        <f aca="false">SUM(N10:N42)</f>
        <v>31195989</v>
      </c>
      <c r="O43" s="347" t="n">
        <f aca="false">SUM(O10:O42)</f>
        <v>29781094</v>
      </c>
      <c r="P43" s="347" t="n">
        <f aca="false">SUM(P10:P42)</f>
        <v>28480169</v>
      </c>
      <c r="Q43" s="347" t="n">
        <f aca="false">SUM(Q10:Q42)</f>
        <v>26108226</v>
      </c>
      <c r="R43" s="347" t="n">
        <f aca="false">SUM(R10:R42)</f>
        <v>13731060</v>
      </c>
      <c r="S43" s="347" t="n">
        <f aca="false">SUM(S10:S42)</f>
        <v>13127696</v>
      </c>
      <c r="T43" s="347" t="n">
        <f aca="false">SUM(T10:T42)</f>
        <v>12274818</v>
      </c>
      <c r="U43" s="347" t="n">
        <f aca="false">SUM(U10:U42)</f>
        <v>11889076</v>
      </c>
      <c r="V43" s="347" t="n">
        <f aca="false">SUM(V10:V42)</f>
        <v>11174733</v>
      </c>
    </row>
    <row r="50" customFormat="false" ht="12.75" hidden="false" customHeight="false" outlineLevel="0" collapsed="false">
      <c r="B50" s="348"/>
      <c r="C50" s="322" t="n">
        <v>2000</v>
      </c>
      <c r="D50" s="323" t="n">
        <v>2001</v>
      </c>
      <c r="E50" s="323" t="n">
        <v>2002</v>
      </c>
      <c r="F50" s="323" t="n">
        <v>2003</v>
      </c>
      <c r="G50" s="323" t="n">
        <v>2004</v>
      </c>
      <c r="H50" s="323" t="n">
        <v>2005</v>
      </c>
      <c r="I50" s="323" t="n">
        <v>2006</v>
      </c>
      <c r="J50" s="323" t="n">
        <v>2007</v>
      </c>
      <c r="K50" s="323" t="n">
        <v>2008</v>
      </c>
      <c r="L50" s="323" t="n">
        <v>2009</v>
      </c>
      <c r="M50" s="323" t="n">
        <v>2010</v>
      </c>
      <c r="N50" s="323" t="n">
        <v>2011</v>
      </c>
      <c r="O50" s="323" t="n">
        <v>2012</v>
      </c>
      <c r="P50" s="323" t="n">
        <v>2013</v>
      </c>
      <c r="Q50" s="323" t="n">
        <v>2014</v>
      </c>
      <c r="R50" s="323" t="n">
        <v>2015</v>
      </c>
      <c r="S50" s="323" t="n">
        <v>2016</v>
      </c>
      <c r="T50" s="323" t="n">
        <v>2017</v>
      </c>
      <c r="U50" s="323" t="n">
        <v>2018</v>
      </c>
      <c r="V50" s="323" t="n">
        <v>2019</v>
      </c>
    </row>
    <row r="51" customFormat="false" ht="12.75" hidden="false" customHeight="false" outlineLevel="0" collapsed="false">
      <c r="A51" s="349" t="s">
        <v>176</v>
      </c>
      <c r="B51" s="348"/>
      <c r="C51" s="350"/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</row>
    <row r="52" customFormat="false" ht="13.5" hidden="false" customHeight="false" outlineLevel="0" collapsed="false">
      <c r="B52" s="348" t="s">
        <v>177</v>
      </c>
      <c r="C52" s="351" t="n">
        <f aca="false">-VLOOKUP(IS!$B$1,CapAds,C50-1997)*-1</f>
        <v>0</v>
      </c>
      <c r="D52" s="352" t="n">
        <f aca="false">-VLOOKUP(IS!$B$1,CapAds,D50-1997)*-1</f>
        <v>0</v>
      </c>
      <c r="E52" s="352" t="n">
        <f aca="false">-VLOOKUP(IS!$B$1,CapAds,E50-1997)*-1</f>
        <v>0</v>
      </c>
      <c r="F52" s="352" t="n">
        <f aca="false">-VLOOKUP(IS!$B$1,CapAds,F50-1997)*-1</f>
        <v>0</v>
      </c>
      <c r="G52" s="352" t="n">
        <f aca="false">-VLOOKUP(IS!$B$1,CapAds,G50-1997)*-1</f>
        <v>0</v>
      </c>
      <c r="H52" s="352" t="n">
        <f aca="false">-VLOOKUP(IS!$B$1,CapAds,H50-1997)*-1</f>
        <v>0</v>
      </c>
      <c r="I52" s="352" t="n">
        <f aca="false">-VLOOKUP(IS!$B$1,CapAds,I50-1997)*-1</f>
        <v>0</v>
      </c>
      <c r="J52" s="352" t="n">
        <f aca="false">-VLOOKUP(IS!$B$1,CapAds,J50-1997)*-1</f>
        <v>0</v>
      </c>
      <c r="K52" s="352" t="n">
        <f aca="false">-VLOOKUP(IS!$B$1,CapAds,K50-1997)*-1</f>
        <v>0</v>
      </c>
      <c r="L52" s="352" t="n">
        <f aca="false">-VLOOKUP(IS!$B$1,CapAds,L50-1997)*-1</f>
        <v>0</v>
      </c>
      <c r="M52" s="352" t="n">
        <f aca="false">-VLOOKUP(IS!$B$1,CapAds,M50-1997)*-1</f>
        <v>0</v>
      </c>
      <c r="N52" s="352" t="n">
        <f aca="false">-VLOOKUP(IS!$B$1,CapAds,N50-1997)*-1</f>
        <v>0</v>
      </c>
      <c r="O52" s="352" t="n">
        <f aca="false">-VLOOKUP(IS!$B$1,CapAds,O50-1997)*-1</f>
        <v>0</v>
      </c>
      <c r="P52" s="352" t="n">
        <f aca="false">-VLOOKUP(IS!$B$1,CapAds,P50-1997)*-1</f>
        <v>0</v>
      </c>
      <c r="Q52" s="352" t="n">
        <f aca="false">-VLOOKUP(IS!$B$1,CapAds,Q50-1997)*-1</f>
        <v>0</v>
      </c>
      <c r="R52" s="352" t="n">
        <f aca="false">-VLOOKUP(IS!$B$1,CapAds,R50-1997)*-1</f>
        <v>0</v>
      </c>
      <c r="S52" s="352" t="n">
        <f aca="false">-VLOOKUP(IS!$B$1,CapAds,S50-1997)*-1</f>
        <v>0</v>
      </c>
      <c r="T52" s="352" t="n">
        <f aca="false">-VLOOKUP(IS!$B$1,CapAds,T50-1997)*-1</f>
        <v>0</v>
      </c>
      <c r="U52" s="352" t="n">
        <f aca="false">-VLOOKUP(IS!$B$1,CapAds,U50-1997)*-1</f>
        <v>0</v>
      </c>
      <c r="V52" s="352" t="n">
        <f aca="false">-VLOOKUP(IS!$B$1,CapAds,V50-1997)*-1</f>
        <v>0</v>
      </c>
    </row>
    <row r="53" customFormat="false" ht="13.5" hidden="false" customHeight="false" outlineLevel="0" collapsed="false">
      <c r="B53" s="348" t="s">
        <v>178</v>
      </c>
      <c r="C53" s="353" t="n">
        <v>0.0375</v>
      </c>
      <c r="D53" s="354" t="n">
        <v>0.07219</v>
      </c>
      <c r="E53" s="354" t="n">
        <v>0.06678</v>
      </c>
      <c r="F53" s="354" t="n">
        <v>0.06178</v>
      </c>
      <c r="G53" s="354" t="n">
        <v>0.05715</v>
      </c>
      <c r="H53" s="354" t="n">
        <v>0.05286</v>
      </c>
      <c r="I53" s="354" t="n">
        <v>0.0489</v>
      </c>
      <c r="J53" s="354" t="n">
        <v>0.04523</v>
      </c>
      <c r="K53" s="354" t="n">
        <v>0.04461</v>
      </c>
      <c r="L53" s="354" t="n">
        <v>0.04461</v>
      </c>
      <c r="M53" s="354" t="n">
        <v>0.04461</v>
      </c>
      <c r="N53" s="354" t="n">
        <v>0.04461</v>
      </c>
      <c r="O53" s="354" t="n">
        <v>0.04461</v>
      </c>
      <c r="P53" s="354" t="n">
        <v>0.04461</v>
      </c>
      <c r="Q53" s="354" t="n">
        <v>0.04461</v>
      </c>
      <c r="R53" s="354" t="n">
        <v>0.04461</v>
      </c>
      <c r="S53" s="354" t="n">
        <v>0.04461</v>
      </c>
      <c r="T53" s="354" t="n">
        <v>0.04461</v>
      </c>
      <c r="U53" s="354" t="n">
        <v>0.04461</v>
      </c>
      <c r="V53" s="354" t="n">
        <v>0.04461</v>
      </c>
    </row>
    <row r="54" customFormat="false" ht="12.75" hidden="false" customHeight="false" outlineLevel="0" collapsed="false">
      <c r="B54" s="348"/>
      <c r="C54" s="350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</row>
    <row r="55" customFormat="false" ht="12.75" hidden="false" customHeight="false" outlineLevel="0" collapsed="false">
      <c r="B55" s="348"/>
      <c r="C55" s="350" t="n">
        <f aca="false">C$52*$C$53</f>
        <v>0</v>
      </c>
      <c r="D55" s="355" t="n">
        <f aca="false">D$52*$C$53</f>
        <v>0</v>
      </c>
      <c r="E55" s="355" t="n">
        <f aca="false">E$52*$C$53</f>
        <v>0</v>
      </c>
      <c r="F55" s="355" t="n">
        <f aca="false">F$52*$C$53</f>
        <v>0</v>
      </c>
      <c r="G55" s="355" t="n">
        <f aca="false">G$52*$C$53</f>
        <v>0</v>
      </c>
      <c r="H55" s="355" t="n">
        <f aca="false">H$52*$C$53</f>
        <v>0</v>
      </c>
      <c r="I55" s="355" t="n">
        <f aca="false">I$52*$C$53</f>
        <v>0</v>
      </c>
      <c r="J55" s="355" t="n">
        <f aca="false">J$52*$C$53</f>
        <v>0</v>
      </c>
      <c r="K55" s="355" t="n">
        <f aca="false">K$52*$C$53</f>
        <v>0</v>
      </c>
      <c r="L55" s="355" t="n">
        <f aca="false">L$52*$C$53</f>
        <v>0</v>
      </c>
      <c r="M55" s="355" t="n">
        <f aca="false">M$52*$C$53</f>
        <v>0</v>
      </c>
      <c r="N55" s="355" t="n">
        <f aca="false">N$52*$C$53</f>
        <v>0</v>
      </c>
      <c r="O55" s="355" t="n">
        <f aca="false">O$52*$C$53</f>
        <v>0</v>
      </c>
      <c r="P55" s="355" t="n">
        <f aca="false">P$52*$C$53</f>
        <v>0</v>
      </c>
      <c r="Q55" s="355" t="n">
        <f aca="false">Q$52*$C$53</f>
        <v>0</v>
      </c>
      <c r="R55" s="355" t="n">
        <f aca="false">R$52*$C$53</f>
        <v>0</v>
      </c>
      <c r="S55" s="355" t="n">
        <f aca="false">S$52*$C$53</f>
        <v>0</v>
      </c>
      <c r="T55" s="355" t="n">
        <f aca="false">T$52*$C$53</f>
        <v>0</v>
      </c>
      <c r="U55" s="355" t="n">
        <f aca="false">U$52*$C$53</f>
        <v>0</v>
      </c>
      <c r="V55" s="355" t="n">
        <f aca="false">V$52*$C$53</f>
        <v>0</v>
      </c>
    </row>
    <row r="56" customFormat="false" ht="12.75" hidden="false" customHeight="false" outlineLevel="0" collapsed="false">
      <c r="B56" s="348"/>
      <c r="C56" s="356"/>
      <c r="D56" s="355" t="n">
        <f aca="false">C$52*$D$53</f>
        <v>0</v>
      </c>
      <c r="E56" s="355" t="n">
        <f aca="false">D$52*$D$53</f>
        <v>0</v>
      </c>
      <c r="F56" s="355" t="n">
        <f aca="false">E$52*$D$53</f>
        <v>0</v>
      </c>
      <c r="G56" s="355" t="n">
        <f aca="false">F$52*$D$53</f>
        <v>0</v>
      </c>
      <c r="H56" s="355" t="n">
        <f aca="false">G$52*$D$53</f>
        <v>0</v>
      </c>
      <c r="I56" s="355" t="n">
        <f aca="false">H$52*$D$53</f>
        <v>0</v>
      </c>
      <c r="J56" s="355" t="n">
        <f aca="false">I$52*$D$53</f>
        <v>0</v>
      </c>
      <c r="K56" s="355" t="n">
        <f aca="false">J$52*$D$53</f>
        <v>0</v>
      </c>
      <c r="L56" s="355" t="n">
        <f aca="false">K$52*$D$53</f>
        <v>0</v>
      </c>
      <c r="M56" s="355" t="n">
        <f aca="false">L$52*$D$53</f>
        <v>0</v>
      </c>
      <c r="N56" s="355" t="n">
        <f aca="false">M$52*$D$53</f>
        <v>0</v>
      </c>
      <c r="O56" s="355" t="n">
        <f aca="false">N$52*$D$53</f>
        <v>0</v>
      </c>
      <c r="P56" s="355" t="n">
        <f aca="false">O$52*$D$53</f>
        <v>0</v>
      </c>
      <c r="Q56" s="355" t="n">
        <f aca="false">P$52*$D$53</f>
        <v>0</v>
      </c>
      <c r="R56" s="355" t="n">
        <f aca="false">Q$52*$D$53</f>
        <v>0</v>
      </c>
      <c r="S56" s="355" t="n">
        <f aca="false">R$52*$D$53</f>
        <v>0</v>
      </c>
      <c r="T56" s="355" t="n">
        <f aca="false">S$52*$D$53</f>
        <v>0</v>
      </c>
      <c r="U56" s="355" t="n">
        <f aca="false">T$52*$D$53</f>
        <v>0</v>
      </c>
      <c r="V56" s="355" t="n">
        <f aca="false">U$52*$D$53</f>
        <v>0</v>
      </c>
    </row>
    <row r="57" customFormat="false" ht="12.75" hidden="false" customHeight="false" outlineLevel="0" collapsed="false">
      <c r="B57" s="348"/>
      <c r="C57" s="356"/>
      <c r="D57" s="357"/>
      <c r="E57" s="355" t="n">
        <f aca="false">C$52*$E$53</f>
        <v>0</v>
      </c>
      <c r="F57" s="355" t="n">
        <f aca="false">D$52*$E$53</f>
        <v>0</v>
      </c>
      <c r="G57" s="355" t="n">
        <f aca="false">E$52*$E$53</f>
        <v>0</v>
      </c>
      <c r="H57" s="355" t="n">
        <f aca="false">F$52*$E$53</f>
        <v>0</v>
      </c>
      <c r="I57" s="355" t="n">
        <f aca="false">G$52*$E$53</f>
        <v>0</v>
      </c>
      <c r="J57" s="355" t="n">
        <f aca="false">H$52*$E$53</f>
        <v>0</v>
      </c>
      <c r="K57" s="355" t="n">
        <f aca="false">I$52*$E$53</f>
        <v>0</v>
      </c>
      <c r="L57" s="355" t="n">
        <f aca="false">J$52*$E$53</f>
        <v>0</v>
      </c>
      <c r="M57" s="355" t="n">
        <f aca="false">K$52*$E$53</f>
        <v>0</v>
      </c>
      <c r="N57" s="355" t="n">
        <f aca="false">L$52*$E$53</f>
        <v>0</v>
      </c>
      <c r="O57" s="355" t="n">
        <f aca="false">M$52*$E$53</f>
        <v>0</v>
      </c>
      <c r="P57" s="355" t="n">
        <f aca="false">N$52*$E$53</f>
        <v>0</v>
      </c>
      <c r="Q57" s="355" t="n">
        <f aca="false">O$52*$E$53</f>
        <v>0</v>
      </c>
      <c r="R57" s="355" t="n">
        <f aca="false">P$52*$E$53</f>
        <v>0</v>
      </c>
      <c r="S57" s="355" t="n">
        <f aca="false">Q$52*$E$53</f>
        <v>0</v>
      </c>
      <c r="T57" s="355" t="n">
        <f aca="false">R$52*$E$53</f>
        <v>0</v>
      </c>
      <c r="U57" s="355" t="n">
        <f aca="false">S$52*$E$53</f>
        <v>0</v>
      </c>
      <c r="V57" s="355" t="n">
        <f aca="false">T$52*$E$53</f>
        <v>0</v>
      </c>
    </row>
    <row r="58" customFormat="false" ht="12.75" hidden="false" customHeight="false" outlineLevel="0" collapsed="false">
      <c r="B58" s="348"/>
      <c r="C58" s="356"/>
      <c r="D58" s="357"/>
      <c r="E58" s="357"/>
      <c r="F58" s="355" t="n">
        <f aca="false">C$52*$F$53</f>
        <v>0</v>
      </c>
      <c r="G58" s="355" t="n">
        <f aca="false">D$52*$F$53</f>
        <v>0</v>
      </c>
      <c r="H58" s="355" t="n">
        <f aca="false">E$52*$F$53</f>
        <v>0</v>
      </c>
      <c r="I58" s="355" t="n">
        <f aca="false">F$52*$F$53</f>
        <v>0</v>
      </c>
      <c r="J58" s="355" t="n">
        <f aca="false">G$52*$F$53</f>
        <v>0</v>
      </c>
      <c r="K58" s="355" t="n">
        <f aca="false">H$52*$F$53</f>
        <v>0</v>
      </c>
      <c r="L58" s="355" t="n">
        <f aca="false">I$52*$F$53</f>
        <v>0</v>
      </c>
      <c r="M58" s="355" t="n">
        <f aca="false">J$52*$F$53</f>
        <v>0</v>
      </c>
      <c r="N58" s="355" t="n">
        <f aca="false">K$52*$F$53</f>
        <v>0</v>
      </c>
      <c r="O58" s="355" t="n">
        <f aca="false">L$52*$F$53</f>
        <v>0</v>
      </c>
      <c r="P58" s="355" t="n">
        <f aca="false">M$52*$F$53</f>
        <v>0</v>
      </c>
      <c r="Q58" s="355" t="n">
        <f aca="false">N$52*$F$53</f>
        <v>0</v>
      </c>
      <c r="R58" s="355" t="n">
        <f aca="false">O$52*$F$53</f>
        <v>0</v>
      </c>
      <c r="S58" s="355" t="n">
        <f aca="false">P$52*$F$53</f>
        <v>0</v>
      </c>
      <c r="T58" s="355" t="n">
        <f aca="false">Q$52*$F$53</f>
        <v>0</v>
      </c>
      <c r="U58" s="355" t="n">
        <f aca="false">R$52*$F$53</f>
        <v>0</v>
      </c>
      <c r="V58" s="355" t="n">
        <f aca="false">S$52*$F$53</f>
        <v>0</v>
      </c>
    </row>
    <row r="59" customFormat="false" ht="12.75" hidden="false" customHeight="false" outlineLevel="0" collapsed="false">
      <c r="B59" s="348"/>
      <c r="C59" s="356"/>
      <c r="D59" s="357"/>
      <c r="E59" s="357"/>
      <c r="F59" s="357"/>
      <c r="G59" s="355" t="n">
        <f aca="false">C$52*$G$53</f>
        <v>0</v>
      </c>
      <c r="H59" s="355" t="n">
        <f aca="false">D$52*$G$53</f>
        <v>0</v>
      </c>
      <c r="I59" s="355" t="n">
        <f aca="false">E$52*$G$53</f>
        <v>0</v>
      </c>
      <c r="J59" s="355" t="n">
        <f aca="false">F$52*$G$53</f>
        <v>0</v>
      </c>
      <c r="K59" s="355" t="n">
        <f aca="false">G$52*$G$53</f>
        <v>0</v>
      </c>
      <c r="L59" s="355" t="n">
        <f aca="false">H$52*$G$53</f>
        <v>0</v>
      </c>
      <c r="M59" s="355" t="n">
        <f aca="false">I$52*$G$53</f>
        <v>0</v>
      </c>
      <c r="N59" s="355" t="n">
        <f aca="false">J$52*$G$53</f>
        <v>0</v>
      </c>
      <c r="O59" s="355" t="n">
        <f aca="false">K$52*$G$53</f>
        <v>0</v>
      </c>
      <c r="P59" s="355" t="n">
        <f aca="false">L$52*$G$53</f>
        <v>0</v>
      </c>
      <c r="Q59" s="355" t="n">
        <f aca="false">M$52*$G$53</f>
        <v>0</v>
      </c>
      <c r="R59" s="355" t="n">
        <f aca="false">N$52*$G$53</f>
        <v>0</v>
      </c>
      <c r="S59" s="355" t="n">
        <f aca="false">O$52*$G$53</f>
        <v>0</v>
      </c>
      <c r="T59" s="355" t="n">
        <f aca="false">P$52*$G$53</f>
        <v>0</v>
      </c>
      <c r="U59" s="355" t="n">
        <f aca="false">Q$52*$G$53</f>
        <v>0</v>
      </c>
      <c r="V59" s="355" t="n">
        <f aca="false">R$52*$G$53</f>
        <v>0</v>
      </c>
    </row>
    <row r="60" customFormat="false" ht="12.75" hidden="false" customHeight="false" outlineLevel="0" collapsed="false">
      <c r="B60" s="348"/>
      <c r="C60" s="356"/>
      <c r="D60" s="357"/>
      <c r="E60" s="357"/>
      <c r="F60" s="357"/>
      <c r="G60" s="357"/>
      <c r="H60" s="355" t="n">
        <f aca="false">C$52*$H$53</f>
        <v>0</v>
      </c>
      <c r="I60" s="355" t="n">
        <f aca="false">D$52*$H$53</f>
        <v>0</v>
      </c>
      <c r="J60" s="355" t="n">
        <f aca="false">E$52*$H$53</f>
        <v>0</v>
      </c>
      <c r="K60" s="355" t="n">
        <f aca="false">F$52*$H$53</f>
        <v>0</v>
      </c>
      <c r="L60" s="355" t="n">
        <f aca="false">G$52*$H$53</f>
        <v>0</v>
      </c>
      <c r="M60" s="355" t="n">
        <f aca="false">H$52*$H$53</f>
        <v>0</v>
      </c>
      <c r="N60" s="355" t="n">
        <f aca="false">I$52*$H$53</f>
        <v>0</v>
      </c>
      <c r="O60" s="355" t="n">
        <f aca="false">J$52*$H$53</f>
        <v>0</v>
      </c>
      <c r="P60" s="355" t="n">
        <f aca="false">K$52*$H$53</f>
        <v>0</v>
      </c>
      <c r="Q60" s="355" t="n">
        <f aca="false">L$52*$H$53</f>
        <v>0</v>
      </c>
      <c r="R60" s="355" t="n">
        <f aca="false">M$52*$H$53</f>
        <v>0</v>
      </c>
      <c r="S60" s="355" t="n">
        <f aca="false">N$52*$H$53</f>
        <v>0</v>
      </c>
      <c r="T60" s="355" t="n">
        <f aca="false">O$52*$H$53</f>
        <v>0</v>
      </c>
      <c r="U60" s="355" t="n">
        <f aca="false">P$52*$H$53</f>
        <v>0</v>
      </c>
      <c r="V60" s="355" t="n">
        <f aca="false">Q$52*$H$53</f>
        <v>0</v>
      </c>
    </row>
    <row r="61" customFormat="false" ht="12.75" hidden="false" customHeight="false" outlineLevel="0" collapsed="false">
      <c r="B61" s="348"/>
      <c r="C61" s="356"/>
      <c r="D61" s="357"/>
      <c r="E61" s="357"/>
      <c r="F61" s="357"/>
      <c r="G61" s="357"/>
      <c r="H61" s="357"/>
      <c r="I61" s="355" t="n">
        <f aca="false">C$52*$I$53</f>
        <v>0</v>
      </c>
      <c r="J61" s="355" t="n">
        <f aca="false">D$52*$I$53</f>
        <v>0</v>
      </c>
      <c r="K61" s="355" t="n">
        <f aca="false">E$52*$I$53</f>
        <v>0</v>
      </c>
      <c r="L61" s="355" t="n">
        <f aca="false">F$52*$I$53</f>
        <v>0</v>
      </c>
      <c r="M61" s="355" t="n">
        <f aca="false">G$52*$I$53</f>
        <v>0</v>
      </c>
      <c r="N61" s="355" t="n">
        <f aca="false">H$52*$I$53</f>
        <v>0</v>
      </c>
      <c r="O61" s="355" t="n">
        <f aca="false">I$52*$I$53</f>
        <v>0</v>
      </c>
      <c r="P61" s="355" t="n">
        <f aca="false">J$52*$I$53</f>
        <v>0</v>
      </c>
      <c r="Q61" s="355" t="n">
        <f aca="false">K$52*$I$53</f>
        <v>0</v>
      </c>
      <c r="R61" s="355" t="n">
        <f aca="false">L$52*$I$53</f>
        <v>0</v>
      </c>
      <c r="S61" s="355" t="n">
        <f aca="false">M$52*$I$53</f>
        <v>0</v>
      </c>
      <c r="T61" s="355" t="n">
        <f aca="false">N$52*$I$53</f>
        <v>0</v>
      </c>
      <c r="U61" s="355" t="n">
        <f aca="false">O$52*$I$53</f>
        <v>0</v>
      </c>
      <c r="V61" s="355" t="n">
        <f aca="false">P$52*$I$53</f>
        <v>0</v>
      </c>
    </row>
    <row r="62" customFormat="false" ht="12.75" hidden="false" customHeight="false" outlineLevel="0" collapsed="false">
      <c r="B62" s="348"/>
      <c r="C62" s="356"/>
      <c r="D62" s="357"/>
      <c r="E62" s="357"/>
      <c r="F62" s="357"/>
      <c r="G62" s="357"/>
      <c r="H62" s="357"/>
      <c r="I62" s="357"/>
      <c r="J62" s="355" t="n">
        <f aca="false">C$52*$J$53</f>
        <v>0</v>
      </c>
      <c r="K62" s="355" t="n">
        <f aca="false">D$52*$J$53</f>
        <v>0</v>
      </c>
      <c r="L62" s="355" t="n">
        <f aca="false">E$52*$J$53</f>
        <v>0</v>
      </c>
      <c r="M62" s="355" t="n">
        <f aca="false">F$52*$J$53</f>
        <v>0</v>
      </c>
      <c r="N62" s="355" t="n">
        <f aca="false">G$52*$J$53</f>
        <v>0</v>
      </c>
      <c r="O62" s="355" t="n">
        <f aca="false">H$52*$J$53</f>
        <v>0</v>
      </c>
      <c r="P62" s="355" t="n">
        <f aca="false">I$52*$J$53</f>
        <v>0</v>
      </c>
      <c r="Q62" s="355" t="n">
        <f aca="false">J$52*$J$53</f>
        <v>0</v>
      </c>
      <c r="R62" s="355" t="n">
        <f aca="false">K$52*$J$53</f>
        <v>0</v>
      </c>
      <c r="S62" s="355" t="n">
        <f aca="false">L$52*$J$53</f>
        <v>0</v>
      </c>
      <c r="T62" s="355" t="n">
        <f aca="false">M$52*$J$53</f>
        <v>0</v>
      </c>
      <c r="U62" s="355" t="n">
        <f aca="false">N$52*$J$53</f>
        <v>0</v>
      </c>
      <c r="V62" s="355" t="n">
        <f aca="false">O$52*$J$53</f>
        <v>0</v>
      </c>
    </row>
    <row r="63" customFormat="false" ht="12.75" hidden="false" customHeight="false" outlineLevel="0" collapsed="false">
      <c r="B63" s="348"/>
      <c r="C63" s="356"/>
      <c r="D63" s="357"/>
      <c r="E63" s="357"/>
      <c r="F63" s="357"/>
      <c r="G63" s="357"/>
      <c r="H63" s="357"/>
      <c r="I63" s="357"/>
      <c r="J63" s="357"/>
      <c r="K63" s="355" t="n">
        <f aca="false">C$52*$K$53</f>
        <v>0</v>
      </c>
      <c r="L63" s="355" t="n">
        <f aca="false">D$52*$K$53</f>
        <v>0</v>
      </c>
      <c r="M63" s="355" t="n">
        <f aca="false">E$52*$K$53</f>
        <v>0</v>
      </c>
      <c r="N63" s="355" t="n">
        <f aca="false">F$52*$K$53</f>
        <v>0</v>
      </c>
      <c r="O63" s="355" t="n">
        <f aca="false">G$52*$K$53</f>
        <v>0</v>
      </c>
      <c r="P63" s="355" t="n">
        <f aca="false">H$52*$K$53</f>
        <v>0</v>
      </c>
      <c r="Q63" s="355" t="n">
        <f aca="false">I$52*$K$53</f>
        <v>0</v>
      </c>
      <c r="R63" s="355" t="n">
        <f aca="false">J$52*$K$53</f>
        <v>0</v>
      </c>
      <c r="S63" s="355" t="n">
        <f aca="false">K$52*$K$53</f>
        <v>0</v>
      </c>
      <c r="T63" s="355" t="n">
        <f aca="false">L$52*$K$53</f>
        <v>0</v>
      </c>
      <c r="U63" s="355" t="n">
        <f aca="false">M$52*$K$53</f>
        <v>0</v>
      </c>
      <c r="V63" s="355" t="n">
        <f aca="false">N$52*$K$53</f>
        <v>0</v>
      </c>
    </row>
    <row r="64" customFormat="false" ht="12.75" hidden="false" customHeight="false" outlineLevel="0" collapsed="false">
      <c r="B64" s="348"/>
      <c r="C64" s="356"/>
      <c r="D64" s="357"/>
      <c r="E64" s="357"/>
      <c r="F64" s="357"/>
      <c r="G64" s="357"/>
      <c r="H64" s="357"/>
      <c r="I64" s="357"/>
      <c r="J64" s="357"/>
      <c r="K64" s="357"/>
      <c r="L64" s="355" t="n">
        <f aca="false">C$52*$L$53</f>
        <v>0</v>
      </c>
      <c r="M64" s="355" t="n">
        <f aca="false">D$52*$L$53</f>
        <v>0</v>
      </c>
      <c r="N64" s="355" t="n">
        <f aca="false">E$52*$L$53</f>
        <v>0</v>
      </c>
      <c r="O64" s="355" t="n">
        <f aca="false">F$52*$L$53</f>
        <v>0</v>
      </c>
      <c r="P64" s="355" t="n">
        <f aca="false">G$52*$L$53</f>
        <v>0</v>
      </c>
      <c r="Q64" s="355" t="n">
        <f aca="false">H$52*$L$53</f>
        <v>0</v>
      </c>
      <c r="R64" s="355" t="n">
        <f aca="false">I$52*$L$53</f>
        <v>0</v>
      </c>
      <c r="S64" s="355" t="n">
        <f aca="false">J$52*$L$53</f>
        <v>0</v>
      </c>
      <c r="T64" s="355" t="n">
        <f aca="false">K$52*$L$53</f>
        <v>0</v>
      </c>
      <c r="U64" s="355" t="n">
        <f aca="false">L$52*$L$53</f>
        <v>0</v>
      </c>
      <c r="V64" s="355" t="n">
        <f aca="false">M$52*$L$53</f>
        <v>0</v>
      </c>
    </row>
    <row r="65" customFormat="false" ht="12.75" hidden="false" customHeight="false" outlineLevel="0" collapsed="false">
      <c r="B65" s="348"/>
      <c r="C65" s="356"/>
      <c r="D65" s="357"/>
      <c r="E65" s="357"/>
      <c r="F65" s="357"/>
      <c r="G65" s="357"/>
      <c r="H65" s="357"/>
      <c r="I65" s="357"/>
      <c r="J65" s="357"/>
      <c r="K65" s="357"/>
      <c r="L65" s="357"/>
      <c r="M65" s="355" t="n">
        <f aca="false">C$52*$M$53</f>
        <v>0</v>
      </c>
      <c r="N65" s="355" t="n">
        <f aca="false">D$52*$M$53</f>
        <v>0</v>
      </c>
      <c r="O65" s="355" t="n">
        <f aca="false">E$52*$M$53</f>
        <v>0</v>
      </c>
      <c r="P65" s="355" t="n">
        <f aca="false">F$52*$M$53</f>
        <v>0</v>
      </c>
      <c r="Q65" s="355" t="n">
        <f aca="false">G$52*$M$53</f>
        <v>0</v>
      </c>
      <c r="R65" s="355" t="n">
        <f aca="false">H$52*$M$53</f>
        <v>0</v>
      </c>
      <c r="S65" s="355" t="n">
        <f aca="false">I$52*$M$53</f>
        <v>0</v>
      </c>
      <c r="T65" s="355" t="n">
        <f aca="false">J$52*$M$53</f>
        <v>0</v>
      </c>
      <c r="U65" s="355" t="n">
        <f aca="false">K$52*$M$53</f>
        <v>0</v>
      </c>
      <c r="V65" s="355" t="n">
        <f aca="false">L$52*$M$53</f>
        <v>0</v>
      </c>
    </row>
    <row r="66" customFormat="false" ht="12.75" hidden="false" customHeight="false" outlineLevel="0" collapsed="false">
      <c r="B66" s="348"/>
      <c r="C66" s="356"/>
      <c r="D66" s="357"/>
      <c r="E66" s="357"/>
      <c r="F66" s="357"/>
      <c r="G66" s="357"/>
      <c r="H66" s="357"/>
      <c r="I66" s="357"/>
      <c r="J66" s="357"/>
      <c r="K66" s="357"/>
      <c r="L66" s="357"/>
      <c r="M66" s="325"/>
      <c r="N66" s="355" t="n">
        <f aca="false">C$52*$N$53</f>
        <v>0</v>
      </c>
      <c r="O66" s="355" t="n">
        <f aca="false">D$52*$N$53</f>
        <v>0</v>
      </c>
      <c r="P66" s="355" t="n">
        <f aca="false">E$52*$N$53</f>
        <v>0</v>
      </c>
      <c r="Q66" s="355" t="n">
        <f aca="false">F$52*$N$53</f>
        <v>0</v>
      </c>
      <c r="R66" s="355" t="n">
        <f aca="false">G$52*$N$53</f>
        <v>0</v>
      </c>
      <c r="S66" s="355" t="n">
        <f aca="false">H$52*$N$53</f>
        <v>0</v>
      </c>
      <c r="T66" s="355" t="n">
        <f aca="false">I$52*$N$53</f>
        <v>0</v>
      </c>
      <c r="U66" s="355" t="n">
        <f aca="false">J$52*$N$53</f>
        <v>0</v>
      </c>
      <c r="V66" s="355" t="n">
        <f aca="false">K$52*$N$53</f>
        <v>0</v>
      </c>
    </row>
    <row r="67" customFormat="false" ht="12.75" hidden="false" customHeight="false" outlineLevel="0" collapsed="false">
      <c r="B67" s="348"/>
      <c r="C67" s="356"/>
      <c r="D67" s="357"/>
      <c r="E67" s="357"/>
      <c r="F67" s="357"/>
      <c r="G67" s="357"/>
      <c r="H67" s="357"/>
      <c r="I67" s="357"/>
      <c r="J67" s="357"/>
      <c r="K67" s="357"/>
      <c r="L67" s="357"/>
      <c r="M67" s="325"/>
      <c r="N67" s="325"/>
      <c r="O67" s="355" t="n">
        <f aca="false">C$52*$O$53</f>
        <v>0</v>
      </c>
      <c r="P67" s="355" t="n">
        <f aca="false">D$52*$O$53</f>
        <v>0</v>
      </c>
      <c r="Q67" s="355" t="n">
        <f aca="false">E$52*$O$53</f>
        <v>0</v>
      </c>
      <c r="R67" s="355" t="n">
        <f aca="false">F$52*$O$53</f>
        <v>0</v>
      </c>
      <c r="S67" s="355" t="n">
        <f aca="false">G$52*$O$53</f>
        <v>0</v>
      </c>
      <c r="T67" s="355" t="n">
        <f aca="false">H$52*$O$53</f>
        <v>0</v>
      </c>
      <c r="U67" s="355" t="n">
        <f aca="false">I$52*$O$53</f>
        <v>0</v>
      </c>
      <c r="V67" s="355" t="n">
        <f aca="false">J$52*$O$53</f>
        <v>0</v>
      </c>
    </row>
    <row r="68" customFormat="false" ht="12.75" hidden="false" customHeight="false" outlineLevel="0" collapsed="false">
      <c r="B68" s="348"/>
      <c r="C68" s="356"/>
      <c r="D68" s="357"/>
      <c r="E68" s="357"/>
      <c r="F68" s="357"/>
      <c r="G68" s="357"/>
      <c r="H68" s="357"/>
      <c r="I68" s="357"/>
      <c r="J68" s="357"/>
      <c r="K68" s="357"/>
      <c r="L68" s="357"/>
      <c r="M68" s="325"/>
      <c r="N68" s="325"/>
      <c r="O68" s="325"/>
      <c r="P68" s="355" t="n">
        <f aca="false">C$52*$P$53</f>
        <v>0</v>
      </c>
      <c r="Q68" s="355" t="n">
        <f aca="false">D$52*$P$53</f>
        <v>0</v>
      </c>
      <c r="R68" s="355" t="n">
        <f aca="false">E$52*$P$53</f>
        <v>0</v>
      </c>
      <c r="S68" s="355" t="n">
        <f aca="false">F$52*$P$53</f>
        <v>0</v>
      </c>
      <c r="T68" s="355" t="n">
        <f aca="false">G$52*$P$53</f>
        <v>0</v>
      </c>
      <c r="U68" s="355" t="n">
        <f aca="false">H$52*$P$53</f>
        <v>0</v>
      </c>
      <c r="V68" s="355" t="n">
        <f aca="false">I$52*$P$53</f>
        <v>0</v>
      </c>
    </row>
    <row r="69" customFormat="false" ht="12.75" hidden="false" customHeight="false" outlineLevel="0" collapsed="false">
      <c r="B69" s="348"/>
      <c r="C69" s="356"/>
      <c r="D69" s="357"/>
      <c r="E69" s="357"/>
      <c r="F69" s="357"/>
      <c r="G69" s="357"/>
      <c r="H69" s="357"/>
      <c r="I69" s="357"/>
      <c r="J69" s="357"/>
      <c r="K69" s="357"/>
      <c r="L69" s="357"/>
      <c r="M69" s="325"/>
      <c r="N69" s="325"/>
      <c r="O69" s="325"/>
      <c r="P69" s="325"/>
      <c r="Q69" s="355" t="n">
        <f aca="false">C$52*$Q$53</f>
        <v>0</v>
      </c>
      <c r="R69" s="355" t="n">
        <f aca="false">D$52*$Q$53</f>
        <v>0</v>
      </c>
      <c r="S69" s="355" t="n">
        <f aca="false">E$52*$Q$53</f>
        <v>0</v>
      </c>
      <c r="T69" s="355" t="n">
        <f aca="false">F$52*$Q$53</f>
        <v>0</v>
      </c>
      <c r="U69" s="355" t="n">
        <f aca="false">G$52*$Q$53</f>
        <v>0</v>
      </c>
      <c r="V69" s="355" t="n">
        <f aca="false">H$52*$Q$53</f>
        <v>0</v>
      </c>
    </row>
    <row r="70" customFormat="false" ht="12.75" hidden="false" customHeight="false" outlineLevel="0" collapsed="false">
      <c r="B70" s="348"/>
      <c r="C70" s="356"/>
      <c r="D70" s="357"/>
      <c r="E70" s="357"/>
      <c r="F70" s="357"/>
      <c r="G70" s="357"/>
      <c r="H70" s="357"/>
      <c r="I70" s="357"/>
      <c r="J70" s="357"/>
      <c r="K70" s="357"/>
      <c r="L70" s="357"/>
      <c r="M70" s="325"/>
      <c r="N70" s="325"/>
      <c r="O70" s="325"/>
      <c r="P70" s="325"/>
      <c r="Q70" s="325"/>
      <c r="R70" s="355" t="n">
        <f aca="false">C$52*$R$53</f>
        <v>0</v>
      </c>
      <c r="S70" s="355" t="n">
        <f aca="false">D$52*$R$53</f>
        <v>0</v>
      </c>
      <c r="T70" s="355" t="n">
        <f aca="false">E$52*$R$53</f>
        <v>0</v>
      </c>
      <c r="U70" s="355" t="n">
        <f aca="false">F$52*$R$53</f>
        <v>0</v>
      </c>
      <c r="V70" s="355" t="n">
        <f aca="false">G$52*$R$53</f>
        <v>0</v>
      </c>
    </row>
    <row r="71" customFormat="false" ht="12.75" hidden="false" customHeight="false" outlineLevel="0" collapsed="false">
      <c r="B71" s="348"/>
      <c r="C71" s="356"/>
      <c r="D71" s="357"/>
      <c r="E71" s="357"/>
      <c r="F71" s="357"/>
      <c r="G71" s="357"/>
      <c r="H71" s="357"/>
      <c r="I71" s="357"/>
      <c r="J71" s="357"/>
      <c r="K71" s="357"/>
      <c r="L71" s="357"/>
      <c r="M71" s="325"/>
      <c r="N71" s="325"/>
      <c r="O71" s="325"/>
      <c r="P71" s="325"/>
      <c r="Q71" s="325"/>
      <c r="R71" s="325"/>
      <c r="S71" s="355" t="n">
        <f aca="false">C$52*$S$53</f>
        <v>0</v>
      </c>
      <c r="T71" s="355" t="n">
        <f aca="false">D$52*$S$53</f>
        <v>0</v>
      </c>
      <c r="U71" s="355" t="n">
        <f aca="false">E$52*$S$53</f>
        <v>0</v>
      </c>
      <c r="V71" s="355" t="n">
        <f aca="false">F$52*$S$53</f>
        <v>0</v>
      </c>
    </row>
    <row r="72" customFormat="false" ht="12.75" hidden="false" customHeight="false" outlineLevel="0" collapsed="false">
      <c r="B72" s="348"/>
      <c r="C72" s="356"/>
      <c r="D72" s="357"/>
      <c r="E72" s="357"/>
      <c r="F72" s="357"/>
      <c r="G72" s="357"/>
      <c r="H72" s="357"/>
      <c r="I72" s="357"/>
      <c r="J72" s="357"/>
      <c r="K72" s="357"/>
      <c r="L72" s="357"/>
      <c r="M72" s="325"/>
      <c r="N72" s="325"/>
      <c r="O72" s="325"/>
      <c r="P72" s="325"/>
      <c r="Q72" s="325"/>
      <c r="R72" s="325"/>
      <c r="S72" s="325"/>
      <c r="T72" s="355" t="n">
        <f aca="false">C$52*$T$53</f>
        <v>0</v>
      </c>
      <c r="U72" s="355" t="n">
        <f aca="false">D$52*$T$53</f>
        <v>0</v>
      </c>
      <c r="V72" s="355" t="n">
        <f aca="false">E$52*$T$53</f>
        <v>0</v>
      </c>
    </row>
    <row r="73" customFormat="false" ht="12.75" hidden="false" customHeight="false" outlineLevel="0" collapsed="false">
      <c r="B73" s="348"/>
      <c r="C73" s="356"/>
      <c r="D73" s="357"/>
      <c r="E73" s="357"/>
      <c r="F73" s="357"/>
      <c r="G73" s="357"/>
      <c r="H73" s="357"/>
      <c r="I73" s="357"/>
      <c r="J73" s="357"/>
      <c r="K73" s="357"/>
      <c r="L73" s="357"/>
      <c r="M73" s="325"/>
      <c r="N73" s="325"/>
      <c r="O73" s="325"/>
      <c r="P73" s="325"/>
      <c r="Q73" s="325"/>
      <c r="R73" s="325"/>
      <c r="S73" s="325"/>
      <c r="T73" s="325"/>
      <c r="U73" s="355" t="n">
        <f aca="false">C$52*$U$53</f>
        <v>0</v>
      </c>
      <c r="V73" s="355" t="n">
        <f aca="false">D$52*$U$53</f>
        <v>0</v>
      </c>
    </row>
    <row r="74" customFormat="false" ht="12.75" hidden="false" customHeight="false" outlineLevel="0" collapsed="false">
      <c r="B74" s="348"/>
      <c r="C74" s="358"/>
      <c r="D74" s="359"/>
      <c r="E74" s="359"/>
      <c r="F74" s="359"/>
      <c r="G74" s="359"/>
      <c r="H74" s="359"/>
      <c r="I74" s="359"/>
      <c r="J74" s="359"/>
      <c r="K74" s="359"/>
      <c r="L74" s="359"/>
      <c r="M74" s="360"/>
      <c r="N74" s="360"/>
      <c r="O74" s="360"/>
      <c r="P74" s="360"/>
      <c r="Q74" s="360"/>
      <c r="R74" s="360"/>
      <c r="S74" s="360"/>
      <c r="T74" s="360"/>
      <c r="U74" s="360"/>
      <c r="V74" s="355" t="n">
        <f aca="false">C$52*$V$53</f>
        <v>0</v>
      </c>
    </row>
    <row r="75" customFormat="false" ht="13.5" hidden="false" customHeight="false" outlineLevel="0" collapsed="false">
      <c r="A75" s="181" t="s">
        <v>179</v>
      </c>
      <c r="B75" s="348"/>
      <c r="C75" s="361" t="n">
        <f aca="false">SUM(C55:C74)</f>
        <v>0</v>
      </c>
      <c r="D75" s="362" t="n">
        <f aca="false">SUM(D55:D74)</f>
        <v>0</v>
      </c>
      <c r="E75" s="362" t="n">
        <f aca="false">SUM(E55:E74)</f>
        <v>0</v>
      </c>
      <c r="F75" s="362" t="n">
        <f aca="false">SUM(F55:F74)</f>
        <v>0</v>
      </c>
      <c r="G75" s="362" t="n">
        <f aca="false">SUM(G55:G74)</f>
        <v>0</v>
      </c>
      <c r="H75" s="362" t="n">
        <f aca="false">SUM(H55:H74)</f>
        <v>0</v>
      </c>
      <c r="I75" s="362" t="n">
        <f aca="false">SUM(I55:I74)</f>
        <v>0</v>
      </c>
      <c r="J75" s="362" t="n">
        <f aca="false">SUM(J55:J74)</f>
        <v>0</v>
      </c>
      <c r="K75" s="362" t="n">
        <f aca="false">SUM(K55:K74)</f>
        <v>0</v>
      </c>
      <c r="L75" s="362" t="n">
        <f aca="false">SUM(L55:L74)</f>
        <v>0</v>
      </c>
      <c r="M75" s="362" t="n">
        <f aca="false">SUM(M55:M74)</f>
        <v>0</v>
      </c>
      <c r="N75" s="362" t="n">
        <f aca="false">SUM(N55:N74)</f>
        <v>0</v>
      </c>
      <c r="O75" s="362" t="n">
        <f aca="false">SUM(O55:O74)</f>
        <v>0</v>
      </c>
      <c r="P75" s="362" t="n">
        <f aca="false">SUM(P55:P74)</f>
        <v>0</v>
      </c>
      <c r="Q75" s="362" t="n">
        <f aca="false">SUM(Q55:Q74)</f>
        <v>0</v>
      </c>
      <c r="R75" s="362" t="n">
        <f aca="false">SUM(R55:R74)</f>
        <v>0</v>
      </c>
      <c r="S75" s="362" t="n">
        <f aca="false">SUM(S55:S74)</f>
        <v>0</v>
      </c>
      <c r="T75" s="362" t="n">
        <f aca="false">SUM(T55:T74)</f>
        <v>0</v>
      </c>
      <c r="U75" s="362" t="n">
        <f aca="false">SUM(U55:U74)</f>
        <v>0</v>
      </c>
      <c r="V75" s="363" t="n">
        <f aca="false">SUM(V55:V74)</f>
        <v>0</v>
      </c>
    </row>
    <row r="76" customFormat="false" ht="13.5" hidden="false" customHeight="false" outlineLevel="0" collapsed="false">
      <c r="B76" s="348"/>
      <c r="C76" s="134"/>
    </row>
    <row r="77" customFormat="false" ht="12.75" hidden="false" customHeight="false" outlineLevel="0" collapsed="false">
      <c r="B77" s="348"/>
      <c r="C77" s="134"/>
    </row>
    <row r="78" customFormat="false" ht="12.75" hidden="false" customHeight="false" outlineLevel="0" collapsed="false">
      <c r="B78" s="348"/>
      <c r="C78" s="235" t="n">
        <v>2000</v>
      </c>
      <c r="D78" s="235" t="n">
        <v>2001</v>
      </c>
      <c r="E78" s="235" t="n">
        <v>2002</v>
      </c>
      <c r="F78" s="235" t="n">
        <v>2003</v>
      </c>
      <c r="G78" s="235" t="n">
        <v>2004</v>
      </c>
      <c r="H78" s="235" t="n">
        <v>2005</v>
      </c>
      <c r="I78" s="235" t="n">
        <v>2006</v>
      </c>
      <c r="J78" s="235" t="n">
        <v>2007</v>
      </c>
      <c r="K78" s="235" t="n">
        <v>2008</v>
      </c>
      <c r="L78" s="235" t="n">
        <v>2009</v>
      </c>
      <c r="M78" s="235" t="n">
        <v>2010</v>
      </c>
      <c r="N78" s="235" t="n">
        <v>2011</v>
      </c>
      <c r="O78" s="235" t="n">
        <v>2012</v>
      </c>
      <c r="P78" s="235" t="n">
        <v>2013</v>
      </c>
      <c r="Q78" s="235" t="n">
        <v>2014</v>
      </c>
      <c r="R78" s="235" t="n">
        <v>2015</v>
      </c>
      <c r="S78" s="235" t="n">
        <v>2016</v>
      </c>
      <c r="T78" s="235" t="n">
        <v>2017</v>
      </c>
      <c r="U78" s="235" t="n">
        <v>2018</v>
      </c>
      <c r="V78" s="235" t="n">
        <v>2019</v>
      </c>
    </row>
    <row r="79" customFormat="false" ht="12.75" hidden="false" customHeight="false" outlineLevel="0" collapsed="false">
      <c r="A79" s="349" t="s">
        <v>180</v>
      </c>
      <c r="B79" s="348"/>
      <c r="C79" s="134"/>
    </row>
    <row r="80" customFormat="false" ht="12.75" hidden="false" customHeight="false" outlineLevel="0" collapsed="false">
      <c r="B80" s="348" t="s">
        <v>181</v>
      </c>
      <c r="C80" s="350" t="n">
        <f aca="false">-VLOOKUP(IS!$B$1,ECapAds,C78-1997)*-1</f>
        <v>0</v>
      </c>
      <c r="D80" s="350" t="n">
        <f aca="false">-VLOOKUP(IS!$B$1,ECapAds,D78-1997)*-1</f>
        <v>0</v>
      </c>
      <c r="E80" s="350" t="n">
        <f aca="false">-VLOOKUP(IS!$B$1,ECapAds,E78-1997)*-1</f>
        <v>0</v>
      </c>
      <c r="F80" s="350" t="n">
        <f aca="false">-VLOOKUP(IS!$B$1,ECapAds,F78-1997)*-1</f>
        <v>0</v>
      </c>
      <c r="G80" s="350" t="n">
        <f aca="false">-VLOOKUP(IS!$B$1,ECapAds,G78-1997)*-1</f>
        <v>0</v>
      </c>
      <c r="H80" s="350" t="n">
        <f aca="false">-VLOOKUP(IS!$B$1,ECapAds,H78-1997)*-1</f>
        <v>0</v>
      </c>
      <c r="I80" s="350" t="n">
        <f aca="false">-VLOOKUP(IS!$B$1,ECapAds,I78-1997)*-1</f>
        <v>0</v>
      </c>
      <c r="J80" s="350" t="n">
        <f aca="false">-VLOOKUP(IS!$B$1,ECapAds,J78-1997)*-1</f>
        <v>0</v>
      </c>
      <c r="K80" s="350" t="n">
        <f aca="false">-VLOOKUP(IS!$B$1,ECapAds,K78-1997)*-1</f>
        <v>0</v>
      </c>
      <c r="L80" s="350" t="n">
        <f aca="false">-VLOOKUP(IS!$B$1,ECapAds,L78-1997)*-1</f>
        <v>0</v>
      </c>
      <c r="M80" s="350" t="n">
        <f aca="false">-VLOOKUP(IS!$B$1,ECapAds,M78-1997)*-1</f>
        <v>0</v>
      </c>
      <c r="N80" s="350" t="n">
        <f aca="false">-VLOOKUP(IS!$B$1,ECapAds,N78-1997)*-1</f>
        <v>0</v>
      </c>
      <c r="O80" s="350" t="n">
        <f aca="false">-VLOOKUP(IS!$B$1,ECapAds,O78-1997)*-1</f>
        <v>0</v>
      </c>
      <c r="P80" s="350" t="n">
        <f aca="false">-VLOOKUP(IS!$B$1,ECapAds,P78-1997)*-1</f>
        <v>0</v>
      </c>
      <c r="Q80" s="350" t="n">
        <f aca="false">-VLOOKUP(IS!$B$1,ECapAds,Q78-1997)*-1</f>
        <v>0</v>
      </c>
      <c r="R80" s="350" t="n">
        <f aca="false">-VLOOKUP(IS!$B$1,ECapAds,R78-1997)*-1</f>
        <v>0</v>
      </c>
      <c r="S80" s="350" t="n">
        <f aca="false">-VLOOKUP(IS!$B$1,ECapAds,S78-1997)*-1</f>
        <v>0</v>
      </c>
      <c r="T80" s="350" t="n">
        <f aca="false">-VLOOKUP(IS!$B$1,ECapAds,T78-1997)*-1</f>
        <v>0</v>
      </c>
      <c r="U80" s="350" t="n">
        <f aca="false">-VLOOKUP(IS!$B$1,ECapAds,U78-1997)*-1</f>
        <v>0</v>
      </c>
      <c r="V80" s="350" t="n">
        <f aca="false">-VLOOKUP(IS!$B$1,ECapAds,V78-1997)*-1</f>
        <v>0</v>
      </c>
    </row>
    <row r="81" customFormat="false" ht="12.75" hidden="false" customHeight="false" outlineLevel="0" collapsed="false">
      <c r="B81" s="348" t="s">
        <v>182</v>
      </c>
      <c r="C81" s="353" t="n">
        <v>0.075</v>
      </c>
      <c r="D81" s="354" t="n">
        <v>0.1489</v>
      </c>
      <c r="E81" s="354" t="n">
        <v>0.1467</v>
      </c>
      <c r="F81" s="354" t="n">
        <v>0.1447</v>
      </c>
      <c r="G81" s="354" t="n">
        <v>0.1429</v>
      </c>
      <c r="H81" s="354" t="n">
        <v>0.0811</v>
      </c>
      <c r="I81" s="354" t="n">
        <v>0.0196</v>
      </c>
      <c r="J81" s="354" t="n">
        <v>0.0181</v>
      </c>
      <c r="K81" s="354" t="n">
        <v>0.0178</v>
      </c>
      <c r="L81" s="354" t="n">
        <v>0.0178</v>
      </c>
      <c r="M81" s="354" t="n">
        <v>0.0178</v>
      </c>
      <c r="N81" s="354" t="n">
        <v>0.0178</v>
      </c>
      <c r="O81" s="354" t="n">
        <v>0.0178</v>
      </c>
      <c r="P81" s="354" t="n">
        <v>0.0178</v>
      </c>
      <c r="Q81" s="354" t="n">
        <v>0.0178</v>
      </c>
      <c r="R81" s="354" t="n">
        <v>0.0178</v>
      </c>
      <c r="S81" s="354" t="n">
        <v>0.0178</v>
      </c>
      <c r="T81" s="354" t="n">
        <v>0.0178</v>
      </c>
      <c r="U81" s="354" t="n">
        <v>0.0178</v>
      </c>
      <c r="V81" s="354" t="n">
        <v>0.0178</v>
      </c>
    </row>
    <row r="82" customFormat="false" ht="12.75" hidden="false" customHeight="false" outlineLevel="0" collapsed="false">
      <c r="B82" s="348"/>
      <c r="C82" s="350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</row>
    <row r="83" customFormat="false" ht="12.75" hidden="false" customHeight="false" outlineLevel="0" collapsed="false">
      <c r="B83" s="348"/>
      <c r="C83" s="350" t="n">
        <f aca="false">C$80*$C$81</f>
        <v>0</v>
      </c>
      <c r="D83" s="355" t="n">
        <f aca="false">D$80*$C$81</f>
        <v>0</v>
      </c>
      <c r="E83" s="355" t="n">
        <f aca="false">E$80*$C$81</f>
        <v>0</v>
      </c>
      <c r="F83" s="355" t="n">
        <f aca="false">F$80*$C$81</f>
        <v>0</v>
      </c>
      <c r="G83" s="355" t="n">
        <f aca="false">G$80*$C$81</f>
        <v>0</v>
      </c>
      <c r="H83" s="355" t="n">
        <f aca="false">H$80*$C$81</f>
        <v>0</v>
      </c>
      <c r="I83" s="355" t="n">
        <f aca="false">I$80*$C$81</f>
        <v>0</v>
      </c>
      <c r="J83" s="355" t="n">
        <f aca="false">J$80*$C$81</f>
        <v>0</v>
      </c>
      <c r="K83" s="355" t="n">
        <f aca="false">K$80*$C$81</f>
        <v>0</v>
      </c>
      <c r="L83" s="355" t="n">
        <f aca="false">L$80*$C$81</f>
        <v>0</v>
      </c>
      <c r="M83" s="355" t="n">
        <f aca="false">M$80*$C$81</f>
        <v>0</v>
      </c>
      <c r="N83" s="355" t="n">
        <f aca="false">N$80*$C$81</f>
        <v>0</v>
      </c>
      <c r="O83" s="355" t="n">
        <f aca="false">O$80*$C$81</f>
        <v>0</v>
      </c>
      <c r="P83" s="355" t="n">
        <f aca="false">P$80*$C$81</f>
        <v>0</v>
      </c>
      <c r="Q83" s="355" t="n">
        <f aca="false">Q$80*$C$81</f>
        <v>0</v>
      </c>
      <c r="R83" s="355" t="n">
        <f aca="false">R$80*$C$81</f>
        <v>0</v>
      </c>
      <c r="S83" s="355" t="n">
        <f aca="false">S$80*$C$81</f>
        <v>0</v>
      </c>
      <c r="T83" s="355" t="n">
        <f aca="false">T$80*$C$81</f>
        <v>0</v>
      </c>
      <c r="U83" s="355" t="n">
        <f aca="false">U$80*$C$81</f>
        <v>0</v>
      </c>
      <c r="V83" s="355" t="n">
        <f aca="false">V$80*$C$81</f>
        <v>0</v>
      </c>
    </row>
    <row r="84" customFormat="false" ht="12.75" hidden="false" customHeight="false" outlineLevel="0" collapsed="false">
      <c r="B84" s="348"/>
      <c r="C84" s="356"/>
      <c r="D84" s="355" t="n">
        <f aca="false">C$80*$D$81</f>
        <v>0</v>
      </c>
      <c r="E84" s="355" t="n">
        <f aca="false">D$80*$D$81</f>
        <v>0</v>
      </c>
      <c r="F84" s="355" t="n">
        <f aca="false">E$80*$D$81</f>
        <v>0</v>
      </c>
      <c r="G84" s="355" t="n">
        <f aca="false">F$80*$D$81</f>
        <v>0</v>
      </c>
      <c r="H84" s="355" t="n">
        <f aca="false">G$80*$D$81</f>
        <v>0</v>
      </c>
      <c r="I84" s="355" t="n">
        <f aca="false">H$80*$D$81</f>
        <v>0</v>
      </c>
      <c r="J84" s="355" t="n">
        <f aca="false">I$80*$D$81</f>
        <v>0</v>
      </c>
      <c r="K84" s="355" t="n">
        <f aca="false">J$80*$D$81</f>
        <v>0</v>
      </c>
      <c r="L84" s="355" t="n">
        <f aca="false">K$80*$D$81</f>
        <v>0</v>
      </c>
      <c r="M84" s="355" t="n">
        <f aca="false">L$80*$D$81</f>
        <v>0</v>
      </c>
      <c r="N84" s="355" t="n">
        <f aca="false">M$80*$D$81</f>
        <v>0</v>
      </c>
      <c r="O84" s="355" t="n">
        <f aca="false">N$80*$D$81</f>
        <v>0</v>
      </c>
      <c r="P84" s="355" t="n">
        <f aca="false">O$80*$D$81</f>
        <v>0</v>
      </c>
      <c r="Q84" s="355" t="n">
        <f aca="false">P$80*$D$81</f>
        <v>0</v>
      </c>
      <c r="R84" s="355" t="n">
        <f aca="false">Q$80*$D$81</f>
        <v>0</v>
      </c>
      <c r="S84" s="355" t="n">
        <f aca="false">R$80*$D$81</f>
        <v>0</v>
      </c>
      <c r="T84" s="355" t="n">
        <f aca="false">S$80*$D$81</f>
        <v>0</v>
      </c>
      <c r="U84" s="355" t="n">
        <f aca="false">T$80*$D$81</f>
        <v>0</v>
      </c>
      <c r="V84" s="355" t="n">
        <f aca="false">U$80*$D$81</f>
        <v>0</v>
      </c>
    </row>
    <row r="85" customFormat="false" ht="12.75" hidden="false" customHeight="false" outlineLevel="0" collapsed="false">
      <c r="B85" s="348"/>
      <c r="C85" s="356"/>
      <c r="D85" s="357"/>
      <c r="E85" s="355" t="n">
        <f aca="false">C$80*$E$81</f>
        <v>0</v>
      </c>
      <c r="F85" s="355" t="n">
        <f aca="false">D$80*$E$81</f>
        <v>0</v>
      </c>
      <c r="G85" s="355" t="n">
        <f aca="false">E$80*$E$81</f>
        <v>0</v>
      </c>
      <c r="H85" s="355" t="n">
        <f aca="false">F$80*$E$81</f>
        <v>0</v>
      </c>
      <c r="I85" s="355" t="n">
        <f aca="false">G$80*$E$81</f>
        <v>0</v>
      </c>
      <c r="J85" s="355" t="n">
        <f aca="false">H$80*$E$81</f>
        <v>0</v>
      </c>
      <c r="K85" s="355" t="n">
        <f aca="false">I$80*$E$81</f>
        <v>0</v>
      </c>
      <c r="L85" s="355" t="n">
        <f aca="false">J$80*$E$81</f>
        <v>0</v>
      </c>
      <c r="M85" s="355" t="n">
        <f aca="false">K$80*$E$81</f>
        <v>0</v>
      </c>
      <c r="N85" s="355" t="n">
        <f aca="false">L$80*$E$81</f>
        <v>0</v>
      </c>
      <c r="O85" s="355" t="n">
        <f aca="false">M$80*$E$81</f>
        <v>0</v>
      </c>
      <c r="P85" s="355" t="n">
        <f aca="false">N$80*$E$81</f>
        <v>0</v>
      </c>
      <c r="Q85" s="355" t="n">
        <f aca="false">O$80*$E$81</f>
        <v>0</v>
      </c>
      <c r="R85" s="355" t="n">
        <f aca="false">P$80*$E$81</f>
        <v>0</v>
      </c>
      <c r="S85" s="355" t="n">
        <f aca="false">Q$80*$E$81</f>
        <v>0</v>
      </c>
      <c r="T85" s="355" t="n">
        <f aca="false">R$80*$E$81</f>
        <v>0</v>
      </c>
      <c r="U85" s="355" t="n">
        <f aca="false">S$80*$E$81</f>
        <v>0</v>
      </c>
      <c r="V85" s="355" t="n">
        <f aca="false">T$80*$E$81</f>
        <v>0</v>
      </c>
    </row>
    <row r="86" customFormat="false" ht="12.75" hidden="false" customHeight="false" outlineLevel="0" collapsed="false">
      <c r="B86" s="348"/>
      <c r="C86" s="356"/>
      <c r="D86" s="357"/>
      <c r="E86" s="357"/>
      <c r="F86" s="355" t="n">
        <f aca="false">C$80*$F$81</f>
        <v>0</v>
      </c>
      <c r="G86" s="355" t="n">
        <f aca="false">D$80*$F$81</f>
        <v>0</v>
      </c>
      <c r="H86" s="355" t="n">
        <f aca="false">E$80*$F$81</f>
        <v>0</v>
      </c>
      <c r="I86" s="355" t="n">
        <f aca="false">F$80*$F$81</f>
        <v>0</v>
      </c>
      <c r="J86" s="355" t="n">
        <f aca="false">G$80*$F$81</f>
        <v>0</v>
      </c>
      <c r="K86" s="355" t="n">
        <f aca="false">H$80*$F$81</f>
        <v>0</v>
      </c>
      <c r="L86" s="355" t="n">
        <f aca="false">I$80*$F$81</f>
        <v>0</v>
      </c>
      <c r="M86" s="355" t="n">
        <f aca="false">J$80*$F$81</f>
        <v>0</v>
      </c>
      <c r="N86" s="355" t="n">
        <f aca="false">K$80*$F$81</f>
        <v>0</v>
      </c>
      <c r="O86" s="355" t="n">
        <f aca="false">L$80*$F$81</f>
        <v>0</v>
      </c>
      <c r="P86" s="355" t="n">
        <f aca="false">M$80*$F$81</f>
        <v>0</v>
      </c>
      <c r="Q86" s="355" t="n">
        <f aca="false">N$80*$F$81</f>
        <v>0</v>
      </c>
      <c r="R86" s="355" t="n">
        <f aca="false">O$80*$F$81</f>
        <v>0</v>
      </c>
      <c r="S86" s="355" t="n">
        <f aca="false">P$80*$F$81</f>
        <v>0</v>
      </c>
      <c r="T86" s="355" t="n">
        <f aca="false">Q$80*$F$81</f>
        <v>0</v>
      </c>
      <c r="U86" s="355" t="n">
        <f aca="false">R$80*$F$81</f>
        <v>0</v>
      </c>
      <c r="V86" s="355" t="n">
        <f aca="false">S$80*$F$81</f>
        <v>0</v>
      </c>
    </row>
    <row r="87" customFormat="false" ht="12.75" hidden="false" customHeight="false" outlineLevel="0" collapsed="false">
      <c r="B87" s="348"/>
      <c r="C87" s="356"/>
      <c r="D87" s="357"/>
      <c r="E87" s="357"/>
      <c r="F87" s="357"/>
      <c r="G87" s="355" t="n">
        <f aca="false">C$80*$G$81</f>
        <v>0</v>
      </c>
      <c r="H87" s="355" t="n">
        <f aca="false">D$80*$G$81</f>
        <v>0</v>
      </c>
      <c r="I87" s="355" t="n">
        <f aca="false">E$80*$G$81</f>
        <v>0</v>
      </c>
      <c r="J87" s="355" t="n">
        <f aca="false">F$80*$G$81</f>
        <v>0</v>
      </c>
      <c r="K87" s="355" t="n">
        <f aca="false">G$80*$G$81</f>
        <v>0</v>
      </c>
      <c r="L87" s="355" t="n">
        <f aca="false">H$80*$G$81</f>
        <v>0</v>
      </c>
      <c r="M87" s="355" t="n">
        <f aca="false">I$80*$G$81</f>
        <v>0</v>
      </c>
      <c r="N87" s="355" t="n">
        <f aca="false">J$80*$G$81</f>
        <v>0</v>
      </c>
      <c r="O87" s="355" t="n">
        <f aca="false">K$80*$G$81</f>
        <v>0</v>
      </c>
      <c r="P87" s="355" t="n">
        <f aca="false">L$80*$G$81</f>
        <v>0</v>
      </c>
      <c r="Q87" s="355" t="n">
        <f aca="false">M$80*$G$81</f>
        <v>0</v>
      </c>
      <c r="R87" s="355" t="n">
        <f aca="false">N$80*$G$81</f>
        <v>0</v>
      </c>
      <c r="S87" s="355" t="n">
        <f aca="false">O$80*$G$81</f>
        <v>0</v>
      </c>
      <c r="T87" s="355" t="n">
        <f aca="false">P$80*$G$81</f>
        <v>0</v>
      </c>
      <c r="U87" s="355" t="n">
        <f aca="false">Q$80*$G$81</f>
        <v>0</v>
      </c>
      <c r="V87" s="355" t="n">
        <f aca="false">R$80*$G$81</f>
        <v>0</v>
      </c>
    </row>
    <row r="88" customFormat="false" ht="12.75" hidden="false" customHeight="false" outlineLevel="0" collapsed="false">
      <c r="B88" s="348"/>
      <c r="C88" s="356"/>
      <c r="D88" s="357"/>
      <c r="E88" s="357"/>
      <c r="F88" s="357"/>
      <c r="G88" s="357"/>
      <c r="H88" s="355" t="n">
        <f aca="false">C$80*$H$81</f>
        <v>0</v>
      </c>
      <c r="I88" s="355" t="n">
        <f aca="false">D$80*$H$81</f>
        <v>0</v>
      </c>
      <c r="J88" s="355" t="n">
        <f aca="false">E$80*$H$81</f>
        <v>0</v>
      </c>
      <c r="K88" s="355" t="n">
        <f aca="false">F$80*$H$81</f>
        <v>0</v>
      </c>
      <c r="L88" s="355" t="n">
        <f aca="false">G$80*$H$81</f>
        <v>0</v>
      </c>
      <c r="M88" s="355" t="n">
        <f aca="false">H$80*$H$81</f>
        <v>0</v>
      </c>
      <c r="N88" s="355" t="n">
        <f aca="false">I$80*$H$81</f>
        <v>0</v>
      </c>
      <c r="O88" s="355" t="n">
        <f aca="false">J$80*$H$81</f>
        <v>0</v>
      </c>
      <c r="P88" s="355" t="n">
        <f aca="false">K$80*$H$81</f>
        <v>0</v>
      </c>
      <c r="Q88" s="355" t="n">
        <f aca="false">L$80*$H$81</f>
        <v>0</v>
      </c>
      <c r="R88" s="355" t="n">
        <f aca="false">M$80*$H$81</f>
        <v>0</v>
      </c>
      <c r="S88" s="355" t="n">
        <f aca="false">N$80*$H$81</f>
        <v>0</v>
      </c>
      <c r="T88" s="355" t="n">
        <f aca="false">O$80*$H$81</f>
        <v>0</v>
      </c>
      <c r="U88" s="355" t="n">
        <f aca="false">P$80*$H$81</f>
        <v>0</v>
      </c>
      <c r="V88" s="355" t="n">
        <f aca="false">Q$80*$H$81</f>
        <v>0</v>
      </c>
    </row>
    <row r="89" customFormat="false" ht="12.75" hidden="false" customHeight="false" outlineLevel="0" collapsed="false">
      <c r="B89" s="348"/>
      <c r="C89" s="356"/>
      <c r="D89" s="357"/>
      <c r="E89" s="357"/>
      <c r="F89" s="357"/>
      <c r="G89" s="357"/>
      <c r="H89" s="357"/>
      <c r="I89" s="355" t="n">
        <f aca="false">C$80*$I$81</f>
        <v>0</v>
      </c>
      <c r="J89" s="355" t="n">
        <f aca="false">D$80*$I$81</f>
        <v>0</v>
      </c>
      <c r="K89" s="355" t="n">
        <f aca="false">E$80*$I$81</f>
        <v>0</v>
      </c>
      <c r="L89" s="355" t="n">
        <f aca="false">F$80*$I$81</f>
        <v>0</v>
      </c>
      <c r="M89" s="355" t="n">
        <f aca="false">G$80*$I$81</f>
        <v>0</v>
      </c>
      <c r="N89" s="355" t="n">
        <f aca="false">H$80*$I$81</f>
        <v>0</v>
      </c>
      <c r="O89" s="355" t="n">
        <f aca="false">I$80*$I$81</f>
        <v>0</v>
      </c>
      <c r="P89" s="355" t="n">
        <f aca="false">J$80*$I$81</f>
        <v>0</v>
      </c>
      <c r="Q89" s="355" t="n">
        <f aca="false">K$80*$I$81</f>
        <v>0</v>
      </c>
      <c r="R89" s="355" t="n">
        <f aca="false">L$80*$I$81</f>
        <v>0</v>
      </c>
      <c r="S89" s="355" t="n">
        <f aca="false">M$80*$I$81</f>
        <v>0</v>
      </c>
      <c r="T89" s="355" t="n">
        <f aca="false">N$80*$I$81</f>
        <v>0</v>
      </c>
      <c r="U89" s="355" t="n">
        <f aca="false">O$80*$I$81</f>
        <v>0</v>
      </c>
      <c r="V89" s="355" t="n">
        <f aca="false">P$80*$I$81</f>
        <v>0</v>
      </c>
    </row>
    <row r="90" customFormat="false" ht="12.75" hidden="false" customHeight="false" outlineLevel="0" collapsed="false">
      <c r="B90" s="348"/>
      <c r="C90" s="356"/>
      <c r="D90" s="357"/>
      <c r="E90" s="357"/>
      <c r="F90" s="357"/>
      <c r="G90" s="357"/>
      <c r="H90" s="357"/>
      <c r="I90" s="357"/>
      <c r="J90" s="355" t="n">
        <f aca="false">C$80*$J$81</f>
        <v>0</v>
      </c>
      <c r="K90" s="355" t="n">
        <f aca="false">D$80*$J$81</f>
        <v>0</v>
      </c>
      <c r="L90" s="355" t="n">
        <f aca="false">E$80*$J$81</f>
        <v>0</v>
      </c>
      <c r="M90" s="355" t="n">
        <f aca="false">F$80*$J$81</f>
        <v>0</v>
      </c>
      <c r="N90" s="355" t="n">
        <f aca="false">G$80*$J$81</f>
        <v>0</v>
      </c>
      <c r="O90" s="355" t="n">
        <f aca="false">H$80*$J$81</f>
        <v>0</v>
      </c>
      <c r="P90" s="355" t="n">
        <f aca="false">I$80*$J$81</f>
        <v>0</v>
      </c>
      <c r="Q90" s="355" t="n">
        <f aca="false">J$80*$J$81</f>
        <v>0</v>
      </c>
      <c r="R90" s="355" t="n">
        <f aca="false">K$80*$J$81</f>
        <v>0</v>
      </c>
      <c r="S90" s="355" t="n">
        <f aca="false">L$80*$J$81</f>
        <v>0</v>
      </c>
      <c r="T90" s="355" t="n">
        <f aca="false">M$80*$J$81</f>
        <v>0</v>
      </c>
      <c r="U90" s="355" t="n">
        <f aca="false">N$80*$J$81</f>
        <v>0</v>
      </c>
      <c r="V90" s="355" t="n">
        <f aca="false">O$80*$J$81</f>
        <v>0</v>
      </c>
    </row>
    <row r="91" customFormat="false" ht="12.75" hidden="false" customHeight="false" outlineLevel="0" collapsed="false">
      <c r="B91" s="348"/>
      <c r="C91" s="356"/>
      <c r="D91" s="357"/>
      <c r="E91" s="357"/>
      <c r="F91" s="357"/>
      <c r="G91" s="357"/>
      <c r="H91" s="357"/>
      <c r="I91" s="357"/>
      <c r="J91" s="357"/>
      <c r="K91" s="355" t="n">
        <f aca="false">C$80*$K$81</f>
        <v>0</v>
      </c>
      <c r="L91" s="355" t="n">
        <f aca="false">D$80*$K$81</f>
        <v>0</v>
      </c>
      <c r="M91" s="355" t="n">
        <f aca="false">E$80*$K$81</f>
        <v>0</v>
      </c>
      <c r="N91" s="355" t="n">
        <f aca="false">F$80*$K$81</f>
        <v>0</v>
      </c>
      <c r="O91" s="355" t="n">
        <f aca="false">G$80*$K$81</f>
        <v>0</v>
      </c>
      <c r="P91" s="355" t="n">
        <f aca="false">H$80*$K$81</f>
        <v>0</v>
      </c>
      <c r="Q91" s="355" t="n">
        <f aca="false">I$80*$K$81</f>
        <v>0</v>
      </c>
      <c r="R91" s="355" t="n">
        <f aca="false">J$80*$K$81</f>
        <v>0</v>
      </c>
      <c r="S91" s="355" t="n">
        <f aca="false">K$80*$K$81</f>
        <v>0</v>
      </c>
      <c r="T91" s="355" t="n">
        <f aca="false">L$80*$K$81</f>
        <v>0</v>
      </c>
      <c r="U91" s="355" t="n">
        <f aca="false">M$80*$K$81</f>
        <v>0</v>
      </c>
      <c r="V91" s="355" t="n">
        <f aca="false">N$80*$K$81</f>
        <v>0</v>
      </c>
    </row>
    <row r="92" customFormat="false" ht="12.75" hidden="false" customHeight="false" outlineLevel="0" collapsed="false">
      <c r="B92" s="348"/>
      <c r="C92" s="356"/>
      <c r="D92" s="357"/>
      <c r="E92" s="357"/>
      <c r="F92" s="357"/>
      <c r="G92" s="357"/>
      <c r="H92" s="357"/>
      <c r="I92" s="357"/>
      <c r="J92" s="357"/>
      <c r="K92" s="357"/>
      <c r="L92" s="355" t="n">
        <f aca="false">C$80*$L$81</f>
        <v>0</v>
      </c>
      <c r="M92" s="355" t="n">
        <f aca="false">D$80*$L$81</f>
        <v>0</v>
      </c>
      <c r="N92" s="355" t="n">
        <f aca="false">E$80*$L$81</f>
        <v>0</v>
      </c>
      <c r="O92" s="355" t="n">
        <f aca="false">F$80*$L$81</f>
        <v>0</v>
      </c>
      <c r="P92" s="355" t="n">
        <f aca="false">G$80*$L$81</f>
        <v>0</v>
      </c>
      <c r="Q92" s="355" t="n">
        <f aca="false">H$80*$L$81</f>
        <v>0</v>
      </c>
      <c r="R92" s="355" t="n">
        <f aca="false">I$80*$L$81</f>
        <v>0</v>
      </c>
      <c r="S92" s="355" t="n">
        <f aca="false">J$80*$L$81</f>
        <v>0</v>
      </c>
      <c r="T92" s="355" t="n">
        <f aca="false">K$80*$L$81</f>
        <v>0</v>
      </c>
      <c r="U92" s="355" t="n">
        <f aca="false">L$80*$L$81</f>
        <v>0</v>
      </c>
      <c r="V92" s="355" t="n">
        <f aca="false">M$80*$L$81</f>
        <v>0</v>
      </c>
    </row>
    <row r="93" customFormat="false" ht="12.75" hidden="false" customHeight="false" outlineLevel="0" collapsed="false">
      <c r="B93" s="348"/>
      <c r="C93" s="356"/>
      <c r="D93" s="357"/>
      <c r="E93" s="357"/>
      <c r="F93" s="357"/>
      <c r="G93" s="357"/>
      <c r="H93" s="357"/>
      <c r="I93" s="357"/>
      <c r="J93" s="357"/>
      <c r="K93" s="357"/>
      <c r="L93" s="357"/>
      <c r="M93" s="355" t="n">
        <f aca="false">C$80*$M$81</f>
        <v>0</v>
      </c>
      <c r="N93" s="355" t="n">
        <f aca="false">D$80*$M$81</f>
        <v>0</v>
      </c>
      <c r="O93" s="355" t="n">
        <f aca="false">E$80*$M$81</f>
        <v>0</v>
      </c>
      <c r="P93" s="355" t="n">
        <f aca="false">F$80*$M$81</f>
        <v>0</v>
      </c>
      <c r="Q93" s="355" t="n">
        <f aca="false">G$80*$M$81</f>
        <v>0</v>
      </c>
      <c r="R93" s="355" t="n">
        <f aca="false">H$80*$M$81</f>
        <v>0</v>
      </c>
      <c r="S93" s="355" t="n">
        <f aca="false">I$80*$M$81</f>
        <v>0</v>
      </c>
      <c r="T93" s="355" t="n">
        <f aca="false">J$80*$M$81</f>
        <v>0</v>
      </c>
      <c r="U93" s="355" t="n">
        <f aca="false">K$80*$M$81</f>
        <v>0</v>
      </c>
      <c r="V93" s="355" t="n">
        <f aca="false">L$80*$M$81</f>
        <v>0</v>
      </c>
    </row>
    <row r="94" customFormat="false" ht="12.75" hidden="false" customHeight="false" outlineLevel="0" collapsed="false">
      <c r="B94" s="348"/>
      <c r="C94" s="356"/>
      <c r="D94" s="357"/>
      <c r="E94" s="357"/>
      <c r="F94" s="357"/>
      <c r="G94" s="357"/>
      <c r="H94" s="357"/>
      <c r="I94" s="357"/>
      <c r="J94" s="357"/>
      <c r="K94" s="357"/>
      <c r="L94" s="357"/>
      <c r="M94" s="325"/>
      <c r="N94" s="355" t="n">
        <f aca="false">C$80*$N$81</f>
        <v>0</v>
      </c>
      <c r="O94" s="355" t="n">
        <f aca="false">D$80*$N$81</f>
        <v>0</v>
      </c>
      <c r="P94" s="355" t="n">
        <f aca="false">E$80*$N$81</f>
        <v>0</v>
      </c>
      <c r="Q94" s="355" t="n">
        <f aca="false">F$80*$N$81</f>
        <v>0</v>
      </c>
      <c r="R94" s="355" t="n">
        <f aca="false">G$80*$N$81</f>
        <v>0</v>
      </c>
      <c r="S94" s="355" t="n">
        <f aca="false">H$80*$N$81</f>
        <v>0</v>
      </c>
      <c r="T94" s="355" t="n">
        <f aca="false">I$80*$N$81</f>
        <v>0</v>
      </c>
      <c r="U94" s="355" t="n">
        <f aca="false">J$80*$N$81</f>
        <v>0</v>
      </c>
      <c r="V94" s="355" t="n">
        <f aca="false">K$80*$N$81</f>
        <v>0</v>
      </c>
    </row>
    <row r="95" customFormat="false" ht="12.75" hidden="false" customHeight="false" outlineLevel="0" collapsed="false">
      <c r="B95" s="348"/>
      <c r="C95" s="356"/>
      <c r="D95" s="357"/>
      <c r="E95" s="357"/>
      <c r="F95" s="357"/>
      <c r="G95" s="357"/>
      <c r="H95" s="357"/>
      <c r="I95" s="357"/>
      <c r="J95" s="357"/>
      <c r="K95" s="357"/>
      <c r="L95" s="357"/>
      <c r="M95" s="325"/>
      <c r="N95" s="325"/>
      <c r="O95" s="355" t="n">
        <f aca="false">C$80*$O$81</f>
        <v>0</v>
      </c>
      <c r="P95" s="355" t="n">
        <f aca="false">D$80*$O$81</f>
        <v>0</v>
      </c>
      <c r="Q95" s="355" t="n">
        <f aca="false">E$80*$O$81</f>
        <v>0</v>
      </c>
      <c r="R95" s="355" t="n">
        <f aca="false">F$80*$O$81</f>
        <v>0</v>
      </c>
      <c r="S95" s="355" t="n">
        <f aca="false">G$80*$O$81</f>
        <v>0</v>
      </c>
      <c r="T95" s="355" t="n">
        <f aca="false">H$80*$O$81</f>
        <v>0</v>
      </c>
      <c r="U95" s="355" t="n">
        <f aca="false">I$80*$O$81</f>
        <v>0</v>
      </c>
      <c r="V95" s="355" t="n">
        <f aca="false">J$80*$O$81</f>
        <v>0</v>
      </c>
    </row>
    <row r="96" customFormat="false" ht="12.75" hidden="false" customHeight="false" outlineLevel="0" collapsed="false">
      <c r="B96" s="348"/>
      <c r="C96" s="356"/>
      <c r="D96" s="357"/>
      <c r="E96" s="357"/>
      <c r="F96" s="357"/>
      <c r="G96" s="357"/>
      <c r="H96" s="357"/>
      <c r="I96" s="357"/>
      <c r="J96" s="357"/>
      <c r="K96" s="357"/>
      <c r="L96" s="357"/>
      <c r="M96" s="325"/>
      <c r="N96" s="325"/>
      <c r="O96" s="325"/>
      <c r="P96" s="355" t="n">
        <f aca="false">C$80*$P$81</f>
        <v>0</v>
      </c>
      <c r="Q96" s="355" t="n">
        <f aca="false">D$80*$P$81</f>
        <v>0</v>
      </c>
      <c r="R96" s="355" t="n">
        <f aca="false">E$80*$P$81</f>
        <v>0</v>
      </c>
      <c r="S96" s="355" t="n">
        <f aca="false">F$80*$P$81</f>
        <v>0</v>
      </c>
      <c r="T96" s="355" t="n">
        <f aca="false">G$80*$P$81</f>
        <v>0</v>
      </c>
      <c r="U96" s="355" t="n">
        <f aca="false">H$80*$P$81</f>
        <v>0</v>
      </c>
      <c r="V96" s="355" t="n">
        <f aca="false">I$80*$P$81</f>
        <v>0</v>
      </c>
    </row>
    <row r="97" customFormat="false" ht="12.75" hidden="false" customHeight="false" outlineLevel="0" collapsed="false">
      <c r="B97" s="348"/>
      <c r="C97" s="356"/>
      <c r="D97" s="357"/>
      <c r="E97" s="357"/>
      <c r="F97" s="357"/>
      <c r="G97" s="357"/>
      <c r="H97" s="357"/>
      <c r="I97" s="357"/>
      <c r="J97" s="357"/>
      <c r="K97" s="357"/>
      <c r="L97" s="357"/>
      <c r="M97" s="325"/>
      <c r="N97" s="325"/>
      <c r="O97" s="325"/>
      <c r="P97" s="325"/>
      <c r="Q97" s="355" t="n">
        <f aca="false">C$80*$Q$81</f>
        <v>0</v>
      </c>
      <c r="R97" s="355" t="n">
        <f aca="false">D$80*$Q$81</f>
        <v>0</v>
      </c>
      <c r="S97" s="355" t="n">
        <f aca="false">E$80*$Q$81</f>
        <v>0</v>
      </c>
      <c r="T97" s="355" t="n">
        <f aca="false">F$80*$Q$81</f>
        <v>0</v>
      </c>
      <c r="U97" s="355" t="n">
        <f aca="false">G$80*$Q$81</f>
        <v>0</v>
      </c>
      <c r="V97" s="355" t="n">
        <f aca="false">H$80*$Q$81</f>
        <v>0</v>
      </c>
    </row>
    <row r="98" customFormat="false" ht="12.75" hidden="false" customHeight="false" outlineLevel="0" collapsed="false">
      <c r="B98" s="348"/>
      <c r="C98" s="356"/>
      <c r="D98" s="357"/>
      <c r="E98" s="357"/>
      <c r="F98" s="357"/>
      <c r="G98" s="357"/>
      <c r="H98" s="357"/>
      <c r="I98" s="357"/>
      <c r="J98" s="357"/>
      <c r="K98" s="357"/>
      <c r="L98" s="357"/>
      <c r="M98" s="325"/>
      <c r="N98" s="325"/>
      <c r="O98" s="325"/>
      <c r="P98" s="325"/>
      <c r="Q98" s="325"/>
      <c r="R98" s="355" t="n">
        <f aca="false">C$80*$R$81</f>
        <v>0</v>
      </c>
      <c r="S98" s="355" t="n">
        <f aca="false">D$80*$R$81</f>
        <v>0</v>
      </c>
      <c r="T98" s="355" t="n">
        <f aca="false">E$80*$R$81</f>
        <v>0</v>
      </c>
      <c r="U98" s="355" t="n">
        <f aca="false">F$80*$R$81</f>
        <v>0</v>
      </c>
      <c r="V98" s="355" t="n">
        <f aca="false">G$80*$R$81</f>
        <v>0</v>
      </c>
    </row>
    <row r="99" customFormat="false" ht="12.75" hidden="false" customHeight="false" outlineLevel="0" collapsed="false">
      <c r="B99" s="348"/>
      <c r="C99" s="356"/>
      <c r="D99" s="357"/>
      <c r="E99" s="357"/>
      <c r="F99" s="357"/>
      <c r="G99" s="357"/>
      <c r="H99" s="357"/>
      <c r="I99" s="357"/>
      <c r="J99" s="357"/>
      <c r="K99" s="357"/>
      <c r="L99" s="357"/>
      <c r="M99" s="325"/>
      <c r="N99" s="325"/>
      <c r="O99" s="325"/>
      <c r="P99" s="325"/>
      <c r="Q99" s="325"/>
      <c r="R99" s="325"/>
      <c r="S99" s="355" t="n">
        <f aca="false">C$80*$S$81</f>
        <v>0</v>
      </c>
      <c r="T99" s="355" t="n">
        <f aca="false">D$80*$S$81</f>
        <v>0</v>
      </c>
      <c r="U99" s="355" t="n">
        <f aca="false">E$80*$S$81</f>
        <v>0</v>
      </c>
      <c r="V99" s="355" t="n">
        <f aca="false">F$80*$S$81</f>
        <v>0</v>
      </c>
    </row>
    <row r="100" customFormat="false" ht="12.75" hidden="false" customHeight="false" outlineLevel="0" collapsed="false">
      <c r="B100" s="348"/>
      <c r="C100" s="356"/>
      <c r="D100" s="357"/>
      <c r="E100" s="357"/>
      <c r="F100" s="357"/>
      <c r="G100" s="357"/>
      <c r="H100" s="357"/>
      <c r="I100" s="357"/>
      <c r="J100" s="357"/>
      <c r="K100" s="357"/>
      <c r="L100" s="357"/>
      <c r="M100" s="325"/>
      <c r="N100" s="325"/>
      <c r="O100" s="325"/>
      <c r="P100" s="325"/>
      <c r="Q100" s="325"/>
      <c r="R100" s="325"/>
      <c r="S100" s="325"/>
      <c r="T100" s="355" t="n">
        <f aca="false">C$80*$T$81</f>
        <v>0</v>
      </c>
      <c r="U100" s="355" t="n">
        <f aca="false">D$80*$T$81</f>
        <v>0</v>
      </c>
      <c r="V100" s="355" t="n">
        <f aca="false">E$80*$T$81</f>
        <v>0</v>
      </c>
    </row>
    <row r="101" customFormat="false" ht="12.75" hidden="false" customHeight="false" outlineLevel="0" collapsed="false">
      <c r="B101" s="348"/>
      <c r="C101" s="356"/>
      <c r="D101" s="357"/>
      <c r="E101" s="357"/>
      <c r="F101" s="357"/>
      <c r="G101" s="357"/>
      <c r="H101" s="357"/>
      <c r="I101" s="357"/>
      <c r="J101" s="357"/>
      <c r="K101" s="357"/>
      <c r="L101" s="357"/>
      <c r="M101" s="325"/>
      <c r="N101" s="325"/>
      <c r="O101" s="325"/>
      <c r="P101" s="325"/>
      <c r="Q101" s="325"/>
      <c r="R101" s="325"/>
      <c r="S101" s="325"/>
      <c r="T101" s="325"/>
      <c r="U101" s="355" t="n">
        <f aca="false">C$80*$U$81</f>
        <v>0</v>
      </c>
      <c r="V101" s="355" t="n">
        <f aca="false">D$80*$U$81</f>
        <v>0</v>
      </c>
    </row>
    <row r="102" customFormat="false" ht="12.75" hidden="false" customHeight="false" outlineLevel="0" collapsed="false">
      <c r="B102" s="348"/>
      <c r="C102" s="358"/>
      <c r="D102" s="359"/>
      <c r="E102" s="359"/>
      <c r="F102" s="359"/>
      <c r="G102" s="359"/>
      <c r="H102" s="359"/>
      <c r="I102" s="359"/>
      <c r="J102" s="359"/>
      <c r="K102" s="359"/>
      <c r="L102" s="359"/>
      <c r="M102" s="360"/>
      <c r="N102" s="360"/>
      <c r="O102" s="360"/>
      <c r="P102" s="360"/>
      <c r="Q102" s="360"/>
      <c r="R102" s="360"/>
      <c r="S102" s="360"/>
      <c r="T102" s="360"/>
      <c r="U102" s="360"/>
      <c r="V102" s="364" t="n">
        <f aca="false">C$80*$V$81</f>
        <v>0</v>
      </c>
    </row>
    <row r="103" customFormat="false" ht="13.5" hidden="false" customHeight="false" outlineLevel="0" collapsed="false">
      <c r="A103" s="181" t="s">
        <v>183</v>
      </c>
      <c r="B103" s="348"/>
      <c r="C103" s="361" t="n">
        <f aca="false">SUM(C83:C102)</f>
        <v>0</v>
      </c>
      <c r="D103" s="362" t="n">
        <f aca="false">SUM(D83:D102)</f>
        <v>0</v>
      </c>
      <c r="E103" s="362" t="n">
        <f aca="false">SUM(E83:E102)</f>
        <v>0</v>
      </c>
      <c r="F103" s="362" t="n">
        <f aca="false">SUM(F83:F102)</f>
        <v>0</v>
      </c>
      <c r="G103" s="362" t="n">
        <f aca="false">SUM(G83:G102)</f>
        <v>0</v>
      </c>
      <c r="H103" s="362" t="n">
        <f aca="false">SUM(H83:H102)</f>
        <v>0</v>
      </c>
      <c r="I103" s="362" t="n">
        <f aca="false">SUM(I83:I102)</f>
        <v>0</v>
      </c>
      <c r="J103" s="362" t="n">
        <f aca="false">SUM(J83:J102)</f>
        <v>0</v>
      </c>
      <c r="K103" s="362" t="n">
        <f aca="false">SUM(K83:K102)</f>
        <v>0</v>
      </c>
      <c r="L103" s="362" t="n">
        <f aca="false">SUM(L83:L102)</f>
        <v>0</v>
      </c>
      <c r="M103" s="362" t="n">
        <f aca="false">SUM(M83:M102)</f>
        <v>0</v>
      </c>
      <c r="N103" s="362" t="n">
        <f aca="false">SUM(N83:N102)</f>
        <v>0</v>
      </c>
      <c r="O103" s="362" t="n">
        <f aca="false">SUM(O83:O102)</f>
        <v>0</v>
      </c>
      <c r="P103" s="362" t="n">
        <f aca="false">SUM(P83:P102)</f>
        <v>0</v>
      </c>
      <c r="Q103" s="362" t="n">
        <f aca="false">SUM(Q83:Q102)</f>
        <v>0</v>
      </c>
      <c r="R103" s="362" t="n">
        <f aca="false">SUM(R83:R102)</f>
        <v>0</v>
      </c>
      <c r="S103" s="362" t="n">
        <f aca="false">SUM(S83:S102)</f>
        <v>0</v>
      </c>
      <c r="T103" s="362" t="n">
        <f aca="false">SUM(T83:T102)</f>
        <v>0</v>
      </c>
      <c r="U103" s="362" t="n">
        <f aca="false">SUM(U83:U102)</f>
        <v>0</v>
      </c>
      <c r="V103" s="362" t="n">
        <f aca="false">SUM(V83:V102)</f>
        <v>0</v>
      </c>
    </row>
    <row r="104" customFormat="false" ht="13.5" hidden="false" customHeight="false" outlineLevel="0" collapsed="false">
      <c r="B104" s="348"/>
      <c r="C104" s="134"/>
    </row>
    <row r="105" customFormat="false" ht="12.75" hidden="false" customHeight="false" outlineLevel="0" collapsed="false">
      <c r="A105" s="181" t="s">
        <v>184</v>
      </c>
      <c r="B105" s="348"/>
      <c r="C105" s="134" t="n">
        <f aca="false">VLOOKUP(IS!$B$1,Depr,C78-1997)</f>
        <v>0</v>
      </c>
      <c r="D105" s="134" t="n">
        <f aca="false">VLOOKUP(IS!$B$1,Depr,D78-1997)</f>
        <v>32528000</v>
      </c>
      <c r="E105" s="134" t="n">
        <f aca="false">VLOOKUP(IS!$B$1,Depr,E78-1997)</f>
        <v>29275200</v>
      </c>
      <c r="F105" s="134" t="n">
        <f aca="false">VLOOKUP(IS!$B$1,Depr,F78-1997)</f>
        <v>26364800</v>
      </c>
      <c r="G105" s="134" t="n">
        <f aca="false">VLOOKUP(IS!$B$1,Depr,G78-1997)</f>
        <v>23728320</v>
      </c>
      <c r="H105" s="134" t="n">
        <f aca="false">VLOOKUP(IS!$B$1,Depr,H78-1997)</f>
        <v>21331520</v>
      </c>
      <c r="I105" s="134" t="n">
        <f aca="false">VLOOKUP(IS!$B$1,Depr,I78-1997)</f>
        <v>20201600</v>
      </c>
      <c r="J105" s="134" t="n">
        <f aca="false">VLOOKUP(IS!$B$1,Depr,J78-1997)</f>
        <v>20201600</v>
      </c>
      <c r="K105" s="134" t="n">
        <f aca="false">VLOOKUP(IS!$B$1,Depr,K78-1997)</f>
        <v>20235840</v>
      </c>
      <c r="L105" s="134" t="n">
        <f aca="false">VLOOKUP(IS!$B$1,Depr,L78-1997)</f>
        <v>20201600</v>
      </c>
      <c r="M105" s="134" t="n">
        <f aca="false">VLOOKUP(IS!$B$1,Depr,M78-1997)</f>
        <v>20235840</v>
      </c>
      <c r="N105" s="134" t="n">
        <f aca="false">VLOOKUP(IS!$B$1,Depr,N78-1997)</f>
        <v>20201600</v>
      </c>
      <c r="O105" s="134" t="n">
        <f aca="false">VLOOKUP(IS!$B$1,Depr,O78-1997)</f>
        <v>20235840</v>
      </c>
      <c r="P105" s="134" t="n">
        <f aca="false">VLOOKUP(IS!$B$1,Depr,P78-1997)</f>
        <v>20235840</v>
      </c>
      <c r="Q105" s="134" t="n">
        <f aca="false">VLOOKUP(IS!$B$1,Depr,Q78-1997)</f>
        <v>20235840</v>
      </c>
      <c r="R105" s="134" t="n">
        <f aca="false">VLOOKUP(IS!$B$1,Depr,R78-1997)</f>
        <v>10100800</v>
      </c>
      <c r="S105" s="134" t="n">
        <f aca="false">VLOOKUP(IS!$B$1,Depr,S78-1997)</f>
        <v>10846000</v>
      </c>
      <c r="T105" s="134" t="n">
        <f aca="false">VLOOKUP(IS!$B$1,Depr,T78-1997)</f>
        <v>10846000</v>
      </c>
      <c r="U105" s="134" t="n">
        <f aca="false">VLOOKUP(IS!$B$1,Depr,U78-1997)</f>
        <v>10846000</v>
      </c>
      <c r="V105" s="134" t="n">
        <f aca="false">VLOOKUP(IS!$B$1,Depr,V78-1997)</f>
        <v>10846000</v>
      </c>
    </row>
    <row r="108" customFormat="false" ht="12.75" hidden="false" customHeight="false" outlineLevel="0" collapsed="false">
      <c r="A108" s="365" t="s">
        <v>185</v>
      </c>
      <c r="B108" s="365"/>
      <c r="C108" s="366" t="n">
        <f aca="false">C105+C103+C75</f>
        <v>0</v>
      </c>
      <c r="D108" s="366" t="n">
        <f aca="false">D105+D103+D75</f>
        <v>32528000</v>
      </c>
      <c r="E108" s="366" t="n">
        <f aca="false">E105+E103+E75</f>
        <v>29275200</v>
      </c>
      <c r="F108" s="366" t="n">
        <f aca="false">F105+F103+F75</f>
        <v>26364800</v>
      </c>
      <c r="G108" s="366" t="n">
        <f aca="false">G105+G103+G75</f>
        <v>23728320</v>
      </c>
      <c r="H108" s="366" t="n">
        <f aca="false">H105+H103+H75</f>
        <v>21331520</v>
      </c>
      <c r="I108" s="366" t="n">
        <f aca="false">I105+I103+I75</f>
        <v>20201600</v>
      </c>
      <c r="J108" s="366" t="n">
        <f aca="false">J105+J103+J75</f>
        <v>20201600</v>
      </c>
      <c r="K108" s="366" t="n">
        <f aca="false">K105+K103+K75</f>
        <v>20235840</v>
      </c>
      <c r="L108" s="366" t="n">
        <f aca="false">L105+L103+L75</f>
        <v>20201600</v>
      </c>
      <c r="M108" s="366" t="n">
        <f aca="false">M105+M103+M75</f>
        <v>20235840</v>
      </c>
      <c r="N108" s="366" t="n">
        <f aca="false">N105+N103+N75</f>
        <v>20201600</v>
      </c>
      <c r="O108" s="366" t="n">
        <f aca="false">O105+O103+O75</f>
        <v>20235840</v>
      </c>
      <c r="P108" s="366" t="n">
        <f aca="false">P105+P103+P75</f>
        <v>20235840</v>
      </c>
      <c r="Q108" s="366" t="n">
        <f aca="false">Q105+Q103+Q75</f>
        <v>20235840</v>
      </c>
      <c r="R108" s="366" t="n">
        <f aca="false">R105+R103+R75</f>
        <v>10100800</v>
      </c>
      <c r="S108" s="366" t="n">
        <f aca="false">S105+S103+S75</f>
        <v>10846000</v>
      </c>
      <c r="T108" s="366" t="n">
        <f aca="false">T105+T103+T75</f>
        <v>10846000</v>
      </c>
      <c r="U108" s="366" t="n">
        <f aca="false">U105+U103+U75</f>
        <v>10846000</v>
      </c>
      <c r="V108" s="366" t="n">
        <f aca="false">V105+V103+V75</f>
        <v>10846000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.28"/>
    <col collapsed="false" customWidth="true" hidden="false" outlineLevel="0" max="2" min="2" style="0" width="14.99"/>
    <col collapsed="false" customWidth="true" hidden="false" outlineLevel="0" max="4" min="3" style="0" width="10.71"/>
    <col collapsed="false" customWidth="true" hidden="false" outlineLevel="0" max="5" min="5" style="0" width="13.7"/>
    <col collapsed="false" customWidth="true" hidden="false" outlineLevel="0" max="6" min="6" style="0" width="13.41"/>
    <col collapsed="false" customWidth="true" hidden="false" outlineLevel="0" max="7" min="7" style="0" width="11.42"/>
    <col collapsed="false" customWidth="true" hidden="false" outlineLevel="0" max="8" min="8" style="0" width="12.7"/>
    <col collapsed="false" customWidth="true" hidden="false" outlineLevel="0" max="9" min="9" style="0" width="10.71"/>
    <col collapsed="false" customWidth="true" hidden="false" outlineLevel="0" max="10" min="10" style="0" width="10.99"/>
    <col collapsed="false" customWidth="true" hidden="false" outlineLevel="0" max="12" min="11" style="0" width="10.56"/>
    <col collapsed="false" customWidth="true" hidden="false" outlineLevel="0" max="13" min="13" style="0" width="10.85"/>
    <col collapsed="false" customWidth="true" hidden="false" outlineLevel="0" max="14" min="14" style="0" width="10.41"/>
    <col collapsed="false" customWidth="true" hidden="false" outlineLevel="0" max="17" min="15" style="0" width="10.56"/>
    <col collapsed="false" customWidth="true" hidden="false" outlineLevel="0" max="18" min="18" style="0" width="9.99"/>
    <col collapsed="false" customWidth="true" hidden="false" outlineLevel="0" max="21" min="19" style="0" width="10.41"/>
    <col collapsed="false" customWidth="true" hidden="false" outlineLevel="0" max="33" min="22" style="0" width="9.85"/>
  </cols>
  <sheetData>
    <row r="1" customFormat="false" ht="12.75" hidden="false" customHeight="false" outlineLevel="0" collapsed="false">
      <c r="A1" s="197" t="s">
        <v>186</v>
      </c>
    </row>
    <row r="8" customFormat="false" ht="12.75" hidden="false" customHeight="false" outlineLevel="0" collapsed="false">
      <c r="C8" s="235" t="n">
        <v>2000</v>
      </c>
      <c r="D8" s="235" t="n">
        <v>2001</v>
      </c>
      <c r="E8" s="235" t="n">
        <v>2002</v>
      </c>
      <c r="F8" s="235" t="n">
        <v>2003</v>
      </c>
      <c r="G8" s="235" t="n">
        <v>2004</v>
      </c>
      <c r="H8" s="235" t="n">
        <v>2005</v>
      </c>
      <c r="I8" s="235" t="n">
        <v>2006</v>
      </c>
      <c r="J8" s="235" t="n">
        <v>2007</v>
      </c>
      <c r="K8" s="235" t="n">
        <v>2008</v>
      </c>
      <c r="L8" s="235" t="n">
        <v>2009</v>
      </c>
      <c r="M8" s="235" t="n">
        <v>2010</v>
      </c>
      <c r="N8" s="235" t="n">
        <v>2011</v>
      </c>
      <c r="O8" s="235" t="n">
        <v>2012</v>
      </c>
      <c r="P8" s="235" t="n">
        <v>2013</v>
      </c>
      <c r="Q8" s="235" t="n">
        <v>2014</v>
      </c>
      <c r="R8" s="235" t="n">
        <v>2015</v>
      </c>
      <c r="S8" s="235" t="n">
        <v>2016</v>
      </c>
      <c r="T8" s="235" t="n">
        <v>2017</v>
      </c>
      <c r="U8" s="235" t="n">
        <v>2018</v>
      </c>
      <c r="V8" s="235" t="n">
        <v>2019</v>
      </c>
    </row>
    <row r="10" customFormat="false" ht="12.75" hidden="false" customHeight="false" outlineLevel="0" collapsed="false">
      <c r="A10" s="0" t="n">
        <v>1</v>
      </c>
      <c r="B10" s="0" t="s">
        <v>69</v>
      </c>
      <c r="C10" s="341" t="n">
        <f aca="false">'GAAP Beg Depreciation'!K125</f>
        <v>2451554.55007303</v>
      </c>
      <c r="D10" s="341" t="n">
        <f aca="false">'GAAP Beg Depreciation'!L125</f>
        <v>2451554.55007303</v>
      </c>
      <c r="E10" s="341" t="n">
        <f aca="false">'GAAP Beg Depreciation'!M125</f>
        <v>2451554.55007303</v>
      </c>
      <c r="F10" s="341" t="n">
        <f aca="false">'GAAP Beg Depreciation'!N125</f>
        <v>2451554.55007303</v>
      </c>
      <c r="G10" s="341" t="n">
        <f aca="false">'GAAP Beg Depreciation'!O125</f>
        <v>2451554.55007303</v>
      </c>
      <c r="H10" s="341" t="n">
        <f aca="false">'GAAP Beg Depreciation'!P125</f>
        <v>2451554.55007303</v>
      </c>
      <c r="I10" s="341" t="n">
        <f aca="false">'GAAP Beg Depreciation'!Q125</f>
        <v>2451554.55007303</v>
      </c>
      <c r="J10" s="341" t="n">
        <f aca="false">'GAAP Beg Depreciation'!R125</f>
        <v>2451554.55007303</v>
      </c>
      <c r="K10" s="341" t="n">
        <f aca="false">'GAAP Beg Depreciation'!S125</f>
        <v>2451554.55007303</v>
      </c>
      <c r="L10" s="341" t="n">
        <f aca="false">'GAAP Beg Depreciation'!T125</f>
        <v>2451554.55007303</v>
      </c>
      <c r="M10" s="341" t="n">
        <f aca="false">'GAAP Beg Depreciation'!U125</f>
        <v>2451554.55007303</v>
      </c>
      <c r="N10" s="341" t="n">
        <f aca="false">'GAAP Beg Depreciation'!V125</f>
        <v>2451554.55007303</v>
      </c>
      <c r="O10" s="341" t="n">
        <f aca="false">'GAAP Beg Depreciation'!W125</f>
        <v>2451554.55007303</v>
      </c>
      <c r="P10" s="341" t="n">
        <f aca="false">'GAAP Beg Depreciation'!X125</f>
        <v>2448742.82007303</v>
      </c>
      <c r="Q10" s="341" t="n">
        <f aca="false">'GAAP Beg Depreciation'!Y125</f>
        <v>462607.31007302</v>
      </c>
      <c r="R10" s="341" t="n">
        <f aca="false">'GAAP Beg Depreciation'!Z125</f>
        <v>94773.3500730298</v>
      </c>
      <c r="S10" s="341" t="n">
        <f aca="false">'GAAP Beg Depreciation'!AA125</f>
        <v>94773.3500730298</v>
      </c>
      <c r="T10" s="341" t="n">
        <f aca="false">'GAAP Beg Depreciation'!AB125</f>
        <v>94773.3500730298</v>
      </c>
      <c r="U10" s="341" t="n">
        <f aca="false">'GAAP Beg Depreciation'!AC125</f>
        <v>94773.3500730298</v>
      </c>
      <c r="V10" s="341" t="n">
        <f aca="false">'GAAP Beg Depreciation'!AD125</f>
        <v>94773.3500730298</v>
      </c>
      <c r="W10" s="341" t="n">
        <f aca="false">'GAAP Beg Depreciation'!AE125</f>
        <v>94773.3500730298</v>
      </c>
      <c r="X10" s="341" t="n">
        <f aca="false">'GAAP Beg Depreciation'!AF125</f>
        <v>94773.3500730298</v>
      </c>
      <c r="Y10" s="341" t="n">
        <f aca="false">'GAAP Beg Depreciation'!AG125</f>
        <v>94773.3500730298</v>
      </c>
      <c r="Z10" s="341" t="n">
        <f aca="false">'GAAP Beg Depreciation'!AH125</f>
        <v>94773.3500730298</v>
      </c>
      <c r="AA10" s="341" t="n">
        <f aca="false">'GAAP Beg Depreciation'!AI125</f>
        <v>94773.3500730298</v>
      </c>
      <c r="AB10" s="341" t="n">
        <f aca="false">'GAAP Beg Depreciation'!AJ125</f>
        <v>94773.3500730298</v>
      </c>
      <c r="AC10" s="341" t="n">
        <f aca="false">'GAAP Beg Depreciation'!AK125</f>
        <v>94773.3500730298</v>
      </c>
      <c r="AD10" s="341" t="n">
        <f aca="false">'GAAP Beg Depreciation'!AL125</f>
        <v>94773.3500730298</v>
      </c>
      <c r="AE10" s="341" t="n">
        <f aca="false">'GAAP Beg Depreciation'!AM125</f>
        <v>94773.3500730298</v>
      </c>
      <c r="AF10" s="341" t="n">
        <f aca="false">'GAAP Beg Depreciation'!AN125</f>
        <v>94773.3500730298</v>
      </c>
      <c r="AG10" s="341" t="n">
        <f aca="false">'GAAP Beg Depreciation'!AO125</f>
        <v>0</v>
      </c>
    </row>
    <row r="11" customFormat="false" ht="12.75" hidden="false" customHeight="false" outlineLevel="0" collapsed="false">
      <c r="A11" s="0" t="n">
        <v>2</v>
      </c>
      <c r="B11" s="0" t="s">
        <v>71</v>
      </c>
      <c r="C11" s="341" t="n">
        <f aca="false">'GAAP Beg Depreciation'!K126</f>
        <v>9609843.14472598</v>
      </c>
      <c r="D11" s="341" t="n">
        <f aca="false">'GAAP Beg Depreciation'!L126</f>
        <v>9609843.14472598</v>
      </c>
      <c r="E11" s="341" t="n">
        <f aca="false">'GAAP Beg Depreciation'!M126</f>
        <v>9609843.14472598</v>
      </c>
      <c r="F11" s="341" t="n">
        <f aca="false">'GAAP Beg Depreciation'!N126</f>
        <v>9609843.14472598</v>
      </c>
      <c r="G11" s="341" t="n">
        <f aca="false">'GAAP Beg Depreciation'!O126</f>
        <v>9609843.14472598</v>
      </c>
      <c r="H11" s="341" t="n">
        <f aca="false">'GAAP Beg Depreciation'!P126</f>
        <v>9609843.14472598</v>
      </c>
      <c r="I11" s="341" t="n">
        <f aca="false">'GAAP Beg Depreciation'!Q126</f>
        <v>9609843.14472598</v>
      </c>
      <c r="J11" s="341" t="n">
        <f aca="false">'GAAP Beg Depreciation'!R126</f>
        <v>9609843.14472598</v>
      </c>
      <c r="K11" s="341" t="n">
        <f aca="false">'GAAP Beg Depreciation'!S126</f>
        <v>9609843.14472598</v>
      </c>
      <c r="L11" s="341" t="n">
        <f aca="false">'GAAP Beg Depreciation'!T126</f>
        <v>9609843.14472598</v>
      </c>
      <c r="M11" s="341" t="n">
        <f aca="false">'GAAP Beg Depreciation'!U126</f>
        <v>9609843.14472598</v>
      </c>
      <c r="N11" s="341" t="n">
        <f aca="false">'GAAP Beg Depreciation'!V126</f>
        <v>9609843.14472598</v>
      </c>
      <c r="O11" s="341" t="n">
        <f aca="false">'GAAP Beg Depreciation'!W126</f>
        <v>9609843.14472598</v>
      </c>
      <c r="P11" s="341" t="n">
        <f aca="false">'GAAP Beg Depreciation'!X126</f>
        <v>9609843.14472598</v>
      </c>
      <c r="Q11" s="341" t="n">
        <f aca="false">'GAAP Beg Depreciation'!Y126</f>
        <v>9609843.14472598</v>
      </c>
      <c r="R11" s="341" t="n">
        <f aca="false">'GAAP Beg Depreciation'!Z126</f>
        <v>9609843.14472598</v>
      </c>
      <c r="S11" s="341" t="n">
        <f aca="false">'GAAP Beg Depreciation'!AA126</f>
        <v>4978067.53472588</v>
      </c>
      <c r="T11" s="341" t="n">
        <f aca="false">'GAAP Beg Depreciation'!AB126</f>
        <v>410128.184725979</v>
      </c>
      <c r="U11" s="341" t="n">
        <f aca="false">'GAAP Beg Depreciation'!AC126</f>
        <v>410128.184725979</v>
      </c>
      <c r="V11" s="341" t="n">
        <f aca="false">'GAAP Beg Depreciation'!AD126</f>
        <v>410128.184725979</v>
      </c>
      <c r="W11" s="341" t="n">
        <f aca="false">'GAAP Beg Depreciation'!AE126</f>
        <v>410128.184725979</v>
      </c>
      <c r="X11" s="341" t="n">
        <f aca="false">'GAAP Beg Depreciation'!AF126</f>
        <v>410128.184725979</v>
      </c>
      <c r="Y11" s="341" t="n">
        <f aca="false">'GAAP Beg Depreciation'!AG126</f>
        <v>410128.184725979</v>
      </c>
      <c r="Z11" s="341" t="n">
        <f aca="false">'GAAP Beg Depreciation'!AH126</f>
        <v>410128.184725979</v>
      </c>
      <c r="AA11" s="341" t="n">
        <f aca="false">'GAAP Beg Depreciation'!AI126</f>
        <v>410128.184725979</v>
      </c>
      <c r="AB11" s="341" t="n">
        <f aca="false">'GAAP Beg Depreciation'!AJ126</f>
        <v>410128.184725979</v>
      </c>
      <c r="AC11" s="341" t="n">
        <f aca="false">'GAAP Beg Depreciation'!AK126</f>
        <v>410128.184725979</v>
      </c>
      <c r="AD11" s="341" t="n">
        <f aca="false">'GAAP Beg Depreciation'!AL126</f>
        <v>410128.184725979</v>
      </c>
      <c r="AE11" s="341" t="n">
        <f aca="false">'GAAP Beg Depreciation'!AM126</f>
        <v>410128.184725979</v>
      </c>
      <c r="AF11" s="341" t="n">
        <f aca="false">'GAAP Beg Depreciation'!AN126</f>
        <v>410128.184725979</v>
      </c>
      <c r="AG11" s="341" t="n">
        <f aca="false">'GAAP Beg Depreciation'!AO126</f>
        <v>52936</v>
      </c>
    </row>
    <row r="12" customFormat="false" ht="12.75" hidden="false" customHeight="false" outlineLevel="0" collapsed="false">
      <c r="A12" s="0" t="n">
        <v>3</v>
      </c>
      <c r="B12" s="2" t="s">
        <v>72</v>
      </c>
      <c r="C12" s="341" t="n">
        <f aca="false">'GAAP Beg Depreciation'!K$124/4</f>
        <v>2348666.55553438</v>
      </c>
      <c r="D12" s="341" t="n">
        <f aca="false">'GAAP Beg Depreciation'!L$124/4</f>
        <v>2348666.55553438</v>
      </c>
      <c r="E12" s="341" t="n">
        <f aca="false">'GAAP Beg Depreciation'!M$124/4</f>
        <v>2348666.55553438</v>
      </c>
      <c r="F12" s="341" t="n">
        <f aca="false">'GAAP Beg Depreciation'!N$124/4</f>
        <v>2348666.55553438</v>
      </c>
      <c r="G12" s="341" t="n">
        <f aca="false">'GAAP Beg Depreciation'!O$124/4</f>
        <v>2348666.55553438</v>
      </c>
      <c r="H12" s="341" t="n">
        <f aca="false">'GAAP Beg Depreciation'!P$124/4</f>
        <v>2348666.55553438</v>
      </c>
      <c r="I12" s="341" t="n">
        <f aca="false">'GAAP Beg Depreciation'!Q$124/4</f>
        <v>2348666.55553438</v>
      </c>
      <c r="J12" s="341" t="n">
        <f aca="false">'GAAP Beg Depreciation'!R$124/4</f>
        <v>2348666.55553438</v>
      </c>
      <c r="K12" s="341" t="n">
        <f aca="false">'GAAP Beg Depreciation'!S$124/4</f>
        <v>2348666.55553438</v>
      </c>
      <c r="L12" s="341" t="n">
        <f aca="false">'GAAP Beg Depreciation'!T$124/4</f>
        <v>2348666.55553438</v>
      </c>
      <c r="M12" s="341" t="n">
        <f aca="false">'GAAP Beg Depreciation'!U$124/4</f>
        <v>2348666.55553438</v>
      </c>
      <c r="N12" s="341" t="n">
        <f aca="false">'GAAP Beg Depreciation'!V$124/4</f>
        <v>2348666.55553438</v>
      </c>
      <c r="O12" s="341" t="n">
        <f aca="false">'GAAP Beg Depreciation'!W$124/4</f>
        <v>2348666.55553438</v>
      </c>
      <c r="P12" s="341" t="n">
        <f aca="false">'GAAP Beg Depreciation'!X$124/4</f>
        <v>2348666.55553438</v>
      </c>
      <c r="Q12" s="341" t="n">
        <f aca="false">'GAAP Beg Depreciation'!Y$124/4</f>
        <v>2348666.55553438</v>
      </c>
      <c r="R12" s="341" t="n">
        <f aca="false">'GAAP Beg Depreciation'!Z$124/4</f>
        <v>1419259.71803439</v>
      </c>
      <c r="S12" s="341" t="n">
        <f aca="false">'GAAP Beg Depreciation'!AA$124/4</f>
        <v>88587.39303438</v>
      </c>
      <c r="T12" s="341" t="n">
        <f aca="false">'GAAP Beg Depreciation'!AB$124/4</f>
        <v>87383.12053438</v>
      </c>
      <c r="U12" s="341" t="n">
        <f aca="false">'GAAP Beg Depreciation'!AC$124/4</f>
        <v>87383.12053438</v>
      </c>
      <c r="V12" s="341" t="n">
        <f aca="false">'GAAP Beg Depreciation'!AD$124/4</f>
        <v>87383.12053438</v>
      </c>
      <c r="W12" s="341" t="n">
        <v>0</v>
      </c>
      <c r="X12" s="341" t="n">
        <v>0</v>
      </c>
      <c r="Y12" s="341" t="n">
        <v>0</v>
      </c>
      <c r="Z12" s="341" t="n">
        <v>0</v>
      </c>
      <c r="AA12" s="341" t="n">
        <v>0</v>
      </c>
      <c r="AB12" s="341" t="n">
        <v>0</v>
      </c>
      <c r="AC12" s="341" t="n">
        <v>0</v>
      </c>
      <c r="AD12" s="341" t="n">
        <v>0</v>
      </c>
      <c r="AE12" s="341" t="n">
        <v>0</v>
      </c>
      <c r="AF12" s="341" t="n">
        <v>0</v>
      </c>
      <c r="AG12" s="341" t="n">
        <v>0</v>
      </c>
    </row>
    <row r="13" customFormat="false" ht="12.75" hidden="false" customHeight="false" outlineLevel="0" collapsed="false">
      <c r="A13" s="0" t="n">
        <v>4</v>
      </c>
      <c r="B13" s="2" t="s">
        <v>73</v>
      </c>
      <c r="C13" s="341" t="n">
        <f aca="false">'GAAP Beg Depreciation'!K$124/4</f>
        <v>2348666.55553438</v>
      </c>
      <c r="D13" s="341" t="n">
        <f aca="false">'GAAP Beg Depreciation'!L$124/4</f>
        <v>2348666.55553438</v>
      </c>
      <c r="E13" s="341" t="n">
        <f aca="false">'GAAP Beg Depreciation'!M$124/4</f>
        <v>2348666.55553438</v>
      </c>
      <c r="F13" s="341" t="n">
        <f aca="false">'GAAP Beg Depreciation'!N$124/4</f>
        <v>2348666.55553438</v>
      </c>
      <c r="G13" s="341" t="n">
        <f aca="false">'GAAP Beg Depreciation'!O$124/4</f>
        <v>2348666.55553438</v>
      </c>
      <c r="H13" s="341" t="n">
        <f aca="false">'GAAP Beg Depreciation'!P$124/4</f>
        <v>2348666.55553438</v>
      </c>
      <c r="I13" s="341" t="n">
        <f aca="false">'GAAP Beg Depreciation'!Q$124/4</f>
        <v>2348666.55553438</v>
      </c>
      <c r="J13" s="341" t="n">
        <f aca="false">'GAAP Beg Depreciation'!R$124/4</f>
        <v>2348666.55553438</v>
      </c>
      <c r="K13" s="341" t="n">
        <f aca="false">'GAAP Beg Depreciation'!S$124/4</f>
        <v>2348666.55553438</v>
      </c>
      <c r="L13" s="341" t="n">
        <f aca="false">'GAAP Beg Depreciation'!T$124/4</f>
        <v>2348666.55553438</v>
      </c>
      <c r="M13" s="341" t="n">
        <f aca="false">'GAAP Beg Depreciation'!U$124/4</f>
        <v>2348666.55553438</v>
      </c>
      <c r="N13" s="341" t="n">
        <f aca="false">'GAAP Beg Depreciation'!V$124/4</f>
        <v>2348666.55553438</v>
      </c>
      <c r="O13" s="341" t="n">
        <f aca="false">'GAAP Beg Depreciation'!W$124/4</f>
        <v>2348666.55553438</v>
      </c>
      <c r="P13" s="341" t="n">
        <f aca="false">'GAAP Beg Depreciation'!X$124/4</f>
        <v>2348666.55553438</v>
      </c>
      <c r="Q13" s="341" t="n">
        <f aca="false">'GAAP Beg Depreciation'!Y$124/4</f>
        <v>2348666.55553438</v>
      </c>
      <c r="R13" s="341" t="n">
        <f aca="false">'GAAP Beg Depreciation'!Z$124/4</f>
        <v>1419259.71803439</v>
      </c>
      <c r="S13" s="341" t="n">
        <f aca="false">'GAAP Beg Depreciation'!AA$124/4</f>
        <v>88587.39303438</v>
      </c>
      <c r="T13" s="341" t="n">
        <f aca="false">'GAAP Beg Depreciation'!AB$124/4</f>
        <v>87383.12053438</v>
      </c>
      <c r="U13" s="341" t="n">
        <f aca="false">'GAAP Beg Depreciation'!AC$124/4</f>
        <v>87383.12053438</v>
      </c>
      <c r="V13" s="341" t="n">
        <f aca="false">'GAAP Beg Depreciation'!AD$124/4</f>
        <v>87383.12053438</v>
      </c>
      <c r="W13" s="341" t="n">
        <v>0</v>
      </c>
      <c r="X13" s="341" t="n">
        <v>0</v>
      </c>
      <c r="Y13" s="341" t="n">
        <v>0</v>
      </c>
      <c r="Z13" s="341" t="n">
        <v>0</v>
      </c>
      <c r="AA13" s="341" t="n">
        <v>0</v>
      </c>
      <c r="AB13" s="341" t="n">
        <v>0</v>
      </c>
      <c r="AC13" s="341" t="n">
        <v>0</v>
      </c>
      <c r="AD13" s="341" t="n">
        <v>0</v>
      </c>
      <c r="AE13" s="341" t="n">
        <v>0</v>
      </c>
      <c r="AF13" s="341" t="n">
        <v>0</v>
      </c>
      <c r="AG13" s="341" t="n">
        <v>0</v>
      </c>
    </row>
    <row r="14" customFormat="false" ht="12.75" hidden="false" customHeight="false" outlineLevel="0" collapsed="false">
      <c r="A14" s="0" t="n">
        <v>5</v>
      </c>
      <c r="B14" s="2" t="s">
        <v>74</v>
      </c>
      <c r="C14" s="341" t="n">
        <f aca="false">'GAAP Beg Depreciation'!K$124/4</f>
        <v>2348666.55553438</v>
      </c>
      <c r="D14" s="341" t="n">
        <f aca="false">'GAAP Beg Depreciation'!L$124/4</f>
        <v>2348666.55553438</v>
      </c>
      <c r="E14" s="341" t="n">
        <f aca="false">'GAAP Beg Depreciation'!M$124/4</f>
        <v>2348666.55553438</v>
      </c>
      <c r="F14" s="341" t="n">
        <f aca="false">'GAAP Beg Depreciation'!N$124/4</f>
        <v>2348666.55553438</v>
      </c>
      <c r="G14" s="341" t="n">
        <f aca="false">'GAAP Beg Depreciation'!O$124/4</f>
        <v>2348666.55553438</v>
      </c>
      <c r="H14" s="341" t="n">
        <f aca="false">'GAAP Beg Depreciation'!P$124/4</f>
        <v>2348666.55553438</v>
      </c>
      <c r="I14" s="341" t="n">
        <f aca="false">'GAAP Beg Depreciation'!Q$124/4</f>
        <v>2348666.55553438</v>
      </c>
      <c r="J14" s="341" t="n">
        <f aca="false">'GAAP Beg Depreciation'!R$124/4</f>
        <v>2348666.55553438</v>
      </c>
      <c r="K14" s="341" t="n">
        <f aca="false">'GAAP Beg Depreciation'!S$124/4</f>
        <v>2348666.55553438</v>
      </c>
      <c r="L14" s="341" t="n">
        <f aca="false">'GAAP Beg Depreciation'!T$124/4</f>
        <v>2348666.55553438</v>
      </c>
      <c r="M14" s="341" t="n">
        <f aca="false">'GAAP Beg Depreciation'!U$124/4</f>
        <v>2348666.55553438</v>
      </c>
      <c r="N14" s="341" t="n">
        <f aca="false">'GAAP Beg Depreciation'!V$124/4</f>
        <v>2348666.55553438</v>
      </c>
      <c r="O14" s="341" t="n">
        <f aca="false">'GAAP Beg Depreciation'!W$124/4</f>
        <v>2348666.55553438</v>
      </c>
      <c r="P14" s="341" t="n">
        <f aca="false">'GAAP Beg Depreciation'!X$124/4</f>
        <v>2348666.55553438</v>
      </c>
      <c r="Q14" s="341" t="n">
        <f aca="false">'GAAP Beg Depreciation'!Y$124/4</f>
        <v>2348666.55553438</v>
      </c>
      <c r="R14" s="341" t="n">
        <f aca="false">'GAAP Beg Depreciation'!Z$124/4</f>
        <v>1419259.71803439</v>
      </c>
      <c r="S14" s="341" t="n">
        <f aca="false">'GAAP Beg Depreciation'!AA$124/4</f>
        <v>88587.39303438</v>
      </c>
      <c r="T14" s="341" t="n">
        <f aca="false">'GAAP Beg Depreciation'!AB$124/4</f>
        <v>87383.12053438</v>
      </c>
      <c r="U14" s="341" t="n">
        <f aca="false">'GAAP Beg Depreciation'!AC$124/4</f>
        <v>87383.12053438</v>
      </c>
      <c r="V14" s="341" t="n">
        <f aca="false">'GAAP Beg Depreciation'!AD$124/4</f>
        <v>87383.12053438</v>
      </c>
      <c r="W14" s="341" t="n">
        <v>0</v>
      </c>
      <c r="X14" s="341" t="n">
        <v>0</v>
      </c>
      <c r="Y14" s="341" t="n">
        <v>0</v>
      </c>
      <c r="Z14" s="341" t="n">
        <v>0</v>
      </c>
      <c r="AA14" s="341" t="n">
        <v>0</v>
      </c>
      <c r="AB14" s="341" t="n">
        <v>0</v>
      </c>
      <c r="AC14" s="341" t="n">
        <v>0</v>
      </c>
      <c r="AD14" s="341" t="n">
        <v>0</v>
      </c>
      <c r="AE14" s="341" t="n">
        <v>0</v>
      </c>
      <c r="AF14" s="341" t="n">
        <v>0</v>
      </c>
      <c r="AG14" s="341" t="n">
        <v>0</v>
      </c>
    </row>
    <row r="15" customFormat="false" ht="12.75" hidden="false" customHeight="false" outlineLevel="0" collapsed="false">
      <c r="A15" s="0" t="n">
        <v>6</v>
      </c>
      <c r="B15" s="2" t="s">
        <v>75</v>
      </c>
      <c r="C15" s="341" t="n">
        <f aca="false">'GAAP Beg Depreciation'!K$124/4</f>
        <v>2348666.55553438</v>
      </c>
      <c r="D15" s="341" t="n">
        <f aca="false">'GAAP Beg Depreciation'!L$124/4</f>
        <v>2348666.55553438</v>
      </c>
      <c r="E15" s="341" t="n">
        <f aca="false">'GAAP Beg Depreciation'!M$124/4</f>
        <v>2348666.55553438</v>
      </c>
      <c r="F15" s="341" t="n">
        <f aca="false">'GAAP Beg Depreciation'!N$124/4</f>
        <v>2348666.55553438</v>
      </c>
      <c r="G15" s="341" t="n">
        <f aca="false">'GAAP Beg Depreciation'!O$124/4</f>
        <v>2348666.55553438</v>
      </c>
      <c r="H15" s="341" t="n">
        <f aca="false">'GAAP Beg Depreciation'!P$124/4</f>
        <v>2348666.55553438</v>
      </c>
      <c r="I15" s="341" t="n">
        <f aca="false">'GAAP Beg Depreciation'!Q$124/4</f>
        <v>2348666.55553438</v>
      </c>
      <c r="J15" s="341" t="n">
        <f aca="false">'GAAP Beg Depreciation'!R$124/4</f>
        <v>2348666.55553438</v>
      </c>
      <c r="K15" s="341" t="n">
        <f aca="false">'GAAP Beg Depreciation'!S$124/4</f>
        <v>2348666.55553438</v>
      </c>
      <c r="L15" s="341" t="n">
        <f aca="false">'GAAP Beg Depreciation'!T$124/4</f>
        <v>2348666.55553438</v>
      </c>
      <c r="M15" s="341" t="n">
        <f aca="false">'GAAP Beg Depreciation'!U$124/4</f>
        <v>2348666.55553438</v>
      </c>
      <c r="N15" s="341" t="n">
        <f aca="false">'GAAP Beg Depreciation'!V$124/4</f>
        <v>2348666.55553438</v>
      </c>
      <c r="O15" s="341" t="n">
        <f aca="false">'GAAP Beg Depreciation'!W$124/4</f>
        <v>2348666.55553438</v>
      </c>
      <c r="P15" s="341" t="n">
        <f aca="false">'GAAP Beg Depreciation'!X$124/4</f>
        <v>2348666.55553438</v>
      </c>
      <c r="Q15" s="341" t="n">
        <f aca="false">'GAAP Beg Depreciation'!Y$124/4</f>
        <v>2348666.55553438</v>
      </c>
      <c r="R15" s="341" t="n">
        <f aca="false">'GAAP Beg Depreciation'!Z$124/4</f>
        <v>1419259.71803439</v>
      </c>
      <c r="S15" s="341" t="n">
        <f aca="false">'GAAP Beg Depreciation'!AA$124/4</f>
        <v>88587.39303438</v>
      </c>
      <c r="T15" s="341" t="n">
        <f aca="false">'GAAP Beg Depreciation'!AB$124/4</f>
        <v>87383.12053438</v>
      </c>
      <c r="U15" s="341" t="n">
        <f aca="false">'GAAP Beg Depreciation'!AC$124/4</f>
        <v>87383.12053438</v>
      </c>
      <c r="V15" s="341" t="n">
        <f aca="false">'GAAP Beg Depreciation'!AD$124/4</f>
        <v>87383.12053438</v>
      </c>
      <c r="W15" s="341" t="n">
        <v>0</v>
      </c>
      <c r="X15" s="341" t="n">
        <v>0</v>
      </c>
      <c r="Y15" s="341" t="n">
        <v>0</v>
      </c>
      <c r="Z15" s="341" t="n">
        <v>0</v>
      </c>
      <c r="AA15" s="341" t="n">
        <v>0</v>
      </c>
      <c r="AB15" s="341" t="n">
        <v>0</v>
      </c>
      <c r="AC15" s="341" t="n">
        <v>0</v>
      </c>
      <c r="AD15" s="341" t="n">
        <v>0</v>
      </c>
      <c r="AE15" s="341" t="n">
        <v>0</v>
      </c>
      <c r="AF15" s="341" t="n">
        <v>0</v>
      </c>
      <c r="AG15" s="341" t="n">
        <v>0</v>
      </c>
    </row>
    <row r="16" customFormat="false" ht="12.75" hidden="false" customHeight="false" outlineLevel="0" collapsed="false">
      <c r="A16" s="0" t="n">
        <v>7</v>
      </c>
      <c r="B16" s="0" t="s">
        <v>76</v>
      </c>
      <c r="C16" s="341" t="n">
        <f aca="false">'GAAP Beg Depreciation'!K127</f>
        <v>5371066.6793675</v>
      </c>
      <c r="D16" s="341" t="n">
        <f aca="false">'GAAP Beg Depreciation'!L127</f>
        <v>5371066.6793675</v>
      </c>
      <c r="E16" s="341" t="n">
        <f aca="false">'GAAP Beg Depreciation'!M127</f>
        <v>5371066.6793675</v>
      </c>
      <c r="F16" s="341" t="n">
        <f aca="false">'GAAP Beg Depreciation'!N127</f>
        <v>5371066.6793675</v>
      </c>
      <c r="G16" s="341" t="n">
        <f aca="false">'GAAP Beg Depreciation'!O127</f>
        <v>5371066.6793675</v>
      </c>
      <c r="H16" s="341" t="n">
        <f aca="false">'GAAP Beg Depreciation'!P127</f>
        <v>5371066.6793675</v>
      </c>
      <c r="I16" s="341" t="n">
        <f aca="false">'GAAP Beg Depreciation'!Q127</f>
        <v>5371066.6793675</v>
      </c>
      <c r="J16" s="341" t="n">
        <f aca="false">'GAAP Beg Depreciation'!R127</f>
        <v>5371066.6793675</v>
      </c>
      <c r="K16" s="341" t="n">
        <f aca="false">'GAAP Beg Depreciation'!S127</f>
        <v>5371066.6793675</v>
      </c>
      <c r="L16" s="341" t="n">
        <f aca="false">'GAAP Beg Depreciation'!T127</f>
        <v>5371066.6793675</v>
      </c>
      <c r="M16" s="341" t="n">
        <f aca="false">'GAAP Beg Depreciation'!U127</f>
        <v>5371066.6793675</v>
      </c>
      <c r="N16" s="341" t="n">
        <f aca="false">'GAAP Beg Depreciation'!V127</f>
        <v>5371066.6793675</v>
      </c>
      <c r="O16" s="341" t="n">
        <f aca="false">'GAAP Beg Depreciation'!W127</f>
        <v>5371066.6793675</v>
      </c>
      <c r="P16" s="341" t="n">
        <f aca="false">'GAAP Beg Depreciation'!X127</f>
        <v>5371066.6793675</v>
      </c>
      <c r="Q16" s="341" t="n">
        <f aca="false">'GAAP Beg Depreciation'!Y127</f>
        <v>5371066.6793675</v>
      </c>
      <c r="R16" s="341" t="n">
        <f aca="false">'GAAP Beg Depreciation'!Z127</f>
        <v>5371066.6793675</v>
      </c>
      <c r="S16" s="341" t="n">
        <f aca="false">'GAAP Beg Depreciation'!AA127</f>
        <v>5371066.6793675</v>
      </c>
      <c r="T16" s="341" t="n">
        <f aca="false">'GAAP Beg Depreciation'!AB127</f>
        <v>3480718.05936751</v>
      </c>
      <c r="U16" s="341" t="n">
        <f aca="false">'GAAP Beg Depreciation'!AC127</f>
        <v>229089.6793675</v>
      </c>
      <c r="V16" s="341" t="n">
        <f aca="false">'GAAP Beg Depreciation'!AD127</f>
        <v>229089.6793675</v>
      </c>
      <c r="W16" s="341" t="n">
        <f aca="false">'GAAP Beg Depreciation'!AE127</f>
        <v>229089.6793675</v>
      </c>
      <c r="X16" s="341" t="n">
        <f aca="false">'GAAP Beg Depreciation'!AF127</f>
        <v>229089.6793675</v>
      </c>
      <c r="Y16" s="341" t="n">
        <f aca="false">'GAAP Beg Depreciation'!AG127</f>
        <v>229089.6793675</v>
      </c>
      <c r="Z16" s="341" t="n">
        <f aca="false">'GAAP Beg Depreciation'!AH127</f>
        <v>229089.6793675</v>
      </c>
      <c r="AA16" s="341" t="n">
        <f aca="false">'GAAP Beg Depreciation'!AI127</f>
        <v>229089.6793675</v>
      </c>
      <c r="AB16" s="341" t="n">
        <f aca="false">'GAAP Beg Depreciation'!AJ127</f>
        <v>229089.6793675</v>
      </c>
      <c r="AC16" s="341" t="n">
        <f aca="false">'GAAP Beg Depreciation'!AK127</f>
        <v>229089.6793675</v>
      </c>
      <c r="AD16" s="341" t="n">
        <f aca="false">'GAAP Beg Depreciation'!AL127</f>
        <v>229089.6793675</v>
      </c>
      <c r="AE16" s="341" t="n">
        <f aca="false">'GAAP Beg Depreciation'!AM127</f>
        <v>229089.6793675</v>
      </c>
      <c r="AF16" s="341" t="n">
        <f aca="false">'GAAP Beg Depreciation'!AN127</f>
        <v>229089.6793675</v>
      </c>
      <c r="AG16" s="341" t="n">
        <f aca="false">'GAAP Beg Depreciation'!AO127</f>
        <v>0</v>
      </c>
    </row>
    <row r="17" customFormat="false" ht="12.75" hidden="false" customHeight="false" outlineLevel="0" collapsed="false">
      <c r="A17" s="0" t="n">
        <v>8</v>
      </c>
      <c r="B17" s="0" t="s">
        <v>77</v>
      </c>
      <c r="C17" s="341" t="n">
        <f aca="false">('GAAP Beg Depreciation'!K$122)*(Summary!$C$24/((SUM(Summary!$C$24:$C$27)+Summary!$C$38)))</f>
        <v>880185.768384046</v>
      </c>
      <c r="D17" s="341" t="n">
        <f aca="false">('GAAP Beg Depreciation'!L$122)*(Summary!$C$24/((SUM(Summary!$C$24:$C$27)+Summary!$C$38)))</f>
        <v>880185.768384046</v>
      </c>
      <c r="E17" s="341" t="n">
        <f aca="false">('GAAP Beg Depreciation'!M$122)*(Summary!$C$24/((SUM(Summary!$C$24:$C$27)+Summary!$C$38)))</f>
        <v>878345.341059083</v>
      </c>
      <c r="F17" s="341" t="n">
        <f aca="false">('GAAP Beg Depreciation'!N$122)*(Summary!$C$24/((SUM(Summary!$C$24:$C$27)+Summary!$C$38)))</f>
        <v>871689.492580683</v>
      </c>
      <c r="G17" s="341" t="n">
        <f aca="false">('GAAP Beg Depreciation'!O$122)*(Summary!$C$24/((SUM(Summary!$C$24:$C$27)+Summary!$C$38)))</f>
        <v>871596.821799666</v>
      </c>
      <c r="H17" s="341" t="n">
        <f aca="false">('GAAP Beg Depreciation'!P$122)*(Summary!$C$24/((SUM(Summary!$C$24:$C$27)+Summary!$C$38)))</f>
        <v>871502.133568128</v>
      </c>
      <c r="I17" s="341" t="n">
        <f aca="false">('GAAP Beg Depreciation'!Q$122)*(Summary!$C$24/((SUM(Summary!$C$24:$C$27)+Summary!$C$38)))</f>
        <v>871502.133568128</v>
      </c>
      <c r="J17" s="341" t="n">
        <f aca="false">('GAAP Beg Depreciation'!R$122)*(Summary!$C$24/((SUM(Summary!$C$24:$C$27)+Summary!$C$38)))</f>
        <v>734399.370427033</v>
      </c>
      <c r="K17" s="341" t="n">
        <f aca="false">('GAAP Beg Depreciation'!S$122)*(Summary!$C$24/((SUM(Summary!$C$24:$C$27)+Summary!$C$38)))</f>
        <v>630933.038867127</v>
      </c>
      <c r="L17" s="341" t="n">
        <f aca="false">('GAAP Beg Depreciation'!T$122)*(Summary!$C$24/((SUM(Summary!$C$24:$C$27)+Summary!$C$38)))</f>
        <v>581714.292750932</v>
      </c>
      <c r="M17" s="341" t="n">
        <f aca="false">('GAAP Beg Depreciation'!U$122)*(Summary!$C$24/((SUM(Summary!$C$24:$C$27)+Summary!$C$38)))</f>
        <v>577441.669639632</v>
      </c>
      <c r="N17" s="341" t="n">
        <f aca="false">('GAAP Beg Depreciation'!V$122)*(Summary!$C$24/((SUM(Summary!$C$24:$C$27)+Summary!$C$38)))</f>
        <v>577441.669639632</v>
      </c>
      <c r="O17" s="341" t="n">
        <f aca="false">('GAAP Beg Depreciation'!W$122)*(Summary!$C$24/((SUM(Summary!$C$24:$C$27)+Summary!$C$38)))</f>
        <v>577441.669639632</v>
      </c>
      <c r="P17" s="341" t="n">
        <f aca="false">('GAAP Beg Depreciation'!X$122)*(Summary!$C$24/((SUM(Summary!$C$24:$C$27)+Summary!$C$38)))</f>
        <v>459595.561105902</v>
      </c>
      <c r="Q17" s="341" t="n">
        <f aca="false">('GAAP Beg Depreciation'!Y$122)*(Summary!$C$24/((SUM(Summary!$C$24:$C$27)+Summary!$C$38)))</f>
        <v>298581.360637717</v>
      </c>
      <c r="R17" s="341" t="n">
        <f aca="false">('GAAP Beg Depreciation'!Z$122)*(Summary!$C$24/((SUM(Summary!$C$24:$C$27)+Summary!$C$38)))</f>
        <v>53837.2780669575</v>
      </c>
      <c r="S17" s="341" t="n">
        <f aca="false">('GAAP Beg Depreciation'!AA$122)*(Summary!$C$24/((SUM(Summary!$C$24:$C$27)+Summary!$C$38)))</f>
        <v>38433.2601908133</v>
      </c>
      <c r="T17" s="341" t="n">
        <f aca="false">('GAAP Beg Depreciation'!AB$122)*(Summary!$C$24/((SUM(Summary!$C$24:$C$27)+Summary!$C$38)))</f>
        <v>37381.9275668507</v>
      </c>
      <c r="U17" s="341" t="n">
        <f aca="false">('GAAP Beg Depreciation'!AC$122)*(Summary!$C$24/((SUM(Summary!$C$24:$C$27)+Summary!$C$38)))</f>
        <v>37381.9275668507</v>
      </c>
      <c r="V17" s="341" t="n">
        <f aca="false">('GAAP Beg Depreciation'!AD$122)*(Summary!$C$24/((SUM(Summary!$C$24:$C$27)+Summary!$C$38)))</f>
        <v>36482.7745555717</v>
      </c>
      <c r="W17" s="341" t="n">
        <f aca="false">('GAAP Beg Depreciation'!AE$122)*(Summary!$C$24/((SUM(Summary!$C$24:$C$27)+Summary!$C$38)))</f>
        <v>33673.9718315879</v>
      </c>
      <c r="X17" s="341" t="n">
        <f aca="false">('GAAP Beg Depreciation'!AF$122)*(Summary!$C$24/((SUM(Summary!$C$24:$C$27)+Summary!$C$38)))</f>
        <v>32688.7588075402</v>
      </c>
      <c r="Y17" s="341" t="n">
        <f aca="false">('GAAP Beg Depreciation'!AG$122)*(Summary!$C$24/((SUM(Summary!$C$24:$C$27)+Summary!$C$38)))</f>
        <v>32688.7588075402</v>
      </c>
      <c r="Z17" s="341" t="n">
        <f aca="false">('GAAP Beg Depreciation'!AH$122)*(Summary!$C$24/((SUM(Summary!$C$24:$C$27)+Summary!$C$38)))</f>
        <v>32688.7588075402</v>
      </c>
      <c r="AA17" s="341" t="n">
        <f aca="false">('GAAP Beg Depreciation'!AI$122)*(Summary!$C$24/((SUM(Summary!$C$24:$C$27)+Summary!$C$38)))</f>
        <v>32688.7588075402</v>
      </c>
      <c r="AB17" s="341" t="n">
        <f aca="false">('GAAP Beg Depreciation'!AJ$122)*(Summary!$C$24/((SUM(Summary!$C$24:$C$27)+Summary!$C$38)))</f>
        <v>32688.7588075402</v>
      </c>
      <c r="AC17" s="341" t="n">
        <f aca="false">('GAAP Beg Depreciation'!AK$122)*(Summary!$C$24/((SUM(Summary!$C$24:$C$27)+Summary!$C$38)))</f>
        <v>32688.7588075402</v>
      </c>
      <c r="AD17" s="341" t="n">
        <f aca="false">('GAAP Beg Depreciation'!AL$122)*(Summary!$C$24/((SUM(Summary!$C$24:$C$27)+Summary!$C$38)))</f>
        <v>32688.7588075402</v>
      </c>
      <c r="AE17" s="341" t="n">
        <f aca="false">('GAAP Beg Depreciation'!AM$122)*(Summary!$C$24/((SUM(Summary!$C$24:$C$27)+Summary!$C$38)))</f>
        <v>32688.7588075402</v>
      </c>
      <c r="AF17" s="341" t="n">
        <f aca="false">('GAAP Beg Depreciation'!AN$122)*(Summary!$C$24/((SUM(Summary!$C$24:$C$27)+Summary!$C$38)))</f>
        <v>32688.7588075402</v>
      </c>
      <c r="AG17" s="341" t="n">
        <f aca="false">('GAAP Beg Depreciation'!AO$122)*(Summary!$C$24/((SUM(Summary!$C$24:$C$27)+Summary!$C$38)))</f>
        <v>392.083422004682</v>
      </c>
    </row>
    <row r="18" customFormat="false" ht="12.75" hidden="false" customHeight="false" outlineLevel="0" collapsed="false">
      <c r="A18" s="0" t="n">
        <v>9</v>
      </c>
      <c r="B18" s="0" t="s">
        <v>78</v>
      </c>
      <c r="C18" s="341" t="n">
        <f aca="false">('GAAP Beg Depreciation'!K$122)*(Summary!$C$25/((SUM(Summary!$C$24:$C$27)+Summary!$C$38)))</f>
        <v>1793378.50308249</v>
      </c>
      <c r="D18" s="341" t="n">
        <f aca="false">('GAAP Beg Depreciation'!L$122)*(Summary!$C$25/((SUM(Summary!$C$24:$C$27)+Summary!$C$38)))</f>
        <v>1793378.50308249</v>
      </c>
      <c r="E18" s="341" t="n">
        <f aca="false">('GAAP Beg Depreciation'!M$122)*(Summary!$C$25/((SUM(Summary!$C$24:$C$27)+Summary!$C$38)))</f>
        <v>1789628.63240788</v>
      </c>
      <c r="F18" s="341" t="n">
        <f aca="false">('GAAP Beg Depreciation'!N$122)*(Summary!$C$25/((SUM(Summary!$C$24:$C$27)+Summary!$C$38)))</f>
        <v>1776067.34113314</v>
      </c>
      <c r="G18" s="341" t="n">
        <f aca="false">('GAAP Beg Depreciation'!O$122)*(Summary!$C$25/((SUM(Summary!$C$24:$C$27)+Summary!$C$38)))</f>
        <v>1775878.52441682</v>
      </c>
      <c r="H18" s="341" t="n">
        <f aca="false">('GAAP Beg Depreciation'!P$122)*(Summary!$C$25/((SUM(Summary!$C$24:$C$27)+Summary!$C$38)))</f>
        <v>1775685.59714506</v>
      </c>
      <c r="I18" s="341" t="n">
        <f aca="false">('GAAP Beg Depreciation'!Q$122)*(Summary!$C$25/((SUM(Summary!$C$24:$C$27)+Summary!$C$38)))</f>
        <v>1775685.59714506</v>
      </c>
      <c r="J18" s="341" t="n">
        <f aca="false">('GAAP Beg Depreciation'!R$122)*(Summary!$C$25/((SUM(Summary!$C$24:$C$27)+Summary!$C$38)))</f>
        <v>1496338.71724508</v>
      </c>
      <c r="K18" s="341" t="n">
        <f aca="false">('GAAP Beg Depreciation'!S$122)*(Summary!$C$25/((SUM(Summary!$C$24:$C$27)+Summary!$C$38)))</f>
        <v>1285526.06669177</v>
      </c>
      <c r="L18" s="341" t="n">
        <f aca="false">('GAAP Beg Depreciation'!T$122)*(Summary!$C$25/((SUM(Summary!$C$24:$C$27)+Summary!$C$38)))</f>
        <v>1185242.87148003</v>
      </c>
      <c r="M18" s="341" t="n">
        <f aca="false">('GAAP Beg Depreciation'!U$122)*(Summary!$C$25/((SUM(Summary!$C$24:$C$27)+Summary!$C$38)))</f>
        <v>1176537.40189075</v>
      </c>
      <c r="N18" s="341" t="n">
        <f aca="false">('GAAP Beg Depreciation'!V$122)*(Summary!$C$25/((SUM(Summary!$C$24:$C$27)+Summary!$C$38)))</f>
        <v>1176537.40189075</v>
      </c>
      <c r="O18" s="341" t="n">
        <f aca="false">('GAAP Beg Depreciation'!W$122)*(Summary!$C$25/((SUM(Summary!$C$24:$C$27)+Summary!$C$38)))</f>
        <v>1176537.40189075</v>
      </c>
      <c r="P18" s="341" t="n">
        <f aca="false">('GAAP Beg Depreciation'!X$122)*(Summary!$C$25/((SUM(Summary!$C$24:$C$27)+Summary!$C$38)))</f>
        <v>936425.955753276</v>
      </c>
      <c r="Q18" s="341" t="n">
        <f aca="false">('GAAP Beg Depreciation'!Y$122)*(Summary!$C$25/((SUM(Summary!$C$24:$C$27)+Summary!$C$38)))</f>
        <v>608359.522299348</v>
      </c>
      <c r="R18" s="341" t="n">
        <f aca="false">('GAAP Beg Depreciation'!Z$122)*(Summary!$C$25/((SUM(Summary!$C$24:$C$27)+Summary!$C$38)))</f>
        <v>109693.454061426</v>
      </c>
      <c r="S18" s="341" t="n">
        <f aca="false">('GAAP Beg Depreciation'!AA$122)*(Summary!$C$25/((SUM(Summary!$C$24:$C$27)+Summary!$C$38)))</f>
        <v>78307.7676387821</v>
      </c>
      <c r="T18" s="341" t="n">
        <f aca="false">('GAAP Beg Depreciation'!AB$122)*(Summary!$C$25/((SUM(Summary!$C$24:$C$27)+Summary!$C$38)))</f>
        <v>76165.6774174584</v>
      </c>
      <c r="U18" s="341" t="n">
        <f aca="false">('GAAP Beg Depreciation'!AC$122)*(Summary!$C$25/((SUM(Summary!$C$24:$C$27)+Summary!$C$38)))</f>
        <v>76165.6774174584</v>
      </c>
      <c r="V18" s="341" t="n">
        <f aca="false">('GAAP Beg Depreciation'!AD$122)*(Summary!$C$25/((SUM(Summary!$C$24:$C$27)+Summary!$C$38)))</f>
        <v>74333.6531569774</v>
      </c>
      <c r="W18" s="341" t="n">
        <f aca="false">('GAAP Beg Depreciation'!AE$122)*(Summary!$C$25/((SUM(Summary!$C$24:$C$27)+Summary!$C$38)))</f>
        <v>68610.7176068604</v>
      </c>
      <c r="X18" s="341" t="n">
        <f aca="false">('GAAP Beg Depreciation'!AF$122)*(Summary!$C$25/((SUM(Summary!$C$24:$C$27)+Summary!$C$38)))</f>
        <v>66603.3460703632</v>
      </c>
      <c r="Y18" s="341" t="n">
        <f aca="false">('GAAP Beg Depreciation'!AG$122)*(Summary!$C$25/((SUM(Summary!$C$24:$C$27)+Summary!$C$38)))</f>
        <v>66603.3460703632</v>
      </c>
      <c r="Z18" s="341" t="n">
        <f aca="false">('GAAP Beg Depreciation'!AH$122)*(Summary!$C$25/((SUM(Summary!$C$24:$C$27)+Summary!$C$38)))</f>
        <v>66603.3460703632</v>
      </c>
      <c r="AA18" s="341" t="n">
        <f aca="false">('GAAP Beg Depreciation'!AI$122)*(Summary!$C$25/((SUM(Summary!$C$24:$C$27)+Summary!$C$38)))</f>
        <v>66603.3460703632</v>
      </c>
      <c r="AB18" s="341" t="n">
        <f aca="false">('GAAP Beg Depreciation'!AJ$122)*(Summary!$C$25/((SUM(Summary!$C$24:$C$27)+Summary!$C$38)))</f>
        <v>66603.3460703632</v>
      </c>
      <c r="AC18" s="341" t="n">
        <f aca="false">('GAAP Beg Depreciation'!AK$122)*(Summary!$C$25/((SUM(Summary!$C$24:$C$27)+Summary!$C$38)))</f>
        <v>66603.3460703632</v>
      </c>
      <c r="AD18" s="341" t="n">
        <f aca="false">('GAAP Beg Depreciation'!AL$122)*(Summary!$C$25/((SUM(Summary!$C$24:$C$27)+Summary!$C$38)))</f>
        <v>66603.3460703632</v>
      </c>
      <c r="AE18" s="341" t="n">
        <f aca="false">('GAAP Beg Depreciation'!AM$122)*(Summary!$C$25/((SUM(Summary!$C$24:$C$27)+Summary!$C$38)))</f>
        <v>66603.3460703632</v>
      </c>
      <c r="AF18" s="341" t="n">
        <f aca="false">('GAAP Beg Depreciation'!AN$122)*(Summary!$C$25/((SUM(Summary!$C$24:$C$27)+Summary!$C$38)))</f>
        <v>66603.3460703632</v>
      </c>
      <c r="AG18" s="341" t="n">
        <f aca="false">('GAAP Beg Depreciation'!AO$122)*(Summary!$C$25/((SUM(Summary!$C$24:$C$27)+Summary!$C$38)))</f>
        <v>798.869972334539</v>
      </c>
    </row>
    <row r="19" customFormat="false" ht="12.75" hidden="false" customHeight="false" outlineLevel="0" collapsed="false">
      <c r="A19" s="0" t="n">
        <v>10</v>
      </c>
      <c r="B19" s="0" t="s">
        <v>79</v>
      </c>
      <c r="C19" s="341" t="n">
        <f aca="false">('GAAP Beg Depreciation'!K$122)*(Summary!$C$26/((SUM(Summary!$C$24:$C$27)+Summary!$C$38)))</f>
        <v>3520743.07353618</v>
      </c>
      <c r="D19" s="341" t="n">
        <f aca="false">('GAAP Beg Depreciation'!L$122)*(Summary!$C$26/((SUM(Summary!$C$24:$C$27)+Summary!$C$38)))</f>
        <v>3520743.07353618</v>
      </c>
      <c r="E19" s="341" t="n">
        <f aca="false">('GAAP Beg Depreciation'!M$122)*(Summary!$C$26/((SUM(Summary!$C$24:$C$27)+Summary!$C$38)))</f>
        <v>3513381.36423633</v>
      </c>
      <c r="F19" s="341" t="n">
        <f aca="false">('GAAP Beg Depreciation'!N$122)*(Summary!$C$26/((SUM(Summary!$C$24:$C$27)+Summary!$C$38)))</f>
        <v>3486757.97032273</v>
      </c>
      <c r="G19" s="341" t="n">
        <f aca="false">('GAAP Beg Depreciation'!O$122)*(Summary!$C$26/((SUM(Summary!$C$24:$C$27)+Summary!$C$38)))</f>
        <v>3486387.28719866</v>
      </c>
      <c r="H19" s="341" t="n">
        <f aca="false">('GAAP Beg Depreciation'!P$122)*(Summary!$C$26/((SUM(Summary!$C$24:$C$27)+Summary!$C$38)))</f>
        <v>3486008.53427251</v>
      </c>
      <c r="I19" s="341" t="n">
        <f aca="false">('GAAP Beg Depreciation'!Q$122)*(Summary!$C$26/((SUM(Summary!$C$24:$C$27)+Summary!$C$38)))</f>
        <v>3486008.53427251</v>
      </c>
      <c r="J19" s="341" t="n">
        <f aca="false">('GAAP Beg Depreciation'!R$122)*(Summary!$C$26/((SUM(Summary!$C$24:$C$27)+Summary!$C$38)))</f>
        <v>2937597.48170813</v>
      </c>
      <c r="K19" s="341" t="n">
        <f aca="false">('GAAP Beg Depreciation'!S$122)*(Summary!$C$26/((SUM(Summary!$C$24:$C$27)+Summary!$C$38)))</f>
        <v>2523732.15546851</v>
      </c>
      <c r="L19" s="341" t="n">
        <f aca="false">('GAAP Beg Depreciation'!T$122)*(Summary!$C$26/((SUM(Summary!$C$24:$C$27)+Summary!$C$38)))</f>
        <v>2326857.17100373</v>
      </c>
      <c r="M19" s="341" t="n">
        <f aca="false">('GAAP Beg Depreciation'!U$122)*(Summary!$C$26/((SUM(Summary!$C$24:$C$27)+Summary!$C$38)))</f>
        <v>2309766.67855853</v>
      </c>
      <c r="N19" s="341" t="n">
        <f aca="false">('GAAP Beg Depreciation'!V$122)*(Summary!$C$26/((SUM(Summary!$C$24:$C$27)+Summary!$C$38)))</f>
        <v>2309766.67855853</v>
      </c>
      <c r="O19" s="341" t="n">
        <f aca="false">('GAAP Beg Depreciation'!W$122)*(Summary!$C$26/((SUM(Summary!$C$24:$C$27)+Summary!$C$38)))</f>
        <v>2309766.67855853</v>
      </c>
      <c r="P19" s="341" t="n">
        <f aca="false">('GAAP Beg Depreciation'!X$122)*(Summary!$C$26/((SUM(Summary!$C$24:$C$27)+Summary!$C$38)))</f>
        <v>1838382.24442361</v>
      </c>
      <c r="Q19" s="341" t="n">
        <f aca="false">('GAAP Beg Depreciation'!Y$122)*(Summary!$C$26/((SUM(Summary!$C$24:$C$27)+Summary!$C$38)))</f>
        <v>1194325.44255087</v>
      </c>
      <c r="R19" s="341" t="n">
        <f aca="false">('GAAP Beg Depreciation'!Z$122)*(Summary!$C$26/((SUM(Summary!$C$24:$C$27)+Summary!$C$38)))</f>
        <v>215349.11226783</v>
      </c>
      <c r="S19" s="341" t="n">
        <f aca="false">('GAAP Beg Depreciation'!AA$122)*(Summary!$C$26/((SUM(Summary!$C$24:$C$27)+Summary!$C$38)))</f>
        <v>153733.040763253</v>
      </c>
      <c r="T19" s="341" t="n">
        <f aca="false">('GAAP Beg Depreciation'!AB$122)*(Summary!$C$26/((SUM(Summary!$C$24:$C$27)+Summary!$C$38)))</f>
        <v>149527.710267403</v>
      </c>
      <c r="U19" s="341" t="n">
        <f aca="false">('GAAP Beg Depreciation'!AC$122)*(Summary!$C$26/((SUM(Summary!$C$24:$C$27)+Summary!$C$38)))</f>
        <v>149527.710267403</v>
      </c>
      <c r="V19" s="341" t="n">
        <f aca="false">('GAAP Beg Depreciation'!AD$122)*(Summary!$C$26/((SUM(Summary!$C$24:$C$27)+Summary!$C$38)))</f>
        <v>145931.098222287</v>
      </c>
      <c r="W19" s="341" t="n">
        <f aca="false">('GAAP Beg Depreciation'!AE$122)*(Summary!$C$26/((SUM(Summary!$C$24:$C$27)+Summary!$C$38)))</f>
        <v>134695.887326352</v>
      </c>
      <c r="X19" s="341" t="n">
        <f aca="false">('GAAP Beg Depreciation'!AF$122)*(Summary!$C$26/((SUM(Summary!$C$24:$C$27)+Summary!$C$38)))</f>
        <v>130755.035230161</v>
      </c>
      <c r="Y19" s="341" t="n">
        <f aca="false">('GAAP Beg Depreciation'!AG$122)*(Summary!$C$26/((SUM(Summary!$C$24:$C$27)+Summary!$C$38)))</f>
        <v>130755.035230161</v>
      </c>
      <c r="Z19" s="341" t="n">
        <f aca="false">('GAAP Beg Depreciation'!AH$122)*(Summary!$C$26/((SUM(Summary!$C$24:$C$27)+Summary!$C$38)))</f>
        <v>130755.035230161</v>
      </c>
      <c r="AA19" s="341" t="n">
        <f aca="false">('GAAP Beg Depreciation'!AI$122)*(Summary!$C$26/((SUM(Summary!$C$24:$C$27)+Summary!$C$38)))</f>
        <v>130755.035230161</v>
      </c>
      <c r="AB19" s="341" t="n">
        <f aca="false">('GAAP Beg Depreciation'!AJ$122)*(Summary!$C$26/((SUM(Summary!$C$24:$C$27)+Summary!$C$38)))</f>
        <v>130755.035230161</v>
      </c>
      <c r="AC19" s="341" t="n">
        <f aca="false">('GAAP Beg Depreciation'!AK$122)*(Summary!$C$26/((SUM(Summary!$C$24:$C$27)+Summary!$C$38)))</f>
        <v>130755.035230161</v>
      </c>
      <c r="AD19" s="341" t="n">
        <f aca="false">('GAAP Beg Depreciation'!AL$122)*(Summary!$C$26/((SUM(Summary!$C$24:$C$27)+Summary!$C$38)))</f>
        <v>130755.035230161</v>
      </c>
      <c r="AE19" s="341" t="n">
        <f aca="false">('GAAP Beg Depreciation'!AM$122)*(Summary!$C$26/((SUM(Summary!$C$24:$C$27)+Summary!$C$38)))</f>
        <v>130755.035230161</v>
      </c>
      <c r="AF19" s="341" t="n">
        <f aca="false">('GAAP Beg Depreciation'!AN$122)*(Summary!$C$26/((SUM(Summary!$C$24:$C$27)+Summary!$C$38)))</f>
        <v>130755.035230161</v>
      </c>
      <c r="AG19" s="341" t="n">
        <f aca="false">('GAAP Beg Depreciation'!AO$122)*(Summary!$C$26/((SUM(Summary!$C$24:$C$27)+Summary!$C$38)))</f>
        <v>1568.33368801873</v>
      </c>
    </row>
    <row r="20" customFormat="false" ht="12.75" hidden="false" customHeight="false" outlineLevel="0" collapsed="false">
      <c r="A20" s="0" t="n">
        <v>11</v>
      </c>
      <c r="B20" s="0" t="s">
        <v>80</v>
      </c>
      <c r="C20" s="341" t="n">
        <f aca="false">('GAAP Beg Depreciation'!K$122)*(Summary!$C$27/((SUM(Summary!$C$24:$C$27)+Summary!$C$38)))</f>
        <v>3520743.07353618</v>
      </c>
      <c r="D20" s="341" t="n">
        <f aca="false">('GAAP Beg Depreciation'!L$122)*(Summary!$C$27/((SUM(Summary!$C$24:$C$27)+Summary!$C$38)))</f>
        <v>3520743.07353618</v>
      </c>
      <c r="E20" s="341" t="n">
        <f aca="false">('GAAP Beg Depreciation'!M$122)*(Summary!$C$27/((SUM(Summary!$C$24:$C$27)+Summary!$C$38)))</f>
        <v>3513381.36423633</v>
      </c>
      <c r="F20" s="341" t="n">
        <f aca="false">('GAAP Beg Depreciation'!N$122)*(Summary!$C$27/((SUM(Summary!$C$24:$C$27)+Summary!$C$38)))</f>
        <v>3486757.97032273</v>
      </c>
      <c r="G20" s="341" t="n">
        <f aca="false">('GAAP Beg Depreciation'!O$122)*(Summary!$C$27/((SUM(Summary!$C$24:$C$27)+Summary!$C$38)))</f>
        <v>3486387.28719866</v>
      </c>
      <c r="H20" s="341" t="n">
        <f aca="false">('GAAP Beg Depreciation'!P$122)*(Summary!$C$27/((SUM(Summary!$C$24:$C$27)+Summary!$C$38)))</f>
        <v>3486008.53427251</v>
      </c>
      <c r="I20" s="341" t="n">
        <f aca="false">('GAAP Beg Depreciation'!Q$122)*(Summary!$C$27/((SUM(Summary!$C$24:$C$27)+Summary!$C$38)))</f>
        <v>3486008.53427251</v>
      </c>
      <c r="J20" s="341" t="n">
        <f aca="false">('GAAP Beg Depreciation'!R$122)*(Summary!$C$27/((SUM(Summary!$C$24:$C$27)+Summary!$C$38)))</f>
        <v>2937597.48170813</v>
      </c>
      <c r="K20" s="341" t="n">
        <f aca="false">('GAAP Beg Depreciation'!S$122)*(Summary!$C$27/((SUM(Summary!$C$24:$C$27)+Summary!$C$38)))</f>
        <v>2523732.15546851</v>
      </c>
      <c r="L20" s="341" t="n">
        <f aca="false">('GAAP Beg Depreciation'!T$122)*(Summary!$C$27/((SUM(Summary!$C$24:$C$27)+Summary!$C$38)))</f>
        <v>2326857.17100373</v>
      </c>
      <c r="M20" s="341" t="n">
        <f aca="false">('GAAP Beg Depreciation'!U$122)*(Summary!$C$27/((SUM(Summary!$C$24:$C$27)+Summary!$C$38)))</f>
        <v>2309766.67855853</v>
      </c>
      <c r="N20" s="341" t="n">
        <f aca="false">('GAAP Beg Depreciation'!V$122)*(Summary!$C$27/((SUM(Summary!$C$24:$C$27)+Summary!$C$38)))</f>
        <v>2309766.67855853</v>
      </c>
      <c r="O20" s="341" t="n">
        <f aca="false">('GAAP Beg Depreciation'!W$122)*(Summary!$C$27/((SUM(Summary!$C$24:$C$27)+Summary!$C$38)))</f>
        <v>2309766.67855853</v>
      </c>
      <c r="P20" s="341" t="n">
        <f aca="false">('GAAP Beg Depreciation'!X$122)*(Summary!$C$27/((SUM(Summary!$C$24:$C$27)+Summary!$C$38)))</f>
        <v>1838382.24442361</v>
      </c>
      <c r="Q20" s="341" t="n">
        <f aca="false">('GAAP Beg Depreciation'!Y$122)*(Summary!$C$27/((SUM(Summary!$C$24:$C$27)+Summary!$C$38)))</f>
        <v>1194325.44255087</v>
      </c>
      <c r="R20" s="341" t="n">
        <f aca="false">('GAAP Beg Depreciation'!Z$122)*(Summary!$C$27/((SUM(Summary!$C$24:$C$27)+Summary!$C$38)))</f>
        <v>215349.11226783</v>
      </c>
      <c r="S20" s="341" t="n">
        <f aca="false">('GAAP Beg Depreciation'!AA$122)*(Summary!$C$27/((SUM(Summary!$C$24:$C$27)+Summary!$C$38)))</f>
        <v>153733.040763253</v>
      </c>
      <c r="T20" s="341" t="n">
        <f aca="false">('GAAP Beg Depreciation'!AB$122)*(Summary!$C$27/((SUM(Summary!$C$24:$C$27)+Summary!$C$38)))</f>
        <v>149527.710267403</v>
      </c>
      <c r="U20" s="341" t="n">
        <f aca="false">('GAAP Beg Depreciation'!AC$122)*(Summary!$C$27/((SUM(Summary!$C$24:$C$27)+Summary!$C$38)))</f>
        <v>149527.710267403</v>
      </c>
      <c r="V20" s="341" t="n">
        <f aca="false">('GAAP Beg Depreciation'!AD$122)*(Summary!$C$27/((SUM(Summary!$C$24:$C$27)+Summary!$C$38)))</f>
        <v>145931.098222287</v>
      </c>
      <c r="W20" s="341" t="n">
        <f aca="false">('GAAP Beg Depreciation'!AE$122)*(Summary!$C$27/((SUM(Summary!$C$24:$C$27)+Summary!$C$38)))</f>
        <v>134695.887326352</v>
      </c>
      <c r="X20" s="341" t="n">
        <f aca="false">('GAAP Beg Depreciation'!AF$122)*(Summary!$C$27/((SUM(Summary!$C$24:$C$27)+Summary!$C$38)))</f>
        <v>130755.035230161</v>
      </c>
      <c r="Y20" s="341" t="n">
        <f aca="false">('GAAP Beg Depreciation'!AG$122)*(Summary!$C$27/((SUM(Summary!$C$24:$C$27)+Summary!$C$38)))</f>
        <v>130755.035230161</v>
      </c>
      <c r="Z20" s="341" t="n">
        <f aca="false">('GAAP Beg Depreciation'!AH$122)*(Summary!$C$27/((SUM(Summary!$C$24:$C$27)+Summary!$C$38)))</f>
        <v>130755.035230161</v>
      </c>
      <c r="AA20" s="341" t="n">
        <f aca="false">('GAAP Beg Depreciation'!AI$122)*(Summary!$C$27/((SUM(Summary!$C$24:$C$27)+Summary!$C$38)))</f>
        <v>130755.035230161</v>
      </c>
      <c r="AB20" s="341" t="n">
        <f aca="false">('GAAP Beg Depreciation'!AJ$122)*(Summary!$C$27/((SUM(Summary!$C$24:$C$27)+Summary!$C$38)))</f>
        <v>130755.035230161</v>
      </c>
      <c r="AC20" s="341" t="n">
        <f aca="false">('GAAP Beg Depreciation'!AK$122)*(Summary!$C$27/((SUM(Summary!$C$24:$C$27)+Summary!$C$38)))</f>
        <v>130755.035230161</v>
      </c>
      <c r="AD20" s="341" t="n">
        <f aca="false">('GAAP Beg Depreciation'!AL$122)*(Summary!$C$27/((SUM(Summary!$C$24:$C$27)+Summary!$C$38)))</f>
        <v>130755.035230161</v>
      </c>
      <c r="AE20" s="341" t="n">
        <f aca="false">('GAAP Beg Depreciation'!AM$122)*(Summary!$C$27/((SUM(Summary!$C$24:$C$27)+Summary!$C$38)))</f>
        <v>130755.035230161</v>
      </c>
      <c r="AF20" s="341" t="n">
        <f aca="false">('GAAP Beg Depreciation'!AN$122)*(Summary!$C$27/((SUM(Summary!$C$24:$C$27)+Summary!$C$38)))</f>
        <v>130755.035230161</v>
      </c>
      <c r="AG20" s="341" t="n">
        <f aca="false">('GAAP Beg Depreciation'!AO$122)*(Summary!$C$27/((SUM(Summary!$C$24:$C$27)+Summary!$C$38)))</f>
        <v>1568.33368801873</v>
      </c>
    </row>
    <row r="21" customFormat="false" ht="12.75" hidden="false" customHeight="false" outlineLevel="0" collapsed="false">
      <c r="A21" s="0" t="n">
        <v>12</v>
      </c>
      <c r="B21" s="0" t="s">
        <v>81</v>
      </c>
      <c r="C21" s="341" t="n">
        <f aca="false">('GAAP Beg Depreciation'!K$121)*(Summary!$C$28/((SUM(Summary!$C$28:$C$33)+SUM(Summary!$C$39:$C$42))))</f>
        <v>1049646.49350205</v>
      </c>
      <c r="D21" s="341" t="n">
        <f aca="false">('GAAP Beg Depreciation'!L$121)*(Summary!$C$28/((SUM(Summary!$C$28:$C$33)+SUM(Summary!$C$39:$C$42))))</f>
        <v>1049646.49350205</v>
      </c>
      <c r="E21" s="341" t="n">
        <f aca="false">('GAAP Beg Depreciation'!M$121)*(Summary!$C$28/((SUM(Summary!$C$28:$C$33)+SUM(Summary!$C$39:$C$42))))</f>
        <v>1047736.68804229</v>
      </c>
      <c r="F21" s="341" t="n">
        <f aca="false">('GAAP Beg Depreciation'!N$121)*(Summary!$C$28/((SUM(Summary!$C$28:$C$33)+SUM(Summary!$C$39:$C$42))))</f>
        <v>1040829.93568595</v>
      </c>
      <c r="G21" s="341" t="n">
        <f aca="false">('GAAP Beg Depreciation'!O$121)*(Summary!$C$28/((SUM(Summary!$C$28:$C$33)+SUM(Summary!$C$39:$C$42))))</f>
        <v>1011182.97786985</v>
      </c>
      <c r="H21" s="341" t="n">
        <f aca="false">('GAAP Beg Depreciation'!P$121)*(Summary!$C$28/((SUM(Summary!$C$28:$C$33)+SUM(Summary!$C$39:$C$42))))</f>
        <v>926065.591411176</v>
      </c>
      <c r="I21" s="341" t="n">
        <f aca="false">('GAAP Beg Depreciation'!Q$121)*(Summary!$C$28/((SUM(Summary!$C$28:$C$33)+SUM(Summary!$C$39:$C$42))))</f>
        <v>926065.591411176</v>
      </c>
      <c r="J21" s="341" t="n">
        <f aca="false">('GAAP Beg Depreciation'!R$121)*(Summary!$C$28/((SUM(Summary!$C$28:$C$33)+SUM(Summary!$C$39:$C$42))))</f>
        <v>517427.094526338</v>
      </c>
      <c r="K21" s="341" t="n">
        <f aca="false">('GAAP Beg Depreciation'!S$121)*(Summary!$C$28/((SUM(Summary!$C$28:$C$33)+SUM(Summary!$C$39:$C$42))))</f>
        <v>162332.768726404</v>
      </c>
      <c r="L21" s="341" t="n">
        <f aca="false">('GAAP Beg Depreciation'!T$121)*(Summary!$C$28/((SUM(Summary!$C$28:$C$33)+SUM(Summary!$C$39:$C$42))))</f>
        <v>161975.491876336</v>
      </c>
      <c r="M21" s="341" t="n">
        <f aca="false">('GAAP Beg Depreciation'!U$121)*(Summary!$C$28/((SUM(Summary!$C$28:$C$33)+SUM(Summary!$C$39:$C$42))))</f>
        <v>148423.902795849</v>
      </c>
      <c r="N21" s="341" t="n">
        <f aca="false">('GAAP Beg Depreciation'!V$121)*(Summary!$C$28/((SUM(Summary!$C$28:$C$33)+SUM(Summary!$C$39:$C$42))))</f>
        <v>46354.7604756874</v>
      </c>
      <c r="O21" s="341" t="n">
        <f aca="false">('GAAP Beg Depreciation'!W$121)*(Summary!$C$28/((SUM(Summary!$C$28:$C$33)+SUM(Summary!$C$39:$C$42))))</f>
        <v>46354.7604756874</v>
      </c>
      <c r="P21" s="341" t="n">
        <f aca="false">('GAAP Beg Depreciation'!X$121)*(Summary!$C$28/((SUM(Summary!$C$28:$C$33)+SUM(Summary!$C$39:$C$42))))</f>
        <v>46354.7604756874</v>
      </c>
      <c r="Q21" s="341" t="n">
        <f aca="false">('GAAP Beg Depreciation'!Y$121)*(Summary!$C$28/((SUM(Summary!$C$28:$C$33)+SUM(Summary!$C$39:$C$42))))</f>
        <v>46354.7604756874</v>
      </c>
      <c r="R21" s="341" t="n">
        <f aca="false">('GAAP Beg Depreciation'!Z$121)*(Summary!$C$28/((SUM(Summary!$C$28:$C$33)+SUM(Summary!$C$39:$C$42))))</f>
        <v>46354.7604756874</v>
      </c>
      <c r="S21" s="341" t="n">
        <f aca="false">('GAAP Beg Depreciation'!AA$121)*(Summary!$C$28/((SUM(Summary!$C$28:$C$33)+SUM(Summary!$C$39:$C$42))))</f>
        <v>45711.7851056737</v>
      </c>
      <c r="T21" s="341" t="n">
        <f aca="false">('GAAP Beg Depreciation'!AB$121)*(Summary!$C$28/((SUM(Summary!$C$28:$C$33)+SUM(Summary!$C$39:$C$42))))</f>
        <v>43973.5566980244</v>
      </c>
      <c r="U21" s="341" t="n">
        <f aca="false">('GAAP Beg Depreciation'!AC$121)*(Summary!$C$28/((SUM(Summary!$C$28:$C$33)+SUM(Summary!$C$39:$C$42))))</f>
        <v>43973.5566980244</v>
      </c>
      <c r="V21" s="341" t="n">
        <f aca="false">('GAAP Beg Depreciation'!AD$121)*(Summary!$C$28/((SUM(Summary!$C$28:$C$33)+SUM(Summary!$C$39:$C$42))))</f>
        <v>43973.5566980244</v>
      </c>
      <c r="W21" s="341" t="n">
        <f aca="false">('GAAP Beg Depreciation'!AE$121)*(Summary!$C$28/((SUM(Summary!$C$28:$C$33)+SUM(Summary!$C$39:$C$42))))</f>
        <v>43973.5566980244</v>
      </c>
      <c r="X21" s="341" t="n">
        <f aca="false">('GAAP Beg Depreciation'!AF$121)*(Summary!$C$28/((SUM(Summary!$C$28:$C$33)+SUM(Summary!$C$39:$C$42))))</f>
        <v>43973.5566980244</v>
      </c>
      <c r="Y21" s="341" t="n">
        <f aca="false">('GAAP Beg Depreciation'!AG$121)*(Summary!$C$28/((SUM(Summary!$C$28:$C$33)+SUM(Summary!$C$39:$C$42))))</f>
        <v>43973.5566980244</v>
      </c>
      <c r="Z21" s="341" t="n">
        <f aca="false">('GAAP Beg Depreciation'!AH$121)*(Summary!$C$28/((SUM(Summary!$C$28:$C$33)+SUM(Summary!$C$39:$C$42))))</f>
        <v>43566.9385708807</v>
      </c>
      <c r="AA21" s="341" t="n">
        <f aca="false">('GAAP Beg Depreciation'!AI$121)*(Summary!$C$28/((SUM(Summary!$C$28:$C$33)+SUM(Summary!$C$39:$C$42))))</f>
        <v>40980.4673779098</v>
      </c>
      <c r="AB21" s="341" t="n">
        <f aca="false">('GAAP Beg Depreciation'!AJ$121)*(Summary!$C$28/((SUM(Summary!$C$28:$C$33)+SUM(Summary!$C$39:$C$42))))</f>
        <v>40980.4673779098</v>
      </c>
      <c r="AC21" s="341" t="n">
        <f aca="false">('GAAP Beg Depreciation'!AK$121)*(Summary!$C$28/((SUM(Summary!$C$28:$C$33)+SUM(Summary!$C$39:$C$42))))</f>
        <v>40980.4673779098</v>
      </c>
      <c r="AD21" s="341" t="n">
        <f aca="false">('GAAP Beg Depreciation'!AL$121)*(Summary!$C$28/((SUM(Summary!$C$28:$C$33)+SUM(Summary!$C$39:$C$42))))</f>
        <v>40980.4673779098</v>
      </c>
      <c r="AE21" s="341" t="n">
        <f aca="false">('GAAP Beg Depreciation'!AM$121)*(Summary!$C$28/((SUM(Summary!$C$28:$C$33)+SUM(Summary!$C$39:$C$42))))</f>
        <v>40980.4673779098</v>
      </c>
      <c r="AF21" s="341" t="n">
        <f aca="false">('GAAP Beg Depreciation'!AN$121)*(Summary!$C$28/((SUM(Summary!$C$28:$C$33)+SUM(Summary!$C$39:$C$42))))</f>
        <v>40980.4673779098</v>
      </c>
      <c r="AG21" s="341" t="n">
        <f aca="false">('GAAP Beg Depreciation'!AO$121)*(Summary!$C$28/((SUM(Summary!$C$28:$C$33)+SUM(Summary!$C$39:$C$42))))</f>
        <v>1129.25433444533</v>
      </c>
    </row>
    <row r="22" customFormat="false" ht="12.75" hidden="false" customHeight="false" outlineLevel="0" collapsed="false">
      <c r="A22" s="0" t="n">
        <v>13</v>
      </c>
      <c r="B22" s="0" t="s">
        <v>82</v>
      </c>
      <c r="C22" s="341" t="n">
        <f aca="false">('GAAP Beg Depreciation'!K$121)*(Summary!$C$29/((SUM(Summary!$C$28:$C$33)+SUM(Summary!$C$39:$C$42))))</f>
        <v>1049646.49350205</v>
      </c>
      <c r="D22" s="341" t="n">
        <f aca="false">('GAAP Beg Depreciation'!L$121)*(Summary!$C$29/((SUM(Summary!$C$28:$C$33)+SUM(Summary!$C$39:$C$42))))</f>
        <v>1049646.49350205</v>
      </c>
      <c r="E22" s="341" t="n">
        <f aca="false">('GAAP Beg Depreciation'!M$121)*(Summary!$C$29/((SUM(Summary!$C$28:$C$33)+SUM(Summary!$C$39:$C$42))))</f>
        <v>1047736.68804229</v>
      </c>
      <c r="F22" s="341" t="n">
        <f aca="false">('GAAP Beg Depreciation'!N$121)*(Summary!$C$29/((SUM(Summary!$C$28:$C$33)+SUM(Summary!$C$39:$C$42))))</f>
        <v>1040829.93568595</v>
      </c>
      <c r="G22" s="341" t="n">
        <f aca="false">('GAAP Beg Depreciation'!O$121)*(Summary!$C$29/((SUM(Summary!$C$28:$C$33)+SUM(Summary!$C$39:$C$42))))</f>
        <v>1011182.97786985</v>
      </c>
      <c r="H22" s="341" t="n">
        <f aca="false">('GAAP Beg Depreciation'!P$121)*(Summary!$C$29/((SUM(Summary!$C$28:$C$33)+SUM(Summary!$C$39:$C$42))))</f>
        <v>926065.591411176</v>
      </c>
      <c r="I22" s="341" t="n">
        <f aca="false">('GAAP Beg Depreciation'!Q$121)*(Summary!$C$29/((SUM(Summary!$C$28:$C$33)+SUM(Summary!$C$39:$C$42))))</f>
        <v>926065.591411176</v>
      </c>
      <c r="J22" s="341" t="n">
        <f aca="false">('GAAP Beg Depreciation'!R$121)*(Summary!$C$29/((SUM(Summary!$C$28:$C$33)+SUM(Summary!$C$39:$C$42))))</f>
        <v>517427.094526338</v>
      </c>
      <c r="K22" s="341" t="n">
        <f aca="false">('GAAP Beg Depreciation'!S$121)*(Summary!$C$29/((SUM(Summary!$C$28:$C$33)+SUM(Summary!$C$39:$C$42))))</f>
        <v>162332.768726404</v>
      </c>
      <c r="L22" s="341" t="n">
        <f aca="false">('GAAP Beg Depreciation'!T$121)*(Summary!$C$29/((SUM(Summary!$C$28:$C$33)+SUM(Summary!$C$39:$C$42))))</f>
        <v>161975.491876336</v>
      </c>
      <c r="M22" s="341" t="n">
        <f aca="false">('GAAP Beg Depreciation'!U$121)*(Summary!$C$29/((SUM(Summary!$C$28:$C$33)+SUM(Summary!$C$39:$C$42))))</f>
        <v>148423.902795849</v>
      </c>
      <c r="N22" s="341" t="n">
        <f aca="false">('GAAP Beg Depreciation'!V$121)*(Summary!$C$29/((SUM(Summary!$C$28:$C$33)+SUM(Summary!$C$39:$C$42))))</f>
        <v>46354.7604756874</v>
      </c>
      <c r="O22" s="341" t="n">
        <f aca="false">('GAAP Beg Depreciation'!W$121)*(Summary!$C$29/((SUM(Summary!$C$28:$C$33)+SUM(Summary!$C$39:$C$42))))</f>
        <v>46354.7604756874</v>
      </c>
      <c r="P22" s="341" t="n">
        <f aca="false">('GAAP Beg Depreciation'!X$121)*(Summary!$C$29/((SUM(Summary!$C$28:$C$33)+SUM(Summary!$C$39:$C$42))))</f>
        <v>46354.7604756874</v>
      </c>
      <c r="Q22" s="341" t="n">
        <f aca="false">('GAAP Beg Depreciation'!Y$121)*(Summary!$C$29/((SUM(Summary!$C$28:$C$33)+SUM(Summary!$C$39:$C$42))))</f>
        <v>46354.7604756874</v>
      </c>
      <c r="R22" s="341" t="n">
        <f aca="false">('GAAP Beg Depreciation'!Z$121)*(Summary!$C$29/((SUM(Summary!$C$28:$C$33)+SUM(Summary!$C$39:$C$42))))</f>
        <v>46354.7604756874</v>
      </c>
      <c r="S22" s="341" t="n">
        <f aca="false">('GAAP Beg Depreciation'!AA$121)*(Summary!$C$29/((SUM(Summary!$C$28:$C$33)+SUM(Summary!$C$39:$C$42))))</f>
        <v>45711.7851056737</v>
      </c>
      <c r="T22" s="341" t="n">
        <f aca="false">('GAAP Beg Depreciation'!AB$121)*(Summary!$C$29/((SUM(Summary!$C$28:$C$33)+SUM(Summary!$C$39:$C$42))))</f>
        <v>43973.5566980244</v>
      </c>
      <c r="U22" s="341" t="n">
        <f aca="false">('GAAP Beg Depreciation'!AC$121)*(Summary!$C$29/((SUM(Summary!$C$28:$C$33)+SUM(Summary!$C$39:$C$42))))</f>
        <v>43973.5566980244</v>
      </c>
      <c r="V22" s="341" t="n">
        <f aca="false">('GAAP Beg Depreciation'!AD$121)*(Summary!$C$29/((SUM(Summary!$C$28:$C$33)+SUM(Summary!$C$39:$C$42))))</f>
        <v>43973.5566980244</v>
      </c>
      <c r="W22" s="341" t="n">
        <f aca="false">('GAAP Beg Depreciation'!AE$121)*(Summary!$C$29/((SUM(Summary!$C$28:$C$33)+SUM(Summary!$C$39:$C$42))))</f>
        <v>43973.5566980244</v>
      </c>
      <c r="X22" s="341" t="n">
        <f aca="false">('GAAP Beg Depreciation'!AF$121)*(Summary!$C$29/((SUM(Summary!$C$28:$C$33)+SUM(Summary!$C$39:$C$42))))</f>
        <v>43973.5566980244</v>
      </c>
      <c r="Y22" s="341" t="n">
        <f aca="false">('GAAP Beg Depreciation'!AG$121)*(Summary!$C$29/((SUM(Summary!$C$28:$C$33)+SUM(Summary!$C$39:$C$42))))</f>
        <v>43973.5566980244</v>
      </c>
      <c r="Z22" s="341" t="n">
        <f aca="false">('GAAP Beg Depreciation'!AH$121)*(Summary!$C$29/((SUM(Summary!$C$28:$C$33)+SUM(Summary!$C$39:$C$42))))</f>
        <v>43566.9385708807</v>
      </c>
      <c r="AA22" s="341" t="n">
        <f aca="false">('GAAP Beg Depreciation'!AI$121)*(Summary!$C$29/((SUM(Summary!$C$28:$C$33)+SUM(Summary!$C$39:$C$42))))</f>
        <v>40980.4673779098</v>
      </c>
      <c r="AB22" s="341" t="n">
        <f aca="false">('GAAP Beg Depreciation'!AJ$121)*(Summary!$C$29/((SUM(Summary!$C$28:$C$33)+SUM(Summary!$C$39:$C$42))))</f>
        <v>40980.4673779098</v>
      </c>
      <c r="AC22" s="341" t="n">
        <f aca="false">('GAAP Beg Depreciation'!AK$121)*(Summary!$C$29/((SUM(Summary!$C$28:$C$33)+SUM(Summary!$C$39:$C$42))))</f>
        <v>40980.4673779098</v>
      </c>
      <c r="AD22" s="341" t="n">
        <f aca="false">('GAAP Beg Depreciation'!AL$121)*(Summary!$C$29/((SUM(Summary!$C$28:$C$33)+SUM(Summary!$C$39:$C$42))))</f>
        <v>40980.4673779098</v>
      </c>
      <c r="AE22" s="341" t="n">
        <f aca="false">('GAAP Beg Depreciation'!AM$121)*(Summary!$C$29/((SUM(Summary!$C$28:$C$33)+SUM(Summary!$C$39:$C$42))))</f>
        <v>40980.4673779098</v>
      </c>
      <c r="AF22" s="341" t="n">
        <f aca="false">('GAAP Beg Depreciation'!AN$121)*(Summary!$C$29/((SUM(Summary!$C$28:$C$33)+SUM(Summary!$C$39:$C$42))))</f>
        <v>40980.4673779098</v>
      </c>
      <c r="AG22" s="341" t="n">
        <f aca="false">('GAAP Beg Depreciation'!AO$121)*(Summary!$C$29/((SUM(Summary!$C$28:$C$33)+SUM(Summary!$C$39:$C$42))))</f>
        <v>1129.25433444533</v>
      </c>
    </row>
    <row r="23" customFormat="false" ht="12.75" hidden="false" customHeight="false" outlineLevel="0" collapsed="false">
      <c r="A23" s="0" t="n">
        <v>14</v>
      </c>
      <c r="B23" s="0" t="s">
        <v>83</v>
      </c>
      <c r="C23" s="341" t="n">
        <f aca="false">('GAAP Beg Depreciation'!K$121)*(Summary!$C$30/((SUM(Summary!$C$28:$C$33)+SUM(Summary!$C$39:$C$42))))</f>
        <v>1429305.86349215</v>
      </c>
      <c r="D23" s="341" t="n">
        <f aca="false">('GAAP Beg Depreciation'!L$121)*(Summary!$C$30/((SUM(Summary!$C$28:$C$33)+SUM(Summary!$C$39:$C$42))))</f>
        <v>1429305.86349215</v>
      </c>
      <c r="E23" s="341" t="n">
        <f aca="false">('GAAP Beg Depreciation'!M$121)*(Summary!$C$30/((SUM(Summary!$C$28:$C$33)+SUM(Summary!$C$39:$C$42))))</f>
        <v>1426705.27733418</v>
      </c>
      <c r="F23" s="341" t="n">
        <f aca="false">('GAAP Beg Depreciation'!N$121)*(Summary!$C$30/((SUM(Summary!$C$28:$C$33)+SUM(Summary!$C$39:$C$42))))</f>
        <v>1417300.33795533</v>
      </c>
      <c r="G23" s="341" t="n">
        <f aca="false">('GAAP Beg Depreciation'!O$121)*(Summary!$C$30/((SUM(Summary!$C$28:$C$33)+SUM(Summary!$C$39:$C$42))))</f>
        <v>1376930.01241852</v>
      </c>
      <c r="H23" s="341" t="n">
        <f aca="false">('GAAP Beg Depreciation'!P$121)*(Summary!$C$30/((SUM(Summary!$C$28:$C$33)+SUM(Summary!$C$39:$C$42))))</f>
        <v>1261025.48617692</v>
      </c>
      <c r="I23" s="341" t="n">
        <f aca="false">('GAAP Beg Depreciation'!Q$121)*(Summary!$C$30/((SUM(Summary!$C$28:$C$33)+SUM(Summary!$C$39:$C$42))))</f>
        <v>1261025.48617692</v>
      </c>
      <c r="J23" s="341" t="n">
        <f aca="false">('GAAP Beg Depreciation'!R$121)*(Summary!$C$30/((SUM(Summary!$C$28:$C$33)+SUM(Summary!$C$39:$C$42))))</f>
        <v>704581.575525226</v>
      </c>
      <c r="K23" s="341" t="n">
        <f aca="false">('GAAP Beg Depreciation'!S$121)*(Summary!$C$30/((SUM(Summary!$C$28:$C$33)+SUM(Summary!$C$39:$C$42))))</f>
        <v>221048.876563614</v>
      </c>
      <c r="L23" s="341" t="n">
        <f aca="false">('GAAP Beg Depreciation'!T$121)*(Summary!$C$30/((SUM(Summary!$C$28:$C$33)+SUM(Summary!$C$39:$C$42))))</f>
        <v>220562.371916713</v>
      </c>
      <c r="M23" s="341" t="n">
        <f aca="false">('GAAP Beg Depreciation'!U$121)*(Summary!$C$30/((SUM(Summary!$C$28:$C$33)+SUM(Summary!$C$39:$C$42))))</f>
        <v>202109.144232646</v>
      </c>
      <c r="N23" s="341" t="n">
        <f aca="false">('GAAP Beg Depreciation'!V$121)*(Summary!$C$30/((SUM(Summary!$C$28:$C$33)+SUM(Summary!$C$39:$C$42))))</f>
        <v>63121.3759668934</v>
      </c>
      <c r="O23" s="341" t="n">
        <f aca="false">('GAAP Beg Depreciation'!W$121)*(Summary!$C$30/((SUM(Summary!$C$28:$C$33)+SUM(Summary!$C$39:$C$42))))</f>
        <v>63121.3759668934</v>
      </c>
      <c r="P23" s="341" t="n">
        <f aca="false">('GAAP Beg Depreciation'!X$121)*(Summary!$C$30/((SUM(Summary!$C$28:$C$33)+SUM(Summary!$C$39:$C$42))))</f>
        <v>63121.3759668934</v>
      </c>
      <c r="Q23" s="341" t="n">
        <f aca="false">('GAAP Beg Depreciation'!Y$121)*(Summary!$C$30/((SUM(Summary!$C$28:$C$33)+SUM(Summary!$C$39:$C$42))))</f>
        <v>63121.3759668934</v>
      </c>
      <c r="R23" s="341" t="n">
        <f aca="false">('GAAP Beg Depreciation'!Z$121)*(Summary!$C$30/((SUM(Summary!$C$28:$C$33)+SUM(Summary!$C$39:$C$42))))</f>
        <v>63121.3759668934</v>
      </c>
      <c r="S23" s="341" t="n">
        <f aca="false">('GAAP Beg Depreciation'!AA$121)*(Summary!$C$30/((SUM(Summary!$C$28:$C$33)+SUM(Summary!$C$39:$C$42))))</f>
        <v>62245.8350375132</v>
      </c>
      <c r="T23" s="341" t="n">
        <f aca="false">('GAAP Beg Depreciation'!AB$121)*(Summary!$C$30/((SUM(Summary!$C$28:$C$33)+SUM(Summary!$C$39:$C$42))))</f>
        <v>59878.8857164588</v>
      </c>
      <c r="U23" s="341" t="n">
        <f aca="false">('GAAP Beg Depreciation'!AC$121)*(Summary!$C$30/((SUM(Summary!$C$28:$C$33)+SUM(Summary!$C$39:$C$42))))</f>
        <v>59878.8857164588</v>
      </c>
      <c r="V23" s="341" t="n">
        <f aca="false">('GAAP Beg Depreciation'!AD$121)*(Summary!$C$30/((SUM(Summary!$C$28:$C$33)+SUM(Summary!$C$39:$C$42))))</f>
        <v>59878.8857164588</v>
      </c>
      <c r="W23" s="341" t="n">
        <f aca="false">('GAAP Beg Depreciation'!AE$121)*(Summary!$C$30/((SUM(Summary!$C$28:$C$33)+SUM(Summary!$C$39:$C$42))))</f>
        <v>59878.8857164588</v>
      </c>
      <c r="X23" s="341" t="n">
        <f aca="false">('GAAP Beg Depreciation'!AF$121)*(Summary!$C$30/((SUM(Summary!$C$28:$C$33)+SUM(Summary!$C$39:$C$42))))</f>
        <v>59878.8857164588</v>
      </c>
      <c r="Y23" s="341" t="n">
        <f aca="false">('GAAP Beg Depreciation'!AG$121)*(Summary!$C$30/((SUM(Summary!$C$28:$C$33)+SUM(Summary!$C$39:$C$42))))</f>
        <v>59878.8857164588</v>
      </c>
      <c r="Z23" s="341" t="n">
        <f aca="false">('GAAP Beg Depreciation'!AH$121)*(Summary!$C$30/((SUM(Summary!$C$28:$C$33)+SUM(Summary!$C$39:$C$42))))</f>
        <v>59325.1929475823</v>
      </c>
      <c r="AA23" s="341" t="n">
        <f aca="false">('GAAP Beg Depreciation'!AI$121)*(Summary!$C$30/((SUM(Summary!$C$28:$C$33)+SUM(Summary!$C$39:$C$42))))</f>
        <v>55803.1896209836</v>
      </c>
      <c r="AB23" s="341" t="n">
        <f aca="false">('GAAP Beg Depreciation'!AJ$121)*(Summary!$C$30/((SUM(Summary!$C$28:$C$33)+SUM(Summary!$C$39:$C$42))))</f>
        <v>55803.1896209836</v>
      </c>
      <c r="AC23" s="341" t="n">
        <f aca="false">('GAAP Beg Depreciation'!AK$121)*(Summary!$C$30/((SUM(Summary!$C$28:$C$33)+SUM(Summary!$C$39:$C$42))))</f>
        <v>55803.1896209836</v>
      </c>
      <c r="AD23" s="341" t="n">
        <f aca="false">('GAAP Beg Depreciation'!AL$121)*(Summary!$C$30/((SUM(Summary!$C$28:$C$33)+SUM(Summary!$C$39:$C$42))))</f>
        <v>55803.1896209836</v>
      </c>
      <c r="AE23" s="341" t="n">
        <f aca="false">('GAAP Beg Depreciation'!AM$121)*(Summary!$C$30/((SUM(Summary!$C$28:$C$33)+SUM(Summary!$C$39:$C$42))))</f>
        <v>55803.1896209836</v>
      </c>
      <c r="AF23" s="341" t="n">
        <f aca="false">('GAAP Beg Depreciation'!AN$121)*(Summary!$C$30/((SUM(Summary!$C$28:$C$33)+SUM(Summary!$C$39:$C$42))))</f>
        <v>55803.1896209836</v>
      </c>
      <c r="AG23" s="341" t="n">
        <f aca="false">('GAAP Beg Depreciation'!AO$121)*(Summary!$C$30/((SUM(Summary!$C$28:$C$33)+SUM(Summary!$C$39:$C$42))))</f>
        <v>1537.70802988301</v>
      </c>
    </row>
    <row r="24" customFormat="false" ht="12.75" hidden="false" customHeight="false" outlineLevel="0" collapsed="false">
      <c r="A24" s="0" t="n">
        <v>15</v>
      </c>
      <c r="B24" s="0" t="s">
        <v>84</v>
      </c>
      <c r="C24" s="341" t="n">
        <f aca="false">('GAAP Beg Depreciation'!K$121)*(Summary!$C$31/((SUM(Summary!$C$28:$C$33)+SUM(Summary!$C$39:$C$42))))</f>
        <v>1674967.80877986</v>
      </c>
      <c r="D24" s="341" t="n">
        <f aca="false">('GAAP Beg Depreciation'!L$121)*(Summary!$C$31/((SUM(Summary!$C$28:$C$33)+SUM(Summary!$C$39:$C$42))))</f>
        <v>1674967.80877986</v>
      </c>
      <c r="E24" s="341" t="n">
        <f aca="false">('GAAP Beg Depreciation'!M$121)*(Summary!$C$31/((SUM(Summary!$C$28:$C$33)+SUM(Summary!$C$39:$C$42))))</f>
        <v>1671920.24687599</v>
      </c>
      <c r="F24" s="341" t="n">
        <f aca="false">('GAAP Beg Depreciation'!N$121)*(Summary!$C$31/((SUM(Summary!$C$28:$C$33)+SUM(Summary!$C$39:$C$42))))</f>
        <v>1660898.83354141</v>
      </c>
      <c r="G24" s="341" t="n">
        <f aca="false">('GAAP Beg Depreciation'!O$121)*(Summary!$C$31/((SUM(Summary!$C$28:$C$33)+SUM(Summary!$C$39:$C$42))))</f>
        <v>1613589.85830295</v>
      </c>
      <c r="H24" s="341" t="n">
        <f aca="false">('GAAP Beg Depreciation'!P$121)*(Summary!$C$31/((SUM(Summary!$C$28:$C$33)+SUM(Summary!$C$39:$C$42))))</f>
        <v>1477764.24161358</v>
      </c>
      <c r="I24" s="341" t="n">
        <f aca="false">('GAAP Beg Depreciation'!Q$121)*(Summary!$C$31/((SUM(Summary!$C$28:$C$33)+SUM(Summary!$C$39:$C$42))))</f>
        <v>1477764.24161358</v>
      </c>
      <c r="J24" s="341" t="n">
        <f aca="false">('GAAP Beg Depreciation'!R$121)*(Summary!$C$31/((SUM(Summary!$C$28:$C$33)+SUM(Summary!$C$39:$C$42))))</f>
        <v>825681.533818624</v>
      </c>
      <c r="K24" s="341" t="n">
        <f aca="false">('GAAP Beg Depreciation'!S$121)*(Summary!$C$31/((SUM(Summary!$C$28:$C$33)+SUM(Summary!$C$39:$C$42))))</f>
        <v>259041.652222985</v>
      </c>
      <c r="L24" s="341" t="n">
        <f aca="false">('GAAP Beg Depreciation'!T$121)*(Summary!$C$31/((SUM(Summary!$C$28:$C$33)+SUM(Summary!$C$39:$C$42))))</f>
        <v>258471.529589898</v>
      </c>
      <c r="M24" s="341" t="n">
        <f aca="false">('GAAP Beg Depreciation'!U$121)*(Summary!$C$31/((SUM(Summary!$C$28:$C$33)+SUM(Summary!$C$39:$C$42))))</f>
        <v>236846.653397632</v>
      </c>
      <c r="N24" s="341" t="n">
        <f aca="false">('GAAP Beg Depreciation'!V$121)*(Summary!$C$31/((SUM(Summary!$C$28:$C$33)+SUM(Summary!$C$39:$C$42))))</f>
        <v>73970.3624612032</v>
      </c>
      <c r="O24" s="341" t="n">
        <f aca="false">('GAAP Beg Depreciation'!W$121)*(Summary!$C$31/((SUM(Summary!$C$28:$C$33)+SUM(Summary!$C$39:$C$42))))</f>
        <v>73970.3624612032</v>
      </c>
      <c r="P24" s="341" t="n">
        <f aca="false">('GAAP Beg Depreciation'!X$121)*(Summary!$C$31/((SUM(Summary!$C$28:$C$33)+SUM(Summary!$C$39:$C$42))))</f>
        <v>73970.3624612032</v>
      </c>
      <c r="Q24" s="341" t="n">
        <f aca="false">('GAAP Beg Depreciation'!Y$121)*(Summary!$C$31/((SUM(Summary!$C$28:$C$33)+SUM(Summary!$C$39:$C$42))))</f>
        <v>73970.3624612032</v>
      </c>
      <c r="R24" s="341" t="n">
        <f aca="false">('GAAP Beg Depreciation'!Z$121)*(Summary!$C$31/((SUM(Summary!$C$28:$C$33)+SUM(Summary!$C$39:$C$42))))</f>
        <v>73970.3624612032</v>
      </c>
      <c r="S24" s="341" t="n">
        <f aca="false">('GAAP Beg Depreciation'!AA$121)*(Summary!$C$31/((SUM(Summary!$C$28:$C$33)+SUM(Summary!$C$39:$C$42))))</f>
        <v>72944.3379345858</v>
      </c>
      <c r="T24" s="341" t="n">
        <f aca="false">('GAAP Beg Depreciation'!AB$121)*(Summary!$C$31/((SUM(Summary!$C$28:$C$33)+SUM(Summary!$C$39:$C$42))))</f>
        <v>70170.5691989752</v>
      </c>
      <c r="U24" s="341" t="n">
        <f aca="false">('GAAP Beg Depreciation'!AC$121)*(Summary!$C$31/((SUM(Summary!$C$28:$C$33)+SUM(Summary!$C$39:$C$42))))</f>
        <v>70170.5691989752</v>
      </c>
      <c r="V24" s="341" t="n">
        <f aca="false">('GAAP Beg Depreciation'!AD$121)*(Summary!$C$31/((SUM(Summary!$C$28:$C$33)+SUM(Summary!$C$39:$C$42))))</f>
        <v>70170.5691989752</v>
      </c>
      <c r="W24" s="341" t="n">
        <f aca="false">('GAAP Beg Depreciation'!AE$121)*(Summary!$C$31/((SUM(Summary!$C$28:$C$33)+SUM(Summary!$C$39:$C$42))))</f>
        <v>70170.5691989752</v>
      </c>
      <c r="X24" s="341" t="n">
        <f aca="false">('GAAP Beg Depreciation'!AF$121)*(Summary!$C$31/((SUM(Summary!$C$28:$C$33)+SUM(Summary!$C$39:$C$42))))</f>
        <v>70170.5691989752</v>
      </c>
      <c r="Y24" s="341" t="n">
        <f aca="false">('GAAP Beg Depreciation'!AG$121)*(Summary!$C$31/((SUM(Summary!$C$28:$C$33)+SUM(Summary!$C$39:$C$42))))</f>
        <v>70170.5691989752</v>
      </c>
      <c r="Z24" s="341" t="n">
        <f aca="false">('GAAP Beg Depreciation'!AH$121)*(Summary!$C$31/((SUM(Summary!$C$28:$C$33)+SUM(Summary!$C$39:$C$42))))</f>
        <v>69521.710485448</v>
      </c>
      <c r="AA24" s="341" t="n">
        <f aca="false">('GAAP Beg Depreciation'!AI$121)*(Summary!$C$31/((SUM(Summary!$C$28:$C$33)+SUM(Summary!$C$39:$C$42))))</f>
        <v>65394.3628370901</v>
      </c>
      <c r="AB24" s="341" t="n">
        <f aca="false">('GAAP Beg Depreciation'!AJ$121)*(Summary!$C$31/((SUM(Summary!$C$28:$C$33)+SUM(Summary!$C$39:$C$42))))</f>
        <v>65394.3628370901</v>
      </c>
      <c r="AC24" s="341" t="n">
        <f aca="false">('GAAP Beg Depreciation'!AK$121)*(Summary!$C$31/((SUM(Summary!$C$28:$C$33)+SUM(Summary!$C$39:$C$42))))</f>
        <v>65394.3628370901</v>
      </c>
      <c r="AD24" s="341" t="n">
        <f aca="false">('GAAP Beg Depreciation'!AL$121)*(Summary!$C$31/((SUM(Summary!$C$28:$C$33)+SUM(Summary!$C$39:$C$42))))</f>
        <v>65394.3628370901</v>
      </c>
      <c r="AE24" s="341" t="n">
        <f aca="false">('GAAP Beg Depreciation'!AM$121)*(Summary!$C$31/((SUM(Summary!$C$28:$C$33)+SUM(Summary!$C$39:$C$42))))</f>
        <v>65394.3628370901</v>
      </c>
      <c r="AF24" s="341" t="n">
        <f aca="false">('GAAP Beg Depreciation'!AN$121)*(Summary!$C$31/((SUM(Summary!$C$28:$C$33)+SUM(Summary!$C$39:$C$42))))</f>
        <v>65394.3628370901</v>
      </c>
      <c r="AG24" s="341" t="n">
        <f aca="false">('GAAP Beg Depreciation'!AO$121)*(Summary!$C$31/((SUM(Summary!$C$28:$C$33)+SUM(Summary!$C$39:$C$42))))</f>
        <v>1802.00159751915</v>
      </c>
    </row>
    <row r="25" customFormat="false" ht="12.75" hidden="false" customHeight="false" outlineLevel="0" collapsed="false">
      <c r="A25" s="0" t="n">
        <v>16</v>
      </c>
      <c r="B25" s="0" t="s">
        <v>85</v>
      </c>
      <c r="C25" s="341" t="n">
        <f aca="false">('GAAP Beg Depreciation'!K$121)*(Summary!$C$32/((SUM(Summary!$C$28:$C$33)+SUM(Summary!$C$39:$C$42))))</f>
        <v>2657615.58993071</v>
      </c>
      <c r="D25" s="341" t="n">
        <f aca="false">('GAAP Beg Depreciation'!L$121)*(Summary!$C$32/((SUM(Summary!$C$28:$C$33)+SUM(Summary!$C$39:$C$42))))</f>
        <v>2657615.58993071</v>
      </c>
      <c r="E25" s="341" t="n">
        <f aca="false">('GAAP Beg Depreciation'!M$121)*(Summary!$C$32/((SUM(Summary!$C$28:$C$33)+SUM(Summary!$C$39:$C$42))))</f>
        <v>2652780.12504324</v>
      </c>
      <c r="F25" s="341" t="n">
        <f aca="false">('GAAP Beg Depreciation'!N$121)*(Summary!$C$32/((SUM(Summary!$C$28:$C$33)+SUM(Summary!$C$39:$C$42))))</f>
        <v>2635292.8158857</v>
      </c>
      <c r="G25" s="341" t="n">
        <f aca="false">('GAAP Beg Depreciation'!O$121)*(Summary!$C$32/((SUM(Summary!$C$28:$C$33)+SUM(Summary!$C$39:$C$42))))</f>
        <v>2560229.24184069</v>
      </c>
      <c r="H25" s="341" t="n">
        <f aca="false">('GAAP Beg Depreciation'!P$121)*(Summary!$C$32/((SUM(Summary!$C$28:$C$33)+SUM(Summary!$C$39:$C$42))))</f>
        <v>2344719.26336021</v>
      </c>
      <c r="I25" s="341" t="n">
        <f aca="false">('GAAP Beg Depreciation'!Q$121)*(Summary!$C$32/((SUM(Summary!$C$28:$C$33)+SUM(Summary!$C$39:$C$42))))</f>
        <v>2344719.26336021</v>
      </c>
      <c r="J25" s="341" t="n">
        <f aca="false">('GAAP Beg Depreciation'!R$121)*(Summary!$C$32/((SUM(Summary!$C$28:$C$33)+SUM(Summary!$C$39:$C$42))))</f>
        <v>1310081.36699222</v>
      </c>
      <c r="K25" s="341" t="n">
        <f aca="false">('GAAP Beg Depreciation'!S$121)*(Summary!$C$32/((SUM(Summary!$C$28:$C$33)+SUM(Summary!$C$39:$C$42))))</f>
        <v>411012.754860469</v>
      </c>
      <c r="L25" s="341" t="n">
        <f aca="false">('GAAP Beg Depreciation'!T$121)*(Summary!$C$32/((SUM(Summary!$C$28:$C$33)+SUM(Summary!$C$39:$C$42))))</f>
        <v>410108.160282637</v>
      </c>
      <c r="M25" s="341" t="n">
        <f aca="false">('GAAP Beg Depreciation'!U$121)*(Summary!$C$32/((SUM(Summary!$C$28:$C$33)+SUM(Summary!$C$39:$C$42))))</f>
        <v>375796.690057576</v>
      </c>
      <c r="N25" s="341" t="n">
        <f aca="false">('GAAP Beg Depreciation'!V$121)*(Summary!$C$32/((SUM(Summary!$C$28:$C$33)+SUM(Summary!$C$39:$C$42))))</f>
        <v>117366.308438442</v>
      </c>
      <c r="O25" s="341" t="n">
        <f aca="false">('GAAP Beg Depreciation'!W$121)*(Summary!$C$32/((SUM(Summary!$C$28:$C$33)+SUM(Summary!$C$39:$C$42))))</f>
        <v>117366.308438442</v>
      </c>
      <c r="P25" s="341" t="n">
        <f aca="false">('GAAP Beg Depreciation'!X$121)*(Summary!$C$32/((SUM(Summary!$C$28:$C$33)+SUM(Summary!$C$39:$C$42))))</f>
        <v>117366.308438442</v>
      </c>
      <c r="Q25" s="341" t="n">
        <f aca="false">('GAAP Beg Depreciation'!Y$121)*(Summary!$C$32/((SUM(Summary!$C$28:$C$33)+SUM(Summary!$C$39:$C$42))))</f>
        <v>117366.308438442</v>
      </c>
      <c r="R25" s="341" t="n">
        <f aca="false">('GAAP Beg Depreciation'!Z$121)*(Summary!$C$32/((SUM(Summary!$C$28:$C$33)+SUM(Summary!$C$39:$C$42))))</f>
        <v>117366.308438442</v>
      </c>
      <c r="S25" s="341" t="n">
        <f aca="false">('GAAP Beg Depreciation'!AA$121)*(Summary!$C$32/((SUM(Summary!$C$28:$C$33)+SUM(Summary!$C$39:$C$42))))</f>
        <v>115738.349522876</v>
      </c>
      <c r="T25" s="341" t="n">
        <f aca="false">('GAAP Beg Depreciation'!AB$121)*(Summary!$C$32/((SUM(Summary!$C$28:$C$33)+SUM(Summary!$C$39:$C$42))))</f>
        <v>111337.303129041</v>
      </c>
      <c r="U25" s="341" t="n">
        <f aca="false">('GAAP Beg Depreciation'!AC$121)*(Summary!$C$32/((SUM(Summary!$C$28:$C$33)+SUM(Summary!$C$39:$C$42))))</f>
        <v>111337.303129041</v>
      </c>
      <c r="V25" s="341" t="n">
        <f aca="false">('GAAP Beg Depreciation'!AD$121)*(Summary!$C$32/((SUM(Summary!$C$28:$C$33)+SUM(Summary!$C$39:$C$42))))</f>
        <v>111337.303129041</v>
      </c>
      <c r="W25" s="341" t="n">
        <f aca="false">('GAAP Beg Depreciation'!AE$121)*(Summary!$C$32/((SUM(Summary!$C$28:$C$33)+SUM(Summary!$C$39:$C$42))))</f>
        <v>111337.303129041</v>
      </c>
      <c r="X25" s="341" t="n">
        <f aca="false">('GAAP Beg Depreciation'!AF$121)*(Summary!$C$32/((SUM(Summary!$C$28:$C$33)+SUM(Summary!$C$39:$C$42))))</f>
        <v>111337.303129041</v>
      </c>
      <c r="Y25" s="341" t="n">
        <f aca="false">('GAAP Beg Depreciation'!AG$121)*(Summary!$C$32/((SUM(Summary!$C$28:$C$33)+SUM(Summary!$C$39:$C$42))))</f>
        <v>111337.303129041</v>
      </c>
      <c r="Z25" s="341" t="n">
        <f aca="false">('GAAP Beg Depreciation'!AH$121)*(Summary!$C$32/((SUM(Summary!$C$28:$C$33)+SUM(Summary!$C$39:$C$42))))</f>
        <v>110307.780636911</v>
      </c>
      <c r="AA25" s="341" t="n">
        <f aca="false">('GAAP Beg Depreciation'!AI$121)*(Summary!$C$32/((SUM(Summary!$C$28:$C$33)+SUM(Summary!$C$39:$C$42))))</f>
        <v>103759.055701516</v>
      </c>
      <c r="AB25" s="341" t="n">
        <f aca="false">('GAAP Beg Depreciation'!AJ$121)*(Summary!$C$32/((SUM(Summary!$C$28:$C$33)+SUM(Summary!$C$39:$C$42))))</f>
        <v>103759.055701516</v>
      </c>
      <c r="AC25" s="341" t="n">
        <f aca="false">('GAAP Beg Depreciation'!AK$121)*(Summary!$C$32/((SUM(Summary!$C$28:$C$33)+SUM(Summary!$C$39:$C$42))))</f>
        <v>103759.055701516</v>
      </c>
      <c r="AD25" s="341" t="n">
        <f aca="false">('GAAP Beg Depreciation'!AL$121)*(Summary!$C$32/((SUM(Summary!$C$28:$C$33)+SUM(Summary!$C$39:$C$42))))</f>
        <v>103759.055701516</v>
      </c>
      <c r="AE25" s="341" t="n">
        <f aca="false">('GAAP Beg Depreciation'!AM$121)*(Summary!$C$32/((SUM(Summary!$C$28:$C$33)+SUM(Summary!$C$39:$C$42))))</f>
        <v>103759.055701516</v>
      </c>
      <c r="AF25" s="341" t="n">
        <f aca="false">('GAAP Beg Depreciation'!AN$121)*(Summary!$C$32/((SUM(Summary!$C$28:$C$33)+SUM(Summary!$C$39:$C$42))))</f>
        <v>103759.055701516</v>
      </c>
      <c r="AG25" s="341" t="n">
        <f aca="false">('GAAP Beg Depreciation'!AO$121)*(Summary!$C$32/((SUM(Summary!$C$28:$C$33)+SUM(Summary!$C$39:$C$42))))</f>
        <v>2859.17586806371</v>
      </c>
    </row>
    <row r="26" customFormat="false" ht="12.75" hidden="false" customHeight="false" outlineLevel="0" collapsed="false">
      <c r="A26" s="0" t="n">
        <v>17</v>
      </c>
      <c r="B26" s="0" t="s">
        <v>86</v>
      </c>
      <c r="C26" s="341" t="n">
        <f aca="false">('GAAP Beg Depreciation'!K$121)*(Summary!$C$33/((SUM(Summary!$C$28:$C$33)+SUM(Summary!$C$39:$C$42))))</f>
        <v>1733591.68208716</v>
      </c>
      <c r="D26" s="341" t="n">
        <f aca="false">('GAAP Beg Depreciation'!L$121)*(Summary!$C$33/((SUM(Summary!$C$28:$C$33)+SUM(Summary!$C$39:$C$42))))</f>
        <v>1733591.68208716</v>
      </c>
      <c r="E26" s="341" t="n">
        <f aca="false">('GAAP Beg Depreciation'!M$121)*(Summary!$C$33/((SUM(Summary!$C$28:$C$33)+SUM(Summary!$C$39:$C$42))))</f>
        <v>1730437.45551665</v>
      </c>
      <c r="F26" s="341" t="n">
        <f aca="false">('GAAP Beg Depreciation'!N$121)*(Summary!$C$33/((SUM(Summary!$C$28:$C$33)+SUM(Summary!$C$39:$C$42))))</f>
        <v>1719030.29271536</v>
      </c>
      <c r="G26" s="341" t="n">
        <f aca="false">('GAAP Beg Depreciation'!O$121)*(Summary!$C$33/((SUM(Summary!$C$28:$C$33)+SUM(Summary!$C$39:$C$42))))</f>
        <v>1670065.50334356</v>
      </c>
      <c r="H26" s="341" t="n">
        <f aca="false">('GAAP Beg Depreciation'!P$121)*(Summary!$C$33/((SUM(Summary!$C$28:$C$33)+SUM(Summary!$C$39:$C$42))))</f>
        <v>1529485.99007005</v>
      </c>
      <c r="I26" s="341" t="n">
        <f aca="false">('GAAP Beg Depreciation'!Q$121)*(Summary!$C$33/((SUM(Summary!$C$28:$C$33)+SUM(Summary!$C$39:$C$42))))</f>
        <v>1529485.99007005</v>
      </c>
      <c r="J26" s="341" t="n">
        <f aca="false">('GAAP Beg Depreciation'!R$121)*(Summary!$C$33/((SUM(Summary!$C$28:$C$33)+SUM(Summary!$C$39:$C$42))))</f>
        <v>854580.387502276</v>
      </c>
      <c r="K26" s="341" t="n">
        <f aca="false">('GAAP Beg Depreciation'!S$121)*(Summary!$C$33/((SUM(Summary!$C$28:$C$33)+SUM(Summary!$C$39:$C$42))))</f>
        <v>268108.110050789</v>
      </c>
      <c r="L26" s="341" t="n">
        <f aca="false">('GAAP Beg Depreciation'!T$121)*(Summary!$C$33/((SUM(Summary!$C$28:$C$33)+SUM(Summary!$C$39:$C$42))))</f>
        <v>267518.033125544</v>
      </c>
      <c r="M26" s="341" t="n">
        <f aca="false">('GAAP Beg Depreciation'!U$121)*(Summary!$C$33/((SUM(Summary!$C$28:$C$33)+SUM(Summary!$C$39:$C$42))))</f>
        <v>245136.286266549</v>
      </c>
      <c r="N26" s="341" t="n">
        <f aca="false">('GAAP Beg Depreciation'!V$121)*(Summary!$C$33/((SUM(Summary!$C$28:$C$33)+SUM(Summary!$C$39:$C$42))))</f>
        <v>76559.3251473454</v>
      </c>
      <c r="O26" s="341" t="n">
        <f aca="false">('GAAP Beg Depreciation'!W$121)*(Summary!$C$33/((SUM(Summary!$C$28:$C$33)+SUM(Summary!$C$39:$C$42))))</f>
        <v>76559.3251473454</v>
      </c>
      <c r="P26" s="341" t="n">
        <f aca="false">('GAAP Beg Depreciation'!X$121)*(Summary!$C$33/((SUM(Summary!$C$28:$C$33)+SUM(Summary!$C$39:$C$42))))</f>
        <v>76559.3251473454</v>
      </c>
      <c r="Q26" s="341" t="n">
        <f aca="false">('GAAP Beg Depreciation'!Y$121)*(Summary!$C$33/((SUM(Summary!$C$28:$C$33)+SUM(Summary!$C$39:$C$42))))</f>
        <v>76559.3251473454</v>
      </c>
      <c r="R26" s="341" t="n">
        <f aca="false">('GAAP Beg Depreciation'!Z$121)*(Summary!$C$33/((SUM(Summary!$C$28:$C$33)+SUM(Summary!$C$39:$C$42))))</f>
        <v>76559.3251473454</v>
      </c>
      <c r="S26" s="341" t="n">
        <f aca="false">('GAAP Beg Depreciation'!AA$121)*(Summary!$C$33/((SUM(Summary!$C$28:$C$33)+SUM(Summary!$C$39:$C$42))))</f>
        <v>75497.3897622963</v>
      </c>
      <c r="T26" s="341" t="n">
        <f aca="false">('GAAP Beg Depreciation'!AB$121)*(Summary!$C$33/((SUM(Summary!$C$28:$C$33)+SUM(Summary!$C$39:$C$42))))</f>
        <v>72626.5391209393</v>
      </c>
      <c r="U26" s="341" t="n">
        <f aca="false">('GAAP Beg Depreciation'!AC$121)*(Summary!$C$33/((SUM(Summary!$C$28:$C$33)+SUM(Summary!$C$39:$C$42))))</f>
        <v>72626.5391209393</v>
      </c>
      <c r="V26" s="341" t="n">
        <f aca="false">('GAAP Beg Depreciation'!AD$121)*(Summary!$C$33/((SUM(Summary!$C$28:$C$33)+SUM(Summary!$C$39:$C$42))))</f>
        <v>72626.5391209393</v>
      </c>
      <c r="W26" s="341" t="n">
        <f aca="false">('GAAP Beg Depreciation'!AE$121)*(Summary!$C$33/((SUM(Summary!$C$28:$C$33)+SUM(Summary!$C$39:$C$42))))</f>
        <v>72626.5391209393</v>
      </c>
      <c r="X26" s="341" t="n">
        <f aca="false">('GAAP Beg Depreciation'!AF$121)*(Summary!$C$33/((SUM(Summary!$C$28:$C$33)+SUM(Summary!$C$39:$C$42))))</f>
        <v>72626.5391209393</v>
      </c>
      <c r="Y26" s="341" t="n">
        <f aca="false">('GAAP Beg Depreciation'!AG$121)*(Summary!$C$33/((SUM(Summary!$C$28:$C$33)+SUM(Summary!$C$39:$C$42))))</f>
        <v>72626.5391209393</v>
      </c>
      <c r="Z26" s="341" t="n">
        <f aca="false">('GAAP Beg Depreciation'!AH$121)*(Summary!$C$33/((SUM(Summary!$C$28:$C$33)+SUM(Summary!$C$39:$C$42))))</f>
        <v>71954.9703524386</v>
      </c>
      <c r="AA26" s="341" t="n">
        <f aca="false">('GAAP Beg Depreciation'!AI$121)*(Summary!$C$33/((SUM(Summary!$C$28:$C$33)+SUM(Summary!$C$39:$C$42))))</f>
        <v>67683.1655363883</v>
      </c>
      <c r="AB26" s="341" t="n">
        <f aca="false">('GAAP Beg Depreciation'!AJ$121)*(Summary!$C$33/((SUM(Summary!$C$28:$C$33)+SUM(Summary!$C$39:$C$42))))</f>
        <v>67683.1655363883</v>
      </c>
      <c r="AC26" s="341" t="n">
        <f aca="false">('GAAP Beg Depreciation'!AK$121)*(Summary!$C$33/((SUM(Summary!$C$28:$C$33)+SUM(Summary!$C$39:$C$42))))</f>
        <v>67683.1655363883</v>
      </c>
      <c r="AD26" s="341" t="n">
        <f aca="false">('GAAP Beg Depreciation'!AL$121)*(Summary!$C$33/((SUM(Summary!$C$28:$C$33)+SUM(Summary!$C$39:$C$42))))</f>
        <v>67683.1655363883</v>
      </c>
      <c r="AE26" s="341" t="n">
        <f aca="false">('GAAP Beg Depreciation'!AM$121)*(Summary!$C$33/((SUM(Summary!$C$28:$C$33)+SUM(Summary!$C$39:$C$42))))</f>
        <v>67683.1655363883</v>
      </c>
      <c r="AF26" s="341" t="n">
        <f aca="false">('GAAP Beg Depreciation'!AN$121)*(Summary!$C$33/((SUM(Summary!$C$28:$C$33)+SUM(Summary!$C$39:$C$42))))</f>
        <v>67683.1655363883</v>
      </c>
      <c r="AG26" s="341" t="n">
        <f aca="false">('GAAP Beg Depreciation'!AO$121)*(Summary!$C$33/((SUM(Summary!$C$28:$C$33)+SUM(Summary!$C$39:$C$42))))</f>
        <v>1865.07165343232</v>
      </c>
    </row>
    <row r="27" customFormat="false" ht="12.75" hidden="false" customHeight="false" outlineLevel="0" collapsed="false">
      <c r="A27" s="0" t="n">
        <v>18</v>
      </c>
      <c r="B27" s="0" t="s">
        <v>87</v>
      </c>
      <c r="C27" s="341" t="n">
        <f aca="false">'GAAP Beg Depreciation'!K128</f>
        <v>37682075.1571728</v>
      </c>
      <c r="D27" s="341" t="n">
        <f aca="false">'GAAP Beg Depreciation'!L128</f>
        <v>37682075.1571728</v>
      </c>
      <c r="E27" s="341" t="n">
        <f aca="false">'GAAP Beg Depreciation'!M128</f>
        <v>37682075.1571728</v>
      </c>
      <c r="F27" s="341" t="n">
        <f aca="false">'GAAP Beg Depreciation'!N128</f>
        <v>37682075.1571728</v>
      </c>
      <c r="G27" s="341" t="n">
        <f aca="false">'GAAP Beg Depreciation'!O128</f>
        <v>37682075.1571728</v>
      </c>
      <c r="H27" s="341" t="n">
        <f aca="false">'GAAP Beg Depreciation'!P128</f>
        <v>37682075.1571728</v>
      </c>
      <c r="I27" s="341" t="n">
        <f aca="false">'GAAP Beg Depreciation'!Q128</f>
        <v>37682075.1571728</v>
      </c>
      <c r="J27" s="341" t="n">
        <f aca="false">'GAAP Beg Depreciation'!R128</f>
        <v>37682075.1571728</v>
      </c>
      <c r="K27" s="341" t="n">
        <f aca="false">'GAAP Beg Depreciation'!S128</f>
        <v>37682075.1571728</v>
      </c>
      <c r="L27" s="341" t="n">
        <f aca="false">'GAAP Beg Depreciation'!T128</f>
        <v>37682075.1571728</v>
      </c>
      <c r="M27" s="341" t="n">
        <f aca="false">'GAAP Beg Depreciation'!U128</f>
        <v>37682075.1571728</v>
      </c>
      <c r="N27" s="341" t="n">
        <f aca="false">'GAAP Beg Depreciation'!V128</f>
        <v>37682075.1571728</v>
      </c>
      <c r="O27" s="341" t="n">
        <f aca="false">'GAAP Beg Depreciation'!W128</f>
        <v>37682075.1571728</v>
      </c>
      <c r="P27" s="341" t="n">
        <f aca="false">'GAAP Beg Depreciation'!X128</f>
        <v>37682075.1571728</v>
      </c>
      <c r="Q27" s="341" t="n">
        <f aca="false">'GAAP Beg Depreciation'!Y128</f>
        <v>37682075.1571728</v>
      </c>
      <c r="R27" s="341" t="n">
        <f aca="false">'GAAP Beg Depreciation'!Z128</f>
        <v>37682075.1571728</v>
      </c>
      <c r="S27" s="341" t="n">
        <f aca="false">'GAAP Beg Depreciation'!AA128</f>
        <v>37682075.1571728</v>
      </c>
      <c r="T27" s="341" t="n">
        <f aca="false">'GAAP Beg Depreciation'!AB128</f>
        <v>37682075.1571728</v>
      </c>
      <c r="U27" s="341" t="n">
        <f aca="false">'GAAP Beg Depreciation'!AC128</f>
        <v>37682075.1571728</v>
      </c>
      <c r="V27" s="341" t="n">
        <f aca="false">'GAAP Beg Depreciation'!AD128</f>
        <v>37682075.1571728</v>
      </c>
      <c r="W27" s="341" t="n">
        <f aca="false">'GAAP Beg Depreciation'!AE128</f>
        <v>37682075.1571728</v>
      </c>
      <c r="X27" s="341" t="n">
        <f aca="false">'GAAP Beg Depreciation'!AF128</f>
        <v>37682075.1571728</v>
      </c>
      <c r="Y27" s="341" t="n">
        <f aca="false">'GAAP Beg Depreciation'!AG128</f>
        <v>37682075.1571728</v>
      </c>
      <c r="Z27" s="341" t="n">
        <f aca="false">'GAAP Beg Depreciation'!AH128</f>
        <v>37682075.1571728</v>
      </c>
      <c r="AA27" s="341" t="n">
        <f aca="false">'GAAP Beg Depreciation'!AI128</f>
        <v>37682075.1571728</v>
      </c>
      <c r="AB27" s="341" t="n">
        <f aca="false">'GAAP Beg Depreciation'!AJ128</f>
        <v>11232327.237173</v>
      </c>
      <c r="AC27" s="341" t="n">
        <f aca="false">'GAAP Beg Depreciation'!AK128</f>
        <v>1581143.40717281</v>
      </c>
      <c r="AD27" s="341" t="n">
        <f aca="false">'GAAP Beg Depreciation'!AL128</f>
        <v>1542133.15717281</v>
      </c>
      <c r="AE27" s="341" t="n">
        <f aca="false">'GAAP Beg Depreciation'!AM128</f>
        <v>1542133.15717281</v>
      </c>
      <c r="AF27" s="341" t="n">
        <f aca="false">'GAAP Beg Depreciation'!AN128</f>
        <v>1542133.15717281</v>
      </c>
      <c r="AG27" s="341" t="n">
        <f aca="false">'GAAP Beg Depreciation'!AO128</f>
        <v>0</v>
      </c>
    </row>
    <row r="28" customFormat="false" ht="12.75" hidden="false" customHeight="false" outlineLevel="0" collapsed="false">
      <c r="A28" s="0" t="n">
        <v>19</v>
      </c>
      <c r="B28" s="0" t="s">
        <v>88</v>
      </c>
      <c r="C28" s="341" t="n">
        <f aca="false">('GAAP Beg Depreciation'!K$123)*(Summary!$C35/SUM(Summary!$C$35:$C$37))</f>
        <v>660412.1280076</v>
      </c>
      <c r="D28" s="341" t="n">
        <f aca="false">('GAAP Beg Depreciation'!L$123)*(Summary!$C35/SUM(Summary!$C$35:$C$37))</f>
        <v>660412.1280076</v>
      </c>
      <c r="E28" s="341" t="n">
        <f aca="false">('GAAP Beg Depreciation'!M$123)*(Summary!$C35/SUM(Summary!$C$35:$C$37))</f>
        <v>660412.1280076</v>
      </c>
      <c r="F28" s="341" t="n">
        <f aca="false">('GAAP Beg Depreciation'!N$123)*(Summary!$C35/SUM(Summary!$C$35:$C$37))</f>
        <v>660412.1280076</v>
      </c>
      <c r="G28" s="341" t="n">
        <f aca="false">('GAAP Beg Depreciation'!O$123)*(Summary!$C35/SUM(Summary!$C$35:$C$37))</f>
        <v>619236.231091301</v>
      </c>
      <c r="H28" s="341" t="n">
        <f aca="false">('GAAP Beg Depreciation'!P$123)*(Summary!$C35/SUM(Summary!$C$35:$C$37))</f>
        <v>28419.6005479822</v>
      </c>
      <c r="I28" s="341" t="n">
        <f aca="false">('GAAP Beg Depreciation'!Q$123)*(Summary!$C35/SUM(Summary!$C$35:$C$37))</f>
        <v>28419.6005479822</v>
      </c>
      <c r="J28" s="341" t="n">
        <f aca="false">('GAAP Beg Depreciation'!R$123)*(Summary!$C35/SUM(Summary!$C$35:$C$37))</f>
        <v>28419.6005479822</v>
      </c>
      <c r="K28" s="341" t="n">
        <f aca="false">('GAAP Beg Depreciation'!S$123)*(Summary!$C35/SUM(Summary!$C$35:$C$37))</f>
        <v>28419.6005479822</v>
      </c>
      <c r="L28" s="341" t="n">
        <f aca="false">('GAAP Beg Depreciation'!T$123)*(Summary!$C35/SUM(Summary!$C$35:$C$37))</f>
        <v>28419.6005479822</v>
      </c>
      <c r="M28" s="341" t="n">
        <f aca="false">('GAAP Beg Depreciation'!U$123)*(Summary!$C35/SUM(Summary!$C$35:$C$37))</f>
        <v>28419.6005479822</v>
      </c>
      <c r="N28" s="341" t="n">
        <f aca="false">('GAAP Beg Depreciation'!V$123)*(Summary!$C35/SUM(Summary!$C$35:$C$37))</f>
        <v>28419.6005479822</v>
      </c>
      <c r="O28" s="341" t="n">
        <f aca="false">('GAAP Beg Depreciation'!W$123)*(Summary!$C35/SUM(Summary!$C$35:$C$37))</f>
        <v>28419.6005479822</v>
      </c>
      <c r="P28" s="341" t="n">
        <f aca="false">('GAAP Beg Depreciation'!X$123)*(Summary!$C35/SUM(Summary!$C$35:$C$37))</f>
        <v>28419.6005479822</v>
      </c>
      <c r="Q28" s="341" t="n">
        <f aca="false">('GAAP Beg Depreciation'!Y$123)*(Summary!$C35/SUM(Summary!$C$35:$C$37))</f>
        <v>28419.6005479822</v>
      </c>
      <c r="R28" s="341" t="n">
        <f aca="false">('GAAP Beg Depreciation'!Z$123)*(Summary!$C35/SUM(Summary!$C$35:$C$37))</f>
        <v>28419.6005479822</v>
      </c>
      <c r="S28" s="341" t="n">
        <f aca="false">('GAAP Beg Depreciation'!AA$123)*(Summary!$C35/SUM(Summary!$C$35:$C$37))</f>
        <v>28419.6005479822</v>
      </c>
      <c r="T28" s="341" t="n">
        <f aca="false">('GAAP Beg Depreciation'!AB$123)*(Summary!$C35/SUM(Summary!$C$35:$C$37))</f>
        <v>28419.6005479822</v>
      </c>
      <c r="U28" s="341" t="n">
        <f aca="false">('GAAP Beg Depreciation'!AC$123)*(Summary!$C35/SUM(Summary!$C$35:$C$37))</f>
        <v>28419.6005479822</v>
      </c>
      <c r="V28" s="341" t="n">
        <f aca="false">('GAAP Beg Depreciation'!AD$123)*(Summary!$C35/SUM(Summary!$C$35:$C$37))</f>
        <v>28419.6005479822</v>
      </c>
      <c r="W28" s="341" t="n">
        <f aca="false">('GAAP Beg Depreciation'!AE$123)*(Summary!$C35/SUM(Summary!$C$35:$C$37))</f>
        <v>28419.6005479822</v>
      </c>
      <c r="X28" s="341" t="n">
        <f aca="false">('GAAP Beg Depreciation'!AF$123)*(Summary!$C35/SUM(Summary!$C$35:$C$37))</f>
        <v>28419.6005479822</v>
      </c>
      <c r="Y28" s="341" t="n">
        <f aca="false">('GAAP Beg Depreciation'!AG$123)*(Summary!$C35/SUM(Summary!$C$35:$C$37))</f>
        <v>28419.6005479822</v>
      </c>
      <c r="Z28" s="341" t="n">
        <f aca="false">('GAAP Beg Depreciation'!AH$123)*(Summary!$C35/SUM(Summary!$C$35:$C$37))</f>
        <v>28419.6005479822</v>
      </c>
      <c r="AA28" s="341" t="n">
        <f aca="false">('GAAP Beg Depreciation'!AI$123)*(Summary!$C35/SUM(Summary!$C$35:$C$37))</f>
        <v>28419.6005479822</v>
      </c>
      <c r="AB28" s="341" t="n">
        <f aca="false">('GAAP Beg Depreciation'!AJ$123)*(Summary!$C35/SUM(Summary!$C$35:$C$37))</f>
        <v>28419.6005479822</v>
      </c>
      <c r="AC28" s="341" t="n">
        <f aca="false">('GAAP Beg Depreciation'!AK$123)*(Summary!$C35/SUM(Summary!$C$35:$C$37))</f>
        <v>28419.6005479822</v>
      </c>
      <c r="AD28" s="341" t="n">
        <f aca="false">('GAAP Beg Depreciation'!AL$123)*(Summary!$C35/SUM(Summary!$C$35:$C$37))</f>
        <v>28419.6005479822</v>
      </c>
      <c r="AE28" s="341" t="n">
        <f aca="false">('GAAP Beg Depreciation'!AM$123)*(Summary!$C35/SUM(Summary!$C$35:$C$37))</f>
        <v>28419.6005479822</v>
      </c>
      <c r="AF28" s="341" t="n">
        <f aca="false">('GAAP Beg Depreciation'!AN$123)*(Summary!$C35/SUM(Summary!$C$35:$C$37))</f>
        <v>28419.6005479822</v>
      </c>
      <c r="AG28" s="341" t="n">
        <f aca="false">('GAAP Beg Depreciation'!AO$123)*(Summary!$C35/SUM(Summary!$C$35:$C$37))</f>
        <v>19309.1923641703</v>
      </c>
    </row>
    <row r="29" customFormat="false" ht="12.75" hidden="false" customHeight="false" outlineLevel="0" collapsed="false">
      <c r="A29" s="0" t="n">
        <v>20</v>
      </c>
      <c r="B29" s="0" t="s">
        <v>89</v>
      </c>
      <c r="C29" s="341" t="n">
        <f aca="false">('GAAP Beg Depreciation'!K$123)*(Summary!$C36/SUM(Summary!$C$35:$C$37))</f>
        <v>101933.176279434</v>
      </c>
      <c r="D29" s="341" t="n">
        <f aca="false">('GAAP Beg Depreciation'!L$123)*(Summary!$C36/SUM(Summary!$C$35:$C$37))</f>
        <v>101933.176279434</v>
      </c>
      <c r="E29" s="341" t="n">
        <f aca="false">('GAAP Beg Depreciation'!M$123)*(Summary!$C36/SUM(Summary!$C$35:$C$37))</f>
        <v>101933.176279434</v>
      </c>
      <c r="F29" s="341" t="n">
        <f aca="false">('GAAP Beg Depreciation'!N$123)*(Summary!$C36/SUM(Summary!$C$35:$C$37))</f>
        <v>101933.176279434</v>
      </c>
      <c r="G29" s="341" t="n">
        <f aca="false">('GAAP Beg Depreciation'!O$123)*(Summary!$C36/SUM(Summary!$C$35:$C$37))</f>
        <v>95577.7661032226</v>
      </c>
      <c r="H29" s="341" t="n">
        <f aca="false">('GAAP Beg Depreciation'!P$123)*(Summary!$C36/SUM(Summary!$C$35:$C$37))</f>
        <v>4386.50356284074</v>
      </c>
      <c r="I29" s="341" t="n">
        <f aca="false">('GAAP Beg Depreciation'!Q$123)*(Summary!$C36/SUM(Summary!$C$35:$C$37))</f>
        <v>4386.50356284074</v>
      </c>
      <c r="J29" s="341" t="n">
        <f aca="false">('GAAP Beg Depreciation'!R$123)*(Summary!$C36/SUM(Summary!$C$35:$C$37))</f>
        <v>4386.50356284074</v>
      </c>
      <c r="K29" s="341" t="n">
        <f aca="false">('GAAP Beg Depreciation'!S$123)*(Summary!$C36/SUM(Summary!$C$35:$C$37))</f>
        <v>4386.50356284074</v>
      </c>
      <c r="L29" s="341" t="n">
        <f aca="false">('GAAP Beg Depreciation'!T$123)*(Summary!$C36/SUM(Summary!$C$35:$C$37))</f>
        <v>4386.50356284074</v>
      </c>
      <c r="M29" s="341" t="n">
        <f aca="false">('GAAP Beg Depreciation'!U$123)*(Summary!$C36/SUM(Summary!$C$35:$C$37))</f>
        <v>4386.50356284074</v>
      </c>
      <c r="N29" s="341" t="n">
        <f aca="false">('GAAP Beg Depreciation'!V$123)*(Summary!$C36/SUM(Summary!$C$35:$C$37))</f>
        <v>4386.50356284074</v>
      </c>
      <c r="O29" s="341" t="n">
        <f aca="false">('GAAP Beg Depreciation'!W$123)*(Summary!$C36/SUM(Summary!$C$35:$C$37))</f>
        <v>4386.50356284074</v>
      </c>
      <c r="P29" s="341" t="n">
        <f aca="false">('GAAP Beg Depreciation'!X$123)*(Summary!$C36/SUM(Summary!$C$35:$C$37))</f>
        <v>4386.50356284074</v>
      </c>
      <c r="Q29" s="341" t="n">
        <f aca="false">('GAAP Beg Depreciation'!Y$123)*(Summary!$C36/SUM(Summary!$C$35:$C$37))</f>
        <v>4386.50356284074</v>
      </c>
      <c r="R29" s="341" t="n">
        <f aca="false">('GAAP Beg Depreciation'!Z$123)*(Summary!$C36/SUM(Summary!$C$35:$C$37))</f>
        <v>4386.50356284074</v>
      </c>
      <c r="S29" s="341" t="n">
        <f aca="false">('GAAP Beg Depreciation'!AA$123)*(Summary!$C36/SUM(Summary!$C$35:$C$37))</f>
        <v>4386.50356284074</v>
      </c>
      <c r="T29" s="341" t="n">
        <f aca="false">('GAAP Beg Depreciation'!AB$123)*(Summary!$C36/SUM(Summary!$C$35:$C$37))</f>
        <v>4386.50356284074</v>
      </c>
      <c r="U29" s="341" t="n">
        <f aca="false">('GAAP Beg Depreciation'!AC$123)*(Summary!$C36/SUM(Summary!$C$35:$C$37))</f>
        <v>4386.50356284074</v>
      </c>
      <c r="V29" s="341" t="n">
        <f aca="false">('GAAP Beg Depreciation'!AD$123)*(Summary!$C36/SUM(Summary!$C$35:$C$37))</f>
        <v>4386.50356284074</v>
      </c>
      <c r="W29" s="341" t="n">
        <f aca="false">('GAAP Beg Depreciation'!AE$123)*(Summary!$C36/SUM(Summary!$C$35:$C$37))</f>
        <v>4386.50356284074</v>
      </c>
      <c r="X29" s="341" t="n">
        <f aca="false">('GAAP Beg Depreciation'!AF$123)*(Summary!$C36/SUM(Summary!$C$35:$C$37))</f>
        <v>4386.50356284074</v>
      </c>
      <c r="Y29" s="341" t="n">
        <f aca="false">('GAAP Beg Depreciation'!AG$123)*(Summary!$C36/SUM(Summary!$C$35:$C$37))</f>
        <v>4386.50356284074</v>
      </c>
      <c r="Z29" s="341" t="n">
        <f aca="false">('GAAP Beg Depreciation'!AH$123)*(Summary!$C36/SUM(Summary!$C$35:$C$37))</f>
        <v>4386.50356284074</v>
      </c>
      <c r="AA29" s="341" t="n">
        <f aca="false">('GAAP Beg Depreciation'!AI$123)*(Summary!$C36/SUM(Summary!$C$35:$C$37))</f>
        <v>4386.50356284074</v>
      </c>
      <c r="AB29" s="341" t="n">
        <f aca="false">('GAAP Beg Depreciation'!AJ$123)*(Summary!$C36/SUM(Summary!$C$35:$C$37))</f>
        <v>4386.50356284074</v>
      </c>
      <c r="AC29" s="341" t="n">
        <f aca="false">('GAAP Beg Depreciation'!AK$123)*(Summary!$C36/SUM(Summary!$C$35:$C$37))</f>
        <v>4386.50356284074</v>
      </c>
      <c r="AD29" s="341" t="n">
        <f aca="false">('GAAP Beg Depreciation'!AL$123)*(Summary!$C36/SUM(Summary!$C$35:$C$37))</f>
        <v>4386.50356284074</v>
      </c>
      <c r="AE29" s="341" t="n">
        <f aca="false">('GAAP Beg Depreciation'!AM$123)*(Summary!$C36/SUM(Summary!$C$35:$C$37))</f>
        <v>4386.50356284074</v>
      </c>
      <c r="AF29" s="341" t="n">
        <f aca="false">('GAAP Beg Depreciation'!AN$123)*(Summary!$C36/SUM(Summary!$C$35:$C$37))</f>
        <v>4386.50356284074</v>
      </c>
      <c r="AG29" s="341" t="n">
        <f aca="false">('GAAP Beg Depreciation'!AO$123)*(Summary!$C36/SUM(Summary!$C$35:$C$37))</f>
        <v>2980.33186490455</v>
      </c>
    </row>
    <row r="30" customFormat="false" ht="12.75" hidden="false" customHeight="false" outlineLevel="0" collapsed="false">
      <c r="A30" s="0" t="n">
        <v>21</v>
      </c>
      <c r="B30" s="0" t="s">
        <v>90</v>
      </c>
      <c r="C30" s="341" t="n">
        <f aca="false">('GAAP Beg Depreciation'!K$123)*(Summary!$C37/SUM(Summary!$C$35:$C$37))</f>
        <v>215351.780872044</v>
      </c>
      <c r="D30" s="341" t="n">
        <f aca="false">('GAAP Beg Depreciation'!L$123)*(Summary!$C37/SUM(Summary!$C$35:$C$37))</f>
        <v>215351.780872044</v>
      </c>
      <c r="E30" s="341" t="n">
        <f aca="false">('GAAP Beg Depreciation'!M$123)*(Summary!$C37/SUM(Summary!$C$35:$C$37))</f>
        <v>215351.780872044</v>
      </c>
      <c r="F30" s="341" t="n">
        <f aca="false">('GAAP Beg Depreciation'!N$123)*(Summary!$C37/SUM(Summary!$C$35:$C$37))</f>
        <v>215351.780872044</v>
      </c>
      <c r="G30" s="341" t="n">
        <f aca="false">('GAAP Beg Depreciation'!O$123)*(Summary!$C37/SUM(Summary!$C$35:$C$37))</f>
        <v>201924.857964555</v>
      </c>
      <c r="H30" s="341" t="n">
        <f aca="false">('GAAP Beg Depreciation'!P$123)*(Summary!$C37/SUM(Summary!$C$35:$C$37))</f>
        <v>9267.26104825508</v>
      </c>
      <c r="I30" s="341" t="n">
        <f aca="false">('GAAP Beg Depreciation'!Q$123)*(Summary!$C37/SUM(Summary!$C$35:$C$37))</f>
        <v>9267.26104825508</v>
      </c>
      <c r="J30" s="341" t="n">
        <f aca="false">('GAAP Beg Depreciation'!R$123)*(Summary!$C37/SUM(Summary!$C$35:$C$37))</f>
        <v>9267.26104825508</v>
      </c>
      <c r="K30" s="341" t="n">
        <f aca="false">('GAAP Beg Depreciation'!S$123)*(Summary!$C37/SUM(Summary!$C$35:$C$37))</f>
        <v>9267.26104825508</v>
      </c>
      <c r="L30" s="341" t="n">
        <f aca="false">('GAAP Beg Depreciation'!T$123)*(Summary!$C37/SUM(Summary!$C$35:$C$37))</f>
        <v>9267.26104825508</v>
      </c>
      <c r="M30" s="341" t="n">
        <f aca="false">('GAAP Beg Depreciation'!U$123)*(Summary!$C37/SUM(Summary!$C$35:$C$37))</f>
        <v>9267.26104825508</v>
      </c>
      <c r="N30" s="341" t="n">
        <f aca="false">('GAAP Beg Depreciation'!V$123)*(Summary!$C37/SUM(Summary!$C$35:$C$37))</f>
        <v>9267.26104825508</v>
      </c>
      <c r="O30" s="341" t="n">
        <f aca="false">('GAAP Beg Depreciation'!W$123)*(Summary!$C37/SUM(Summary!$C$35:$C$37))</f>
        <v>9267.26104825508</v>
      </c>
      <c r="P30" s="341" t="n">
        <f aca="false">('GAAP Beg Depreciation'!X$123)*(Summary!$C37/SUM(Summary!$C$35:$C$37))</f>
        <v>9267.26104825508</v>
      </c>
      <c r="Q30" s="341" t="n">
        <f aca="false">('GAAP Beg Depreciation'!Y$123)*(Summary!$C37/SUM(Summary!$C$35:$C$37))</f>
        <v>9267.26104825508</v>
      </c>
      <c r="R30" s="341" t="n">
        <f aca="false">('GAAP Beg Depreciation'!Z$123)*(Summary!$C37/SUM(Summary!$C$35:$C$37))</f>
        <v>9267.26104825508</v>
      </c>
      <c r="S30" s="341" t="n">
        <f aca="false">('GAAP Beg Depreciation'!AA$123)*(Summary!$C37/SUM(Summary!$C$35:$C$37))</f>
        <v>9267.26104825508</v>
      </c>
      <c r="T30" s="341" t="n">
        <f aca="false">('GAAP Beg Depreciation'!AB$123)*(Summary!$C37/SUM(Summary!$C$35:$C$37))</f>
        <v>9267.26104825508</v>
      </c>
      <c r="U30" s="341" t="n">
        <f aca="false">('GAAP Beg Depreciation'!AC$123)*(Summary!$C37/SUM(Summary!$C$35:$C$37))</f>
        <v>9267.26104825508</v>
      </c>
      <c r="V30" s="341" t="n">
        <f aca="false">('GAAP Beg Depreciation'!AD$123)*(Summary!$C37/SUM(Summary!$C$35:$C$37))</f>
        <v>9267.26104825508</v>
      </c>
      <c r="W30" s="341" t="n">
        <f aca="false">('GAAP Beg Depreciation'!AE$123)*(Summary!$C37/SUM(Summary!$C$35:$C$37))</f>
        <v>9267.26104825508</v>
      </c>
      <c r="X30" s="341" t="n">
        <f aca="false">('GAAP Beg Depreciation'!AF$123)*(Summary!$C37/SUM(Summary!$C$35:$C$37))</f>
        <v>9267.26104825508</v>
      </c>
      <c r="Y30" s="341" t="n">
        <f aca="false">('GAAP Beg Depreciation'!AG$123)*(Summary!$C37/SUM(Summary!$C$35:$C$37))</f>
        <v>9267.26104825508</v>
      </c>
      <c r="Z30" s="341" t="n">
        <f aca="false">('GAAP Beg Depreciation'!AH$123)*(Summary!$C37/SUM(Summary!$C$35:$C$37))</f>
        <v>9267.26104825508</v>
      </c>
      <c r="AA30" s="341" t="n">
        <f aca="false">('GAAP Beg Depreciation'!AI$123)*(Summary!$C37/SUM(Summary!$C$35:$C$37))</f>
        <v>9267.26104825508</v>
      </c>
      <c r="AB30" s="341" t="n">
        <f aca="false">('GAAP Beg Depreciation'!AJ$123)*(Summary!$C37/SUM(Summary!$C$35:$C$37))</f>
        <v>9267.26104825508</v>
      </c>
      <c r="AC30" s="341" t="n">
        <f aca="false">('GAAP Beg Depreciation'!AK$123)*(Summary!$C37/SUM(Summary!$C$35:$C$37))</f>
        <v>9267.26104825508</v>
      </c>
      <c r="AD30" s="341" t="n">
        <f aca="false">('GAAP Beg Depreciation'!AL$123)*(Summary!$C37/SUM(Summary!$C$35:$C$37))</f>
        <v>9267.26104825508</v>
      </c>
      <c r="AE30" s="341" t="n">
        <f aca="false">('GAAP Beg Depreciation'!AM$123)*(Summary!$C37/SUM(Summary!$C$35:$C$37))</f>
        <v>9267.26104825508</v>
      </c>
      <c r="AF30" s="341" t="n">
        <f aca="false">('GAAP Beg Depreciation'!AN$123)*(Summary!$C37/SUM(Summary!$C$35:$C$37))</f>
        <v>9267.26104825508</v>
      </c>
      <c r="AG30" s="341" t="n">
        <f aca="false">('GAAP Beg Depreciation'!AO$123)*(Summary!$C37/SUM(Summary!$C$35:$C$37))</f>
        <v>6296.47577092511</v>
      </c>
    </row>
    <row r="31" customFormat="false" ht="12.75" hidden="false" customHeight="false" outlineLevel="0" collapsed="false">
      <c r="A31" s="0" t="n">
        <v>22</v>
      </c>
      <c r="B31" s="0" t="s">
        <v>91</v>
      </c>
      <c r="C31" s="341" t="n">
        <f aca="false">('GAAP Beg Depreciation'!K$122)*(Summary!$C$38/((SUM(Summary!$C$24:$C$27)+Summary!$C$38)))</f>
        <v>624931.895552673</v>
      </c>
      <c r="D31" s="341" t="n">
        <f aca="false">('GAAP Beg Depreciation'!L$122)*(Summary!$C$38/((SUM(Summary!$C$24:$C$27)+Summary!$C$38)))</f>
        <v>624931.895552673</v>
      </c>
      <c r="E31" s="341" t="n">
        <f aca="false">('GAAP Beg Depreciation'!M$122)*(Summary!$C$38/((SUM(Summary!$C$24:$C$27)+Summary!$C$38)))</f>
        <v>623625.192151949</v>
      </c>
      <c r="F31" s="341" t="n">
        <f aca="false">('GAAP Beg Depreciation'!N$122)*(Summary!$C$38/((SUM(Summary!$C$24:$C$27)+Summary!$C$38)))</f>
        <v>618899.539732285</v>
      </c>
      <c r="G31" s="341" t="n">
        <f aca="false">('GAAP Beg Depreciation'!O$122)*(Summary!$C$38/((SUM(Summary!$C$24:$C$27)+Summary!$C$38)))</f>
        <v>618833.743477763</v>
      </c>
      <c r="H31" s="341" t="n">
        <f aca="false">('GAAP Beg Depreciation'!P$122)*(Summary!$C$38/((SUM(Summary!$C$24:$C$27)+Summary!$C$38)))</f>
        <v>618766.514833371</v>
      </c>
      <c r="I31" s="341" t="n">
        <f aca="false">('GAAP Beg Depreciation'!Q$122)*(Summary!$C$38/((SUM(Summary!$C$24:$C$27)+Summary!$C$38)))</f>
        <v>618766.514833371</v>
      </c>
      <c r="J31" s="341" t="n">
        <f aca="false">('GAAP Beg Depreciation'!R$122)*(Summary!$C$38/((SUM(Summary!$C$24:$C$27)+Summary!$C$38)))</f>
        <v>521423.553003193</v>
      </c>
      <c r="K31" s="341" t="n">
        <f aca="false">('GAAP Beg Depreciation'!S$122)*(Summary!$C$38/((SUM(Summary!$C$24:$C$27)+Summary!$C$38)))</f>
        <v>447962.45759566</v>
      </c>
      <c r="L31" s="341" t="n">
        <f aca="false">('GAAP Beg Depreciation'!T$122)*(Summary!$C$38/((SUM(Summary!$C$24:$C$27)+Summary!$C$38)))</f>
        <v>413017.147853162</v>
      </c>
      <c r="M31" s="341" t="n">
        <f aca="false">('GAAP Beg Depreciation'!U$122)*(Summary!$C$38/((SUM(Summary!$C$24:$C$27)+Summary!$C$38)))</f>
        <v>409983.585444139</v>
      </c>
      <c r="N31" s="341" t="n">
        <f aca="false">('GAAP Beg Depreciation'!V$122)*(Summary!$C$38/((SUM(Summary!$C$24:$C$27)+Summary!$C$38)))</f>
        <v>409983.585444139</v>
      </c>
      <c r="O31" s="341" t="n">
        <f aca="false">('GAAP Beg Depreciation'!W$122)*(Summary!$C$38/((SUM(Summary!$C$24:$C$27)+Summary!$C$38)))</f>
        <v>409983.585444139</v>
      </c>
      <c r="P31" s="341" t="n">
        <f aca="false">('GAAP Beg Depreciation'!X$122)*(Summary!$C$38/((SUM(Summary!$C$24:$C$27)+Summary!$C$38)))</f>
        <v>326312.848385191</v>
      </c>
      <c r="Q31" s="341" t="n">
        <f aca="false">('GAAP Beg Depreciation'!Y$122)*(Summary!$C$38/((SUM(Summary!$C$24:$C$27)+Summary!$C$38)))</f>
        <v>211992.766052779</v>
      </c>
      <c r="R31" s="341" t="n">
        <f aca="false">('GAAP Beg Depreciation'!Z$122)*(Summary!$C$38/((SUM(Summary!$C$24:$C$27)+Summary!$C$38)))</f>
        <v>38224.4674275398</v>
      </c>
      <c r="S31" s="341" t="n">
        <f aca="false">('GAAP Beg Depreciation'!AA$122)*(Summary!$C$38/((SUM(Summary!$C$24:$C$27)+Summary!$C$38)))</f>
        <v>27287.6147354774</v>
      </c>
      <c r="T31" s="341" t="n">
        <f aca="false">('GAAP Beg Depreciation'!AB$122)*(Summary!$C$38/((SUM(Summary!$C$24:$C$27)+Summary!$C$38)))</f>
        <v>26541.168572464</v>
      </c>
      <c r="U31" s="341" t="n">
        <f aca="false">('GAAP Beg Depreciation'!AC$122)*(Summary!$C$38/((SUM(Summary!$C$24:$C$27)+Summary!$C$38)))</f>
        <v>26541.168572464</v>
      </c>
      <c r="V31" s="341" t="n">
        <f aca="false">('GAAP Beg Depreciation'!AD$122)*(Summary!$C$38/((SUM(Summary!$C$24:$C$27)+Summary!$C$38)))</f>
        <v>25902.7699344559</v>
      </c>
      <c r="W31" s="341" t="n">
        <f aca="false">('GAAP Beg Depreciation'!AE$122)*(Summary!$C$38/((SUM(Summary!$C$24:$C$27)+Summary!$C$38)))</f>
        <v>23908.5200004274</v>
      </c>
      <c r="X31" s="341" t="n">
        <f aca="false">('GAAP Beg Depreciation'!AF$122)*(Summary!$C$38/((SUM(Summary!$C$24:$C$27)+Summary!$C$38)))</f>
        <v>23209.0187533536</v>
      </c>
      <c r="Y31" s="341" t="n">
        <f aca="false">('GAAP Beg Depreciation'!AG$122)*(Summary!$C$38/((SUM(Summary!$C$24:$C$27)+Summary!$C$38)))</f>
        <v>23209.0187533536</v>
      </c>
      <c r="Z31" s="341" t="n">
        <f aca="false">('GAAP Beg Depreciation'!AH$122)*(Summary!$C$38/((SUM(Summary!$C$24:$C$27)+Summary!$C$38)))</f>
        <v>23209.0187533536</v>
      </c>
      <c r="AA31" s="341" t="n">
        <f aca="false">('GAAP Beg Depreciation'!AI$122)*(Summary!$C$38/((SUM(Summary!$C$24:$C$27)+Summary!$C$38)))</f>
        <v>23209.0187533536</v>
      </c>
      <c r="AB31" s="341" t="n">
        <f aca="false">('GAAP Beg Depreciation'!AJ$122)*(Summary!$C$38/((SUM(Summary!$C$24:$C$27)+Summary!$C$38)))</f>
        <v>23209.0187533536</v>
      </c>
      <c r="AC31" s="341" t="n">
        <f aca="false">('GAAP Beg Depreciation'!AK$122)*(Summary!$C$38/((SUM(Summary!$C$24:$C$27)+Summary!$C$38)))</f>
        <v>23209.0187533536</v>
      </c>
      <c r="AD31" s="341" t="n">
        <f aca="false">('GAAP Beg Depreciation'!AL$122)*(Summary!$C$38/((SUM(Summary!$C$24:$C$27)+Summary!$C$38)))</f>
        <v>23209.0187533536</v>
      </c>
      <c r="AE31" s="341" t="n">
        <f aca="false">('GAAP Beg Depreciation'!AM$122)*(Summary!$C$38/((SUM(Summary!$C$24:$C$27)+Summary!$C$38)))</f>
        <v>23209.0187533536</v>
      </c>
      <c r="AF31" s="341" t="n">
        <f aca="false">('GAAP Beg Depreciation'!AN$122)*(Summary!$C$38/((SUM(Summary!$C$24:$C$27)+Summary!$C$38)))</f>
        <v>23209.0187533536</v>
      </c>
      <c r="AG31" s="341" t="n">
        <f aca="false">('GAAP Beg Depreciation'!AO$122)*(Summary!$C$38/((SUM(Summary!$C$24:$C$27)+Summary!$C$38)))</f>
        <v>278.379229623324</v>
      </c>
    </row>
    <row r="32" customFormat="false" ht="12.75" hidden="false" customHeight="false" outlineLevel="0" collapsed="false">
      <c r="A32" s="0" t="n">
        <v>23</v>
      </c>
      <c r="B32" s="0" t="s">
        <v>92</v>
      </c>
      <c r="C32" s="341" t="n">
        <f aca="false">('GAAP Beg Depreciation'!K$121)*(Summary!$C$39/((SUM(Summary!$C$28:$C$33)+SUM(Summary!$C$39:$C$42))))</f>
        <v>572001.506698323</v>
      </c>
      <c r="D32" s="341" t="n">
        <f aca="false">('GAAP Beg Depreciation'!L$121)*(Summary!$C$39/((SUM(Summary!$C$28:$C$33)+SUM(Summary!$C$39:$C$42))))</f>
        <v>572001.506698323</v>
      </c>
      <c r="E32" s="341" t="n">
        <f aca="false">('GAAP Beg Depreciation'!M$121)*(Summary!$C$39/((SUM(Summary!$C$28:$C$33)+SUM(Summary!$C$39:$C$42))))</f>
        <v>570960.764308152</v>
      </c>
      <c r="F32" s="341" t="n">
        <f aca="false">('GAAP Beg Depreciation'!N$121)*(Summary!$C$39/((SUM(Summary!$C$28:$C$33)+SUM(Summary!$C$39:$C$42))))</f>
        <v>567196.951654391</v>
      </c>
      <c r="G32" s="341" t="n">
        <f aca="false">('GAAP Beg Depreciation'!O$121)*(Summary!$C$39/((SUM(Summary!$C$28:$C$33)+SUM(Summary!$C$39:$C$42))))</f>
        <v>551040.936610459</v>
      </c>
      <c r="H32" s="341" t="n">
        <f aca="false">('GAAP Beg Depreciation'!P$121)*(Summary!$C$39/((SUM(Summary!$C$28:$C$33)+SUM(Summary!$C$39:$C$42))))</f>
        <v>504656.488511037</v>
      </c>
      <c r="I32" s="341" t="n">
        <f aca="false">('GAAP Beg Depreciation'!Q$121)*(Summary!$C$39/((SUM(Summary!$C$28:$C$33)+SUM(Summary!$C$39:$C$42))))</f>
        <v>504656.488511037</v>
      </c>
      <c r="J32" s="341" t="n">
        <f aca="false">('GAAP Beg Depreciation'!R$121)*(Summary!$C$39/((SUM(Summary!$C$28:$C$33)+SUM(Summary!$C$39:$C$42))))</f>
        <v>281970.24379906</v>
      </c>
      <c r="K32" s="341" t="n">
        <f aca="false">('GAAP Beg Depreciation'!S$121)*(Summary!$C$39/((SUM(Summary!$C$28:$C$33)+SUM(Summary!$C$39:$C$42))))</f>
        <v>88462.7242341494</v>
      </c>
      <c r="L32" s="341" t="n">
        <f aca="false">('GAAP Beg Depreciation'!T$121)*(Summary!$C$39/((SUM(Summary!$C$28:$C$33)+SUM(Summary!$C$39:$C$42))))</f>
        <v>88268.02735495</v>
      </c>
      <c r="M32" s="341" t="n">
        <f aca="false">('GAAP Beg Depreciation'!U$121)*(Summary!$C$39/((SUM(Summary!$C$28:$C$33)+SUM(Summary!$C$39:$C$42))))</f>
        <v>80883.1321352913</v>
      </c>
      <c r="N32" s="341" t="n">
        <f aca="false">('GAAP Beg Depreciation'!V$121)*(Summary!$C$39/((SUM(Summary!$C$28:$C$33)+SUM(Summary!$C$39:$C$42))))</f>
        <v>25260.8787805009</v>
      </c>
      <c r="O32" s="341" t="n">
        <f aca="false">('GAAP Beg Depreciation'!W$121)*(Summary!$C$39/((SUM(Summary!$C$28:$C$33)+SUM(Summary!$C$39:$C$42))))</f>
        <v>25260.8787805009</v>
      </c>
      <c r="P32" s="341" t="n">
        <f aca="false">('GAAP Beg Depreciation'!X$121)*(Summary!$C$39/((SUM(Summary!$C$28:$C$33)+SUM(Summary!$C$39:$C$42))))</f>
        <v>25260.8787805009</v>
      </c>
      <c r="Q32" s="341" t="n">
        <f aca="false">('GAAP Beg Depreciation'!Y$121)*(Summary!$C$39/((SUM(Summary!$C$28:$C$33)+SUM(Summary!$C$39:$C$42))))</f>
        <v>25260.8787805009</v>
      </c>
      <c r="R32" s="341" t="n">
        <f aca="false">('GAAP Beg Depreciation'!Z$121)*(Summary!$C$39/((SUM(Summary!$C$28:$C$33)+SUM(Summary!$C$39:$C$42))))</f>
        <v>25260.8787805009</v>
      </c>
      <c r="S32" s="341" t="n">
        <f aca="false">('GAAP Beg Depreciation'!AA$121)*(Summary!$C$39/((SUM(Summary!$C$28:$C$33)+SUM(Summary!$C$39:$C$42))))</f>
        <v>24910.491404661</v>
      </c>
      <c r="T32" s="341" t="n">
        <f aca="false">('GAAP Beg Depreciation'!AB$121)*(Summary!$C$39/((SUM(Summary!$C$28:$C$33)+SUM(Summary!$C$39:$C$42))))</f>
        <v>23963.24938145</v>
      </c>
      <c r="U32" s="341" t="n">
        <f aca="false">('GAAP Beg Depreciation'!AC$121)*(Summary!$C$39/((SUM(Summary!$C$28:$C$33)+SUM(Summary!$C$39:$C$42))))</f>
        <v>23963.24938145</v>
      </c>
      <c r="V32" s="341" t="n">
        <f aca="false">('GAAP Beg Depreciation'!AD$121)*(Summary!$C$39/((SUM(Summary!$C$28:$C$33)+SUM(Summary!$C$39:$C$42))))</f>
        <v>23963.24938145</v>
      </c>
      <c r="W32" s="341" t="n">
        <f aca="false">('GAAP Beg Depreciation'!AE$121)*(Summary!$C$39/((SUM(Summary!$C$28:$C$33)+SUM(Summary!$C$39:$C$42))))</f>
        <v>23963.24938145</v>
      </c>
      <c r="X32" s="341" t="n">
        <f aca="false">('GAAP Beg Depreciation'!AF$121)*(Summary!$C$39/((SUM(Summary!$C$28:$C$33)+SUM(Summary!$C$39:$C$42))))</f>
        <v>23963.24938145</v>
      </c>
      <c r="Y32" s="341" t="n">
        <f aca="false">('GAAP Beg Depreciation'!AG$121)*(Summary!$C$39/((SUM(Summary!$C$28:$C$33)+SUM(Summary!$C$39:$C$42))))</f>
        <v>23963.24938145</v>
      </c>
      <c r="Z32" s="341" t="n">
        <f aca="false">('GAAP Beg Depreciation'!AH$121)*(Summary!$C$39/((SUM(Summary!$C$28:$C$33)+SUM(Summary!$C$39:$C$42))))</f>
        <v>23741.6641307805</v>
      </c>
      <c r="AA32" s="341" t="n">
        <f aca="false">('GAAP Beg Depreciation'!AI$121)*(Summary!$C$39/((SUM(Summary!$C$28:$C$33)+SUM(Summary!$C$39:$C$42))))</f>
        <v>22332.1749088663</v>
      </c>
      <c r="AB32" s="341" t="n">
        <f aca="false">('GAAP Beg Depreciation'!AJ$121)*(Summary!$C$39/((SUM(Summary!$C$28:$C$33)+SUM(Summary!$C$39:$C$42))))</f>
        <v>22332.1749088663</v>
      </c>
      <c r="AC32" s="341" t="n">
        <f aca="false">('GAAP Beg Depreciation'!AK$121)*(Summary!$C$39/((SUM(Summary!$C$28:$C$33)+SUM(Summary!$C$39:$C$42))))</f>
        <v>22332.1749088663</v>
      </c>
      <c r="AD32" s="341" t="n">
        <f aca="false">('GAAP Beg Depreciation'!AL$121)*(Summary!$C$39/((SUM(Summary!$C$28:$C$33)+SUM(Summary!$C$39:$C$42))))</f>
        <v>22332.1749088663</v>
      </c>
      <c r="AE32" s="341" t="n">
        <f aca="false">('GAAP Beg Depreciation'!AM$121)*(Summary!$C$39/((SUM(Summary!$C$28:$C$33)+SUM(Summary!$C$39:$C$42))))</f>
        <v>22332.1749088663</v>
      </c>
      <c r="AF32" s="341" t="n">
        <f aca="false">('GAAP Beg Depreciation'!AN$121)*(Summary!$C$39/((SUM(Summary!$C$28:$C$33)+SUM(Summary!$C$39:$C$42))))</f>
        <v>22332.1749088663</v>
      </c>
      <c r="AG32" s="341" t="n">
        <f aca="false">('GAAP Beg Depreciation'!AO$121)*(Summary!$C$39/((SUM(Summary!$C$28:$C$33)+SUM(Summary!$C$39:$C$42))))</f>
        <v>615.383545552789</v>
      </c>
    </row>
    <row r="33" customFormat="false" ht="12.75" hidden="false" customHeight="false" outlineLevel="0" collapsed="false">
      <c r="A33" s="0" t="n">
        <v>24</v>
      </c>
      <c r="B33" s="0" t="s">
        <v>93</v>
      </c>
      <c r="C33" s="341" t="n">
        <f aca="false">('GAAP Beg Depreciation'!K$121)*(Summary!$C$40/((SUM(Summary!$C$28:$C$33)+SUM(Summary!$C$39:$C$42))))</f>
        <v>572001.506698323</v>
      </c>
      <c r="D33" s="341" t="n">
        <f aca="false">('GAAP Beg Depreciation'!L$121)*(Summary!$C$40/((SUM(Summary!$C$28:$C$33)+SUM(Summary!$C$39:$C$42))))</f>
        <v>572001.506698323</v>
      </c>
      <c r="E33" s="341" t="n">
        <f aca="false">('GAAP Beg Depreciation'!M$121)*(Summary!$C$40/((SUM(Summary!$C$28:$C$33)+SUM(Summary!$C$39:$C$42))))</f>
        <v>570960.764308152</v>
      </c>
      <c r="F33" s="341" t="n">
        <f aca="false">('GAAP Beg Depreciation'!N$121)*(Summary!$C$40/((SUM(Summary!$C$28:$C$33)+SUM(Summary!$C$39:$C$42))))</f>
        <v>567196.951654391</v>
      </c>
      <c r="G33" s="341" t="n">
        <f aca="false">('GAAP Beg Depreciation'!O$121)*(Summary!$C$40/((SUM(Summary!$C$28:$C$33)+SUM(Summary!$C$39:$C$42))))</f>
        <v>551040.936610459</v>
      </c>
      <c r="H33" s="341" t="n">
        <f aca="false">('GAAP Beg Depreciation'!P$121)*(Summary!$C$40/((SUM(Summary!$C$28:$C$33)+SUM(Summary!$C$39:$C$42))))</f>
        <v>504656.488511037</v>
      </c>
      <c r="I33" s="341" t="n">
        <f aca="false">('GAAP Beg Depreciation'!Q$121)*(Summary!$C$40/((SUM(Summary!$C$28:$C$33)+SUM(Summary!$C$39:$C$42))))</f>
        <v>504656.488511037</v>
      </c>
      <c r="J33" s="341" t="n">
        <f aca="false">('GAAP Beg Depreciation'!R$121)*(Summary!$C$40/((SUM(Summary!$C$28:$C$33)+SUM(Summary!$C$39:$C$42))))</f>
        <v>281970.24379906</v>
      </c>
      <c r="K33" s="341" t="n">
        <f aca="false">('GAAP Beg Depreciation'!S$121)*(Summary!$C$40/((SUM(Summary!$C$28:$C$33)+SUM(Summary!$C$39:$C$42))))</f>
        <v>88462.7242341494</v>
      </c>
      <c r="L33" s="341" t="n">
        <f aca="false">('GAAP Beg Depreciation'!T$121)*(Summary!$C$40/((SUM(Summary!$C$28:$C$33)+SUM(Summary!$C$39:$C$42))))</f>
        <v>88268.02735495</v>
      </c>
      <c r="M33" s="341" t="n">
        <f aca="false">('GAAP Beg Depreciation'!U$121)*(Summary!$C$40/((SUM(Summary!$C$28:$C$33)+SUM(Summary!$C$39:$C$42))))</f>
        <v>80883.1321352913</v>
      </c>
      <c r="N33" s="341" t="n">
        <f aca="false">('GAAP Beg Depreciation'!V$121)*(Summary!$C$40/((SUM(Summary!$C$28:$C$33)+SUM(Summary!$C$39:$C$42))))</f>
        <v>25260.8787805009</v>
      </c>
      <c r="O33" s="341" t="n">
        <f aca="false">('GAAP Beg Depreciation'!W$121)*(Summary!$C$40/((SUM(Summary!$C$28:$C$33)+SUM(Summary!$C$39:$C$42))))</f>
        <v>25260.8787805009</v>
      </c>
      <c r="P33" s="341" t="n">
        <f aca="false">('GAAP Beg Depreciation'!X$121)*(Summary!$C$40/((SUM(Summary!$C$28:$C$33)+SUM(Summary!$C$39:$C$42))))</f>
        <v>25260.8787805009</v>
      </c>
      <c r="Q33" s="341" t="n">
        <f aca="false">('GAAP Beg Depreciation'!Y$121)*(Summary!$C$40/((SUM(Summary!$C$28:$C$33)+SUM(Summary!$C$39:$C$42))))</f>
        <v>25260.8787805009</v>
      </c>
      <c r="R33" s="341" t="n">
        <f aca="false">('GAAP Beg Depreciation'!Z$121)*(Summary!$C$40/((SUM(Summary!$C$28:$C$33)+SUM(Summary!$C$39:$C$42))))</f>
        <v>25260.8787805009</v>
      </c>
      <c r="S33" s="341" t="n">
        <f aca="false">('GAAP Beg Depreciation'!AA$121)*(Summary!$C$40/((SUM(Summary!$C$28:$C$33)+SUM(Summary!$C$39:$C$42))))</f>
        <v>24910.491404661</v>
      </c>
      <c r="T33" s="341" t="n">
        <f aca="false">('GAAP Beg Depreciation'!AB$121)*(Summary!$C$40/((SUM(Summary!$C$28:$C$33)+SUM(Summary!$C$39:$C$42))))</f>
        <v>23963.24938145</v>
      </c>
      <c r="U33" s="341" t="n">
        <f aca="false">('GAAP Beg Depreciation'!AC$121)*(Summary!$C$40/((SUM(Summary!$C$28:$C$33)+SUM(Summary!$C$39:$C$42))))</f>
        <v>23963.24938145</v>
      </c>
      <c r="V33" s="341" t="n">
        <f aca="false">('GAAP Beg Depreciation'!AD$121)*(Summary!$C$40/((SUM(Summary!$C$28:$C$33)+SUM(Summary!$C$39:$C$42))))</f>
        <v>23963.24938145</v>
      </c>
      <c r="W33" s="341" t="n">
        <f aca="false">('GAAP Beg Depreciation'!AE$121)*(Summary!$C$40/((SUM(Summary!$C$28:$C$33)+SUM(Summary!$C$39:$C$42))))</f>
        <v>23963.24938145</v>
      </c>
      <c r="X33" s="341" t="n">
        <f aca="false">('GAAP Beg Depreciation'!AF$121)*(Summary!$C$40/((SUM(Summary!$C$28:$C$33)+SUM(Summary!$C$39:$C$42))))</f>
        <v>23963.24938145</v>
      </c>
      <c r="Y33" s="341" t="n">
        <f aca="false">('GAAP Beg Depreciation'!AG$121)*(Summary!$C$40/((SUM(Summary!$C$28:$C$33)+SUM(Summary!$C$39:$C$42))))</f>
        <v>23963.24938145</v>
      </c>
      <c r="Z33" s="341" t="n">
        <f aca="false">('GAAP Beg Depreciation'!AH$121)*(Summary!$C$40/((SUM(Summary!$C$28:$C$33)+SUM(Summary!$C$39:$C$42))))</f>
        <v>23741.6641307805</v>
      </c>
      <c r="AA33" s="341" t="n">
        <f aca="false">('GAAP Beg Depreciation'!AI$121)*(Summary!$C$40/((SUM(Summary!$C$28:$C$33)+SUM(Summary!$C$39:$C$42))))</f>
        <v>22332.1749088663</v>
      </c>
      <c r="AB33" s="341" t="n">
        <f aca="false">('GAAP Beg Depreciation'!AJ$121)*(Summary!$C$40/((SUM(Summary!$C$28:$C$33)+SUM(Summary!$C$39:$C$42))))</f>
        <v>22332.1749088663</v>
      </c>
      <c r="AC33" s="341" t="n">
        <f aca="false">('GAAP Beg Depreciation'!AK$121)*(Summary!$C$40/((SUM(Summary!$C$28:$C$33)+SUM(Summary!$C$39:$C$42))))</f>
        <v>22332.1749088663</v>
      </c>
      <c r="AD33" s="341" t="n">
        <f aca="false">('GAAP Beg Depreciation'!AL$121)*(Summary!$C$40/((SUM(Summary!$C$28:$C$33)+SUM(Summary!$C$39:$C$42))))</f>
        <v>22332.1749088663</v>
      </c>
      <c r="AE33" s="341" t="n">
        <f aca="false">('GAAP Beg Depreciation'!AM$121)*(Summary!$C$40/((SUM(Summary!$C$28:$C$33)+SUM(Summary!$C$39:$C$42))))</f>
        <v>22332.1749088663</v>
      </c>
      <c r="AF33" s="341" t="n">
        <f aca="false">('GAAP Beg Depreciation'!AN$121)*(Summary!$C$40/((SUM(Summary!$C$28:$C$33)+SUM(Summary!$C$39:$C$42))))</f>
        <v>22332.1749088663</v>
      </c>
      <c r="AG33" s="341" t="n">
        <f aca="false">('GAAP Beg Depreciation'!AO$121)*(Summary!$C$40/((SUM(Summary!$C$28:$C$33)+SUM(Summary!$C$39:$C$42))))</f>
        <v>615.383545552789</v>
      </c>
    </row>
    <row r="34" customFormat="false" ht="12.75" hidden="false" customHeight="false" outlineLevel="0" collapsed="false">
      <c r="A34" s="0" t="n">
        <v>25</v>
      </c>
      <c r="B34" s="0" t="s">
        <v>94</v>
      </c>
      <c r="C34" s="341" t="n">
        <f aca="false">('GAAP Beg Depreciation'!K$121)*(Summary!$C$41/((SUM(Summary!$C$28:$C$33)+SUM(Summary!$C$39:$C$42))))</f>
        <v>572001.506698323</v>
      </c>
      <c r="D34" s="341" t="n">
        <f aca="false">('GAAP Beg Depreciation'!L$121)*(Summary!$C$41/((SUM(Summary!$C$28:$C$33)+SUM(Summary!$C$39:$C$42))))</f>
        <v>572001.506698323</v>
      </c>
      <c r="E34" s="341" t="n">
        <f aca="false">('GAAP Beg Depreciation'!M$121)*(Summary!$C$41/((SUM(Summary!$C$28:$C$33)+SUM(Summary!$C$39:$C$42))))</f>
        <v>570960.764308152</v>
      </c>
      <c r="F34" s="341" t="n">
        <f aca="false">('GAAP Beg Depreciation'!N$121)*(Summary!$C$41/((SUM(Summary!$C$28:$C$33)+SUM(Summary!$C$39:$C$42))))</f>
        <v>567196.951654391</v>
      </c>
      <c r="G34" s="341" t="n">
        <f aca="false">('GAAP Beg Depreciation'!O$121)*(Summary!$C$41/((SUM(Summary!$C$28:$C$33)+SUM(Summary!$C$39:$C$42))))</f>
        <v>551040.936610459</v>
      </c>
      <c r="H34" s="341" t="n">
        <f aca="false">('GAAP Beg Depreciation'!P$121)*(Summary!$C$41/((SUM(Summary!$C$28:$C$33)+SUM(Summary!$C$39:$C$42))))</f>
        <v>504656.488511037</v>
      </c>
      <c r="I34" s="341" t="n">
        <f aca="false">('GAAP Beg Depreciation'!Q$121)*(Summary!$C$41/((SUM(Summary!$C$28:$C$33)+SUM(Summary!$C$39:$C$42))))</f>
        <v>504656.488511037</v>
      </c>
      <c r="J34" s="341" t="n">
        <f aca="false">('GAAP Beg Depreciation'!R$121)*(Summary!$C$41/((SUM(Summary!$C$28:$C$33)+SUM(Summary!$C$39:$C$42))))</f>
        <v>281970.24379906</v>
      </c>
      <c r="K34" s="341" t="n">
        <f aca="false">('GAAP Beg Depreciation'!S$121)*(Summary!$C$41/((SUM(Summary!$C$28:$C$33)+SUM(Summary!$C$39:$C$42))))</f>
        <v>88462.7242341494</v>
      </c>
      <c r="L34" s="341" t="n">
        <f aca="false">('GAAP Beg Depreciation'!T$121)*(Summary!$C$41/((SUM(Summary!$C$28:$C$33)+SUM(Summary!$C$39:$C$42))))</f>
        <v>88268.02735495</v>
      </c>
      <c r="M34" s="341" t="n">
        <f aca="false">('GAAP Beg Depreciation'!U$121)*(Summary!$C$41/((SUM(Summary!$C$28:$C$33)+SUM(Summary!$C$39:$C$42))))</f>
        <v>80883.1321352913</v>
      </c>
      <c r="N34" s="341" t="n">
        <f aca="false">('GAAP Beg Depreciation'!V$121)*(Summary!$C$41/((SUM(Summary!$C$28:$C$33)+SUM(Summary!$C$39:$C$42))))</f>
        <v>25260.8787805009</v>
      </c>
      <c r="O34" s="341" t="n">
        <f aca="false">('GAAP Beg Depreciation'!W$121)*(Summary!$C$41/((SUM(Summary!$C$28:$C$33)+SUM(Summary!$C$39:$C$42))))</f>
        <v>25260.8787805009</v>
      </c>
      <c r="P34" s="341" t="n">
        <f aca="false">('GAAP Beg Depreciation'!X$121)*(Summary!$C$41/((SUM(Summary!$C$28:$C$33)+SUM(Summary!$C$39:$C$42))))</f>
        <v>25260.8787805009</v>
      </c>
      <c r="Q34" s="341" t="n">
        <f aca="false">('GAAP Beg Depreciation'!Y$121)*(Summary!$C$41/((SUM(Summary!$C$28:$C$33)+SUM(Summary!$C$39:$C$42))))</f>
        <v>25260.8787805009</v>
      </c>
      <c r="R34" s="341" t="n">
        <f aca="false">('GAAP Beg Depreciation'!Z$121)*(Summary!$C$41/((SUM(Summary!$C$28:$C$33)+SUM(Summary!$C$39:$C$42))))</f>
        <v>25260.8787805009</v>
      </c>
      <c r="S34" s="341" t="n">
        <f aca="false">('GAAP Beg Depreciation'!AA$121)*(Summary!$C$41/((SUM(Summary!$C$28:$C$33)+SUM(Summary!$C$39:$C$42))))</f>
        <v>24910.491404661</v>
      </c>
      <c r="T34" s="341" t="n">
        <f aca="false">('GAAP Beg Depreciation'!AB$121)*(Summary!$C$41/((SUM(Summary!$C$28:$C$33)+SUM(Summary!$C$39:$C$42))))</f>
        <v>23963.24938145</v>
      </c>
      <c r="U34" s="341" t="n">
        <f aca="false">('GAAP Beg Depreciation'!AC$121)*(Summary!$C$41/((SUM(Summary!$C$28:$C$33)+SUM(Summary!$C$39:$C$42))))</f>
        <v>23963.24938145</v>
      </c>
      <c r="V34" s="341" t="n">
        <f aca="false">('GAAP Beg Depreciation'!AD$121)*(Summary!$C$41/((SUM(Summary!$C$28:$C$33)+SUM(Summary!$C$39:$C$42))))</f>
        <v>23963.24938145</v>
      </c>
      <c r="W34" s="341" t="n">
        <f aca="false">('GAAP Beg Depreciation'!AE$121)*(Summary!$C$41/((SUM(Summary!$C$28:$C$33)+SUM(Summary!$C$39:$C$42))))</f>
        <v>23963.24938145</v>
      </c>
      <c r="X34" s="341" t="n">
        <f aca="false">('GAAP Beg Depreciation'!AF$121)*(Summary!$C$41/((SUM(Summary!$C$28:$C$33)+SUM(Summary!$C$39:$C$42))))</f>
        <v>23963.24938145</v>
      </c>
      <c r="Y34" s="341" t="n">
        <f aca="false">('GAAP Beg Depreciation'!AG$121)*(Summary!$C$41/((SUM(Summary!$C$28:$C$33)+SUM(Summary!$C$39:$C$42))))</f>
        <v>23963.24938145</v>
      </c>
      <c r="Z34" s="341" t="n">
        <f aca="false">('GAAP Beg Depreciation'!AH$121)*(Summary!$C$41/((SUM(Summary!$C$28:$C$33)+SUM(Summary!$C$39:$C$42))))</f>
        <v>23741.6641307805</v>
      </c>
      <c r="AA34" s="341" t="n">
        <f aca="false">('GAAP Beg Depreciation'!AI$121)*(Summary!$C$41/((SUM(Summary!$C$28:$C$33)+SUM(Summary!$C$39:$C$42))))</f>
        <v>22332.1749088663</v>
      </c>
      <c r="AB34" s="341" t="n">
        <f aca="false">('GAAP Beg Depreciation'!AJ$121)*(Summary!$C$41/((SUM(Summary!$C$28:$C$33)+SUM(Summary!$C$39:$C$42))))</f>
        <v>22332.1749088663</v>
      </c>
      <c r="AC34" s="341" t="n">
        <f aca="false">('GAAP Beg Depreciation'!AK$121)*(Summary!$C$41/((SUM(Summary!$C$28:$C$33)+SUM(Summary!$C$39:$C$42))))</f>
        <v>22332.1749088663</v>
      </c>
      <c r="AD34" s="341" t="n">
        <f aca="false">('GAAP Beg Depreciation'!AL$121)*(Summary!$C$41/((SUM(Summary!$C$28:$C$33)+SUM(Summary!$C$39:$C$42))))</f>
        <v>22332.1749088663</v>
      </c>
      <c r="AE34" s="341" t="n">
        <f aca="false">('GAAP Beg Depreciation'!AM$121)*(Summary!$C$41/((SUM(Summary!$C$28:$C$33)+SUM(Summary!$C$39:$C$42))))</f>
        <v>22332.1749088663</v>
      </c>
      <c r="AF34" s="341" t="n">
        <f aca="false">('GAAP Beg Depreciation'!AN$121)*(Summary!$C$41/((SUM(Summary!$C$28:$C$33)+SUM(Summary!$C$39:$C$42))))</f>
        <v>22332.1749088663</v>
      </c>
      <c r="AG34" s="341" t="n">
        <f aca="false">('GAAP Beg Depreciation'!AO$121)*(Summary!$C$41/((SUM(Summary!$C$28:$C$33)+SUM(Summary!$C$39:$C$42))))</f>
        <v>615.383545552789</v>
      </c>
    </row>
    <row r="35" customFormat="false" ht="12.75" hidden="false" customHeight="false" outlineLevel="0" collapsed="false">
      <c r="A35" s="0" t="n">
        <v>26</v>
      </c>
      <c r="B35" s="0" t="s">
        <v>95</v>
      </c>
      <c r="C35" s="341" t="n">
        <f aca="false">('GAAP Beg Depreciation'!K$121)*(Summary!$C$42/((SUM(Summary!$C$28:$C$33)+SUM(Summary!$C$39:$C$42))))</f>
        <v>572001.506698323</v>
      </c>
      <c r="D35" s="341" t="n">
        <f aca="false">('GAAP Beg Depreciation'!L$121)*(Summary!$C$42/((SUM(Summary!$C$28:$C$33)+SUM(Summary!$C$39:$C$42))))</f>
        <v>572001.506698323</v>
      </c>
      <c r="E35" s="341" t="n">
        <f aca="false">('GAAP Beg Depreciation'!M$121)*(Summary!$C$42/((SUM(Summary!$C$28:$C$33)+SUM(Summary!$C$39:$C$42))))</f>
        <v>570960.764308152</v>
      </c>
      <c r="F35" s="341" t="n">
        <f aca="false">('GAAP Beg Depreciation'!N$121)*(Summary!$C$42/((SUM(Summary!$C$28:$C$33)+SUM(Summary!$C$39:$C$42))))</f>
        <v>567196.951654391</v>
      </c>
      <c r="G35" s="341" t="n">
        <f aca="false">('GAAP Beg Depreciation'!O$121)*(Summary!$C$42/((SUM(Summary!$C$28:$C$33)+SUM(Summary!$C$39:$C$42))))</f>
        <v>551040.936610459</v>
      </c>
      <c r="H35" s="341" t="n">
        <f aca="false">('GAAP Beg Depreciation'!P$121)*(Summary!$C$42/((SUM(Summary!$C$28:$C$33)+SUM(Summary!$C$39:$C$42))))</f>
        <v>504656.488511037</v>
      </c>
      <c r="I35" s="341" t="n">
        <f aca="false">('GAAP Beg Depreciation'!Q$121)*(Summary!$C$42/((SUM(Summary!$C$28:$C$33)+SUM(Summary!$C$39:$C$42))))</f>
        <v>504656.488511037</v>
      </c>
      <c r="J35" s="341" t="n">
        <f aca="false">('GAAP Beg Depreciation'!R$121)*(Summary!$C$42/((SUM(Summary!$C$28:$C$33)+SUM(Summary!$C$39:$C$42))))</f>
        <v>281970.24379906</v>
      </c>
      <c r="K35" s="341" t="n">
        <f aca="false">('GAAP Beg Depreciation'!S$121)*(Summary!$C$42/((SUM(Summary!$C$28:$C$33)+SUM(Summary!$C$39:$C$42))))</f>
        <v>88462.7242341494</v>
      </c>
      <c r="L35" s="341" t="n">
        <f aca="false">('GAAP Beg Depreciation'!T$121)*(Summary!$C$42/((SUM(Summary!$C$28:$C$33)+SUM(Summary!$C$39:$C$42))))</f>
        <v>88268.02735495</v>
      </c>
      <c r="M35" s="341" t="n">
        <f aca="false">('GAAP Beg Depreciation'!U$121)*(Summary!$C$42/((SUM(Summary!$C$28:$C$33)+SUM(Summary!$C$39:$C$42))))</f>
        <v>80883.1321352913</v>
      </c>
      <c r="N35" s="341" t="n">
        <f aca="false">('GAAP Beg Depreciation'!V$121)*(Summary!$C$42/((SUM(Summary!$C$28:$C$33)+SUM(Summary!$C$39:$C$42))))</f>
        <v>25260.8787805009</v>
      </c>
      <c r="O35" s="341" t="n">
        <f aca="false">('GAAP Beg Depreciation'!W$121)*(Summary!$C$42/((SUM(Summary!$C$28:$C$33)+SUM(Summary!$C$39:$C$42))))</f>
        <v>25260.8787805009</v>
      </c>
      <c r="P35" s="341" t="n">
        <f aca="false">('GAAP Beg Depreciation'!X$121)*(Summary!$C$42/((SUM(Summary!$C$28:$C$33)+SUM(Summary!$C$39:$C$42))))</f>
        <v>25260.8787805009</v>
      </c>
      <c r="Q35" s="341" t="n">
        <f aca="false">('GAAP Beg Depreciation'!Y$121)*(Summary!$C$42/((SUM(Summary!$C$28:$C$33)+SUM(Summary!$C$39:$C$42))))</f>
        <v>25260.8787805009</v>
      </c>
      <c r="R35" s="341" t="n">
        <f aca="false">('GAAP Beg Depreciation'!Z$121)*(Summary!$C$42/((SUM(Summary!$C$28:$C$33)+SUM(Summary!$C$39:$C$42))))</f>
        <v>25260.8787805009</v>
      </c>
      <c r="S35" s="341" t="n">
        <f aca="false">('GAAP Beg Depreciation'!AA$121)*(Summary!$C$42/((SUM(Summary!$C$28:$C$33)+SUM(Summary!$C$39:$C$42))))</f>
        <v>24910.491404661</v>
      </c>
      <c r="T35" s="341" t="n">
        <f aca="false">('GAAP Beg Depreciation'!AB$121)*(Summary!$C$42/((SUM(Summary!$C$28:$C$33)+SUM(Summary!$C$39:$C$42))))</f>
        <v>23963.24938145</v>
      </c>
      <c r="U35" s="341" t="n">
        <f aca="false">('GAAP Beg Depreciation'!AC$121)*(Summary!$C$42/((SUM(Summary!$C$28:$C$33)+SUM(Summary!$C$39:$C$42))))</f>
        <v>23963.24938145</v>
      </c>
      <c r="V35" s="341" t="n">
        <f aca="false">('GAAP Beg Depreciation'!AD$121)*(Summary!$C$42/((SUM(Summary!$C$28:$C$33)+SUM(Summary!$C$39:$C$42))))</f>
        <v>23963.24938145</v>
      </c>
      <c r="W35" s="341" t="n">
        <f aca="false">('GAAP Beg Depreciation'!AE$121)*(Summary!$C$42/((SUM(Summary!$C$28:$C$33)+SUM(Summary!$C$39:$C$42))))</f>
        <v>23963.24938145</v>
      </c>
      <c r="X35" s="341" t="n">
        <f aca="false">('GAAP Beg Depreciation'!AF$121)*(Summary!$C$42/((SUM(Summary!$C$28:$C$33)+SUM(Summary!$C$39:$C$42))))</f>
        <v>23963.24938145</v>
      </c>
      <c r="Y35" s="341" t="n">
        <f aca="false">('GAAP Beg Depreciation'!AG$121)*(Summary!$C$42/((SUM(Summary!$C$28:$C$33)+SUM(Summary!$C$39:$C$42))))</f>
        <v>23963.24938145</v>
      </c>
      <c r="Z35" s="341" t="n">
        <f aca="false">('GAAP Beg Depreciation'!AH$121)*(Summary!$C$42/((SUM(Summary!$C$28:$C$33)+SUM(Summary!$C$39:$C$42))))</f>
        <v>23741.6641307805</v>
      </c>
      <c r="AA35" s="341" t="n">
        <f aca="false">('GAAP Beg Depreciation'!AI$121)*(Summary!$C$42/((SUM(Summary!$C$28:$C$33)+SUM(Summary!$C$39:$C$42))))</f>
        <v>22332.1749088663</v>
      </c>
      <c r="AB35" s="341" t="n">
        <f aca="false">('GAAP Beg Depreciation'!AJ$121)*(Summary!$C$42/((SUM(Summary!$C$28:$C$33)+SUM(Summary!$C$39:$C$42))))</f>
        <v>22332.1749088663</v>
      </c>
      <c r="AC35" s="341" t="n">
        <f aca="false">('GAAP Beg Depreciation'!AK$121)*(Summary!$C$42/((SUM(Summary!$C$28:$C$33)+SUM(Summary!$C$39:$C$42))))</f>
        <v>22332.1749088663</v>
      </c>
      <c r="AD35" s="341" t="n">
        <f aca="false">('GAAP Beg Depreciation'!AL$121)*(Summary!$C$42/((SUM(Summary!$C$28:$C$33)+SUM(Summary!$C$39:$C$42))))</f>
        <v>22332.1749088663</v>
      </c>
      <c r="AE35" s="341" t="n">
        <f aca="false">('GAAP Beg Depreciation'!AM$121)*(Summary!$C$42/((SUM(Summary!$C$28:$C$33)+SUM(Summary!$C$39:$C$42))))</f>
        <v>22332.1749088663</v>
      </c>
      <c r="AF35" s="341" t="n">
        <f aca="false">('GAAP Beg Depreciation'!AN$121)*(Summary!$C$42/((SUM(Summary!$C$28:$C$33)+SUM(Summary!$C$39:$C$42))))</f>
        <v>22332.1749088663</v>
      </c>
      <c r="AG35" s="341" t="n">
        <f aca="false">('GAAP Beg Depreciation'!AO$121)*(Summary!$C$42/((SUM(Summary!$C$28:$C$33)+SUM(Summary!$C$39:$C$42))))</f>
        <v>615.383545552789</v>
      </c>
    </row>
    <row r="36" customFormat="false" ht="12.75" hidden="false" customHeight="false" outlineLevel="0" collapsed="false">
      <c r="A36" s="0" t="n">
        <v>27</v>
      </c>
      <c r="B36" s="0" t="s">
        <v>96</v>
      </c>
      <c r="C36" s="341" t="n">
        <f aca="false">'GAAP Beg Depreciation'!K129/6</f>
        <v>1830222.48153087</v>
      </c>
      <c r="D36" s="341" t="n">
        <f aca="false">'GAAP Beg Depreciation'!L129/6</f>
        <v>1830222.48153087</v>
      </c>
      <c r="E36" s="341" t="n">
        <f aca="false">'GAAP Beg Depreciation'!M129/6</f>
        <v>1830222.48153087</v>
      </c>
      <c r="F36" s="341" t="n">
        <f aca="false">'GAAP Beg Depreciation'!N129/6</f>
        <v>1830222.48153087</v>
      </c>
      <c r="G36" s="341" t="n">
        <f aca="false">'GAAP Beg Depreciation'!O129/6</f>
        <v>1830222.48153087</v>
      </c>
      <c r="H36" s="341" t="n">
        <f aca="false">'GAAP Beg Depreciation'!P129/6</f>
        <v>1830222.48153087</v>
      </c>
      <c r="I36" s="341" t="n">
        <f aca="false">'GAAP Beg Depreciation'!Q129/6</f>
        <v>1830222.48153087</v>
      </c>
      <c r="J36" s="341" t="n">
        <f aca="false">'GAAP Beg Depreciation'!R129/6</f>
        <v>1830222.48153087</v>
      </c>
      <c r="K36" s="341" t="n">
        <f aca="false">'GAAP Beg Depreciation'!S129/6</f>
        <v>1830222.48153087</v>
      </c>
      <c r="L36" s="341" t="n">
        <f aca="false">'GAAP Beg Depreciation'!T129/6</f>
        <v>1830222.48153087</v>
      </c>
      <c r="M36" s="341" t="n">
        <f aca="false">'GAAP Beg Depreciation'!U129/6</f>
        <v>1830222.48153087</v>
      </c>
      <c r="N36" s="341" t="n">
        <f aca="false">'GAAP Beg Depreciation'!V129/6</f>
        <v>1830222.48153087</v>
      </c>
      <c r="O36" s="341" t="n">
        <f aca="false">'GAAP Beg Depreciation'!W129/6</f>
        <v>1830222.48153087</v>
      </c>
      <c r="P36" s="341" t="n">
        <f aca="false">'GAAP Beg Depreciation'!X129/6</f>
        <v>1830222.48153087</v>
      </c>
      <c r="Q36" s="341" t="n">
        <f aca="false">'GAAP Beg Depreciation'!Y129/6</f>
        <v>1830222.48153087</v>
      </c>
      <c r="R36" s="341" t="n">
        <f aca="false">'GAAP Beg Depreciation'!Z129/6</f>
        <v>466825.518197538</v>
      </c>
      <c r="S36" s="341" t="n">
        <f aca="false">'GAAP Beg Depreciation'!AA129/6</f>
        <v>78084.6481975333</v>
      </c>
      <c r="T36" s="341" t="n">
        <f aca="false">'GAAP Beg Depreciation'!AB129/6</f>
        <v>78084.6481975333</v>
      </c>
      <c r="U36" s="341" t="n">
        <f aca="false">'GAAP Beg Depreciation'!AC129/6</f>
        <v>78084.6481975333</v>
      </c>
      <c r="V36" s="341" t="n">
        <f aca="false">'GAAP Beg Depreciation'!AD129/6</f>
        <v>78084.6481975333</v>
      </c>
      <c r="W36" s="341" t="n">
        <f aca="false">'GAAP Beg Depreciation'!AE129/6</f>
        <v>29658.5</v>
      </c>
      <c r="X36" s="341" t="n">
        <f aca="false">'GAAP Beg Depreciation'!AF129/6</f>
        <v>29658.5</v>
      </c>
      <c r="Y36" s="341" t="n">
        <f aca="false">'GAAP Beg Depreciation'!AG129/6</f>
        <v>29658.5</v>
      </c>
      <c r="Z36" s="341" t="n">
        <f aca="false">'GAAP Beg Depreciation'!AH129/6</f>
        <v>29658.5</v>
      </c>
      <c r="AA36" s="341" t="n">
        <f aca="false">'GAAP Beg Depreciation'!AI129/6</f>
        <v>29658.5</v>
      </c>
      <c r="AB36" s="341" t="n">
        <f aca="false">'GAAP Beg Depreciation'!AJ129/6</f>
        <v>29658.5</v>
      </c>
      <c r="AC36" s="341" t="n">
        <f aca="false">'GAAP Beg Depreciation'!AK129/6</f>
        <v>29658.5</v>
      </c>
      <c r="AD36" s="341" t="n">
        <f aca="false">'GAAP Beg Depreciation'!AL129/6</f>
        <v>29658.5</v>
      </c>
      <c r="AE36" s="341" t="n">
        <f aca="false">'GAAP Beg Depreciation'!AM129/6</f>
        <v>29658.5</v>
      </c>
      <c r="AF36" s="341" t="n">
        <f aca="false">'GAAP Beg Depreciation'!AN129/6</f>
        <v>29658.5</v>
      </c>
      <c r="AG36" s="341" t="n">
        <f aca="false">'GAAP Beg Depreciation'!AO129/6</f>
        <v>29658.5</v>
      </c>
    </row>
    <row r="37" customFormat="false" ht="12.75" hidden="false" customHeight="false" outlineLevel="0" collapsed="false">
      <c r="A37" s="0" t="n">
        <v>28</v>
      </c>
      <c r="B37" s="0" t="s">
        <v>97</v>
      </c>
      <c r="C37" s="341" t="n">
        <f aca="false">'GAAP Beg Depreciation'!K129/6</f>
        <v>1830222.48153087</v>
      </c>
      <c r="D37" s="341" t="n">
        <f aca="false">'GAAP Beg Depreciation'!L129/6</f>
        <v>1830222.48153087</v>
      </c>
      <c r="E37" s="341" t="n">
        <f aca="false">'GAAP Beg Depreciation'!M129/6</f>
        <v>1830222.48153087</v>
      </c>
      <c r="F37" s="341" t="n">
        <f aca="false">'GAAP Beg Depreciation'!N129/6</f>
        <v>1830222.48153087</v>
      </c>
      <c r="G37" s="341" t="n">
        <f aca="false">'GAAP Beg Depreciation'!O129/6</f>
        <v>1830222.48153087</v>
      </c>
      <c r="H37" s="341" t="n">
        <f aca="false">'GAAP Beg Depreciation'!P129/6</f>
        <v>1830222.48153087</v>
      </c>
      <c r="I37" s="341" t="n">
        <f aca="false">'GAAP Beg Depreciation'!Q129/6</f>
        <v>1830222.48153087</v>
      </c>
      <c r="J37" s="341" t="n">
        <f aca="false">'GAAP Beg Depreciation'!R129/6</f>
        <v>1830222.48153087</v>
      </c>
      <c r="K37" s="341" t="n">
        <f aca="false">'GAAP Beg Depreciation'!S129/6</f>
        <v>1830222.48153087</v>
      </c>
      <c r="L37" s="341" t="n">
        <f aca="false">'GAAP Beg Depreciation'!T129/6</f>
        <v>1830222.48153087</v>
      </c>
      <c r="M37" s="341" t="n">
        <f aca="false">'GAAP Beg Depreciation'!U129/6</f>
        <v>1830222.48153087</v>
      </c>
      <c r="N37" s="341" t="n">
        <f aca="false">'GAAP Beg Depreciation'!V129/6</f>
        <v>1830222.48153087</v>
      </c>
      <c r="O37" s="341" t="n">
        <f aca="false">'GAAP Beg Depreciation'!W129/6</f>
        <v>1830222.48153087</v>
      </c>
      <c r="P37" s="341" t="n">
        <f aca="false">'GAAP Beg Depreciation'!X129/6</f>
        <v>1830222.48153087</v>
      </c>
      <c r="Q37" s="341" t="n">
        <f aca="false">'GAAP Beg Depreciation'!Y129/6</f>
        <v>1830222.48153087</v>
      </c>
      <c r="R37" s="341" t="n">
        <f aca="false">'GAAP Beg Depreciation'!Z129/6</f>
        <v>466825.518197538</v>
      </c>
      <c r="S37" s="341" t="n">
        <f aca="false">'GAAP Beg Depreciation'!AA129/6</f>
        <v>78084.6481975333</v>
      </c>
      <c r="T37" s="341" t="n">
        <f aca="false">'GAAP Beg Depreciation'!AB129/6</f>
        <v>78084.6481975333</v>
      </c>
      <c r="U37" s="341" t="n">
        <f aca="false">'GAAP Beg Depreciation'!AC129/6</f>
        <v>78084.6481975333</v>
      </c>
      <c r="V37" s="341" t="n">
        <f aca="false">'GAAP Beg Depreciation'!AD129/6</f>
        <v>78084.6481975333</v>
      </c>
      <c r="W37" s="341" t="n">
        <f aca="false">'GAAP Beg Depreciation'!AE129/6</f>
        <v>29658.5</v>
      </c>
      <c r="X37" s="341" t="n">
        <f aca="false">'GAAP Beg Depreciation'!AF129/6</f>
        <v>29658.5</v>
      </c>
      <c r="Y37" s="341" t="n">
        <f aca="false">'GAAP Beg Depreciation'!AG129/6</f>
        <v>29658.5</v>
      </c>
      <c r="Z37" s="341" t="n">
        <f aca="false">'GAAP Beg Depreciation'!AH129/6</f>
        <v>29658.5</v>
      </c>
      <c r="AA37" s="341" t="n">
        <f aca="false">'GAAP Beg Depreciation'!AI129/6</f>
        <v>29658.5</v>
      </c>
      <c r="AB37" s="341" t="n">
        <f aca="false">'GAAP Beg Depreciation'!AJ129/6</f>
        <v>29658.5</v>
      </c>
      <c r="AC37" s="341" t="n">
        <f aca="false">'GAAP Beg Depreciation'!AK129/6</f>
        <v>29658.5</v>
      </c>
      <c r="AD37" s="341" t="n">
        <f aca="false">'GAAP Beg Depreciation'!AL129/6</f>
        <v>29658.5</v>
      </c>
      <c r="AE37" s="341" t="n">
        <f aca="false">'GAAP Beg Depreciation'!AM129/6</f>
        <v>29658.5</v>
      </c>
      <c r="AF37" s="341" t="n">
        <f aca="false">'GAAP Beg Depreciation'!AN129/6</f>
        <v>29658.5</v>
      </c>
      <c r="AG37" s="341" t="n">
        <f aca="false">'GAAP Beg Depreciation'!AO129/6</f>
        <v>29658.5</v>
      </c>
    </row>
    <row r="38" customFormat="false" ht="12.75" hidden="false" customHeight="false" outlineLevel="0" collapsed="false">
      <c r="A38" s="0" t="n">
        <v>29</v>
      </c>
      <c r="B38" s="0" t="s">
        <v>98</v>
      </c>
      <c r="C38" s="341" t="n">
        <f aca="false">'GAAP Beg Depreciation'!K129/6</f>
        <v>1830222.48153087</v>
      </c>
      <c r="D38" s="341" t="n">
        <f aca="false">'GAAP Beg Depreciation'!L129/6</f>
        <v>1830222.48153087</v>
      </c>
      <c r="E38" s="341" t="n">
        <f aca="false">'GAAP Beg Depreciation'!M129/6</f>
        <v>1830222.48153087</v>
      </c>
      <c r="F38" s="341" t="n">
        <f aca="false">'GAAP Beg Depreciation'!N129/6</f>
        <v>1830222.48153087</v>
      </c>
      <c r="G38" s="341" t="n">
        <f aca="false">'GAAP Beg Depreciation'!O129/6</f>
        <v>1830222.48153087</v>
      </c>
      <c r="H38" s="341" t="n">
        <f aca="false">'GAAP Beg Depreciation'!P129/6</f>
        <v>1830222.48153087</v>
      </c>
      <c r="I38" s="341" t="n">
        <f aca="false">'GAAP Beg Depreciation'!Q129/6</f>
        <v>1830222.48153087</v>
      </c>
      <c r="J38" s="341" t="n">
        <f aca="false">'GAAP Beg Depreciation'!R129/6</f>
        <v>1830222.48153087</v>
      </c>
      <c r="K38" s="341" t="n">
        <f aca="false">'GAAP Beg Depreciation'!S129/6</f>
        <v>1830222.48153087</v>
      </c>
      <c r="L38" s="341" t="n">
        <f aca="false">'GAAP Beg Depreciation'!T129/6</f>
        <v>1830222.48153087</v>
      </c>
      <c r="M38" s="341" t="n">
        <f aca="false">'GAAP Beg Depreciation'!U129/6</f>
        <v>1830222.48153087</v>
      </c>
      <c r="N38" s="341" t="n">
        <f aca="false">'GAAP Beg Depreciation'!V129/6</f>
        <v>1830222.48153087</v>
      </c>
      <c r="O38" s="341" t="n">
        <f aca="false">'GAAP Beg Depreciation'!W129/6</f>
        <v>1830222.48153087</v>
      </c>
      <c r="P38" s="341" t="n">
        <f aca="false">'GAAP Beg Depreciation'!X129/6</f>
        <v>1830222.48153087</v>
      </c>
      <c r="Q38" s="341" t="n">
        <f aca="false">'GAAP Beg Depreciation'!Y129/6</f>
        <v>1830222.48153087</v>
      </c>
      <c r="R38" s="341" t="n">
        <f aca="false">'GAAP Beg Depreciation'!Z129/6</f>
        <v>466825.518197538</v>
      </c>
      <c r="S38" s="341" t="n">
        <f aca="false">'GAAP Beg Depreciation'!AA129/6</f>
        <v>78084.6481975333</v>
      </c>
      <c r="T38" s="341" t="n">
        <f aca="false">'GAAP Beg Depreciation'!AB129/6</f>
        <v>78084.6481975333</v>
      </c>
      <c r="U38" s="341" t="n">
        <f aca="false">'GAAP Beg Depreciation'!AC129/6</f>
        <v>78084.6481975333</v>
      </c>
      <c r="V38" s="341" t="n">
        <f aca="false">'GAAP Beg Depreciation'!AD129/6</f>
        <v>78084.6481975333</v>
      </c>
      <c r="W38" s="341" t="n">
        <f aca="false">'GAAP Beg Depreciation'!AE129/6</f>
        <v>29658.5</v>
      </c>
      <c r="X38" s="341" t="n">
        <f aca="false">'GAAP Beg Depreciation'!AF129/6</f>
        <v>29658.5</v>
      </c>
      <c r="Y38" s="341" t="n">
        <f aca="false">'GAAP Beg Depreciation'!AG129/6</f>
        <v>29658.5</v>
      </c>
      <c r="Z38" s="341" t="n">
        <f aca="false">'GAAP Beg Depreciation'!AH129/6</f>
        <v>29658.5</v>
      </c>
      <c r="AA38" s="341" t="n">
        <f aca="false">'GAAP Beg Depreciation'!AI129/6</f>
        <v>29658.5</v>
      </c>
      <c r="AB38" s="341" t="n">
        <f aca="false">'GAAP Beg Depreciation'!AJ129/6</f>
        <v>29658.5</v>
      </c>
      <c r="AC38" s="341" t="n">
        <f aca="false">'GAAP Beg Depreciation'!AK129/6</f>
        <v>29658.5</v>
      </c>
      <c r="AD38" s="341" t="n">
        <f aca="false">'GAAP Beg Depreciation'!AL129/6</f>
        <v>29658.5</v>
      </c>
      <c r="AE38" s="341" t="n">
        <f aca="false">'GAAP Beg Depreciation'!AM129/6</f>
        <v>29658.5</v>
      </c>
      <c r="AF38" s="341" t="n">
        <f aca="false">'GAAP Beg Depreciation'!AN129/6</f>
        <v>29658.5</v>
      </c>
      <c r="AG38" s="341" t="n">
        <f aca="false">'GAAP Beg Depreciation'!AO129/6</f>
        <v>29658.5</v>
      </c>
    </row>
    <row r="39" customFormat="false" ht="12.75" hidden="false" customHeight="false" outlineLevel="0" collapsed="false">
      <c r="A39" s="0" t="n">
        <v>30</v>
      </c>
      <c r="B39" s="0" t="s">
        <v>99</v>
      </c>
      <c r="C39" s="341" t="n">
        <f aca="false">'GAAP Beg Depreciation'!K129/6</f>
        <v>1830222.48153087</v>
      </c>
      <c r="D39" s="341" t="n">
        <f aca="false">'GAAP Beg Depreciation'!L129/6</f>
        <v>1830222.48153087</v>
      </c>
      <c r="E39" s="341" t="n">
        <f aca="false">'GAAP Beg Depreciation'!M129/6</f>
        <v>1830222.48153087</v>
      </c>
      <c r="F39" s="341" t="n">
        <f aca="false">'GAAP Beg Depreciation'!N129/6</f>
        <v>1830222.48153087</v>
      </c>
      <c r="G39" s="341" t="n">
        <f aca="false">'GAAP Beg Depreciation'!O129/6</f>
        <v>1830222.48153087</v>
      </c>
      <c r="H39" s="341" t="n">
        <f aca="false">'GAAP Beg Depreciation'!P129/6</f>
        <v>1830222.48153087</v>
      </c>
      <c r="I39" s="341" t="n">
        <f aca="false">'GAAP Beg Depreciation'!Q129/6</f>
        <v>1830222.48153087</v>
      </c>
      <c r="J39" s="341" t="n">
        <f aca="false">'GAAP Beg Depreciation'!R129/6</f>
        <v>1830222.48153087</v>
      </c>
      <c r="K39" s="341" t="n">
        <f aca="false">'GAAP Beg Depreciation'!S129/6</f>
        <v>1830222.48153087</v>
      </c>
      <c r="L39" s="341" t="n">
        <f aca="false">'GAAP Beg Depreciation'!T129/6</f>
        <v>1830222.48153087</v>
      </c>
      <c r="M39" s="341" t="n">
        <f aca="false">'GAAP Beg Depreciation'!U129/6</f>
        <v>1830222.48153087</v>
      </c>
      <c r="N39" s="341" t="n">
        <f aca="false">'GAAP Beg Depreciation'!V129/6</f>
        <v>1830222.48153087</v>
      </c>
      <c r="O39" s="341" t="n">
        <f aca="false">'GAAP Beg Depreciation'!W129/6</f>
        <v>1830222.48153087</v>
      </c>
      <c r="P39" s="341" t="n">
        <f aca="false">'GAAP Beg Depreciation'!X129/6</f>
        <v>1830222.48153087</v>
      </c>
      <c r="Q39" s="341" t="n">
        <f aca="false">'GAAP Beg Depreciation'!Y129/6</f>
        <v>1830222.48153087</v>
      </c>
      <c r="R39" s="341" t="n">
        <f aca="false">'GAAP Beg Depreciation'!Z129/6</f>
        <v>466825.518197538</v>
      </c>
      <c r="S39" s="341" t="n">
        <f aca="false">'GAAP Beg Depreciation'!AA129/6</f>
        <v>78084.6481975333</v>
      </c>
      <c r="T39" s="341" t="n">
        <f aca="false">'GAAP Beg Depreciation'!AB129/6</f>
        <v>78084.6481975333</v>
      </c>
      <c r="U39" s="341" t="n">
        <f aca="false">'GAAP Beg Depreciation'!AC129/6</f>
        <v>78084.6481975333</v>
      </c>
      <c r="V39" s="341" t="n">
        <f aca="false">'GAAP Beg Depreciation'!AD129/6</f>
        <v>78084.6481975333</v>
      </c>
      <c r="W39" s="341" t="n">
        <f aca="false">'GAAP Beg Depreciation'!AE129/6</f>
        <v>29658.5</v>
      </c>
      <c r="X39" s="341" t="n">
        <f aca="false">'GAAP Beg Depreciation'!AF129/6</f>
        <v>29658.5</v>
      </c>
      <c r="Y39" s="341" t="n">
        <f aca="false">'GAAP Beg Depreciation'!AG129/6</f>
        <v>29658.5</v>
      </c>
      <c r="Z39" s="341" t="n">
        <f aca="false">'GAAP Beg Depreciation'!AH129/6</f>
        <v>29658.5</v>
      </c>
      <c r="AA39" s="341" t="n">
        <f aca="false">'GAAP Beg Depreciation'!AI129/6</f>
        <v>29658.5</v>
      </c>
      <c r="AB39" s="341" t="n">
        <f aca="false">'GAAP Beg Depreciation'!AJ129/6</f>
        <v>29658.5</v>
      </c>
      <c r="AC39" s="341" t="n">
        <f aca="false">'GAAP Beg Depreciation'!AK129/6</f>
        <v>29658.5</v>
      </c>
      <c r="AD39" s="341" t="n">
        <f aca="false">'GAAP Beg Depreciation'!AL129/6</f>
        <v>29658.5</v>
      </c>
      <c r="AE39" s="341" t="n">
        <f aca="false">'GAAP Beg Depreciation'!AM129/6</f>
        <v>29658.5</v>
      </c>
      <c r="AF39" s="341" t="n">
        <f aca="false">'GAAP Beg Depreciation'!AN129/6</f>
        <v>29658.5</v>
      </c>
      <c r="AG39" s="341" t="n">
        <f aca="false">'GAAP Beg Depreciation'!AO129/6</f>
        <v>29658.5</v>
      </c>
    </row>
    <row r="40" customFormat="false" ht="12.75" hidden="false" customHeight="false" outlineLevel="0" collapsed="false">
      <c r="A40" s="0" t="n">
        <v>31</v>
      </c>
      <c r="B40" s="0" t="s">
        <v>100</v>
      </c>
      <c r="C40" s="341" t="n">
        <f aca="false">'GAAP Beg Depreciation'!K129/6</f>
        <v>1830222.48153087</v>
      </c>
      <c r="D40" s="341" t="n">
        <f aca="false">'GAAP Beg Depreciation'!L129/6</f>
        <v>1830222.48153087</v>
      </c>
      <c r="E40" s="341" t="n">
        <f aca="false">'GAAP Beg Depreciation'!M129/6</f>
        <v>1830222.48153087</v>
      </c>
      <c r="F40" s="341" t="n">
        <f aca="false">'GAAP Beg Depreciation'!N129/6</f>
        <v>1830222.48153087</v>
      </c>
      <c r="G40" s="341" t="n">
        <f aca="false">'GAAP Beg Depreciation'!O129/6</f>
        <v>1830222.48153087</v>
      </c>
      <c r="H40" s="341" t="n">
        <f aca="false">'GAAP Beg Depreciation'!P129/6</f>
        <v>1830222.48153087</v>
      </c>
      <c r="I40" s="341" t="n">
        <f aca="false">'GAAP Beg Depreciation'!Q129/6</f>
        <v>1830222.48153087</v>
      </c>
      <c r="J40" s="341" t="n">
        <f aca="false">'GAAP Beg Depreciation'!R129/6</f>
        <v>1830222.48153087</v>
      </c>
      <c r="K40" s="341" t="n">
        <f aca="false">'GAAP Beg Depreciation'!S129/6</f>
        <v>1830222.48153087</v>
      </c>
      <c r="L40" s="341" t="n">
        <f aca="false">'GAAP Beg Depreciation'!T129/6</f>
        <v>1830222.48153087</v>
      </c>
      <c r="M40" s="341" t="n">
        <f aca="false">'GAAP Beg Depreciation'!U129/6</f>
        <v>1830222.48153087</v>
      </c>
      <c r="N40" s="341" t="n">
        <f aca="false">'GAAP Beg Depreciation'!V129/6</f>
        <v>1830222.48153087</v>
      </c>
      <c r="O40" s="341" t="n">
        <f aca="false">'GAAP Beg Depreciation'!W129/6</f>
        <v>1830222.48153087</v>
      </c>
      <c r="P40" s="341" t="n">
        <f aca="false">'GAAP Beg Depreciation'!X129/6</f>
        <v>1830222.48153087</v>
      </c>
      <c r="Q40" s="341" t="n">
        <f aca="false">'GAAP Beg Depreciation'!Y129/6</f>
        <v>1830222.48153087</v>
      </c>
      <c r="R40" s="341" t="n">
        <f aca="false">'GAAP Beg Depreciation'!Z129/6</f>
        <v>466825.518197538</v>
      </c>
      <c r="S40" s="341" t="n">
        <f aca="false">'GAAP Beg Depreciation'!AA129/6</f>
        <v>78084.6481975333</v>
      </c>
      <c r="T40" s="341" t="n">
        <f aca="false">'GAAP Beg Depreciation'!AB129/6</f>
        <v>78084.6481975333</v>
      </c>
      <c r="U40" s="341" t="n">
        <f aca="false">'GAAP Beg Depreciation'!AC129/6</f>
        <v>78084.6481975333</v>
      </c>
      <c r="V40" s="341" t="n">
        <f aca="false">'GAAP Beg Depreciation'!AD129/6</f>
        <v>78084.6481975333</v>
      </c>
      <c r="W40" s="341" t="n">
        <f aca="false">'GAAP Beg Depreciation'!AE129/6</f>
        <v>29658.5</v>
      </c>
      <c r="X40" s="341" t="n">
        <f aca="false">'GAAP Beg Depreciation'!AF129/6</f>
        <v>29658.5</v>
      </c>
      <c r="Y40" s="341" t="n">
        <f aca="false">'GAAP Beg Depreciation'!AG129/6</f>
        <v>29658.5</v>
      </c>
      <c r="Z40" s="341" t="n">
        <f aca="false">'GAAP Beg Depreciation'!AH129/6</f>
        <v>29658.5</v>
      </c>
      <c r="AA40" s="341" t="n">
        <f aca="false">'GAAP Beg Depreciation'!AI129/6</f>
        <v>29658.5</v>
      </c>
      <c r="AB40" s="341" t="n">
        <f aca="false">'GAAP Beg Depreciation'!AJ129/6</f>
        <v>29658.5</v>
      </c>
      <c r="AC40" s="341" t="n">
        <f aca="false">'GAAP Beg Depreciation'!AK129/6</f>
        <v>29658.5</v>
      </c>
      <c r="AD40" s="341" t="n">
        <f aca="false">'GAAP Beg Depreciation'!AL129/6</f>
        <v>29658.5</v>
      </c>
      <c r="AE40" s="341" t="n">
        <f aca="false">'GAAP Beg Depreciation'!AM129/6</f>
        <v>29658.5</v>
      </c>
      <c r="AF40" s="341" t="n">
        <f aca="false">'GAAP Beg Depreciation'!AN129/6</f>
        <v>29658.5</v>
      </c>
      <c r="AG40" s="341" t="n">
        <f aca="false">'GAAP Beg Depreciation'!AO129/6</f>
        <v>29658.5</v>
      </c>
    </row>
    <row r="41" customFormat="false" ht="12.75" hidden="false" customHeight="false" outlineLevel="0" collapsed="false">
      <c r="A41" s="0" t="n">
        <v>32</v>
      </c>
      <c r="B41" s="0" t="s">
        <v>101</v>
      </c>
      <c r="C41" s="341" t="n">
        <f aca="false">'GAAP Beg Depreciation'!K129/6</f>
        <v>1830222.48153087</v>
      </c>
      <c r="D41" s="341" t="n">
        <f aca="false">'GAAP Beg Depreciation'!L129/6</f>
        <v>1830222.48153087</v>
      </c>
      <c r="E41" s="341" t="n">
        <f aca="false">'GAAP Beg Depreciation'!M129/6</f>
        <v>1830222.48153087</v>
      </c>
      <c r="F41" s="341" t="n">
        <f aca="false">'GAAP Beg Depreciation'!N129/6</f>
        <v>1830222.48153087</v>
      </c>
      <c r="G41" s="341" t="n">
        <f aca="false">'GAAP Beg Depreciation'!O129/6</f>
        <v>1830222.48153087</v>
      </c>
      <c r="H41" s="341" t="n">
        <f aca="false">'GAAP Beg Depreciation'!P129/6</f>
        <v>1830222.48153087</v>
      </c>
      <c r="I41" s="341" t="n">
        <f aca="false">'GAAP Beg Depreciation'!Q129/6</f>
        <v>1830222.48153087</v>
      </c>
      <c r="J41" s="341" t="n">
        <f aca="false">'GAAP Beg Depreciation'!R129/6</f>
        <v>1830222.48153087</v>
      </c>
      <c r="K41" s="341" t="n">
        <f aca="false">'GAAP Beg Depreciation'!S129/6</f>
        <v>1830222.48153087</v>
      </c>
      <c r="L41" s="341" t="n">
        <f aca="false">'GAAP Beg Depreciation'!T129/6</f>
        <v>1830222.48153087</v>
      </c>
      <c r="M41" s="341" t="n">
        <f aca="false">'GAAP Beg Depreciation'!U129/6</f>
        <v>1830222.48153087</v>
      </c>
      <c r="N41" s="341" t="n">
        <f aca="false">'GAAP Beg Depreciation'!V129/6</f>
        <v>1830222.48153087</v>
      </c>
      <c r="O41" s="341" t="n">
        <f aca="false">'GAAP Beg Depreciation'!W129/6</f>
        <v>1830222.48153087</v>
      </c>
      <c r="P41" s="341" t="n">
        <f aca="false">'GAAP Beg Depreciation'!X129/6</f>
        <v>1830222.48153087</v>
      </c>
      <c r="Q41" s="341" t="n">
        <f aca="false">'GAAP Beg Depreciation'!Y129/6</f>
        <v>1830222.48153087</v>
      </c>
      <c r="R41" s="341" t="n">
        <f aca="false">'GAAP Beg Depreciation'!Z129/6</f>
        <v>466825.518197538</v>
      </c>
      <c r="S41" s="341" t="n">
        <f aca="false">'GAAP Beg Depreciation'!AA129/6</f>
        <v>78084.6481975333</v>
      </c>
      <c r="T41" s="341" t="n">
        <f aca="false">'GAAP Beg Depreciation'!AB129/6</f>
        <v>78084.6481975333</v>
      </c>
      <c r="U41" s="341" t="n">
        <f aca="false">'GAAP Beg Depreciation'!AC129/6</f>
        <v>78084.6481975333</v>
      </c>
      <c r="V41" s="341" t="n">
        <f aca="false">'GAAP Beg Depreciation'!AD129/6</f>
        <v>78084.6481975333</v>
      </c>
      <c r="W41" s="341" t="n">
        <f aca="false">'GAAP Beg Depreciation'!AE129/6</f>
        <v>29658.5</v>
      </c>
      <c r="X41" s="341" t="n">
        <f aca="false">'GAAP Beg Depreciation'!AF129/6</f>
        <v>29658.5</v>
      </c>
      <c r="Y41" s="341" t="n">
        <f aca="false">'GAAP Beg Depreciation'!AG129/6</f>
        <v>29658.5</v>
      </c>
      <c r="Z41" s="341" t="n">
        <f aca="false">'GAAP Beg Depreciation'!AH129/6</f>
        <v>29658.5</v>
      </c>
      <c r="AA41" s="341" t="n">
        <f aca="false">'GAAP Beg Depreciation'!AI129/6</f>
        <v>29658.5</v>
      </c>
      <c r="AB41" s="341" t="n">
        <f aca="false">'GAAP Beg Depreciation'!AJ129/6</f>
        <v>29658.5</v>
      </c>
      <c r="AC41" s="341" t="n">
        <f aca="false">'GAAP Beg Depreciation'!AK129/6</f>
        <v>29658.5</v>
      </c>
      <c r="AD41" s="341" t="n">
        <f aca="false">'GAAP Beg Depreciation'!AL129/6</f>
        <v>29658.5</v>
      </c>
      <c r="AE41" s="341" t="n">
        <f aca="false">'GAAP Beg Depreciation'!AM129/6</f>
        <v>29658.5</v>
      </c>
      <c r="AF41" s="341" t="n">
        <f aca="false">'GAAP Beg Depreciation'!AN129/6</f>
        <v>29658.5</v>
      </c>
      <c r="AG41" s="341" t="n">
        <f aca="false">'GAAP Beg Depreciation'!AO129/6</f>
        <v>29658.5</v>
      </c>
    </row>
    <row r="42" customFormat="false" ht="13.5" hidden="false" customHeight="false" outlineLevel="0" collapsed="false">
      <c r="A42" s="314" t="n">
        <v>33</v>
      </c>
      <c r="B42" s="314" t="s">
        <v>14</v>
      </c>
      <c r="C42" s="367" t="n">
        <f aca="false">'GAAP Beg Depreciation'!K130</f>
        <v>10846000</v>
      </c>
      <c r="D42" s="367" t="n">
        <f aca="false">'GAAP Beg Depreciation'!L130</f>
        <v>10846000</v>
      </c>
      <c r="E42" s="367" t="n">
        <f aca="false">'GAAP Beg Depreciation'!M130</f>
        <v>10846000</v>
      </c>
      <c r="F42" s="367" t="n">
        <f aca="false">'GAAP Beg Depreciation'!N130</f>
        <v>10846000</v>
      </c>
      <c r="G42" s="367" t="n">
        <f aca="false">'GAAP Beg Depreciation'!O130</f>
        <v>10846000</v>
      </c>
      <c r="H42" s="367" t="n">
        <f aca="false">'GAAP Beg Depreciation'!P130</f>
        <v>10846000</v>
      </c>
      <c r="I42" s="367" t="n">
        <f aca="false">'GAAP Beg Depreciation'!Q130</f>
        <v>10846000</v>
      </c>
      <c r="J42" s="367" t="n">
        <f aca="false">'GAAP Beg Depreciation'!R130</f>
        <v>10846000</v>
      </c>
      <c r="K42" s="367" t="n">
        <f aca="false">'GAAP Beg Depreciation'!S130</f>
        <v>10846000</v>
      </c>
      <c r="L42" s="367" t="n">
        <f aca="false">'GAAP Beg Depreciation'!T130</f>
        <v>10846000</v>
      </c>
      <c r="M42" s="367" t="n">
        <f aca="false">'GAAP Beg Depreciation'!U130</f>
        <v>10846000</v>
      </c>
      <c r="N42" s="367" t="n">
        <f aca="false">'GAAP Beg Depreciation'!V130</f>
        <v>10846000</v>
      </c>
      <c r="O42" s="367" t="n">
        <f aca="false">'GAAP Beg Depreciation'!W130</f>
        <v>10846000</v>
      </c>
      <c r="P42" s="367" t="n">
        <f aca="false">'GAAP Beg Depreciation'!X130</f>
        <v>10846000</v>
      </c>
      <c r="Q42" s="367" t="n">
        <f aca="false">'GAAP Beg Depreciation'!Y130</f>
        <v>10846000</v>
      </c>
      <c r="R42" s="367" t="n">
        <f aca="false">'GAAP Beg Depreciation'!Z130</f>
        <v>10846000</v>
      </c>
      <c r="S42" s="367" t="n">
        <f aca="false">'GAAP Beg Depreciation'!AA130</f>
        <v>10846000</v>
      </c>
      <c r="T42" s="367" t="n">
        <f aca="false">'GAAP Beg Depreciation'!AB130</f>
        <v>10846000</v>
      </c>
      <c r="U42" s="367" t="n">
        <f aca="false">'GAAP Beg Depreciation'!AC130</f>
        <v>10846000</v>
      </c>
      <c r="V42" s="367" t="n">
        <f aca="false">'GAAP Beg Depreciation'!AD130</f>
        <v>10846000</v>
      </c>
      <c r="W42" s="367" t="n">
        <f aca="false">'GAAP Beg Depreciation'!AE130</f>
        <v>10846000</v>
      </c>
      <c r="X42" s="367" t="n">
        <f aca="false">'GAAP Beg Depreciation'!AF130</f>
        <v>10846000</v>
      </c>
      <c r="Y42" s="367" t="n">
        <f aca="false">'GAAP Beg Depreciation'!AG130</f>
        <v>10846000</v>
      </c>
      <c r="Z42" s="367" t="n">
        <f aca="false">'GAAP Beg Depreciation'!AH130</f>
        <v>10846000</v>
      </c>
      <c r="AA42" s="367" t="n">
        <f aca="false">'GAAP Beg Depreciation'!AI130</f>
        <v>10846000</v>
      </c>
      <c r="AB42" s="367" t="n">
        <f aca="false">'GAAP Beg Depreciation'!AJ130</f>
        <v>10846000</v>
      </c>
      <c r="AC42" s="367" t="n">
        <f aca="false">'GAAP Beg Depreciation'!AK130</f>
        <v>10846000</v>
      </c>
      <c r="AD42" s="367" t="n">
        <f aca="false">'GAAP Beg Depreciation'!AL130</f>
        <v>10846000</v>
      </c>
      <c r="AE42" s="367" t="n">
        <f aca="false">'GAAP Beg Depreciation'!AM130</f>
        <v>10846000</v>
      </c>
      <c r="AF42" s="367" t="n">
        <f aca="false">'GAAP Beg Depreciation'!AN130</f>
        <v>10846000</v>
      </c>
      <c r="AG42" s="367" t="n">
        <f aca="false">'GAAP Beg Depreciation'!AO130</f>
        <v>10846000</v>
      </c>
    </row>
    <row r="43" customFormat="false" ht="13.5" hidden="false" customHeight="false" outlineLevel="0" collapsed="false">
      <c r="B43" s="0" t="s">
        <v>3</v>
      </c>
      <c r="C43" s="347" t="n">
        <f aca="false">SUM(C10:C42)</f>
        <v>109537000</v>
      </c>
      <c r="D43" s="347" t="n">
        <f aca="false">SUM(D10:D42)</f>
        <v>109537000</v>
      </c>
      <c r="E43" s="347" t="n">
        <f aca="false">SUM(E10:E42)</f>
        <v>109493759.16</v>
      </c>
      <c r="F43" s="347" t="n">
        <f aca="false">SUM(F10:F42)</f>
        <v>109337380</v>
      </c>
      <c r="G43" s="347" t="n">
        <f aca="false">SUM(G10:G42)</f>
        <v>108939707.48</v>
      </c>
      <c r="H43" s="347" t="n">
        <f aca="false">SUM(H10:H42)</f>
        <v>107100337.44</v>
      </c>
      <c r="I43" s="347" t="n">
        <f aca="false">SUM(I10:I42)</f>
        <v>107100337.44</v>
      </c>
      <c r="J43" s="347" t="n">
        <f aca="false">SUM(J10:J42)</f>
        <v>100863630.64</v>
      </c>
      <c r="K43" s="347" t="n">
        <f aca="false">SUM(K10:K42)</f>
        <v>95628227.71</v>
      </c>
      <c r="L43" s="347" t="n">
        <f aca="false">SUM(L10:L42)</f>
        <v>95045985.85</v>
      </c>
      <c r="M43" s="347" t="n">
        <f aca="false">SUM(M10:M42)</f>
        <v>94842379.13</v>
      </c>
      <c r="N43" s="347" t="n">
        <f aca="false">SUM(N10:N42)</f>
        <v>93686880.43</v>
      </c>
      <c r="O43" s="347" t="n">
        <f aca="false">SUM(O10:O42)</f>
        <v>93686880.43</v>
      </c>
      <c r="P43" s="347" t="n">
        <f aca="false">SUM(P10:P42)</f>
        <v>92299671.54</v>
      </c>
      <c r="Q43" s="347" t="n">
        <f aca="false">SUM(Q10:Q42)</f>
        <v>88422021.71</v>
      </c>
      <c r="R43" s="347" t="n">
        <f aca="false">SUM(R10:R42)</f>
        <v>73281047.51</v>
      </c>
      <c r="S43" s="347" t="n">
        <f aca="false">SUM(S10:S42)</f>
        <v>60805899.7199999</v>
      </c>
      <c r="T43" s="347" t="n">
        <f aca="false">SUM(T10:T42)</f>
        <v>54310766.09</v>
      </c>
      <c r="U43" s="347" t="n">
        <f aca="false">SUM(U10:U42)</f>
        <v>51059137.71</v>
      </c>
      <c r="V43" s="347" t="n">
        <f aca="false">SUM(V10:V42)</f>
        <v>51048574.91</v>
      </c>
    </row>
    <row r="54" customFormat="false" ht="12.75" hidden="false" customHeight="false" outlineLevel="0" collapsed="false">
      <c r="B54" s="348"/>
      <c r="C54" s="134"/>
    </row>
    <row r="55" customFormat="false" ht="12.75" hidden="false" customHeight="false" outlineLevel="0" collapsed="false">
      <c r="B55" s="348"/>
      <c r="C55" s="322" t="n">
        <v>2000</v>
      </c>
      <c r="D55" s="323" t="n">
        <v>2001</v>
      </c>
      <c r="E55" s="323" t="n">
        <v>2002</v>
      </c>
      <c r="F55" s="323" t="n">
        <v>2003</v>
      </c>
      <c r="G55" s="323" t="n">
        <v>2004</v>
      </c>
      <c r="H55" s="323" t="n">
        <v>2005</v>
      </c>
      <c r="I55" s="323" t="n">
        <v>2006</v>
      </c>
      <c r="J55" s="323" t="n">
        <v>2007</v>
      </c>
      <c r="K55" s="323" t="n">
        <v>2008</v>
      </c>
      <c r="L55" s="323" t="n">
        <v>2009</v>
      </c>
      <c r="M55" s="323" t="n">
        <v>2010</v>
      </c>
      <c r="N55" s="323" t="n">
        <v>2011</v>
      </c>
      <c r="O55" s="323" t="n">
        <v>2012</v>
      </c>
      <c r="P55" s="323" t="n">
        <v>2013</v>
      </c>
      <c r="Q55" s="323" t="n">
        <v>2014</v>
      </c>
      <c r="R55" s="323" t="n">
        <v>2015</v>
      </c>
      <c r="S55" s="323" t="n">
        <v>2016</v>
      </c>
      <c r="T55" s="323" t="n">
        <v>2017</v>
      </c>
      <c r="U55" s="323" t="n">
        <v>2018</v>
      </c>
      <c r="V55" s="323" t="n">
        <v>2019</v>
      </c>
    </row>
    <row r="56" customFormat="false" ht="12.75" hidden="false" customHeight="false" outlineLevel="0" collapsed="false">
      <c r="A56" s="349" t="s">
        <v>187</v>
      </c>
      <c r="B56" s="348"/>
      <c r="C56" s="350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</row>
    <row r="57" customFormat="false" ht="13.5" hidden="false" customHeight="false" outlineLevel="0" collapsed="false">
      <c r="B57" s="348" t="s">
        <v>177</v>
      </c>
      <c r="C57" s="352" t="n">
        <f aca="false">-VLOOKUP(IS!$B$1,CapAds,C55-1997)*-1</f>
        <v>0</v>
      </c>
      <c r="D57" s="352" t="n">
        <f aca="false">-VLOOKUP(IS!$B$1,CapAds,D55-1997)*-1</f>
        <v>0</v>
      </c>
      <c r="E57" s="352" t="n">
        <f aca="false">-VLOOKUP(IS!$B$1,CapAds,E55-1997)*-1</f>
        <v>0</v>
      </c>
      <c r="F57" s="352" t="n">
        <f aca="false">-VLOOKUP(IS!$B$1,CapAds,F55-1997)*-1</f>
        <v>0</v>
      </c>
      <c r="G57" s="352" t="n">
        <f aca="false">-VLOOKUP(IS!$B$1,CapAds,G55-1997)*-1</f>
        <v>0</v>
      </c>
      <c r="H57" s="352" t="n">
        <f aca="false">-VLOOKUP(IS!$B$1,CapAds,H55-1997)*-1</f>
        <v>0</v>
      </c>
      <c r="I57" s="352" t="n">
        <f aca="false">-VLOOKUP(IS!$B$1,CapAds,I55-1997)*-1</f>
        <v>0</v>
      </c>
      <c r="J57" s="352" t="n">
        <f aca="false">-VLOOKUP(IS!$B$1,CapAds,J55-1997)*-1</f>
        <v>0</v>
      </c>
      <c r="K57" s="352" t="n">
        <f aca="false">-VLOOKUP(IS!$B$1,CapAds,K55-1997)*-1</f>
        <v>0</v>
      </c>
      <c r="L57" s="352" t="n">
        <f aca="false">-VLOOKUP(IS!$B$1,CapAds,L55-1997)*-1</f>
        <v>0</v>
      </c>
      <c r="M57" s="352" t="n">
        <f aca="false">-VLOOKUP(IS!$B$1,CapAds,M55-1997)*-1</f>
        <v>0</v>
      </c>
      <c r="N57" s="352" t="n">
        <f aca="false">-VLOOKUP(IS!$B$1,CapAds,N55-1997)*-1</f>
        <v>0</v>
      </c>
      <c r="O57" s="352" t="n">
        <f aca="false">-VLOOKUP(IS!$B$1,CapAds,O55-1997)*-1</f>
        <v>0</v>
      </c>
      <c r="P57" s="352" t="n">
        <f aca="false">-VLOOKUP(IS!$B$1,CapAds,P55-1997)*-1</f>
        <v>0</v>
      </c>
      <c r="Q57" s="352" t="n">
        <f aca="false">-VLOOKUP(IS!$B$1,CapAds,Q55-1997)*-1</f>
        <v>0</v>
      </c>
      <c r="R57" s="352" t="n">
        <f aca="false">-VLOOKUP(IS!$B$1,CapAds,R55-1997)*-1</f>
        <v>0</v>
      </c>
      <c r="S57" s="352" t="n">
        <f aca="false">-VLOOKUP(IS!$B$1,CapAds,S55-1997)*-1</f>
        <v>0</v>
      </c>
      <c r="T57" s="352" t="n">
        <f aca="false">-VLOOKUP(IS!$B$1,CapAds,T55-1997)*-1</f>
        <v>0</v>
      </c>
      <c r="U57" s="352" t="n">
        <f aca="false">-VLOOKUP(IS!$B$1,CapAds,U55-1997)*-1</f>
        <v>0</v>
      </c>
      <c r="V57" s="352" t="n">
        <f aca="false">-VLOOKUP(IS!$B$1,CapAds,V55-1997)*-1</f>
        <v>0</v>
      </c>
    </row>
    <row r="58" customFormat="false" ht="13.5" hidden="false" customHeight="false" outlineLevel="0" collapsed="false">
      <c r="A58" s="0" t="s">
        <v>188</v>
      </c>
      <c r="B58" s="368" t="n">
        <f aca="false">+Assumptions!L20</f>
        <v>20</v>
      </c>
      <c r="C58" s="353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</row>
    <row r="59" customFormat="false" ht="12.75" hidden="false" customHeight="false" outlineLevel="0" collapsed="false">
      <c r="B59" s="348"/>
      <c r="C59" s="353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</row>
    <row r="60" customFormat="false" ht="12.75" hidden="false" customHeight="false" outlineLevel="0" collapsed="false">
      <c r="B60" s="348"/>
      <c r="C60" s="350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</row>
    <row r="61" customFormat="false" ht="12.75" hidden="false" customHeight="false" outlineLevel="0" collapsed="false">
      <c r="B61" s="348"/>
      <c r="C61" s="350" t="n">
        <f aca="false">IF((C55-$C$55)&gt;$B$58,0,$C$57/$B$58)</f>
        <v>0</v>
      </c>
      <c r="D61" s="350" t="n">
        <f aca="false">IF((D55-$C$55)&gt;$B$58,0,$C$57/$B$58)</f>
        <v>0</v>
      </c>
      <c r="E61" s="350" t="n">
        <f aca="false">IF((E55-$C$55)&gt;$B$58,0,$C$57/$B$58)</f>
        <v>0</v>
      </c>
      <c r="F61" s="350" t="n">
        <f aca="false">IF((F55-$C$55)&gt;$B$58,0,$C$57/$B$58)</f>
        <v>0</v>
      </c>
      <c r="G61" s="350" t="n">
        <f aca="false">IF((G55-$C$55)&gt;$B$58,0,$C$57/$B$58)</f>
        <v>0</v>
      </c>
      <c r="H61" s="350" t="n">
        <f aca="false">IF((H55-$C$55)&gt;$B$58,0,$C$57/$B$58)</f>
        <v>0</v>
      </c>
      <c r="I61" s="350" t="n">
        <f aca="false">IF((I55-$C$55)&gt;$B$58,0,$C$57/$B$58)</f>
        <v>0</v>
      </c>
      <c r="J61" s="350" t="n">
        <f aca="false">IF((J55-$C$55)&gt;$B$58,0,$C$57/$B$58)</f>
        <v>0</v>
      </c>
      <c r="K61" s="350" t="n">
        <f aca="false">IF((K55-$C$55)&gt;$B$58,0,$C$57/$B$58)</f>
        <v>0</v>
      </c>
      <c r="L61" s="350" t="n">
        <f aca="false">IF((L55-$C$55)&gt;$B$58,0,$C$57/$B$58)</f>
        <v>0</v>
      </c>
      <c r="M61" s="350" t="n">
        <f aca="false">IF((M55-$C$55)&gt;$B$58,0,$C$57/$B$58)</f>
        <v>0</v>
      </c>
      <c r="N61" s="350" t="n">
        <f aca="false">IF((N55-$C$55)&gt;$B$58,0,$C$57/$B$58)</f>
        <v>0</v>
      </c>
      <c r="O61" s="350" t="n">
        <f aca="false">IF((O55-$C$55)&gt;$B$58,0,$C$57/$B$58)</f>
        <v>0</v>
      </c>
      <c r="P61" s="350" t="n">
        <f aca="false">IF((P55-$C$55)&gt;$B$58,0,$C$57/$B$58)</f>
        <v>0</v>
      </c>
      <c r="Q61" s="350" t="n">
        <f aca="false">IF((Q55-$C$55)&gt;$B$58,0,$C$57/$B$58)</f>
        <v>0</v>
      </c>
      <c r="R61" s="350" t="n">
        <f aca="false">IF((R55-$C$55)&gt;$B$58,0,$C$57/$B$58)</f>
        <v>0</v>
      </c>
      <c r="S61" s="350" t="n">
        <f aca="false">IF((S55-$C$55)&gt;$B$58,0,$C$57/$B$58)</f>
        <v>0</v>
      </c>
      <c r="T61" s="350" t="n">
        <f aca="false">IF((T55-$C$55)&gt;$B$58,0,$C$57/$B$58)</f>
        <v>0</v>
      </c>
      <c r="U61" s="350" t="n">
        <f aca="false">IF((U55-$C$55)&gt;$B$58,0,$C$57/$B$58)</f>
        <v>0</v>
      </c>
      <c r="V61" s="350" t="n">
        <f aca="false">IF((V55-$C$55)&gt;$B$58,0,$C$57/$B$58)</f>
        <v>0</v>
      </c>
    </row>
    <row r="62" customFormat="false" ht="12.75" hidden="false" customHeight="false" outlineLevel="0" collapsed="false">
      <c r="B62" s="348"/>
      <c r="C62" s="356"/>
      <c r="D62" s="350" t="n">
        <f aca="false">IF((D$55-$D$55)&gt;$B$58,0,$D$57/$B$58)</f>
        <v>0</v>
      </c>
      <c r="E62" s="350" t="n">
        <f aca="false">IF((E$55-$D$55)&gt;$B$58,0,$D$57/$B$58)</f>
        <v>0</v>
      </c>
      <c r="F62" s="350" t="n">
        <f aca="false">IF((F$55-$D$55)&gt;$B$58,0,$D$57/$B$58)</f>
        <v>0</v>
      </c>
      <c r="G62" s="350" t="n">
        <f aca="false">IF((G$55-$D$55)&gt;$B$58,0,$D$57/$B$58)</f>
        <v>0</v>
      </c>
      <c r="H62" s="350" t="n">
        <f aca="false">IF((H$55-$D$55)&gt;$B$58,0,$D$57/$B$58)</f>
        <v>0</v>
      </c>
      <c r="I62" s="350" t="n">
        <f aca="false">IF((I$55-$D$55)&gt;$B$58,0,$D$57/$B$58)</f>
        <v>0</v>
      </c>
      <c r="J62" s="350" t="n">
        <f aca="false">IF((J$55-$D$55)&gt;$B$58,0,$D$57/$B$58)</f>
        <v>0</v>
      </c>
      <c r="K62" s="350" t="n">
        <f aca="false">IF((K$55-$D$55)&gt;$B$58,0,$D$57/$B$58)</f>
        <v>0</v>
      </c>
      <c r="L62" s="350" t="n">
        <f aca="false">IF((L$55-$D$55)&gt;$B$58,0,$D$57/$B$58)</f>
        <v>0</v>
      </c>
      <c r="M62" s="350" t="n">
        <f aca="false">IF((M$55-$D$55)&gt;$B$58,0,$D$57/$B$58)</f>
        <v>0</v>
      </c>
      <c r="N62" s="350" t="n">
        <f aca="false">IF((N$55-$D$55)&gt;$B$58,0,$D$57/$B$58)</f>
        <v>0</v>
      </c>
      <c r="O62" s="350" t="n">
        <f aca="false">IF((O$55-$D$55)&gt;$B$58,0,$D$57/$B$58)</f>
        <v>0</v>
      </c>
      <c r="P62" s="350" t="n">
        <f aca="false">IF((P$55-$D$55)&gt;$B$58,0,$D$57/$B$58)</f>
        <v>0</v>
      </c>
      <c r="Q62" s="350" t="n">
        <f aca="false">IF((Q$55-$D$55)&gt;$B$58,0,$D$57/$B$58)</f>
        <v>0</v>
      </c>
      <c r="R62" s="350" t="n">
        <f aca="false">IF((R$55-$D$55)&gt;$B$58,0,$D$57/$B$58)</f>
        <v>0</v>
      </c>
      <c r="S62" s="350" t="n">
        <f aca="false">IF((S$55-$D$55)&gt;$B$58,0,$D$57/$B$58)</f>
        <v>0</v>
      </c>
      <c r="T62" s="350" t="n">
        <f aca="false">IF((T$55-$D$55)&gt;$B$58,0,$D$57/$B$58)</f>
        <v>0</v>
      </c>
      <c r="U62" s="350" t="n">
        <f aca="false">IF((U$55-$D$55)&gt;$B$58,0,$D$57/$B$58)</f>
        <v>0</v>
      </c>
      <c r="V62" s="350" t="n">
        <f aca="false">IF((V$55-$D$55)&gt;$B$58,0,$D$57/$B$58)</f>
        <v>0</v>
      </c>
    </row>
    <row r="63" customFormat="false" ht="12.75" hidden="false" customHeight="false" outlineLevel="0" collapsed="false">
      <c r="B63" s="348"/>
      <c r="C63" s="356"/>
      <c r="D63" s="357"/>
      <c r="E63" s="350" t="n">
        <f aca="false">IF((E$55-$E$55)&gt;$B$58,0,$E$57/$B$58)</f>
        <v>0</v>
      </c>
      <c r="F63" s="350" t="n">
        <f aca="false">IF((F$55-$E$55)&gt;$B$58,0,$E$57/$B$58)</f>
        <v>0</v>
      </c>
      <c r="G63" s="350" t="n">
        <f aca="false">IF((G$55-$E$55)&gt;$B$58,0,$E$57/$B$58)</f>
        <v>0</v>
      </c>
      <c r="H63" s="350" t="n">
        <f aca="false">IF((H$55-$E$55)&gt;$B$58,0,$E$57/$B$58)</f>
        <v>0</v>
      </c>
      <c r="I63" s="350" t="n">
        <f aca="false">IF((I$55-$E$55)&gt;$B$58,0,$E$57/$B$58)</f>
        <v>0</v>
      </c>
      <c r="J63" s="350" t="n">
        <f aca="false">IF((J$55-$E$55)&gt;$B$58,0,$E$57/$B$58)</f>
        <v>0</v>
      </c>
      <c r="K63" s="350" t="n">
        <f aca="false">IF((K$55-$E$55)&gt;$B$58,0,$E$57/$B$58)</f>
        <v>0</v>
      </c>
      <c r="L63" s="350" t="n">
        <f aca="false">IF((L$55-$E$55)&gt;$B$58,0,$E$57/$B$58)</f>
        <v>0</v>
      </c>
      <c r="M63" s="350" t="n">
        <f aca="false">IF((M$55-$E$55)&gt;$B$58,0,$E$57/$B$58)</f>
        <v>0</v>
      </c>
      <c r="N63" s="350" t="n">
        <f aca="false">IF((N$55-$E$55)&gt;$B$58,0,$E$57/$B$58)</f>
        <v>0</v>
      </c>
      <c r="O63" s="350" t="n">
        <f aca="false">IF((O$55-$E$55)&gt;$B$58,0,$E$57/$B$58)</f>
        <v>0</v>
      </c>
      <c r="P63" s="350" t="n">
        <f aca="false">IF((P$55-$E$55)&gt;$B$58,0,$E$57/$B$58)</f>
        <v>0</v>
      </c>
      <c r="Q63" s="350" t="n">
        <f aca="false">IF((Q$55-$E$55)&gt;$B$58,0,$E$57/$B$58)</f>
        <v>0</v>
      </c>
      <c r="R63" s="350" t="n">
        <f aca="false">IF((R$55-$E$55)&gt;$B$58,0,$E$57/$B$58)</f>
        <v>0</v>
      </c>
      <c r="S63" s="350" t="n">
        <f aca="false">IF((S$55-$E$55)&gt;$B$58,0,$E$57/$B$58)</f>
        <v>0</v>
      </c>
      <c r="T63" s="350" t="n">
        <f aca="false">IF((T$55-$E$55)&gt;$B$58,0,$E$57/$B$58)</f>
        <v>0</v>
      </c>
      <c r="U63" s="350" t="n">
        <f aca="false">IF((U$55-$E$55)&gt;$B$58,0,$E$57/$B$58)</f>
        <v>0</v>
      </c>
      <c r="V63" s="350" t="n">
        <f aca="false">IF((V$55-$E$55)&gt;$B$58,0,$E$57/$B$58)</f>
        <v>0</v>
      </c>
    </row>
    <row r="64" customFormat="false" ht="12.75" hidden="false" customHeight="false" outlineLevel="0" collapsed="false">
      <c r="B64" s="348"/>
      <c r="C64" s="356"/>
      <c r="D64" s="357"/>
      <c r="E64" s="357"/>
      <c r="F64" s="350" t="n">
        <f aca="false">IF((F$55-$F$55)&gt;$B$58,0,$F$57/$B$58)</f>
        <v>0</v>
      </c>
      <c r="G64" s="350" t="n">
        <f aca="false">IF((G$55-$F$55)&gt;$B$58,0,$F$57/$B$58)</f>
        <v>0</v>
      </c>
      <c r="H64" s="350" t="n">
        <f aca="false">IF((H$55-$F$55)&gt;$B$58,0,$F$57/$B$58)</f>
        <v>0</v>
      </c>
      <c r="I64" s="350" t="n">
        <f aca="false">IF((I$55-$F$55)&gt;$B$58,0,$F$57/$B$58)</f>
        <v>0</v>
      </c>
      <c r="J64" s="350" t="n">
        <f aca="false">IF((J$55-$F$55)&gt;$B$58,0,$F$57/$B$58)</f>
        <v>0</v>
      </c>
      <c r="K64" s="350" t="n">
        <f aca="false">IF((K$55-$F$55)&gt;$B$58,0,$F$57/$B$58)</f>
        <v>0</v>
      </c>
      <c r="L64" s="350" t="n">
        <f aca="false">IF((L$55-$F$55)&gt;$B$58,0,$F$57/$B$58)</f>
        <v>0</v>
      </c>
      <c r="M64" s="350" t="n">
        <f aca="false">IF((M$55-$F$55)&gt;$B$58,0,$F$57/$B$58)</f>
        <v>0</v>
      </c>
      <c r="N64" s="350" t="n">
        <f aca="false">IF((N$55-$F$55)&gt;$B$58,0,$F$57/$B$58)</f>
        <v>0</v>
      </c>
      <c r="O64" s="350" t="n">
        <f aca="false">IF((O$55-$F$55)&gt;$B$58,0,$F$57/$B$58)</f>
        <v>0</v>
      </c>
      <c r="P64" s="350" t="n">
        <f aca="false">IF((P$55-$F$55)&gt;$B$58,0,$F$57/$B$58)</f>
        <v>0</v>
      </c>
      <c r="Q64" s="350" t="n">
        <f aca="false">IF((Q$55-$F$55)&gt;$B$58,0,$F$57/$B$58)</f>
        <v>0</v>
      </c>
      <c r="R64" s="350" t="n">
        <f aca="false">IF((R$55-$F$55)&gt;$B$58,0,$F$57/$B$58)</f>
        <v>0</v>
      </c>
      <c r="S64" s="350" t="n">
        <f aca="false">IF((S$55-$F$55)&gt;$B$58,0,$F$57/$B$58)</f>
        <v>0</v>
      </c>
      <c r="T64" s="350" t="n">
        <f aca="false">IF((T$55-$F$55)&gt;$B$58,0,$F$57/$B$58)</f>
        <v>0</v>
      </c>
      <c r="U64" s="350" t="n">
        <f aca="false">IF((U$55-$F$55)&gt;$B$58,0,$F$57/$B$58)</f>
        <v>0</v>
      </c>
      <c r="V64" s="350" t="n">
        <f aca="false">IF((V$55-$F$55)&gt;$B$58,0,$F$57/$B$58)</f>
        <v>0</v>
      </c>
    </row>
    <row r="65" customFormat="false" ht="12.75" hidden="false" customHeight="false" outlineLevel="0" collapsed="false">
      <c r="B65" s="348"/>
      <c r="C65" s="356"/>
      <c r="D65" s="357"/>
      <c r="E65" s="357"/>
      <c r="F65" s="357"/>
      <c r="G65" s="350" t="n">
        <f aca="false">IF((G$55-$G$55)&gt;$B$58,0,$G$57/$B$58)</f>
        <v>0</v>
      </c>
      <c r="H65" s="350" t="n">
        <f aca="false">IF((H$55-$G$55)&gt;$B$58,0,$G$57/$B$58)</f>
        <v>0</v>
      </c>
      <c r="I65" s="350" t="n">
        <f aca="false">IF((I$55-$G$55)&gt;$B$58,0,$G$57/$B$58)</f>
        <v>0</v>
      </c>
      <c r="J65" s="350" t="n">
        <f aca="false">IF((J$55-$G$55)&gt;$B$58,0,$G$57/$B$58)</f>
        <v>0</v>
      </c>
      <c r="K65" s="350" t="n">
        <f aca="false">IF((K$55-$G$55)&gt;$B$58,0,$G$57/$B$58)</f>
        <v>0</v>
      </c>
      <c r="L65" s="350" t="n">
        <f aca="false">IF((L$55-$G$55)&gt;$B$58,0,$G$57/$B$58)</f>
        <v>0</v>
      </c>
      <c r="M65" s="350" t="n">
        <f aca="false">IF((M$55-$G$55)&gt;$B$58,0,$G$57/$B$58)</f>
        <v>0</v>
      </c>
      <c r="N65" s="350" t="n">
        <f aca="false">IF((N$55-$G$55)&gt;$B$58,0,$G$57/$B$58)</f>
        <v>0</v>
      </c>
      <c r="O65" s="350" t="n">
        <f aca="false">IF((O$55-$G$55)&gt;$B$58,0,$G$57/$B$58)</f>
        <v>0</v>
      </c>
      <c r="P65" s="350" t="n">
        <f aca="false">IF((P$55-$G$55)&gt;$B$58,0,$G$57/$B$58)</f>
        <v>0</v>
      </c>
      <c r="Q65" s="350" t="n">
        <f aca="false">IF((Q$55-$G$55)&gt;$B$58,0,$G$57/$B$58)</f>
        <v>0</v>
      </c>
      <c r="R65" s="350" t="n">
        <f aca="false">IF((R$55-$G$55)&gt;$B$58,0,$G$57/$B$58)</f>
        <v>0</v>
      </c>
      <c r="S65" s="350" t="n">
        <f aca="false">IF((S$55-$G$55)&gt;$B$58,0,$G$57/$B$58)</f>
        <v>0</v>
      </c>
      <c r="T65" s="350" t="n">
        <f aca="false">IF((T$55-$G$55)&gt;$B$58,0,$G$57/$B$58)</f>
        <v>0</v>
      </c>
      <c r="U65" s="350" t="n">
        <f aca="false">IF((U$55-$G$55)&gt;$B$58,0,$G$57/$B$58)</f>
        <v>0</v>
      </c>
      <c r="V65" s="350" t="n">
        <f aca="false">IF((V$55-$G$55)&gt;$B$58,0,$G$57/$B$58)</f>
        <v>0</v>
      </c>
    </row>
    <row r="66" customFormat="false" ht="12.75" hidden="false" customHeight="false" outlineLevel="0" collapsed="false">
      <c r="B66" s="348"/>
      <c r="C66" s="356"/>
      <c r="D66" s="357"/>
      <c r="E66" s="357"/>
      <c r="F66" s="357"/>
      <c r="G66" s="357"/>
      <c r="H66" s="350" t="n">
        <f aca="false">IF((H$55-$H$55)&gt;$B$58,0,$H$57/$B$58)</f>
        <v>0</v>
      </c>
      <c r="I66" s="350" t="n">
        <f aca="false">IF((I$55-$H$55)&gt;$B$58,0,$H$57/$B$58)</f>
        <v>0</v>
      </c>
      <c r="J66" s="350" t="n">
        <f aca="false">IF((J$55-$H$55)&gt;$B$58,0,$H$57/$B$58)</f>
        <v>0</v>
      </c>
      <c r="K66" s="350" t="n">
        <f aca="false">IF((K$55-$H$55)&gt;$B$58,0,$H$57/$B$58)</f>
        <v>0</v>
      </c>
      <c r="L66" s="350" t="n">
        <f aca="false">IF((L$55-$H$55)&gt;$B$58,0,$H$57/$B$58)</f>
        <v>0</v>
      </c>
      <c r="M66" s="350" t="n">
        <f aca="false">IF((M$55-$H$55)&gt;$B$58,0,$H$57/$B$58)</f>
        <v>0</v>
      </c>
      <c r="N66" s="350" t="n">
        <f aca="false">IF((N$55-$H$55)&gt;$B$58,0,$H$57/$B$58)</f>
        <v>0</v>
      </c>
      <c r="O66" s="350" t="n">
        <f aca="false">IF((O$55-$H$55)&gt;$B$58,0,$H$57/$B$58)</f>
        <v>0</v>
      </c>
      <c r="P66" s="350" t="n">
        <f aca="false">IF((P$55-$H$55)&gt;$B$58,0,$H$57/$B$58)</f>
        <v>0</v>
      </c>
      <c r="Q66" s="350" t="n">
        <f aca="false">IF((Q$55-$H$55)&gt;$B$58,0,$H$57/$B$58)</f>
        <v>0</v>
      </c>
      <c r="R66" s="350" t="n">
        <f aca="false">IF((R$55-$H$55)&gt;$B$58,0,$H$57/$B$58)</f>
        <v>0</v>
      </c>
      <c r="S66" s="350" t="n">
        <f aca="false">IF((S$55-$H$55)&gt;$B$58,0,$H$57/$B$58)</f>
        <v>0</v>
      </c>
      <c r="T66" s="350" t="n">
        <f aca="false">IF((T$55-$H$55)&gt;$B$58,0,$H$57/$B$58)</f>
        <v>0</v>
      </c>
      <c r="U66" s="350" t="n">
        <f aca="false">IF((U$55-$H$55)&gt;$B$58,0,$H$57/$B$58)</f>
        <v>0</v>
      </c>
      <c r="V66" s="350" t="n">
        <f aca="false">IF((V$55-$H$55)&gt;$B$58,0,$H$57/$B$58)</f>
        <v>0</v>
      </c>
    </row>
    <row r="67" customFormat="false" ht="12.75" hidden="false" customHeight="false" outlineLevel="0" collapsed="false">
      <c r="B67" s="348"/>
      <c r="C67" s="356"/>
      <c r="D67" s="357"/>
      <c r="E67" s="357"/>
      <c r="F67" s="357"/>
      <c r="G67" s="357"/>
      <c r="H67" s="357"/>
      <c r="I67" s="350" t="n">
        <f aca="false">IF((I$55-$I$55)&gt;$B$58,0,$I$57/$B$58)</f>
        <v>0</v>
      </c>
      <c r="J67" s="350" t="n">
        <f aca="false">IF((J$55-$I$55)&gt;$B$58,0,$I$57/$B$58)</f>
        <v>0</v>
      </c>
      <c r="K67" s="350" t="n">
        <f aca="false">IF((K$55-$I$55)&gt;$B$58,0,$I$57/$B$58)</f>
        <v>0</v>
      </c>
      <c r="L67" s="350" t="n">
        <f aca="false">IF((L$55-$I$55)&gt;$B$58,0,$I$57/$B$58)</f>
        <v>0</v>
      </c>
      <c r="M67" s="350" t="n">
        <f aca="false">IF((M$55-$I$55)&gt;$B$58,0,$I$57/$B$58)</f>
        <v>0</v>
      </c>
      <c r="N67" s="350" t="n">
        <f aca="false">IF((N$55-$I$55)&gt;$B$58,0,$I$57/$B$58)</f>
        <v>0</v>
      </c>
      <c r="O67" s="350" t="n">
        <f aca="false">IF((O$55-$I$55)&gt;$B$58,0,$I$57/$B$58)</f>
        <v>0</v>
      </c>
      <c r="P67" s="350" t="n">
        <f aca="false">IF((P$55-$I$55)&gt;$B$58,0,$I$57/$B$58)</f>
        <v>0</v>
      </c>
      <c r="Q67" s="350" t="n">
        <f aca="false">IF((Q$55-$I$55)&gt;$B$58,0,$I$57/$B$58)</f>
        <v>0</v>
      </c>
      <c r="R67" s="350" t="n">
        <f aca="false">IF((R$55-$I$55)&gt;$B$58,0,$I$57/$B$58)</f>
        <v>0</v>
      </c>
      <c r="S67" s="350" t="n">
        <f aca="false">IF((S$55-$I$55)&gt;$B$58,0,$I$57/$B$58)</f>
        <v>0</v>
      </c>
      <c r="T67" s="350" t="n">
        <f aca="false">IF((T$55-$I$55)&gt;$B$58,0,$I$57/$B$58)</f>
        <v>0</v>
      </c>
      <c r="U67" s="350" t="n">
        <f aca="false">IF((U$55-$I$55)&gt;$B$58,0,$I$57/$B$58)</f>
        <v>0</v>
      </c>
      <c r="V67" s="350" t="n">
        <f aca="false">IF((V$55-$I$55)&gt;$B$58,0,$I$57/$B$58)</f>
        <v>0</v>
      </c>
    </row>
    <row r="68" customFormat="false" ht="12.75" hidden="false" customHeight="false" outlineLevel="0" collapsed="false">
      <c r="B68" s="348"/>
      <c r="C68" s="356"/>
      <c r="D68" s="357"/>
      <c r="E68" s="357"/>
      <c r="F68" s="357"/>
      <c r="G68" s="357"/>
      <c r="H68" s="357"/>
      <c r="I68" s="357"/>
      <c r="J68" s="350" t="n">
        <f aca="false">IF((J$55-$J$55)&gt;$B$58,0,$J$57/$B$58)</f>
        <v>0</v>
      </c>
      <c r="K68" s="350" t="n">
        <f aca="false">IF((K$55-$J$55)&gt;$B$58,0,$J$57/$B$58)</f>
        <v>0</v>
      </c>
      <c r="L68" s="350" t="n">
        <f aca="false">IF((L$55-$J$55)&gt;$B$58,0,$J$57/$B$58)</f>
        <v>0</v>
      </c>
      <c r="M68" s="350" t="n">
        <f aca="false">IF((M$55-$J$55)&gt;$B$58,0,$J$57/$B$58)</f>
        <v>0</v>
      </c>
      <c r="N68" s="350" t="n">
        <f aca="false">IF((N$55-$J$55)&gt;$B$58,0,$J$57/$B$58)</f>
        <v>0</v>
      </c>
      <c r="O68" s="350" t="n">
        <f aca="false">IF((O$55-$J$55)&gt;$B$58,0,$J$57/$B$58)</f>
        <v>0</v>
      </c>
      <c r="P68" s="350" t="n">
        <f aca="false">IF((P$55-$J$55)&gt;$B$58,0,$J$57/$B$58)</f>
        <v>0</v>
      </c>
      <c r="Q68" s="350" t="n">
        <f aca="false">IF((Q$55-$J$55)&gt;$B$58,0,$J$57/$B$58)</f>
        <v>0</v>
      </c>
      <c r="R68" s="350" t="n">
        <f aca="false">IF((R$55-$J$55)&gt;$B$58,0,$J$57/$B$58)</f>
        <v>0</v>
      </c>
      <c r="S68" s="350" t="n">
        <f aca="false">IF((S$55-$J$55)&gt;$B$58,0,$J$57/$B$58)</f>
        <v>0</v>
      </c>
      <c r="T68" s="350" t="n">
        <f aca="false">IF((T$55-$J$55)&gt;$B$58,0,$J$57/$B$58)</f>
        <v>0</v>
      </c>
      <c r="U68" s="350" t="n">
        <f aca="false">IF((U$55-$J$55)&gt;$B$58,0,$J$57/$B$58)</f>
        <v>0</v>
      </c>
      <c r="V68" s="350" t="n">
        <f aca="false">IF((V$55-$J$55)&gt;$B$58,0,$J$57/$B$58)</f>
        <v>0</v>
      </c>
    </row>
    <row r="69" customFormat="false" ht="12.75" hidden="false" customHeight="false" outlineLevel="0" collapsed="false">
      <c r="B69" s="348"/>
      <c r="C69" s="356"/>
      <c r="D69" s="357"/>
      <c r="E69" s="357"/>
      <c r="F69" s="357"/>
      <c r="G69" s="357"/>
      <c r="H69" s="357"/>
      <c r="I69" s="357"/>
      <c r="J69" s="357"/>
      <c r="K69" s="350" t="n">
        <f aca="false">IF((K$55-$K$55)&gt;$B$58,0,$K$57/$B$58)</f>
        <v>0</v>
      </c>
      <c r="L69" s="350" t="n">
        <f aca="false">IF((L$55-$K$55)&gt;$B$58,0,$K$57/$B$58)</f>
        <v>0</v>
      </c>
      <c r="M69" s="350" t="n">
        <f aca="false">IF((M$55-$K$55)&gt;$B$58,0,$K$57/$B$58)</f>
        <v>0</v>
      </c>
      <c r="N69" s="350" t="n">
        <f aca="false">IF((N$55-$K$55)&gt;$B$58,0,$K$57/$B$58)</f>
        <v>0</v>
      </c>
      <c r="O69" s="350" t="n">
        <f aca="false">IF((O$55-$K$55)&gt;$B$58,0,$K$57/$B$58)</f>
        <v>0</v>
      </c>
      <c r="P69" s="350" t="n">
        <f aca="false">IF((P$55-$K$55)&gt;$B$58,0,$K$57/$B$58)</f>
        <v>0</v>
      </c>
      <c r="Q69" s="350" t="n">
        <f aca="false">IF((Q$55-$K$55)&gt;$B$58,0,$K$57/$B$58)</f>
        <v>0</v>
      </c>
      <c r="R69" s="350" t="n">
        <f aca="false">IF((R$55-$K$55)&gt;$B$58,0,$K$57/$B$58)</f>
        <v>0</v>
      </c>
      <c r="S69" s="350" t="n">
        <f aca="false">IF((S$55-$K$55)&gt;$B$58,0,$K$57/$B$58)</f>
        <v>0</v>
      </c>
      <c r="T69" s="350" t="n">
        <f aca="false">IF((T$55-$K$55)&gt;$B$58,0,$K$57/$B$58)</f>
        <v>0</v>
      </c>
      <c r="U69" s="350" t="n">
        <f aca="false">IF((U$55-$K$55)&gt;$B$58,0,$K$57/$B$58)</f>
        <v>0</v>
      </c>
      <c r="V69" s="350" t="n">
        <f aca="false">IF((V$55-$K$55)&gt;$B$58,0,$K$57/$B$58)</f>
        <v>0</v>
      </c>
    </row>
    <row r="70" customFormat="false" ht="12.75" hidden="false" customHeight="false" outlineLevel="0" collapsed="false">
      <c r="B70" s="348"/>
      <c r="C70" s="356"/>
      <c r="D70" s="357"/>
      <c r="E70" s="357"/>
      <c r="F70" s="357"/>
      <c r="G70" s="357"/>
      <c r="H70" s="357"/>
      <c r="I70" s="357"/>
      <c r="J70" s="357"/>
      <c r="K70" s="357"/>
      <c r="L70" s="350" t="n">
        <f aca="false">IF((L$55-$L$55)&gt;$B$58,0,$L$57/$B$58)</f>
        <v>0</v>
      </c>
      <c r="M70" s="350" t="n">
        <f aca="false">IF((M$55-$L$55)&gt;$B$58,0,$L$57/$B$58)</f>
        <v>0</v>
      </c>
      <c r="N70" s="350" t="n">
        <f aca="false">IF((N$55-$L$55)&gt;$B$58,0,$L$57/$B$58)</f>
        <v>0</v>
      </c>
      <c r="O70" s="350" t="n">
        <f aca="false">IF((O$55-$L$55)&gt;$B$58,0,$L$57/$B$58)</f>
        <v>0</v>
      </c>
      <c r="P70" s="350" t="n">
        <f aca="false">IF((P$55-$L$55)&gt;$B$58,0,$L$57/$B$58)</f>
        <v>0</v>
      </c>
      <c r="Q70" s="350" t="n">
        <f aca="false">IF((Q$55-$L$55)&gt;$B$58,0,$L$57/$B$58)</f>
        <v>0</v>
      </c>
      <c r="R70" s="350" t="n">
        <f aca="false">IF((R$55-$L$55)&gt;$B$58,0,$L$57/$B$58)</f>
        <v>0</v>
      </c>
      <c r="S70" s="350" t="n">
        <f aca="false">IF((S$55-$L$55)&gt;$B$58,0,$L$57/$B$58)</f>
        <v>0</v>
      </c>
      <c r="T70" s="350" t="n">
        <f aca="false">IF((T$55-$L$55)&gt;$B$58,0,$L$57/$B$58)</f>
        <v>0</v>
      </c>
      <c r="U70" s="350" t="n">
        <f aca="false">IF((U$55-$L$55)&gt;$B$58,0,$L$57/$B$58)</f>
        <v>0</v>
      </c>
      <c r="V70" s="350" t="n">
        <f aca="false">IF((V$55-$L$55)&gt;$B$58,0,$L$57/$B$58)</f>
        <v>0</v>
      </c>
    </row>
    <row r="71" customFormat="false" ht="12.75" hidden="false" customHeight="false" outlineLevel="0" collapsed="false">
      <c r="B71" s="348"/>
      <c r="C71" s="356"/>
      <c r="D71" s="357"/>
      <c r="E71" s="357"/>
      <c r="F71" s="357"/>
      <c r="G71" s="357"/>
      <c r="H71" s="357"/>
      <c r="I71" s="357"/>
      <c r="J71" s="357"/>
      <c r="K71" s="357"/>
      <c r="L71" s="357"/>
      <c r="M71" s="350" t="n">
        <f aca="false">IF((M$55-$M$55)&gt;$B$58,0,$M$57/$B$58)</f>
        <v>0</v>
      </c>
      <c r="N71" s="350" t="n">
        <f aca="false">IF((N$55-$M$55)&gt;$B$58,0,$M$57/$B$58)</f>
        <v>0</v>
      </c>
      <c r="O71" s="350" t="n">
        <f aca="false">IF((O$55-$M$55)&gt;$B$58,0,$M$57/$B$58)</f>
        <v>0</v>
      </c>
      <c r="P71" s="350" t="n">
        <f aca="false">IF((P$55-$M$55)&gt;$B$58,0,$M$57/$B$58)</f>
        <v>0</v>
      </c>
      <c r="Q71" s="350" t="n">
        <f aca="false">IF((Q$55-$M$55)&gt;$B$58,0,$M$57/$B$58)</f>
        <v>0</v>
      </c>
      <c r="R71" s="350" t="n">
        <f aca="false">IF((R$55-$M$55)&gt;$B$58,0,$M$57/$B$58)</f>
        <v>0</v>
      </c>
      <c r="S71" s="350" t="n">
        <f aca="false">IF((S$55-$M$55)&gt;$B$58,0,$M$57/$B$58)</f>
        <v>0</v>
      </c>
      <c r="T71" s="350" t="n">
        <f aca="false">IF((T$55-$M$55)&gt;$B$58,0,$M$57/$B$58)</f>
        <v>0</v>
      </c>
      <c r="U71" s="350" t="n">
        <f aca="false">IF((U$55-$M$55)&gt;$B$58,0,$M$57/$B$58)</f>
        <v>0</v>
      </c>
      <c r="V71" s="350" t="n">
        <f aca="false">IF((V$55-$M$55)&gt;$B$58,0,$M$57/$B$58)</f>
        <v>0</v>
      </c>
    </row>
    <row r="72" customFormat="false" ht="12.75" hidden="false" customHeight="false" outlineLevel="0" collapsed="false">
      <c r="B72" s="348"/>
      <c r="C72" s="356"/>
      <c r="D72" s="357"/>
      <c r="E72" s="357"/>
      <c r="F72" s="357"/>
      <c r="G72" s="357"/>
      <c r="H72" s="357"/>
      <c r="I72" s="357"/>
      <c r="J72" s="357"/>
      <c r="K72" s="357"/>
      <c r="L72" s="357"/>
      <c r="M72" s="325"/>
      <c r="N72" s="350" t="n">
        <f aca="false">IF((N$55-$N$55)&gt;$B$58,0,$N$57/$B$58)</f>
        <v>0</v>
      </c>
      <c r="O72" s="350" t="n">
        <f aca="false">IF((O$55-$N$55)&gt;$B$58,0,$N$57/$B$58)</f>
        <v>0</v>
      </c>
      <c r="P72" s="350" t="n">
        <f aca="false">IF((P$55-$N$55)&gt;$B$58,0,$N$57/$B$58)</f>
        <v>0</v>
      </c>
      <c r="Q72" s="350" t="n">
        <f aca="false">IF((Q$55-$N$55)&gt;$B$58,0,$N$57/$B$58)</f>
        <v>0</v>
      </c>
      <c r="R72" s="350" t="n">
        <f aca="false">IF((R$55-$N$55)&gt;$B$58,0,$N$57/$B$58)</f>
        <v>0</v>
      </c>
      <c r="S72" s="350" t="n">
        <f aca="false">IF((S$55-$N$55)&gt;$B$58,0,$N$57/$B$58)</f>
        <v>0</v>
      </c>
      <c r="T72" s="350" t="n">
        <f aca="false">IF((T$55-$N$55)&gt;$B$58,0,$N$57/$B$58)</f>
        <v>0</v>
      </c>
      <c r="U72" s="350" t="n">
        <f aca="false">IF((U$55-$N$55)&gt;$B$58,0,$N$57/$B$58)</f>
        <v>0</v>
      </c>
      <c r="V72" s="350" t="n">
        <f aca="false">IF((V$55-$N$55)&gt;$B$58,0,$N$57/$B$58)</f>
        <v>0</v>
      </c>
    </row>
    <row r="73" customFormat="false" ht="12.75" hidden="false" customHeight="false" outlineLevel="0" collapsed="false">
      <c r="B73" s="348"/>
      <c r="C73" s="356"/>
      <c r="D73" s="357"/>
      <c r="E73" s="357"/>
      <c r="F73" s="357"/>
      <c r="G73" s="357"/>
      <c r="H73" s="357"/>
      <c r="I73" s="357"/>
      <c r="J73" s="357"/>
      <c r="K73" s="357"/>
      <c r="L73" s="357"/>
      <c r="M73" s="325"/>
      <c r="N73" s="325"/>
      <c r="O73" s="350" t="n">
        <f aca="false">IF((O$55-$O$55)&gt;$B$58,0,$O$57/$B$58)</f>
        <v>0</v>
      </c>
      <c r="P73" s="350" t="n">
        <f aca="false">IF((P$55-$O$55)&gt;$B$58,0,$O$57/$B$58)</f>
        <v>0</v>
      </c>
      <c r="Q73" s="350" t="n">
        <f aca="false">IF((Q$55-$O$55)&gt;$B$58,0,$O$57/$B$58)</f>
        <v>0</v>
      </c>
      <c r="R73" s="350" t="n">
        <f aca="false">IF((R$55-$O$55)&gt;$B$58,0,$O$57/$B$58)</f>
        <v>0</v>
      </c>
      <c r="S73" s="350" t="n">
        <f aca="false">IF((S$55-$O$55)&gt;$B$58,0,$O$57/$B$58)</f>
        <v>0</v>
      </c>
      <c r="T73" s="350" t="n">
        <f aca="false">IF((T$55-$O$55)&gt;$B$58,0,$O$57/$B$58)</f>
        <v>0</v>
      </c>
      <c r="U73" s="350" t="n">
        <f aca="false">IF((U$55-$O$55)&gt;$B$58,0,$O$57/$B$58)</f>
        <v>0</v>
      </c>
      <c r="V73" s="350" t="n">
        <f aca="false">IF((V$55-$O$55)&gt;$B$58,0,$O$57/$B$58)</f>
        <v>0</v>
      </c>
    </row>
    <row r="74" customFormat="false" ht="12.75" hidden="false" customHeight="false" outlineLevel="0" collapsed="false">
      <c r="B74" s="348"/>
      <c r="C74" s="356"/>
      <c r="D74" s="357"/>
      <c r="E74" s="357"/>
      <c r="F74" s="357"/>
      <c r="G74" s="357"/>
      <c r="H74" s="357"/>
      <c r="I74" s="357"/>
      <c r="J74" s="357"/>
      <c r="K74" s="357"/>
      <c r="L74" s="357"/>
      <c r="M74" s="325"/>
      <c r="N74" s="325"/>
      <c r="O74" s="325"/>
      <c r="P74" s="350" t="n">
        <f aca="false">IF((P$55-$P$55)&gt;$B$58,0,$P$57/$B$58)</f>
        <v>0</v>
      </c>
      <c r="Q74" s="350" t="n">
        <f aca="false">IF((Q$55-$P$55)&gt;$B$58,0,$P$57/$B$58)</f>
        <v>0</v>
      </c>
      <c r="R74" s="350" t="n">
        <f aca="false">IF((R$55-$P$55)&gt;$B$58,0,$P$57/$B$58)</f>
        <v>0</v>
      </c>
      <c r="S74" s="350" t="n">
        <f aca="false">IF((S$55-$P$55)&gt;$B$58,0,$P$57/$B$58)</f>
        <v>0</v>
      </c>
      <c r="T74" s="350" t="n">
        <f aca="false">IF((T$55-$P$55)&gt;$B$58,0,$P$57/$B$58)</f>
        <v>0</v>
      </c>
      <c r="U74" s="350" t="n">
        <f aca="false">IF((U$55-$P$55)&gt;$B$58,0,$P$57/$B$58)</f>
        <v>0</v>
      </c>
      <c r="V74" s="350" t="n">
        <f aca="false">IF((V$55-$P$55)&gt;$B$58,0,$P$57/$B$58)</f>
        <v>0</v>
      </c>
    </row>
    <row r="75" customFormat="false" ht="12.75" hidden="false" customHeight="false" outlineLevel="0" collapsed="false">
      <c r="B75" s="348"/>
      <c r="C75" s="356"/>
      <c r="D75" s="357"/>
      <c r="E75" s="357"/>
      <c r="F75" s="357"/>
      <c r="G75" s="357"/>
      <c r="H75" s="357"/>
      <c r="I75" s="357"/>
      <c r="J75" s="357"/>
      <c r="K75" s="357"/>
      <c r="L75" s="357"/>
      <c r="M75" s="325"/>
      <c r="N75" s="325"/>
      <c r="O75" s="325"/>
      <c r="P75" s="325"/>
      <c r="Q75" s="350" t="n">
        <f aca="false">IF((Q$55-$Q$55)&gt;$B$58,0,$Q$57/$B$58)</f>
        <v>0</v>
      </c>
      <c r="R75" s="350" t="n">
        <f aca="false">IF((R$55-$Q$55)&gt;$B$58,0,$Q$57/$B$58)</f>
        <v>0</v>
      </c>
      <c r="S75" s="350" t="n">
        <f aca="false">IF((S$55-$Q$55)&gt;$B$58,0,$Q$57/$B$58)</f>
        <v>0</v>
      </c>
      <c r="T75" s="350" t="n">
        <f aca="false">IF((T$55-$Q$55)&gt;$B$58,0,$Q$57/$B$58)</f>
        <v>0</v>
      </c>
      <c r="U75" s="350" t="n">
        <f aca="false">IF((U$55-$Q$55)&gt;$B$58,0,$Q$57/$B$58)</f>
        <v>0</v>
      </c>
      <c r="V75" s="350" t="n">
        <f aca="false">IF((V$55-$Q$55)&gt;$B$58,0,$Q$57/$B$58)</f>
        <v>0</v>
      </c>
    </row>
    <row r="76" customFormat="false" ht="12.75" hidden="false" customHeight="false" outlineLevel="0" collapsed="false">
      <c r="B76" s="348"/>
      <c r="C76" s="356"/>
      <c r="D76" s="357"/>
      <c r="E76" s="357"/>
      <c r="F76" s="357"/>
      <c r="G76" s="357"/>
      <c r="H76" s="357"/>
      <c r="I76" s="357"/>
      <c r="J76" s="357"/>
      <c r="K76" s="357"/>
      <c r="L76" s="357"/>
      <c r="M76" s="325"/>
      <c r="N76" s="325"/>
      <c r="O76" s="325"/>
      <c r="P76" s="325"/>
      <c r="Q76" s="325"/>
      <c r="R76" s="350" t="n">
        <f aca="false">IF((R$55-$R$55)&gt;$B$58,0,$R$57/$B$58)</f>
        <v>0</v>
      </c>
      <c r="S76" s="350" t="n">
        <f aca="false">IF((S$55-$R$55)&gt;$B$58,0,$R$57/$B$58)</f>
        <v>0</v>
      </c>
      <c r="T76" s="350" t="n">
        <f aca="false">IF((T$55-$R$55)&gt;$B$58,0,$R$57/$B$58)</f>
        <v>0</v>
      </c>
      <c r="U76" s="350" t="n">
        <f aca="false">IF((U$55-$R$55)&gt;$B$58,0,$R$57/$B$58)</f>
        <v>0</v>
      </c>
      <c r="V76" s="350" t="n">
        <f aca="false">IF((V$55-$R$55)&gt;$B$58,0,$R$57/$B$58)</f>
        <v>0</v>
      </c>
    </row>
    <row r="77" customFormat="false" ht="12.75" hidden="false" customHeight="false" outlineLevel="0" collapsed="false">
      <c r="B77" s="348"/>
      <c r="C77" s="356"/>
      <c r="D77" s="357"/>
      <c r="E77" s="357"/>
      <c r="F77" s="357"/>
      <c r="G77" s="357"/>
      <c r="H77" s="357"/>
      <c r="I77" s="357"/>
      <c r="J77" s="357"/>
      <c r="K77" s="357"/>
      <c r="L77" s="357"/>
      <c r="M77" s="325"/>
      <c r="N77" s="325"/>
      <c r="O77" s="325"/>
      <c r="P77" s="325"/>
      <c r="Q77" s="325"/>
      <c r="R77" s="325"/>
      <c r="S77" s="350" t="n">
        <f aca="false">IF((S$55-$S$55)&gt;$B$58,0,$S$57/$B$58)</f>
        <v>0</v>
      </c>
      <c r="T77" s="350" t="n">
        <f aca="false">IF((T$55-$S$55)&gt;$B$58,0,$S$57/$B$58)</f>
        <v>0</v>
      </c>
      <c r="U77" s="350" t="n">
        <f aca="false">IF((U$55-$S$55)&gt;$B$58,0,$S$57/$B$58)</f>
        <v>0</v>
      </c>
      <c r="V77" s="350" t="n">
        <f aca="false">IF((V$55-$S$55)&gt;$B$58,0,$S$57/$B$58)</f>
        <v>0</v>
      </c>
    </row>
    <row r="78" customFormat="false" ht="12.75" hidden="false" customHeight="false" outlineLevel="0" collapsed="false">
      <c r="B78" s="348"/>
      <c r="C78" s="356"/>
      <c r="D78" s="357"/>
      <c r="E78" s="357"/>
      <c r="F78" s="357"/>
      <c r="G78" s="357"/>
      <c r="H78" s="357"/>
      <c r="I78" s="357"/>
      <c r="J78" s="357"/>
      <c r="K78" s="357"/>
      <c r="L78" s="357"/>
      <c r="M78" s="325"/>
      <c r="N78" s="325"/>
      <c r="O78" s="325"/>
      <c r="P78" s="325"/>
      <c r="Q78" s="325"/>
      <c r="R78" s="325"/>
      <c r="S78" s="325"/>
      <c r="T78" s="350" t="n">
        <f aca="false">IF((T$55-$T$55)&gt;$B$58,0,$T$57/$B$58)</f>
        <v>0</v>
      </c>
      <c r="U78" s="350" t="n">
        <f aca="false">IF((U$55-$T$55)&gt;$B$58,0,$T$57/$B$58)</f>
        <v>0</v>
      </c>
      <c r="V78" s="350" t="n">
        <f aca="false">IF((V$55-$T$55)&gt;$B$58,0,$T$57/$B$58)</f>
        <v>0</v>
      </c>
    </row>
    <row r="79" customFormat="false" ht="12.75" hidden="false" customHeight="false" outlineLevel="0" collapsed="false">
      <c r="B79" s="348"/>
      <c r="C79" s="356"/>
      <c r="D79" s="357"/>
      <c r="E79" s="357"/>
      <c r="F79" s="357"/>
      <c r="G79" s="357"/>
      <c r="H79" s="357"/>
      <c r="I79" s="357"/>
      <c r="J79" s="357"/>
      <c r="K79" s="357"/>
      <c r="L79" s="357"/>
      <c r="M79" s="325"/>
      <c r="N79" s="325"/>
      <c r="O79" s="325"/>
      <c r="P79" s="325"/>
      <c r="Q79" s="325"/>
      <c r="R79" s="325"/>
      <c r="S79" s="325"/>
      <c r="T79" s="325"/>
      <c r="U79" s="350" t="n">
        <f aca="false">IF((U$55-$U$55)&gt;$B$58,0,$U$57/$B$58)</f>
        <v>0</v>
      </c>
      <c r="V79" s="350" t="n">
        <f aca="false">IF((V$55-$U$55)&gt;$B$58,0,$U$57/$B$58)</f>
        <v>0</v>
      </c>
    </row>
    <row r="80" customFormat="false" ht="12.75" hidden="false" customHeight="false" outlineLevel="0" collapsed="false">
      <c r="B80" s="348"/>
      <c r="C80" s="358"/>
      <c r="D80" s="359"/>
      <c r="E80" s="359"/>
      <c r="F80" s="359"/>
      <c r="G80" s="359"/>
      <c r="H80" s="359"/>
      <c r="I80" s="359"/>
      <c r="J80" s="359"/>
      <c r="K80" s="359"/>
      <c r="L80" s="359"/>
      <c r="M80" s="360"/>
      <c r="N80" s="360"/>
      <c r="O80" s="360"/>
      <c r="P80" s="360"/>
      <c r="Q80" s="360"/>
      <c r="R80" s="360"/>
      <c r="S80" s="360"/>
      <c r="T80" s="360"/>
      <c r="U80" s="360"/>
      <c r="V80" s="350" t="n">
        <f aca="false">IF((V$55-$V$55)&gt;$B$58,0,$V$57/$B$58)</f>
        <v>0</v>
      </c>
    </row>
    <row r="81" customFormat="false" ht="13.5" hidden="false" customHeight="false" outlineLevel="0" collapsed="false">
      <c r="A81" s="181" t="s">
        <v>189</v>
      </c>
      <c r="B81" s="348"/>
      <c r="C81" s="361" t="n">
        <f aca="false">SUM(C61:C80)</f>
        <v>0</v>
      </c>
      <c r="D81" s="362" t="n">
        <f aca="false">SUM(D61:D80)</f>
        <v>0</v>
      </c>
      <c r="E81" s="362" t="n">
        <f aca="false">SUM(E61:E80)</f>
        <v>0</v>
      </c>
      <c r="F81" s="362" t="n">
        <f aca="false">SUM(F61:F80)</f>
        <v>0</v>
      </c>
      <c r="G81" s="362" t="n">
        <f aca="false">SUM(G61:G80)</f>
        <v>0</v>
      </c>
      <c r="H81" s="362" t="n">
        <f aca="false">SUM(H61:H80)</f>
        <v>0</v>
      </c>
      <c r="I81" s="362" t="n">
        <f aca="false">SUM(I61:I80)</f>
        <v>0</v>
      </c>
      <c r="J81" s="362" t="n">
        <f aca="false">SUM(J61:J80)</f>
        <v>0</v>
      </c>
      <c r="K81" s="362" t="n">
        <f aca="false">SUM(K61:K80)</f>
        <v>0</v>
      </c>
      <c r="L81" s="362" t="n">
        <f aca="false">SUM(L61:L80)</f>
        <v>0</v>
      </c>
      <c r="M81" s="362" t="n">
        <f aca="false">SUM(M61:M80)</f>
        <v>0</v>
      </c>
      <c r="N81" s="362" t="n">
        <f aca="false">SUM(N61:N80)</f>
        <v>0</v>
      </c>
      <c r="O81" s="362" t="n">
        <f aca="false">SUM(O61:O80)</f>
        <v>0</v>
      </c>
      <c r="P81" s="362" t="n">
        <f aca="false">SUM(P61:P80)</f>
        <v>0</v>
      </c>
      <c r="Q81" s="362" t="n">
        <f aca="false">SUM(Q61:Q80)</f>
        <v>0</v>
      </c>
      <c r="R81" s="362" t="n">
        <f aca="false">SUM(R61:R80)</f>
        <v>0</v>
      </c>
      <c r="S81" s="362" t="n">
        <f aca="false">SUM(S61:S80)</f>
        <v>0</v>
      </c>
      <c r="T81" s="362" t="n">
        <f aca="false">SUM(T61:T80)</f>
        <v>0</v>
      </c>
      <c r="U81" s="362" t="n">
        <f aca="false">SUM(U61:U80)</f>
        <v>0</v>
      </c>
      <c r="V81" s="363" t="n">
        <f aca="false">SUM(V61:V80)</f>
        <v>0</v>
      </c>
    </row>
    <row r="82" customFormat="false" ht="13.5" hidden="false" customHeight="false" outlineLevel="0" collapsed="false">
      <c r="B82" s="348"/>
      <c r="C82" s="134"/>
    </row>
    <row r="83" customFormat="false" ht="12.75" hidden="false" customHeight="false" outlineLevel="0" collapsed="false">
      <c r="B83" s="348"/>
      <c r="C83" s="134"/>
    </row>
    <row r="84" customFormat="false" ht="12.75" hidden="false" customHeight="false" outlineLevel="0" collapsed="false">
      <c r="B84" s="348"/>
      <c r="C84" s="235" t="n">
        <v>2000</v>
      </c>
      <c r="D84" s="235" t="n">
        <v>2001</v>
      </c>
      <c r="E84" s="235" t="n">
        <v>2002</v>
      </c>
      <c r="F84" s="235" t="n">
        <v>2003</v>
      </c>
      <c r="G84" s="235" t="n">
        <v>2004</v>
      </c>
      <c r="H84" s="235" t="n">
        <v>2005</v>
      </c>
      <c r="I84" s="235" t="n">
        <v>2006</v>
      </c>
      <c r="J84" s="235" t="n">
        <v>2007</v>
      </c>
      <c r="K84" s="235" t="n">
        <v>2008</v>
      </c>
      <c r="L84" s="235" t="n">
        <v>2009</v>
      </c>
      <c r="M84" s="235" t="n">
        <v>2010</v>
      </c>
      <c r="N84" s="235" t="n">
        <v>2011</v>
      </c>
      <c r="O84" s="235" t="n">
        <v>2012</v>
      </c>
      <c r="P84" s="235" t="n">
        <v>2013</v>
      </c>
      <c r="Q84" s="235" t="n">
        <v>2014</v>
      </c>
      <c r="R84" s="235" t="n">
        <v>2015</v>
      </c>
      <c r="S84" s="235" t="n">
        <v>2016</v>
      </c>
      <c r="T84" s="235" t="n">
        <v>2017</v>
      </c>
      <c r="U84" s="235" t="n">
        <v>2018</v>
      </c>
      <c r="V84" s="235" t="n">
        <v>2019</v>
      </c>
    </row>
    <row r="85" customFormat="false" ht="12.75" hidden="false" customHeight="false" outlineLevel="0" collapsed="false">
      <c r="A85" s="349" t="s">
        <v>190</v>
      </c>
      <c r="B85" s="348"/>
      <c r="C85" s="134"/>
    </row>
    <row r="86" customFormat="false" ht="13.5" hidden="false" customHeight="false" outlineLevel="0" collapsed="false">
      <c r="B86" s="348" t="s">
        <v>181</v>
      </c>
      <c r="C86" s="369" t="n">
        <f aca="false">-VLOOKUP(IS!$B$1,ECapAds,C84-1997)*-1</f>
        <v>0</v>
      </c>
      <c r="D86" s="369" t="n">
        <f aca="false">-VLOOKUP(IS!$B$1,ECapAds,D84-1997)*-1</f>
        <v>0</v>
      </c>
      <c r="E86" s="369" t="n">
        <f aca="false">-VLOOKUP(IS!$B$1,ECapAds,E84-1997)*-1</f>
        <v>0</v>
      </c>
      <c r="F86" s="369" t="n">
        <f aca="false">-VLOOKUP(IS!$B$1,ECapAds,F84-1997)*-1</f>
        <v>0</v>
      </c>
      <c r="G86" s="369" t="n">
        <f aca="false">-VLOOKUP(IS!$B$1,ECapAds,G84-1997)*-1</f>
        <v>0</v>
      </c>
      <c r="H86" s="369" t="n">
        <f aca="false">-VLOOKUP(IS!$B$1,ECapAds,H84-1997)*-1</f>
        <v>0</v>
      </c>
      <c r="I86" s="369" t="n">
        <f aca="false">-VLOOKUP(IS!$B$1,ECapAds,I84-1997)*-1</f>
        <v>0</v>
      </c>
      <c r="J86" s="369" t="n">
        <f aca="false">-VLOOKUP(IS!$B$1,ECapAds,J84-1997)*-1</f>
        <v>0</v>
      </c>
      <c r="K86" s="369" t="n">
        <f aca="false">-VLOOKUP(IS!$B$1,ECapAds,K84-1997)*-1</f>
        <v>0</v>
      </c>
      <c r="L86" s="369" t="n">
        <f aca="false">-VLOOKUP(IS!$B$1,ECapAds,L84-1997)*-1</f>
        <v>0</v>
      </c>
      <c r="M86" s="369" t="n">
        <f aca="false">-VLOOKUP(IS!$B$1,ECapAds,M84-1997)*-1</f>
        <v>0</v>
      </c>
      <c r="N86" s="369" t="n">
        <f aca="false">-VLOOKUP(IS!$B$1,ECapAds,N84-1997)*-1</f>
        <v>0</v>
      </c>
      <c r="O86" s="369" t="n">
        <f aca="false">-VLOOKUP(IS!$B$1,ECapAds,O84-1997)*-1</f>
        <v>0</v>
      </c>
      <c r="P86" s="369" t="n">
        <f aca="false">-VLOOKUP(IS!$B$1,ECapAds,P84-1997)*-1</f>
        <v>0</v>
      </c>
      <c r="Q86" s="369" t="n">
        <f aca="false">-VLOOKUP(IS!$B$1,ECapAds,Q84-1997)*-1</f>
        <v>0</v>
      </c>
      <c r="R86" s="369" t="n">
        <f aca="false">-VLOOKUP(IS!$B$1,ECapAds,R84-1997)*-1</f>
        <v>0</v>
      </c>
      <c r="S86" s="369" t="n">
        <f aca="false">-VLOOKUP(IS!$B$1,ECapAds,S84-1997)*-1</f>
        <v>0</v>
      </c>
      <c r="T86" s="369" t="n">
        <f aca="false">-VLOOKUP(IS!$B$1,ECapAds,T84-1997)*-1</f>
        <v>0</v>
      </c>
      <c r="U86" s="369" t="n">
        <f aca="false">-VLOOKUP(IS!$B$1,ECapAds,U84-1997)*-1</f>
        <v>0</v>
      </c>
      <c r="V86" s="369" t="n">
        <f aca="false">-VLOOKUP(IS!$B$1,ECapAds,V84-1997)*-1</f>
        <v>0</v>
      </c>
    </row>
    <row r="87" customFormat="false" ht="13.5" hidden="false" customHeight="false" outlineLevel="0" collapsed="false">
      <c r="A87" s="0" t="s">
        <v>188</v>
      </c>
      <c r="B87" s="368" t="n">
        <f aca="false">Assumptions!L21</f>
        <v>20</v>
      </c>
      <c r="C87" s="353"/>
      <c r="D87" s="354"/>
      <c r="E87" s="354"/>
      <c r="F87" s="354"/>
      <c r="G87" s="354"/>
      <c r="H87" s="354"/>
      <c r="I87" s="354"/>
      <c r="J87" s="354"/>
      <c r="K87" s="354"/>
      <c r="L87" s="354"/>
      <c r="M87" s="354"/>
      <c r="N87" s="354"/>
      <c r="O87" s="354"/>
      <c r="P87" s="354"/>
      <c r="Q87" s="354"/>
      <c r="R87" s="354"/>
      <c r="S87" s="354"/>
      <c r="T87" s="354"/>
      <c r="U87" s="354"/>
      <c r="V87" s="354"/>
    </row>
    <row r="88" customFormat="false" ht="12.75" hidden="false" customHeight="false" outlineLevel="0" collapsed="false">
      <c r="B88" s="368"/>
      <c r="C88" s="353"/>
      <c r="D88" s="354"/>
      <c r="E88" s="354"/>
      <c r="F88" s="354"/>
      <c r="G88" s="354"/>
      <c r="H88" s="354"/>
      <c r="I88" s="354"/>
      <c r="J88" s="354"/>
      <c r="K88" s="354"/>
      <c r="L88" s="354"/>
      <c r="M88" s="354"/>
      <c r="N88" s="354"/>
      <c r="O88" s="354"/>
      <c r="P88" s="354"/>
      <c r="Q88" s="354"/>
      <c r="R88" s="354"/>
      <c r="S88" s="354"/>
      <c r="T88" s="354"/>
      <c r="U88" s="354"/>
      <c r="V88" s="354"/>
    </row>
    <row r="89" customFormat="false" ht="12.75" hidden="false" customHeight="false" outlineLevel="0" collapsed="false">
      <c r="B89" s="348"/>
      <c r="C89" s="350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</row>
    <row r="90" customFormat="false" ht="12.75" hidden="false" customHeight="false" outlineLevel="0" collapsed="false">
      <c r="B90" s="348"/>
      <c r="C90" s="350" t="n">
        <f aca="false">IF((C84-$C$84)&gt;$B$58,0,$C$86/$B$58)</f>
        <v>0</v>
      </c>
      <c r="D90" s="350" t="n">
        <f aca="false">IF((D84-$C$84)&gt;$B$58,0,$C$86/$B$58)</f>
        <v>0</v>
      </c>
      <c r="E90" s="350" t="n">
        <f aca="false">IF((E84-$C$84)&gt;$B$58,0,$C$86/$B$58)</f>
        <v>0</v>
      </c>
      <c r="F90" s="350" t="n">
        <f aca="false">IF((F84-$C$84)&gt;$B$58,0,$C$86/$B$58)</f>
        <v>0</v>
      </c>
      <c r="G90" s="350" t="n">
        <f aca="false">IF((G84-$C$84)&gt;$B$58,0,$C$86/$B$58)</f>
        <v>0</v>
      </c>
      <c r="H90" s="350" t="n">
        <f aca="false">IF((H84-$C$84)&gt;$B$58,0,$C$86/$B$58)</f>
        <v>0</v>
      </c>
      <c r="I90" s="350" t="n">
        <f aca="false">IF((I84-$C$84)&gt;$B$58,0,$C$86/$B$58)</f>
        <v>0</v>
      </c>
      <c r="J90" s="350" t="n">
        <f aca="false">IF((J84-$C$84)&gt;$B$58,0,$C$86/$B$58)</f>
        <v>0</v>
      </c>
      <c r="K90" s="350" t="n">
        <f aca="false">IF((K84-$C$84)&gt;$B$58,0,$C$86/$B$58)</f>
        <v>0</v>
      </c>
      <c r="L90" s="350" t="n">
        <f aca="false">IF((L84-$C$84)&gt;$B$58,0,$C$86/$B$58)</f>
        <v>0</v>
      </c>
      <c r="M90" s="350" t="n">
        <f aca="false">IF((M84-$C$84)&gt;$B$58,0,$C$86/$B$58)</f>
        <v>0</v>
      </c>
      <c r="N90" s="350" t="n">
        <f aca="false">IF((N84-$C$84)&gt;$B$58,0,$C$86/$B$58)</f>
        <v>0</v>
      </c>
      <c r="O90" s="350" t="n">
        <f aca="false">IF((O84-$C$84)&gt;$B$58,0,$C$86/$B$58)</f>
        <v>0</v>
      </c>
      <c r="P90" s="350" t="n">
        <f aca="false">IF((P84-$C$84)&gt;$B$58,0,$C$86/$B$58)</f>
        <v>0</v>
      </c>
      <c r="Q90" s="350" t="n">
        <f aca="false">IF((Q84-$C$84)&gt;$B$58,0,$C$86/$B$58)</f>
        <v>0</v>
      </c>
      <c r="R90" s="350" t="n">
        <f aca="false">IF((R84-$C$84)&gt;$B$58,0,$C$86/$B$58)</f>
        <v>0</v>
      </c>
      <c r="S90" s="350" t="n">
        <f aca="false">IF((S84-$C$84)&gt;$B$58,0,$C$86/$B$58)</f>
        <v>0</v>
      </c>
      <c r="T90" s="350" t="n">
        <f aca="false">IF((T84-$C$84)&gt;$B$58,0,$C$86/$B$58)</f>
        <v>0</v>
      </c>
      <c r="U90" s="350" t="n">
        <f aca="false">IF((U84-$C$84)&gt;$B$58,0,$C$86/$B$58)</f>
        <v>0</v>
      </c>
      <c r="V90" s="350" t="n">
        <f aca="false">IF((V84-$C$84)&gt;$B$58,0,$C$86/$B$58)</f>
        <v>0</v>
      </c>
    </row>
    <row r="91" customFormat="false" ht="12.75" hidden="false" customHeight="false" outlineLevel="0" collapsed="false">
      <c r="B91" s="348"/>
      <c r="C91" s="356"/>
      <c r="D91" s="350" t="n">
        <f aca="false">IF((D$84-$C$84)&gt;$B$58,0,$D$86/$B$58)</f>
        <v>0</v>
      </c>
      <c r="E91" s="350" t="n">
        <f aca="false">IF((E$84-$C$84)&gt;$B$58,0,$D$86/$B$58)</f>
        <v>0</v>
      </c>
      <c r="F91" s="350" t="n">
        <f aca="false">IF((F$84-$C$84)&gt;$B$58,0,$D$86/$B$58)</f>
        <v>0</v>
      </c>
      <c r="G91" s="350" t="n">
        <f aca="false">IF((G$84-$C$84)&gt;$B$58,0,$D$86/$B$58)</f>
        <v>0</v>
      </c>
      <c r="H91" s="350" t="n">
        <f aca="false">IF((H$84-$C$84)&gt;$B$58,0,$D$86/$B$58)</f>
        <v>0</v>
      </c>
      <c r="I91" s="350" t="n">
        <f aca="false">IF((I$84-$C$84)&gt;$B$58,0,$D$86/$B$58)</f>
        <v>0</v>
      </c>
      <c r="J91" s="350" t="n">
        <f aca="false">IF((J$84-$C$84)&gt;$B$58,0,$D$86/$B$58)</f>
        <v>0</v>
      </c>
      <c r="K91" s="350" t="n">
        <f aca="false">IF((K$84-$C$84)&gt;$B$58,0,$D$86/$B$58)</f>
        <v>0</v>
      </c>
      <c r="L91" s="350" t="n">
        <f aca="false">IF((L$84-$C$84)&gt;$B$58,0,$D$86/$B$58)</f>
        <v>0</v>
      </c>
      <c r="M91" s="350" t="n">
        <f aca="false">IF((M$84-$C$84)&gt;$B$58,0,$D$86/$B$58)</f>
        <v>0</v>
      </c>
      <c r="N91" s="350" t="n">
        <f aca="false">IF((N$84-$C$84)&gt;$B$58,0,$D$86/$B$58)</f>
        <v>0</v>
      </c>
      <c r="O91" s="350" t="n">
        <f aca="false">IF((O$84-$C$84)&gt;$B$58,0,$D$86/$B$58)</f>
        <v>0</v>
      </c>
      <c r="P91" s="350" t="n">
        <f aca="false">IF((P$84-$C$84)&gt;$B$58,0,$D$86/$B$58)</f>
        <v>0</v>
      </c>
      <c r="Q91" s="350" t="n">
        <f aca="false">IF((Q$84-$C$84)&gt;$B$58,0,$D$86/$B$58)</f>
        <v>0</v>
      </c>
      <c r="R91" s="350" t="n">
        <f aca="false">IF((R$84-$C$84)&gt;$B$58,0,$D$86/$B$58)</f>
        <v>0</v>
      </c>
      <c r="S91" s="350" t="n">
        <f aca="false">IF((S$84-$C$84)&gt;$B$58,0,$D$86/$B$58)</f>
        <v>0</v>
      </c>
      <c r="T91" s="350" t="n">
        <f aca="false">IF((T$84-$C$84)&gt;$B$58,0,$D$86/$B$58)</f>
        <v>0</v>
      </c>
      <c r="U91" s="350" t="n">
        <f aca="false">IF((U$84-$C$84)&gt;$B$58,0,$D$86/$B$58)</f>
        <v>0</v>
      </c>
      <c r="V91" s="350" t="n">
        <f aca="false">IF((V$84-$C$84)&gt;$B$58,0,$D$86/$B$58)</f>
        <v>0</v>
      </c>
    </row>
    <row r="92" customFormat="false" ht="12.75" hidden="false" customHeight="false" outlineLevel="0" collapsed="false">
      <c r="B92" s="348"/>
      <c r="C92" s="356"/>
      <c r="D92" s="357"/>
      <c r="E92" s="350" t="n">
        <f aca="false">IF((E$84-$C$84)&gt;$B$58,0,$E$86/$B$58)</f>
        <v>0</v>
      </c>
      <c r="F92" s="350" t="n">
        <f aca="false">IF((F$84-$C$84)&gt;$B$58,0,$E$86/$B$58)</f>
        <v>0</v>
      </c>
      <c r="G92" s="350" t="n">
        <f aca="false">IF((G$84-$C$84)&gt;$B$58,0,$E$86/$B$58)</f>
        <v>0</v>
      </c>
      <c r="H92" s="350" t="n">
        <f aca="false">IF((H$84-$C$84)&gt;$B$58,0,$E$86/$B$58)</f>
        <v>0</v>
      </c>
      <c r="I92" s="350" t="n">
        <f aca="false">IF((I$84-$C$84)&gt;$B$58,0,$E$86/$B$58)</f>
        <v>0</v>
      </c>
      <c r="J92" s="350" t="n">
        <f aca="false">IF((J$84-$C$84)&gt;$B$58,0,$E$86/$B$58)</f>
        <v>0</v>
      </c>
      <c r="K92" s="350" t="n">
        <f aca="false">IF((K$84-$C$84)&gt;$B$58,0,$E$86/$B$58)</f>
        <v>0</v>
      </c>
      <c r="L92" s="350" t="n">
        <f aca="false">IF((L$84-$C$84)&gt;$B$58,0,$E$86/$B$58)</f>
        <v>0</v>
      </c>
      <c r="M92" s="350" t="n">
        <f aca="false">IF((M$84-$C$84)&gt;$B$58,0,$E$86/$B$58)</f>
        <v>0</v>
      </c>
      <c r="N92" s="350" t="n">
        <f aca="false">IF((N$84-$C$84)&gt;$B$58,0,$E$86/$B$58)</f>
        <v>0</v>
      </c>
      <c r="O92" s="350" t="n">
        <f aca="false">IF((O$84-$C$84)&gt;$B$58,0,$E$86/$B$58)</f>
        <v>0</v>
      </c>
      <c r="P92" s="350" t="n">
        <f aca="false">IF((P$84-$C$84)&gt;$B$58,0,$E$86/$B$58)</f>
        <v>0</v>
      </c>
      <c r="Q92" s="350" t="n">
        <f aca="false">IF((Q$84-$C$84)&gt;$B$58,0,$E$86/$B$58)</f>
        <v>0</v>
      </c>
      <c r="R92" s="350" t="n">
        <f aca="false">IF((R$84-$C$84)&gt;$B$58,0,$E$86/$B$58)</f>
        <v>0</v>
      </c>
      <c r="S92" s="350" t="n">
        <f aca="false">IF((S$84-$C$84)&gt;$B$58,0,$E$86/$B$58)</f>
        <v>0</v>
      </c>
      <c r="T92" s="350" t="n">
        <f aca="false">IF((T$84-$C$84)&gt;$B$58,0,$E$86/$B$58)</f>
        <v>0</v>
      </c>
      <c r="U92" s="350" t="n">
        <f aca="false">IF((U$84-$C$84)&gt;$B$58,0,$E$86/$B$58)</f>
        <v>0</v>
      </c>
      <c r="V92" s="350" t="n">
        <f aca="false">IF((V$84-$C$84)&gt;$B$58,0,$E$86/$B$58)</f>
        <v>0</v>
      </c>
    </row>
    <row r="93" customFormat="false" ht="12.75" hidden="false" customHeight="false" outlineLevel="0" collapsed="false">
      <c r="B93" s="348"/>
      <c r="C93" s="356"/>
      <c r="D93" s="357"/>
      <c r="E93" s="357"/>
      <c r="F93" s="350" t="n">
        <f aca="false">IF((F$84-$C$84)&gt;$B$58,0,$G$86/$B$58)</f>
        <v>0</v>
      </c>
      <c r="G93" s="350" t="n">
        <f aca="false">IF((G$84-$C$84)&gt;$B$58,0,$G$86/$B$58)</f>
        <v>0</v>
      </c>
      <c r="H93" s="350" t="n">
        <f aca="false">IF((H$84-$C$84)&gt;$B$58,0,$G$86/$B$58)</f>
        <v>0</v>
      </c>
      <c r="I93" s="350" t="n">
        <f aca="false">IF((I$84-$C$84)&gt;$B$58,0,$G$86/$B$58)</f>
        <v>0</v>
      </c>
      <c r="J93" s="350" t="n">
        <f aca="false">IF((J$84-$C$84)&gt;$B$58,0,$G$86/$B$58)</f>
        <v>0</v>
      </c>
      <c r="K93" s="350" t="n">
        <f aca="false">IF((K$84-$C$84)&gt;$B$58,0,$G$86/$B$58)</f>
        <v>0</v>
      </c>
      <c r="L93" s="350" t="n">
        <f aca="false">IF((L$84-$C$84)&gt;$B$58,0,$G$86/$B$58)</f>
        <v>0</v>
      </c>
      <c r="M93" s="350" t="n">
        <f aca="false">IF((M$84-$C$84)&gt;$B$58,0,$G$86/$B$58)</f>
        <v>0</v>
      </c>
      <c r="N93" s="350" t="n">
        <f aca="false">IF((N$84-$C$84)&gt;$B$58,0,$G$86/$B$58)</f>
        <v>0</v>
      </c>
      <c r="O93" s="350" t="n">
        <f aca="false">IF((O$84-$C$84)&gt;$B$58,0,$G$86/$B$58)</f>
        <v>0</v>
      </c>
      <c r="P93" s="350" t="n">
        <f aca="false">IF((P$84-$C$84)&gt;$B$58,0,$G$86/$B$58)</f>
        <v>0</v>
      </c>
      <c r="Q93" s="350" t="n">
        <f aca="false">IF((Q$84-$C$84)&gt;$B$58,0,$G$86/$B$58)</f>
        <v>0</v>
      </c>
      <c r="R93" s="350" t="n">
        <f aca="false">IF((R$84-$C$84)&gt;$B$58,0,$G$86/$B$58)</f>
        <v>0</v>
      </c>
      <c r="S93" s="350" t="n">
        <f aca="false">IF((S$84-$C$84)&gt;$B$58,0,$G$86/$B$58)</f>
        <v>0</v>
      </c>
      <c r="T93" s="350" t="n">
        <f aca="false">IF((T$84-$C$84)&gt;$B$58,0,$G$86/$B$58)</f>
        <v>0</v>
      </c>
      <c r="U93" s="350" t="n">
        <f aca="false">IF((U$84-$C$84)&gt;$B$58,0,$G$86/$B$58)</f>
        <v>0</v>
      </c>
      <c r="V93" s="350" t="n">
        <f aca="false">IF((V$84-$C$84)&gt;$B$58,0,$G$86/$B$58)</f>
        <v>0</v>
      </c>
    </row>
    <row r="94" customFormat="false" ht="12.75" hidden="false" customHeight="false" outlineLevel="0" collapsed="false">
      <c r="B94" s="348"/>
      <c r="C94" s="356"/>
      <c r="D94" s="357"/>
      <c r="E94" s="357"/>
      <c r="F94" s="357"/>
      <c r="G94" s="350" t="n">
        <f aca="false">IF((G$84-$C$84)&gt;$B$58,0,$H$86/$B$58)</f>
        <v>0</v>
      </c>
      <c r="H94" s="350" t="n">
        <f aca="false">IF((H$84-$C$84)&gt;$B$58,0,$H$86/$B$58)</f>
        <v>0</v>
      </c>
      <c r="I94" s="350" t="n">
        <f aca="false">IF((I$84-$C$84)&gt;$B$58,0,$H$86/$B$58)</f>
        <v>0</v>
      </c>
      <c r="J94" s="350" t="n">
        <f aca="false">IF((J$84-$C$84)&gt;$B$58,0,$H$86/$B$58)</f>
        <v>0</v>
      </c>
      <c r="K94" s="350" t="n">
        <f aca="false">IF((K$84-$C$84)&gt;$B$58,0,$H$86/$B$58)</f>
        <v>0</v>
      </c>
      <c r="L94" s="350" t="n">
        <f aca="false">IF((L$84-$C$84)&gt;$B$58,0,$H$86/$B$58)</f>
        <v>0</v>
      </c>
      <c r="M94" s="350" t="n">
        <f aca="false">IF((M$84-$C$84)&gt;$B$58,0,$H$86/$B$58)</f>
        <v>0</v>
      </c>
      <c r="N94" s="350" t="n">
        <f aca="false">IF((N$84-$C$84)&gt;$B$58,0,$H$86/$B$58)</f>
        <v>0</v>
      </c>
      <c r="O94" s="350" t="n">
        <f aca="false">IF((O$84-$C$84)&gt;$B$58,0,$H$86/$B$58)</f>
        <v>0</v>
      </c>
      <c r="P94" s="350" t="n">
        <f aca="false">IF((P$84-$C$84)&gt;$B$58,0,$H$86/$B$58)</f>
        <v>0</v>
      </c>
      <c r="Q94" s="350" t="n">
        <f aca="false">IF((Q$84-$C$84)&gt;$B$58,0,$H$86/$B$58)</f>
        <v>0</v>
      </c>
      <c r="R94" s="350" t="n">
        <f aca="false">IF((R$84-$C$84)&gt;$B$58,0,$H$86/$B$58)</f>
        <v>0</v>
      </c>
      <c r="S94" s="350" t="n">
        <f aca="false">IF((S$84-$C$84)&gt;$B$58,0,$H$86/$B$58)</f>
        <v>0</v>
      </c>
      <c r="T94" s="350" t="n">
        <f aca="false">IF((T$84-$C$84)&gt;$B$58,0,$H$86/$B$58)</f>
        <v>0</v>
      </c>
      <c r="U94" s="350" t="n">
        <f aca="false">IF((U$84-$C$84)&gt;$B$58,0,$H$86/$B$58)</f>
        <v>0</v>
      </c>
      <c r="V94" s="350" t="n">
        <f aca="false">IF((V$84-$C$84)&gt;$B$58,0,$H$86/$B$58)</f>
        <v>0</v>
      </c>
    </row>
    <row r="95" customFormat="false" ht="12.75" hidden="false" customHeight="false" outlineLevel="0" collapsed="false">
      <c r="B95" s="348"/>
      <c r="C95" s="356"/>
      <c r="D95" s="357"/>
      <c r="E95" s="357"/>
      <c r="F95" s="357"/>
      <c r="G95" s="357"/>
      <c r="H95" s="350" t="n">
        <f aca="false">IF((H$84-$C$84)&gt;$B$58,0,$H$86/$B$58)</f>
        <v>0</v>
      </c>
      <c r="I95" s="350" t="n">
        <f aca="false">IF((I$84-$C$84)&gt;$B$58,0,$H$86/$B$58)</f>
        <v>0</v>
      </c>
      <c r="J95" s="350" t="n">
        <f aca="false">IF((J$84-$C$84)&gt;$B$58,0,$H$86/$B$58)</f>
        <v>0</v>
      </c>
      <c r="K95" s="350" t="n">
        <f aca="false">IF((K$84-$C$84)&gt;$B$58,0,$H$86/$B$58)</f>
        <v>0</v>
      </c>
      <c r="L95" s="350" t="n">
        <f aca="false">IF((L$84-$C$84)&gt;$B$58,0,$H$86/$B$58)</f>
        <v>0</v>
      </c>
      <c r="M95" s="350" t="n">
        <f aca="false">IF((M$84-$C$84)&gt;$B$58,0,$H$86/$B$58)</f>
        <v>0</v>
      </c>
      <c r="N95" s="350" t="n">
        <f aca="false">IF((N$84-$C$84)&gt;$B$58,0,$H$86/$B$58)</f>
        <v>0</v>
      </c>
      <c r="O95" s="350" t="n">
        <f aca="false">IF((O$84-$C$84)&gt;$B$58,0,$H$86/$B$58)</f>
        <v>0</v>
      </c>
      <c r="P95" s="350" t="n">
        <f aca="false">IF((P$84-$C$84)&gt;$B$58,0,$H$86/$B$58)</f>
        <v>0</v>
      </c>
      <c r="Q95" s="350" t="n">
        <f aca="false">IF((Q$84-$C$84)&gt;$B$58,0,$H$86/$B$58)</f>
        <v>0</v>
      </c>
      <c r="R95" s="350" t="n">
        <f aca="false">IF((R$84-$C$84)&gt;$B$58,0,$H$86/$B$58)</f>
        <v>0</v>
      </c>
      <c r="S95" s="350" t="n">
        <f aca="false">IF((S$84-$C$84)&gt;$B$58,0,$H$86/$B$58)</f>
        <v>0</v>
      </c>
      <c r="T95" s="350" t="n">
        <f aca="false">IF((T$84-$C$84)&gt;$B$58,0,$H$86/$B$58)</f>
        <v>0</v>
      </c>
      <c r="U95" s="350" t="n">
        <f aca="false">IF((U$84-$C$84)&gt;$B$58,0,$H$86/$B$58)</f>
        <v>0</v>
      </c>
      <c r="V95" s="350" t="n">
        <f aca="false">IF((V$84-$C$84)&gt;$B$58,0,$H$86/$B$58)</f>
        <v>0</v>
      </c>
    </row>
    <row r="96" customFormat="false" ht="12.75" hidden="false" customHeight="false" outlineLevel="0" collapsed="false">
      <c r="B96" s="348"/>
      <c r="C96" s="356"/>
      <c r="D96" s="357"/>
      <c r="E96" s="357"/>
      <c r="F96" s="357"/>
      <c r="G96" s="357"/>
      <c r="H96" s="357"/>
      <c r="I96" s="350" t="n">
        <f aca="false">IF((I$84-$C$84)&gt;$B$58,0,$I$86/$B$58)</f>
        <v>0</v>
      </c>
      <c r="J96" s="350" t="n">
        <f aca="false">IF((J$84-$C$84)&gt;$B$58,0,$I$86/$B$58)</f>
        <v>0</v>
      </c>
      <c r="K96" s="350" t="n">
        <f aca="false">IF((K$84-$C$84)&gt;$B$58,0,$I$86/$B$58)</f>
        <v>0</v>
      </c>
      <c r="L96" s="350" t="n">
        <f aca="false">IF((L$84-$C$84)&gt;$B$58,0,$I$86/$B$58)</f>
        <v>0</v>
      </c>
      <c r="M96" s="350" t="n">
        <f aca="false">IF((M$84-$C$84)&gt;$B$58,0,$I$86/$B$58)</f>
        <v>0</v>
      </c>
      <c r="N96" s="350" t="n">
        <f aca="false">IF((N$84-$C$84)&gt;$B$58,0,$I$86/$B$58)</f>
        <v>0</v>
      </c>
      <c r="O96" s="350" t="n">
        <f aca="false">IF((O$84-$C$84)&gt;$B$58,0,$I$86/$B$58)</f>
        <v>0</v>
      </c>
      <c r="P96" s="350" t="n">
        <f aca="false">IF((P$84-$C$84)&gt;$B$58,0,$I$86/$B$58)</f>
        <v>0</v>
      </c>
      <c r="Q96" s="350" t="n">
        <f aca="false">IF((Q$84-$C$84)&gt;$B$58,0,$I$86/$B$58)</f>
        <v>0</v>
      </c>
      <c r="R96" s="350" t="n">
        <f aca="false">IF((R$84-$C$84)&gt;$B$58,0,$I$86/$B$58)</f>
        <v>0</v>
      </c>
      <c r="S96" s="350" t="n">
        <f aca="false">IF((S$84-$C$84)&gt;$B$58,0,$I$86/$B$58)</f>
        <v>0</v>
      </c>
      <c r="T96" s="350" t="n">
        <f aca="false">IF((T$84-$C$84)&gt;$B$58,0,$I$86/$B$58)</f>
        <v>0</v>
      </c>
      <c r="U96" s="350" t="n">
        <f aca="false">IF((U$84-$C$84)&gt;$B$58,0,$I$86/$B$58)</f>
        <v>0</v>
      </c>
      <c r="V96" s="350" t="n">
        <f aca="false">IF((V$84-$C$84)&gt;$B$58,0,$I$86/$B$58)</f>
        <v>0</v>
      </c>
    </row>
    <row r="97" customFormat="false" ht="12.75" hidden="false" customHeight="false" outlineLevel="0" collapsed="false">
      <c r="B97" s="348"/>
      <c r="C97" s="356"/>
      <c r="D97" s="357"/>
      <c r="E97" s="357"/>
      <c r="F97" s="357"/>
      <c r="G97" s="357"/>
      <c r="H97" s="357"/>
      <c r="I97" s="357"/>
      <c r="J97" s="350" t="n">
        <f aca="false">IF((J$84-$C$84)&gt;$B$58,0,$J$86/$B$58)</f>
        <v>0</v>
      </c>
      <c r="K97" s="350" t="n">
        <f aca="false">IF((K$84-$C$84)&gt;$B$58,0,$J$86/$B$58)</f>
        <v>0</v>
      </c>
      <c r="L97" s="350" t="n">
        <f aca="false">IF((L$84-$C$84)&gt;$B$58,0,$J$86/$B$58)</f>
        <v>0</v>
      </c>
      <c r="M97" s="350" t="n">
        <f aca="false">IF((M$84-$C$84)&gt;$B$58,0,$J$86/$B$58)</f>
        <v>0</v>
      </c>
      <c r="N97" s="350" t="n">
        <f aca="false">IF((N$84-$C$84)&gt;$B$58,0,$J$86/$B$58)</f>
        <v>0</v>
      </c>
      <c r="O97" s="350" t="n">
        <f aca="false">IF((O$84-$C$84)&gt;$B$58,0,$J$86/$B$58)</f>
        <v>0</v>
      </c>
      <c r="P97" s="350" t="n">
        <f aca="false">IF((P$84-$C$84)&gt;$B$58,0,$J$86/$B$58)</f>
        <v>0</v>
      </c>
      <c r="Q97" s="350" t="n">
        <f aca="false">IF((Q$84-$C$84)&gt;$B$58,0,$J$86/$B$58)</f>
        <v>0</v>
      </c>
      <c r="R97" s="350" t="n">
        <f aca="false">IF((R$84-$C$84)&gt;$B$58,0,$J$86/$B$58)</f>
        <v>0</v>
      </c>
      <c r="S97" s="350" t="n">
        <f aca="false">IF((S$84-$C$84)&gt;$B$58,0,$J$86/$B$58)</f>
        <v>0</v>
      </c>
      <c r="T97" s="350" t="n">
        <f aca="false">IF((T$84-$C$84)&gt;$B$58,0,$J$86/$B$58)</f>
        <v>0</v>
      </c>
      <c r="U97" s="350" t="n">
        <f aca="false">IF((U$84-$C$84)&gt;$B$58,0,$J$86/$B$58)</f>
        <v>0</v>
      </c>
      <c r="V97" s="350" t="n">
        <f aca="false">IF((V$84-$C$84)&gt;$B$58,0,$J$86/$B$58)</f>
        <v>0</v>
      </c>
    </row>
    <row r="98" customFormat="false" ht="12.75" hidden="false" customHeight="false" outlineLevel="0" collapsed="false">
      <c r="B98" s="348"/>
      <c r="C98" s="356"/>
      <c r="D98" s="357"/>
      <c r="E98" s="357"/>
      <c r="F98" s="357"/>
      <c r="G98" s="357"/>
      <c r="H98" s="357"/>
      <c r="I98" s="357"/>
      <c r="J98" s="357"/>
      <c r="K98" s="350" t="n">
        <f aca="false">IF((K$84-$C$84)&gt;$B$58,0,$K$86/$B$58)</f>
        <v>0</v>
      </c>
      <c r="L98" s="350" t="n">
        <f aca="false">IF((L$84-$C$84)&gt;$B$58,0,$K$86/$B$58)</f>
        <v>0</v>
      </c>
      <c r="M98" s="350" t="n">
        <f aca="false">IF((M$84-$C$84)&gt;$B$58,0,$K$86/$B$58)</f>
        <v>0</v>
      </c>
      <c r="N98" s="350" t="n">
        <f aca="false">IF((N$84-$C$84)&gt;$B$58,0,$K$86/$B$58)</f>
        <v>0</v>
      </c>
      <c r="O98" s="350" t="n">
        <f aca="false">IF((O$84-$C$84)&gt;$B$58,0,$K$86/$B$58)</f>
        <v>0</v>
      </c>
      <c r="P98" s="350" t="n">
        <f aca="false">IF((P$84-$C$84)&gt;$B$58,0,$K$86/$B$58)</f>
        <v>0</v>
      </c>
      <c r="Q98" s="350" t="n">
        <f aca="false">IF((Q$84-$C$84)&gt;$B$58,0,$K$86/$B$58)</f>
        <v>0</v>
      </c>
      <c r="R98" s="350" t="n">
        <f aca="false">IF((R$84-$C$84)&gt;$B$58,0,$K$86/$B$58)</f>
        <v>0</v>
      </c>
      <c r="S98" s="350" t="n">
        <f aca="false">IF((S$84-$C$84)&gt;$B$58,0,$K$86/$B$58)</f>
        <v>0</v>
      </c>
      <c r="T98" s="350" t="n">
        <f aca="false">IF((T$84-$C$84)&gt;$B$58,0,$K$86/$B$58)</f>
        <v>0</v>
      </c>
      <c r="U98" s="350" t="n">
        <f aca="false">IF((U$84-$C$84)&gt;$B$58,0,$K$86/$B$58)</f>
        <v>0</v>
      </c>
      <c r="V98" s="350" t="n">
        <f aca="false">IF((V$84-$C$84)&gt;$B$58,0,$K$86/$B$58)</f>
        <v>0</v>
      </c>
    </row>
    <row r="99" customFormat="false" ht="12.75" hidden="false" customHeight="false" outlineLevel="0" collapsed="false">
      <c r="B99" s="348"/>
      <c r="C99" s="356"/>
      <c r="D99" s="357"/>
      <c r="E99" s="357"/>
      <c r="F99" s="357"/>
      <c r="G99" s="357"/>
      <c r="H99" s="357"/>
      <c r="I99" s="357"/>
      <c r="J99" s="357"/>
      <c r="K99" s="357"/>
      <c r="L99" s="350" t="n">
        <f aca="false">IF((L$84-$C$84)&gt;$B$58,0,$L$86/$B$58)</f>
        <v>0</v>
      </c>
      <c r="M99" s="350" t="n">
        <f aca="false">IF((M$84-$C$84)&gt;$B$58,0,$L$86/$B$58)</f>
        <v>0</v>
      </c>
      <c r="N99" s="350" t="n">
        <f aca="false">IF((N$84-$C$84)&gt;$B$58,0,$L$86/$B$58)</f>
        <v>0</v>
      </c>
      <c r="O99" s="350" t="n">
        <f aca="false">IF((O$84-$C$84)&gt;$B$58,0,$L$86/$B$58)</f>
        <v>0</v>
      </c>
      <c r="P99" s="350" t="n">
        <f aca="false">IF((P$84-$C$84)&gt;$B$58,0,$L$86/$B$58)</f>
        <v>0</v>
      </c>
      <c r="Q99" s="350" t="n">
        <f aca="false">IF((Q$84-$C$84)&gt;$B$58,0,$L$86/$B$58)</f>
        <v>0</v>
      </c>
      <c r="R99" s="350" t="n">
        <f aca="false">IF((R$84-$C$84)&gt;$B$58,0,$L$86/$B$58)</f>
        <v>0</v>
      </c>
      <c r="S99" s="350" t="n">
        <f aca="false">IF((S$84-$C$84)&gt;$B$58,0,$L$86/$B$58)</f>
        <v>0</v>
      </c>
      <c r="T99" s="350" t="n">
        <f aca="false">IF((T$84-$C$84)&gt;$B$58,0,$L$86/$B$58)</f>
        <v>0</v>
      </c>
      <c r="U99" s="350" t="n">
        <f aca="false">IF((U$84-$C$84)&gt;$B$58,0,$L$86/$B$58)</f>
        <v>0</v>
      </c>
      <c r="V99" s="350" t="n">
        <f aca="false">IF((V$84-$C$84)&gt;$B$58,0,$L$86/$B$58)</f>
        <v>0</v>
      </c>
    </row>
    <row r="100" customFormat="false" ht="12.75" hidden="false" customHeight="false" outlineLevel="0" collapsed="false">
      <c r="B100" s="348"/>
      <c r="C100" s="356"/>
      <c r="D100" s="357"/>
      <c r="E100" s="357"/>
      <c r="F100" s="357"/>
      <c r="G100" s="357"/>
      <c r="H100" s="357"/>
      <c r="I100" s="357"/>
      <c r="J100" s="357"/>
      <c r="K100" s="357"/>
      <c r="L100" s="357"/>
      <c r="M100" s="350" t="n">
        <f aca="false">IF((M$84-$C$84)&gt;$B$58,0,$M$86/$B$58)</f>
        <v>0</v>
      </c>
      <c r="N100" s="350" t="n">
        <f aca="false">IF((N$84-$C$84)&gt;$B$58,0,$M$86/$B$58)</f>
        <v>0</v>
      </c>
      <c r="O100" s="350" t="n">
        <f aca="false">IF((O$84-$C$84)&gt;$B$58,0,$M$86/$B$58)</f>
        <v>0</v>
      </c>
      <c r="P100" s="350" t="n">
        <f aca="false">IF((P$84-$C$84)&gt;$B$58,0,$M$86/$B$58)</f>
        <v>0</v>
      </c>
      <c r="Q100" s="350" t="n">
        <f aca="false">IF((Q$84-$C$84)&gt;$B$58,0,$M$86/$B$58)</f>
        <v>0</v>
      </c>
      <c r="R100" s="350" t="n">
        <f aca="false">IF((R$84-$C$84)&gt;$B$58,0,$M$86/$B$58)</f>
        <v>0</v>
      </c>
      <c r="S100" s="350" t="n">
        <f aca="false">IF((S$84-$C$84)&gt;$B$58,0,$M$86/$B$58)</f>
        <v>0</v>
      </c>
      <c r="T100" s="350" t="n">
        <f aca="false">IF((T$84-$C$84)&gt;$B$58,0,$M$86/$B$58)</f>
        <v>0</v>
      </c>
      <c r="U100" s="350" t="n">
        <f aca="false">IF((U$84-$C$84)&gt;$B$58,0,$M$86/$B$58)</f>
        <v>0</v>
      </c>
      <c r="V100" s="350" t="n">
        <f aca="false">IF((V$84-$C$84)&gt;$B$58,0,$M$86/$B$58)</f>
        <v>0</v>
      </c>
    </row>
    <row r="101" customFormat="false" ht="12.75" hidden="false" customHeight="false" outlineLevel="0" collapsed="false">
      <c r="B101" s="348"/>
      <c r="C101" s="356"/>
      <c r="D101" s="357"/>
      <c r="E101" s="357"/>
      <c r="F101" s="357"/>
      <c r="G101" s="357"/>
      <c r="H101" s="357"/>
      <c r="I101" s="357"/>
      <c r="J101" s="357"/>
      <c r="K101" s="357"/>
      <c r="L101" s="357"/>
      <c r="M101" s="325"/>
      <c r="N101" s="350" t="n">
        <f aca="false">IF((N$84-$C$84)&gt;$B$58,0,$N$86/$B$58)</f>
        <v>0</v>
      </c>
      <c r="O101" s="350" t="n">
        <f aca="false">IF((O$84-$C$84)&gt;$B$58,0,$N$86/$B$58)</f>
        <v>0</v>
      </c>
      <c r="P101" s="350" t="n">
        <f aca="false">IF((P$84-$C$84)&gt;$B$58,0,$N$86/$B$58)</f>
        <v>0</v>
      </c>
      <c r="Q101" s="350" t="n">
        <f aca="false">IF((Q$84-$C$84)&gt;$B$58,0,$N$86/$B$58)</f>
        <v>0</v>
      </c>
      <c r="R101" s="350" t="n">
        <f aca="false">IF((R$84-$C$84)&gt;$B$58,0,$N$86/$B$58)</f>
        <v>0</v>
      </c>
      <c r="S101" s="350" t="n">
        <f aca="false">IF((S$84-$C$84)&gt;$B$58,0,$N$86/$B$58)</f>
        <v>0</v>
      </c>
      <c r="T101" s="350" t="n">
        <f aca="false">IF((T$84-$C$84)&gt;$B$58,0,$N$86/$B$58)</f>
        <v>0</v>
      </c>
      <c r="U101" s="350" t="n">
        <f aca="false">IF((U$84-$C$84)&gt;$B$58,0,$N$86/$B$58)</f>
        <v>0</v>
      </c>
      <c r="V101" s="350" t="n">
        <f aca="false">IF((V$84-$C$84)&gt;$B$58,0,$N$86/$B$58)</f>
        <v>0</v>
      </c>
    </row>
    <row r="102" customFormat="false" ht="12.75" hidden="false" customHeight="false" outlineLevel="0" collapsed="false">
      <c r="B102" s="348"/>
      <c r="C102" s="356"/>
      <c r="D102" s="357"/>
      <c r="E102" s="357"/>
      <c r="F102" s="357"/>
      <c r="G102" s="357"/>
      <c r="H102" s="357"/>
      <c r="I102" s="357"/>
      <c r="J102" s="357"/>
      <c r="K102" s="357"/>
      <c r="L102" s="357"/>
      <c r="M102" s="325"/>
      <c r="N102" s="325"/>
      <c r="O102" s="350" t="n">
        <f aca="false">IF((O$84-$C$84)&gt;$B$58,0,$O$86/$B$58)</f>
        <v>0</v>
      </c>
      <c r="P102" s="350" t="n">
        <f aca="false">IF((P$84-$C$84)&gt;$B$58,0,$O$86/$B$58)</f>
        <v>0</v>
      </c>
      <c r="Q102" s="350" t="n">
        <f aca="false">IF((Q$84-$C$84)&gt;$B$58,0,$O$86/$B$58)</f>
        <v>0</v>
      </c>
      <c r="R102" s="350" t="n">
        <f aca="false">IF((R$84-$C$84)&gt;$B$58,0,$O$86/$B$58)</f>
        <v>0</v>
      </c>
      <c r="S102" s="350" t="n">
        <f aca="false">IF((S$84-$C$84)&gt;$B$58,0,$O$86/$B$58)</f>
        <v>0</v>
      </c>
      <c r="T102" s="350" t="n">
        <f aca="false">IF((T$84-$C$84)&gt;$B$58,0,$O$86/$B$58)</f>
        <v>0</v>
      </c>
      <c r="U102" s="350" t="n">
        <f aca="false">IF((U$84-$C$84)&gt;$B$58,0,$O$86/$B$58)</f>
        <v>0</v>
      </c>
      <c r="V102" s="350" t="n">
        <f aca="false">IF((V$84-$C$84)&gt;$B$58,0,$O$86/$B$58)</f>
        <v>0</v>
      </c>
    </row>
    <row r="103" customFormat="false" ht="12.75" hidden="false" customHeight="false" outlineLevel="0" collapsed="false">
      <c r="B103" s="348"/>
      <c r="C103" s="356"/>
      <c r="D103" s="357"/>
      <c r="E103" s="357"/>
      <c r="F103" s="357"/>
      <c r="G103" s="357"/>
      <c r="H103" s="357"/>
      <c r="I103" s="357"/>
      <c r="J103" s="357"/>
      <c r="K103" s="357"/>
      <c r="L103" s="357"/>
      <c r="M103" s="325"/>
      <c r="N103" s="325"/>
      <c r="O103" s="325"/>
      <c r="P103" s="350" t="n">
        <f aca="false">IF((P$84-$C$84)&gt;$B$58,0,$P$86/$B$58)</f>
        <v>0</v>
      </c>
      <c r="Q103" s="350" t="n">
        <f aca="false">IF((Q$84-$C$84)&gt;$B$58,0,$P$86/$B$58)</f>
        <v>0</v>
      </c>
      <c r="R103" s="350" t="n">
        <f aca="false">IF((R$84-$C$84)&gt;$B$58,0,$P$86/$B$58)</f>
        <v>0</v>
      </c>
      <c r="S103" s="350" t="n">
        <f aca="false">IF((S$84-$C$84)&gt;$B$58,0,$P$86/$B$58)</f>
        <v>0</v>
      </c>
      <c r="T103" s="350" t="n">
        <f aca="false">IF((T$84-$C$84)&gt;$B$58,0,$P$86/$B$58)</f>
        <v>0</v>
      </c>
      <c r="U103" s="350" t="n">
        <f aca="false">IF((U$84-$C$84)&gt;$B$58,0,$P$86/$B$58)</f>
        <v>0</v>
      </c>
      <c r="V103" s="350" t="n">
        <f aca="false">IF((V$84-$C$84)&gt;$B$58,0,$P$86/$B$58)</f>
        <v>0</v>
      </c>
    </row>
    <row r="104" customFormat="false" ht="12.75" hidden="false" customHeight="false" outlineLevel="0" collapsed="false">
      <c r="B104" s="348"/>
      <c r="C104" s="356"/>
      <c r="D104" s="357"/>
      <c r="E104" s="357"/>
      <c r="F104" s="357"/>
      <c r="G104" s="357"/>
      <c r="H104" s="357"/>
      <c r="I104" s="357"/>
      <c r="J104" s="357"/>
      <c r="K104" s="357"/>
      <c r="L104" s="357"/>
      <c r="M104" s="325"/>
      <c r="N104" s="325"/>
      <c r="O104" s="325"/>
      <c r="P104" s="325"/>
      <c r="Q104" s="350" t="n">
        <f aca="false">IF((Q$84-$C$84)&gt;$B$58,0,$Q$86/$B$58)</f>
        <v>0</v>
      </c>
      <c r="R104" s="350" t="n">
        <f aca="false">IF((R$84-$C$84)&gt;$B$58,0,$Q$86/$B$58)</f>
        <v>0</v>
      </c>
      <c r="S104" s="350" t="n">
        <f aca="false">IF((S$84-$C$84)&gt;$B$58,0,$Q$86/$B$58)</f>
        <v>0</v>
      </c>
      <c r="T104" s="350" t="n">
        <f aca="false">IF((T$84-$C$84)&gt;$B$58,0,$Q$86/$B$58)</f>
        <v>0</v>
      </c>
      <c r="U104" s="350" t="n">
        <f aca="false">IF((U$84-$C$84)&gt;$B$58,0,$Q$86/$B$58)</f>
        <v>0</v>
      </c>
      <c r="V104" s="350" t="n">
        <f aca="false">IF((V$84-$C$84)&gt;$B$58,0,$Q$86/$B$58)</f>
        <v>0</v>
      </c>
    </row>
    <row r="105" customFormat="false" ht="12.75" hidden="false" customHeight="false" outlineLevel="0" collapsed="false">
      <c r="B105" s="348"/>
      <c r="C105" s="356"/>
      <c r="D105" s="357"/>
      <c r="E105" s="357"/>
      <c r="F105" s="357"/>
      <c r="G105" s="357"/>
      <c r="H105" s="357"/>
      <c r="I105" s="357"/>
      <c r="J105" s="357"/>
      <c r="K105" s="357"/>
      <c r="L105" s="357"/>
      <c r="M105" s="325"/>
      <c r="N105" s="325"/>
      <c r="O105" s="325"/>
      <c r="P105" s="325"/>
      <c r="Q105" s="325"/>
      <c r="R105" s="350" t="n">
        <f aca="false">IF((R$84-$C$84)&gt;$B$58,0,$R$86/$B$58)</f>
        <v>0</v>
      </c>
      <c r="S105" s="350" t="n">
        <f aca="false">IF((S$84-$C$84)&gt;$B$58,0,$R$86/$B$58)</f>
        <v>0</v>
      </c>
      <c r="T105" s="350" t="n">
        <f aca="false">IF((T$84-$C$84)&gt;$B$58,0,$R$86/$B$58)</f>
        <v>0</v>
      </c>
      <c r="U105" s="350" t="n">
        <f aca="false">IF((U$84-$C$84)&gt;$B$58,0,$R$86/$B$58)</f>
        <v>0</v>
      </c>
      <c r="V105" s="350" t="n">
        <f aca="false">IF((V$84-$C$84)&gt;$B$58,0,$R$86/$B$58)</f>
        <v>0</v>
      </c>
    </row>
    <row r="106" customFormat="false" ht="12.75" hidden="false" customHeight="false" outlineLevel="0" collapsed="false">
      <c r="B106" s="348"/>
      <c r="C106" s="356"/>
      <c r="D106" s="357"/>
      <c r="E106" s="357"/>
      <c r="F106" s="357"/>
      <c r="G106" s="357"/>
      <c r="H106" s="357"/>
      <c r="I106" s="357"/>
      <c r="J106" s="357"/>
      <c r="K106" s="357"/>
      <c r="L106" s="357"/>
      <c r="M106" s="325"/>
      <c r="N106" s="325"/>
      <c r="O106" s="325"/>
      <c r="P106" s="325"/>
      <c r="Q106" s="325"/>
      <c r="R106" s="325"/>
      <c r="S106" s="350" t="n">
        <f aca="false">IF((S$84-$C$84)&gt;$B$58,0,$S$86/$B$58)</f>
        <v>0</v>
      </c>
      <c r="T106" s="350" t="n">
        <f aca="false">IF((T$84-$C$84)&gt;$B$58,0,$S$86/$B$58)</f>
        <v>0</v>
      </c>
      <c r="U106" s="350" t="n">
        <f aca="false">IF((U$84-$C$84)&gt;$B$58,0,$S$86/$B$58)</f>
        <v>0</v>
      </c>
      <c r="V106" s="350" t="n">
        <f aca="false">IF((V$84-$C$84)&gt;$B$58,0,$S$86/$B$58)</f>
        <v>0</v>
      </c>
    </row>
    <row r="107" customFormat="false" ht="12.75" hidden="false" customHeight="false" outlineLevel="0" collapsed="false">
      <c r="B107" s="348"/>
      <c r="C107" s="356"/>
      <c r="D107" s="357"/>
      <c r="E107" s="357"/>
      <c r="F107" s="357"/>
      <c r="G107" s="357"/>
      <c r="H107" s="357"/>
      <c r="I107" s="357"/>
      <c r="J107" s="357"/>
      <c r="K107" s="357"/>
      <c r="L107" s="357"/>
      <c r="M107" s="325"/>
      <c r="N107" s="325"/>
      <c r="O107" s="325"/>
      <c r="P107" s="325"/>
      <c r="Q107" s="325"/>
      <c r="R107" s="325"/>
      <c r="S107" s="325"/>
      <c r="T107" s="350" t="n">
        <f aca="false">IF((T$84-$C$84)&gt;$B$58,0,$T$86/$B$58)</f>
        <v>0</v>
      </c>
      <c r="U107" s="350" t="n">
        <f aca="false">IF((U$84-$C$84)&gt;$B$58,0,$T$86/$B$58)</f>
        <v>0</v>
      </c>
      <c r="V107" s="350" t="n">
        <f aca="false">IF((V$84-$C$84)&gt;$B$58,0,$T$86/$B$58)</f>
        <v>0</v>
      </c>
    </row>
    <row r="108" customFormat="false" ht="12.75" hidden="false" customHeight="false" outlineLevel="0" collapsed="false">
      <c r="B108" s="348"/>
      <c r="C108" s="356"/>
      <c r="D108" s="357"/>
      <c r="E108" s="357"/>
      <c r="F108" s="357"/>
      <c r="G108" s="357"/>
      <c r="H108" s="357"/>
      <c r="I108" s="357"/>
      <c r="J108" s="357"/>
      <c r="K108" s="357"/>
      <c r="L108" s="357"/>
      <c r="M108" s="325"/>
      <c r="N108" s="325"/>
      <c r="O108" s="325"/>
      <c r="P108" s="325"/>
      <c r="Q108" s="325"/>
      <c r="R108" s="325"/>
      <c r="S108" s="325"/>
      <c r="T108" s="325"/>
      <c r="U108" s="350" t="n">
        <f aca="false">IF((U$84-$C$84)&gt;$B$58,0,$U$86/$B$58)</f>
        <v>0</v>
      </c>
      <c r="V108" s="350" t="n">
        <f aca="false">IF((V$84-$C$84)&gt;$B$58,0,$U$86/$B$58)</f>
        <v>0</v>
      </c>
    </row>
    <row r="109" customFormat="false" ht="12.75" hidden="false" customHeight="false" outlineLevel="0" collapsed="false">
      <c r="B109" s="348"/>
      <c r="C109" s="358"/>
      <c r="D109" s="359"/>
      <c r="E109" s="359"/>
      <c r="F109" s="359"/>
      <c r="G109" s="359"/>
      <c r="H109" s="359"/>
      <c r="I109" s="359"/>
      <c r="J109" s="359"/>
      <c r="K109" s="359"/>
      <c r="L109" s="359"/>
      <c r="M109" s="360"/>
      <c r="N109" s="360"/>
      <c r="O109" s="360"/>
      <c r="P109" s="360"/>
      <c r="Q109" s="360"/>
      <c r="R109" s="360"/>
      <c r="S109" s="360"/>
      <c r="T109" s="360"/>
      <c r="U109" s="360"/>
      <c r="V109" s="350" t="n">
        <f aca="false">IF((V$84-$C$84)&gt;$B$58,0,$V$86/$B$58)</f>
        <v>0</v>
      </c>
    </row>
    <row r="110" customFormat="false" ht="13.5" hidden="false" customHeight="false" outlineLevel="0" collapsed="false">
      <c r="A110" s="181" t="s">
        <v>191</v>
      </c>
      <c r="B110" s="348"/>
      <c r="C110" s="361" t="n">
        <f aca="false">SUM(C90:C109)</f>
        <v>0</v>
      </c>
      <c r="D110" s="362" t="n">
        <f aca="false">SUM(D90:D109)</f>
        <v>0</v>
      </c>
      <c r="E110" s="362" t="n">
        <f aca="false">SUM(E90:E109)</f>
        <v>0</v>
      </c>
      <c r="F110" s="362" t="n">
        <f aca="false">SUM(F90:F109)</f>
        <v>0</v>
      </c>
      <c r="G110" s="362" t="n">
        <f aca="false">SUM(G90:G109)</f>
        <v>0</v>
      </c>
      <c r="H110" s="362" t="n">
        <f aca="false">SUM(H90:H109)</f>
        <v>0</v>
      </c>
      <c r="I110" s="362" t="n">
        <f aca="false">SUM(I90:I109)</f>
        <v>0</v>
      </c>
      <c r="J110" s="362" t="n">
        <f aca="false">SUM(J90:J109)</f>
        <v>0</v>
      </c>
      <c r="K110" s="362" t="n">
        <f aca="false">SUM(K90:K109)</f>
        <v>0</v>
      </c>
      <c r="L110" s="362" t="n">
        <f aca="false">SUM(L90:L109)</f>
        <v>0</v>
      </c>
      <c r="M110" s="362" t="n">
        <f aca="false">SUM(M90:M109)</f>
        <v>0</v>
      </c>
      <c r="N110" s="362" t="n">
        <f aca="false">SUM(N90:N109)</f>
        <v>0</v>
      </c>
      <c r="O110" s="362" t="n">
        <f aca="false">SUM(O90:O109)</f>
        <v>0</v>
      </c>
      <c r="P110" s="362" t="n">
        <f aca="false">SUM(P90:P109)</f>
        <v>0</v>
      </c>
      <c r="Q110" s="362" t="n">
        <f aca="false">SUM(Q90:Q109)</f>
        <v>0</v>
      </c>
      <c r="R110" s="362" t="n">
        <f aca="false">SUM(R90:R109)</f>
        <v>0</v>
      </c>
      <c r="S110" s="362" t="n">
        <f aca="false">SUM(S90:S109)</f>
        <v>0</v>
      </c>
      <c r="T110" s="362" t="n">
        <f aca="false">SUM(T90:T109)</f>
        <v>0</v>
      </c>
      <c r="U110" s="362" t="n">
        <f aca="false">SUM(U90:U109)</f>
        <v>0</v>
      </c>
      <c r="V110" s="362" t="n">
        <f aca="false">SUM(V90:V109)</f>
        <v>0</v>
      </c>
    </row>
    <row r="111" customFormat="false" ht="13.5" hidden="false" customHeight="false" outlineLevel="0" collapsed="false">
      <c r="B111" s="348"/>
      <c r="C111" s="134"/>
    </row>
    <row r="112" customFormat="false" ht="12.75" hidden="false" customHeight="false" outlineLevel="0" collapsed="false">
      <c r="A112" s="181" t="s">
        <v>184</v>
      </c>
      <c r="B112" s="348"/>
      <c r="C112" s="134" t="n">
        <f aca="false">VLOOKUP(IS!$B$1,BookDep,C84-1997)</f>
        <v>10846000</v>
      </c>
      <c r="D112" s="134" t="n">
        <f aca="false">VLOOKUP(IS!$B$1,BookDep,D84-1997)</f>
        <v>10846000</v>
      </c>
      <c r="E112" s="134" t="n">
        <f aca="false">VLOOKUP(IS!$B$1,BookDep,E84-1997)</f>
        <v>10846000</v>
      </c>
      <c r="F112" s="134" t="n">
        <f aca="false">VLOOKUP(IS!$B$1,BookDep,F84-1997)</f>
        <v>10846000</v>
      </c>
      <c r="G112" s="134" t="n">
        <f aca="false">VLOOKUP(IS!$B$1,BookDep,G84-1997)</f>
        <v>10846000</v>
      </c>
      <c r="H112" s="134" t="n">
        <f aca="false">VLOOKUP(IS!$B$1,BookDep,H84-1997)</f>
        <v>10846000</v>
      </c>
      <c r="I112" s="134" t="n">
        <f aca="false">VLOOKUP(IS!$B$1,BookDep,I84-1997)</f>
        <v>10846000</v>
      </c>
      <c r="J112" s="134" t="n">
        <f aca="false">VLOOKUP(IS!$B$1,BookDep,J84-1997)</f>
        <v>10846000</v>
      </c>
      <c r="K112" s="134" t="n">
        <f aca="false">VLOOKUP(IS!$B$1,BookDep,K84-1997)</f>
        <v>10846000</v>
      </c>
      <c r="L112" s="134" t="n">
        <f aca="false">VLOOKUP(IS!$B$1,BookDep,L84-1997)</f>
        <v>10846000</v>
      </c>
      <c r="M112" s="134" t="n">
        <f aca="false">VLOOKUP(IS!$B$1,BookDep,M84-1997)</f>
        <v>10846000</v>
      </c>
      <c r="N112" s="134" t="n">
        <f aca="false">VLOOKUP(IS!$B$1,BookDep,N84-1997)</f>
        <v>10846000</v>
      </c>
      <c r="O112" s="134" t="n">
        <f aca="false">VLOOKUP(IS!$B$1,BookDep,O84-1997)</f>
        <v>10846000</v>
      </c>
      <c r="P112" s="134" t="n">
        <f aca="false">VLOOKUP(IS!$B$1,BookDep,P84-1997)</f>
        <v>10846000</v>
      </c>
      <c r="Q112" s="134" t="n">
        <f aca="false">VLOOKUP(IS!$B$1,BookDep,Q84-1997)</f>
        <v>10846000</v>
      </c>
      <c r="R112" s="134" t="n">
        <f aca="false">VLOOKUP(IS!$B$1,BookDep,R84-1997)</f>
        <v>10846000</v>
      </c>
      <c r="S112" s="134" t="n">
        <f aca="false">VLOOKUP(IS!$B$1,BookDep,S84-1997)</f>
        <v>10846000</v>
      </c>
      <c r="T112" s="134" t="n">
        <f aca="false">VLOOKUP(IS!$B$1,BookDep,T84-1997)</f>
        <v>10846000</v>
      </c>
      <c r="U112" s="134" t="n">
        <f aca="false">VLOOKUP(IS!$B$1,BookDep,U84-1997)</f>
        <v>10846000</v>
      </c>
      <c r="V112" s="134" t="n">
        <f aca="false">VLOOKUP(IS!$B$1,BookDep,V84-1997)</f>
        <v>10846000</v>
      </c>
    </row>
    <row r="113" customFormat="false" ht="12.75" hidden="false" customHeight="false" outlineLevel="0" collapsed="false">
      <c r="B113" s="1"/>
    </row>
    <row r="114" customFormat="false" ht="12.75" hidden="false" customHeight="false" outlineLevel="0" collapsed="false">
      <c r="A114" s="0" t="s">
        <v>192</v>
      </c>
      <c r="B114" s="1"/>
      <c r="C114" s="134" t="n">
        <f aca="false">C112+C81+C110</f>
        <v>10846000</v>
      </c>
      <c r="D114" s="134" t="n">
        <f aca="false">D112+D81+D110</f>
        <v>10846000</v>
      </c>
      <c r="E114" s="134" t="n">
        <f aca="false">E112+E81+E110</f>
        <v>10846000</v>
      </c>
      <c r="F114" s="134" t="n">
        <f aca="false">F112+F81+F110</f>
        <v>10846000</v>
      </c>
      <c r="G114" s="134" t="n">
        <f aca="false">G112+G81+G110</f>
        <v>10846000</v>
      </c>
      <c r="H114" s="134" t="n">
        <f aca="false">H112+H81+H110</f>
        <v>10846000</v>
      </c>
      <c r="I114" s="134" t="n">
        <f aca="false">I112+I81+I110</f>
        <v>10846000</v>
      </c>
      <c r="J114" s="134" t="n">
        <f aca="false">J112+J81+J110</f>
        <v>10846000</v>
      </c>
      <c r="K114" s="134" t="n">
        <f aca="false">K112+K81+K110</f>
        <v>10846000</v>
      </c>
      <c r="L114" s="134" t="n">
        <f aca="false">L112+L81+L110</f>
        <v>10846000</v>
      </c>
      <c r="M114" s="134" t="n">
        <f aca="false">M112+M81+M110</f>
        <v>10846000</v>
      </c>
      <c r="N114" s="134" t="n">
        <f aca="false">N112+N81+N110</f>
        <v>10846000</v>
      </c>
      <c r="O114" s="134" t="n">
        <f aca="false">O112+O81+O110</f>
        <v>10846000</v>
      </c>
      <c r="P114" s="134" t="n">
        <f aca="false">P112+P81+P110</f>
        <v>10846000</v>
      </c>
      <c r="Q114" s="134" t="n">
        <f aca="false">Q112+Q81+Q110</f>
        <v>10846000</v>
      </c>
      <c r="R114" s="134" t="n">
        <f aca="false">R112+R81+R110</f>
        <v>10846000</v>
      </c>
      <c r="S114" s="134" t="n">
        <f aca="false">S112+S81+S110</f>
        <v>10846000</v>
      </c>
      <c r="T114" s="134" t="n">
        <f aca="false">T112+T81+T110</f>
        <v>10846000</v>
      </c>
      <c r="U114" s="134" t="n">
        <f aca="false">U112+U81+U110</f>
        <v>10846000</v>
      </c>
      <c r="V114" s="134" t="n">
        <f aca="false">V112+V81+V110</f>
        <v>10846000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3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36" width="9.14"/>
    <col collapsed="false" customWidth="true" hidden="false" outlineLevel="0" max="4" min="3" style="36" width="10.41"/>
    <col collapsed="false" customWidth="true" hidden="false" outlineLevel="0" max="5" min="5" style="36" width="37.14"/>
    <col collapsed="false" customWidth="true" hidden="true" outlineLevel="0" max="6" min="6" style="36" width="10.41"/>
    <col collapsed="false" customWidth="true" hidden="true" outlineLevel="0" max="7" min="7" style="36" width="28.56"/>
    <col collapsed="false" customWidth="true" hidden="true" outlineLevel="0" max="8" min="8" style="36" width="10.41"/>
    <col collapsed="false" customWidth="true" hidden="false" outlineLevel="0" max="9" min="9" style="36" width="16.56"/>
    <col collapsed="false" customWidth="true" hidden="false" outlineLevel="0" max="10" min="10" style="36" width="17.85"/>
    <col collapsed="false" customWidth="true" hidden="false" outlineLevel="0" max="11" min="11" style="36" width="16.13"/>
    <col collapsed="false" customWidth="true" hidden="false" outlineLevel="0" max="18" min="12" style="36" width="14.85"/>
    <col collapsed="false" customWidth="true" hidden="false" outlineLevel="0" max="21" min="19" style="36" width="13.85"/>
    <col collapsed="false" customWidth="true" hidden="false" outlineLevel="0" max="41" min="22" style="36" width="11.28"/>
    <col collapsed="false" customWidth="false" hidden="false" outlineLevel="0" max="42" min="42" style="36" width="9.14"/>
    <col collapsed="false" customWidth="true" hidden="false" outlineLevel="0" max="43" min="43" style="36" width="11.28"/>
    <col collapsed="false" customWidth="false" hidden="false" outlineLevel="0" max="257" min="44" style="36" width="9.14"/>
  </cols>
  <sheetData>
    <row r="1" customFormat="false" ht="12.75" hidden="false" customHeight="false" outlineLevel="0" collapsed="false">
      <c r="A1" s="370"/>
    </row>
    <row r="3" customFormat="false" ht="12.75" hidden="false" customHeight="false" outlineLevel="0" collapsed="false">
      <c r="K3" s="36" t="n">
        <v>2000</v>
      </c>
      <c r="L3" s="36" t="n">
        <v>2001</v>
      </c>
      <c r="M3" s="36" t="n">
        <f aca="false">+L3+1</f>
        <v>2002</v>
      </c>
      <c r="N3" s="36" t="n">
        <f aca="false">+M3+1</f>
        <v>2003</v>
      </c>
      <c r="O3" s="36" t="n">
        <f aca="false">+N3+1</f>
        <v>2004</v>
      </c>
      <c r="P3" s="36" t="n">
        <f aca="false">+O3+1</f>
        <v>2005</v>
      </c>
      <c r="Q3" s="36" t="n">
        <f aca="false">+P3+1</f>
        <v>2006</v>
      </c>
      <c r="R3" s="36" t="n">
        <f aca="false">+Q3+1</f>
        <v>2007</v>
      </c>
      <c r="S3" s="36" t="n">
        <f aca="false">+R3+1</f>
        <v>2008</v>
      </c>
      <c r="T3" s="36" t="n">
        <f aca="false">+S3+1</f>
        <v>2009</v>
      </c>
      <c r="U3" s="36" t="n">
        <f aca="false">+T3+1</f>
        <v>2010</v>
      </c>
      <c r="V3" s="36" t="n">
        <f aca="false">+U3+1</f>
        <v>2011</v>
      </c>
      <c r="W3" s="36" t="n">
        <f aca="false">+V3+1</f>
        <v>2012</v>
      </c>
      <c r="X3" s="36" t="n">
        <f aca="false">+W3+1</f>
        <v>2013</v>
      </c>
      <c r="Y3" s="36" t="n">
        <f aca="false">+X3+1</f>
        <v>2014</v>
      </c>
      <c r="Z3" s="36" t="n">
        <f aca="false">+Y3+1</f>
        <v>2015</v>
      </c>
      <c r="AA3" s="36" t="n">
        <f aca="false">+Z3+1</f>
        <v>2016</v>
      </c>
      <c r="AB3" s="36" t="n">
        <f aca="false">+AA3+1</f>
        <v>2017</v>
      </c>
      <c r="AC3" s="36" t="n">
        <f aca="false">+AB3+1</f>
        <v>2018</v>
      </c>
      <c r="AD3" s="36" t="n">
        <f aca="false">+AC3+1</f>
        <v>2019</v>
      </c>
      <c r="AE3" s="36" t="n">
        <f aca="false">+AD3+1</f>
        <v>2020</v>
      </c>
      <c r="AF3" s="36" t="n">
        <f aca="false">+AE3+1</f>
        <v>2021</v>
      </c>
      <c r="AG3" s="36" t="n">
        <f aca="false">+AF3+1</f>
        <v>2022</v>
      </c>
      <c r="AH3" s="36" t="n">
        <f aca="false">+AG3+1</f>
        <v>2023</v>
      </c>
      <c r="AI3" s="36" t="n">
        <f aca="false">+AH3+1</f>
        <v>2024</v>
      </c>
      <c r="AJ3" s="36" t="n">
        <f aca="false">+AI3+1</f>
        <v>2025</v>
      </c>
      <c r="AK3" s="36" t="n">
        <f aca="false">+AJ3+1</f>
        <v>2026</v>
      </c>
      <c r="AL3" s="36" t="n">
        <f aca="false">+AK3+1</f>
        <v>2027</v>
      </c>
      <c r="AM3" s="36" t="n">
        <f aca="false">+AL3+1</f>
        <v>2028</v>
      </c>
      <c r="AN3" s="36" t="n">
        <f aca="false">+AM3+1</f>
        <v>2029</v>
      </c>
      <c r="AO3" s="36" t="n">
        <f aca="false">+AN3+1</f>
        <v>2030</v>
      </c>
    </row>
    <row r="4" customFormat="false" ht="12.75" hidden="false" customHeight="false" outlineLevel="0" collapsed="false">
      <c r="C4" s="371"/>
      <c r="D4" s="371"/>
      <c r="E4" s="34" t="s">
        <v>193</v>
      </c>
      <c r="F4" s="371"/>
      <c r="G4" s="34" t="s">
        <v>194</v>
      </c>
      <c r="H4" s="371"/>
      <c r="I4" s="34" t="s">
        <v>195</v>
      </c>
      <c r="J4" s="371"/>
      <c r="K4" s="34" t="s">
        <v>196</v>
      </c>
    </row>
    <row r="5" customFormat="false" ht="12.75" hidden="false" customHeight="false" outlineLevel="0" collapsed="false">
      <c r="C5" s="371"/>
      <c r="D5" s="371"/>
      <c r="E5" s="34" t="s">
        <v>197</v>
      </c>
      <c r="F5" s="371"/>
      <c r="G5" s="34" t="s">
        <v>198</v>
      </c>
      <c r="H5" s="371"/>
      <c r="I5" s="34" t="s">
        <v>199</v>
      </c>
      <c r="J5" s="371"/>
      <c r="K5" s="34" t="s">
        <v>200</v>
      </c>
    </row>
    <row r="6" customFormat="false" ht="12.75" hidden="false" customHeight="false" outlineLevel="0" collapsed="false">
      <c r="C6" s="371"/>
      <c r="D6" s="371"/>
      <c r="E6" s="371"/>
      <c r="F6" s="371"/>
      <c r="G6" s="371"/>
      <c r="H6" s="371"/>
      <c r="I6" s="371"/>
      <c r="J6" s="371"/>
      <c r="K6" s="371"/>
    </row>
    <row r="7" customFormat="false" ht="12.75" hidden="false" customHeight="false" outlineLevel="0" collapsed="false">
      <c r="C7" s="328" t="s">
        <v>201</v>
      </c>
      <c r="D7" s="371"/>
      <c r="E7" s="371" t="n">
        <v>267332298.7</v>
      </c>
      <c r="F7" s="371"/>
      <c r="G7" s="371" t="n">
        <v>202790196.47</v>
      </c>
      <c r="H7" s="371"/>
      <c r="I7" s="371" t="n">
        <v>64542102.23</v>
      </c>
      <c r="J7" s="36" t="n">
        <f aca="false">E7/K7</f>
        <v>30.9196793501028</v>
      </c>
      <c r="K7" s="371" t="n">
        <v>8646024.29</v>
      </c>
      <c r="L7" s="36" t="n">
        <f aca="false">+K7</f>
        <v>8646024.29</v>
      </c>
      <c r="M7" s="36" t="n">
        <f aca="false">+L7</f>
        <v>8646024.29</v>
      </c>
      <c r="N7" s="36" t="n">
        <f aca="false">+M7</f>
        <v>8646024.29</v>
      </c>
      <c r="O7" s="36" t="n">
        <f aca="false">+N7</f>
        <v>8646024.29</v>
      </c>
      <c r="P7" s="36" t="n">
        <f aca="false">+O7</f>
        <v>8646024.29</v>
      </c>
      <c r="Q7" s="36" t="n">
        <f aca="false">+P7</f>
        <v>8646024.29</v>
      </c>
      <c r="R7" s="36" t="n">
        <f aca="false">$I7-SUM($K7:Q7)</f>
        <v>4019932.2</v>
      </c>
      <c r="AQ7" s="36" t="n">
        <f aca="false">I7-SUM(K7:AP7)</f>
        <v>0</v>
      </c>
    </row>
    <row r="8" customFormat="false" ht="12.75" hidden="false" customHeight="false" outlineLevel="0" collapsed="false">
      <c r="C8" s="328" t="s">
        <v>202</v>
      </c>
      <c r="D8" s="371"/>
      <c r="E8" s="371" t="n">
        <v>41629218.7</v>
      </c>
      <c r="F8" s="371"/>
      <c r="G8" s="371" t="n">
        <v>27429665.8</v>
      </c>
      <c r="H8" s="371"/>
      <c r="I8" s="371" t="n">
        <v>14199552.9</v>
      </c>
      <c r="J8" s="36" t="n">
        <f aca="false">E8/K8</f>
        <v>31.9143251490016</v>
      </c>
      <c r="K8" s="371" t="n">
        <v>1304405.42</v>
      </c>
      <c r="L8" s="36" t="n">
        <f aca="false">+K8</f>
        <v>1304405.42</v>
      </c>
      <c r="M8" s="36" t="n">
        <f aca="false">+L8</f>
        <v>1304405.42</v>
      </c>
      <c r="N8" s="36" t="n">
        <f aca="false">+M8</f>
        <v>1304405.42</v>
      </c>
      <c r="O8" s="36" t="n">
        <f aca="false">+N8</f>
        <v>1304405.42</v>
      </c>
      <c r="P8" s="36" t="n">
        <f aca="false">+O8</f>
        <v>1304405.42</v>
      </c>
      <c r="Q8" s="36" t="n">
        <f aca="false">+P8</f>
        <v>1304405.42</v>
      </c>
      <c r="R8" s="36" t="n">
        <f aca="false">+Q8</f>
        <v>1304405.42</v>
      </c>
      <c r="S8" s="36" t="n">
        <f aca="false">+R8</f>
        <v>1304405.42</v>
      </c>
      <c r="T8" s="36" t="n">
        <f aca="false">+S8</f>
        <v>1304405.42</v>
      </c>
      <c r="U8" s="36" t="n">
        <f aca="false">$I8-SUM($K8:T8)</f>
        <v>1155498.7</v>
      </c>
      <c r="AQ8" s="36" t="n">
        <f aca="false">I8-SUM(K8:AP8)</f>
        <v>0</v>
      </c>
    </row>
    <row r="9" customFormat="false" ht="12.75" hidden="false" customHeight="false" outlineLevel="0" collapsed="false">
      <c r="C9" s="328" t="s">
        <v>203</v>
      </c>
      <c r="D9" s="371"/>
      <c r="E9" s="371" t="n">
        <v>29527809.94</v>
      </c>
      <c r="F9" s="371"/>
      <c r="G9" s="371" t="n">
        <v>23367346.38</v>
      </c>
      <c r="H9" s="371"/>
      <c r="I9" s="371" t="n">
        <v>6160463.56</v>
      </c>
      <c r="J9" s="36" t="n">
        <f aca="false">E9/K9</f>
        <v>22.7273741407369</v>
      </c>
      <c r="K9" s="371" t="n">
        <v>1299217.84</v>
      </c>
      <c r="L9" s="36" t="n">
        <f aca="false">+K9</f>
        <v>1299217.84</v>
      </c>
      <c r="M9" s="36" t="n">
        <f aca="false">+L9</f>
        <v>1299217.84</v>
      </c>
      <c r="N9" s="36" t="n">
        <f aca="false">+M9</f>
        <v>1299217.84</v>
      </c>
      <c r="O9" s="36" t="n">
        <f aca="false">$I9-SUM($K9:N9)</f>
        <v>963592.200000002</v>
      </c>
      <c r="P9" s="36" t="n">
        <f aca="false">$I9-SUM($K9:O9)</f>
        <v>0</v>
      </c>
      <c r="Q9" s="36" t="n">
        <f aca="false">$I9-SUM($K9:P9)</f>
        <v>0</v>
      </c>
      <c r="R9" s="36" t="n">
        <f aca="false">$I9-SUM($K9:Q9)</f>
        <v>0</v>
      </c>
      <c r="S9" s="36" t="n">
        <f aca="false">$I9-SUM($K9:R9)</f>
        <v>0</v>
      </c>
      <c r="T9" s="36" t="n">
        <f aca="false">$I9-SUM($K9:S9)</f>
        <v>0</v>
      </c>
      <c r="AQ9" s="36" t="n">
        <f aca="false">I9-SUM(K9:AP9)</f>
        <v>0</v>
      </c>
    </row>
    <row r="10" customFormat="false" ht="12.75" hidden="false" customHeight="false" outlineLevel="0" collapsed="false">
      <c r="C10" s="328" t="s">
        <v>204</v>
      </c>
      <c r="D10" s="371"/>
      <c r="E10" s="371" t="n">
        <v>728364.83</v>
      </c>
      <c r="F10" s="371"/>
      <c r="G10" s="371" t="n">
        <v>277374.79</v>
      </c>
      <c r="H10" s="371"/>
      <c r="I10" s="371" t="n">
        <v>450990.04</v>
      </c>
      <c r="J10" s="36" t="n">
        <f aca="false">E10/K10</f>
        <v>27.0195062506956</v>
      </c>
      <c r="K10" s="371" t="n">
        <v>26957</v>
      </c>
      <c r="L10" s="36" t="n">
        <f aca="false">+K10</f>
        <v>26957</v>
      </c>
      <c r="M10" s="36" t="n">
        <f aca="false">+L10</f>
        <v>26957</v>
      </c>
      <c r="N10" s="36" t="n">
        <f aca="false">+M10</f>
        <v>26957</v>
      </c>
      <c r="O10" s="36" t="n">
        <f aca="false">+N10</f>
        <v>26957</v>
      </c>
      <c r="P10" s="36" t="n">
        <f aca="false">+O10</f>
        <v>26957</v>
      </c>
      <c r="Q10" s="36" t="n">
        <f aca="false">+P10</f>
        <v>26957</v>
      </c>
      <c r="R10" s="36" t="n">
        <f aca="false">+Q10</f>
        <v>26957</v>
      </c>
      <c r="S10" s="36" t="n">
        <f aca="false">+R10</f>
        <v>26957</v>
      </c>
      <c r="T10" s="36" t="n">
        <f aca="false">+S10</f>
        <v>26957</v>
      </c>
      <c r="U10" s="36" t="n">
        <f aca="false">+T10</f>
        <v>26957</v>
      </c>
      <c r="V10" s="36" t="n">
        <f aca="false">+U10</f>
        <v>26957</v>
      </c>
      <c r="W10" s="36" t="n">
        <f aca="false">+V10</f>
        <v>26957</v>
      </c>
      <c r="X10" s="36" t="n">
        <f aca="false">+W10</f>
        <v>26957</v>
      </c>
      <c r="Y10" s="36" t="n">
        <f aca="false">+X10</f>
        <v>26957</v>
      </c>
      <c r="Z10" s="36" t="n">
        <f aca="false">+Y10</f>
        <v>26957</v>
      </c>
      <c r="AA10" s="36" t="n">
        <f aca="false">$I10-SUM($K10:Z10)</f>
        <v>19678.04</v>
      </c>
      <c r="AQ10" s="36" t="n">
        <f aca="false">I10-SUM(K10:AP10)</f>
        <v>0</v>
      </c>
    </row>
    <row r="11" customFormat="false" ht="12.75" hidden="false" customHeight="false" outlineLevel="0" collapsed="false">
      <c r="C11" s="328" t="s">
        <v>205</v>
      </c>
      <c r="D11" s="371"/>
      <c r="E11" s="371" t="n">
        <v>499048.03</v>
      </c>
      <c r="F11" s="371"/>
      <c r="G11" s="371" t="n">
        <v>221238.45</v>
      </c>
      <c r="H11" s="371"/>
      <c r="I11" s="371" t="n">
        <v>277809.58</v>
      </c>
      <c r="J11" s="36" t="n">
        <f aca="false">E11/K11</f>
        <v>4.99998026249875</v>
      </c>
      <c r="K11" s="371" t="n">
        <v>99810</v>
      </c>
      <c r="L11" s="36" t="n">
        <f aca="false">+K11</f>
        <v>99810</v>
      </c>
      <c r="M11" s="36" t="n">
        <f aca="false">$I11-SUM($K11:L11)</f>
        <v>78189.58</v>
      </c>
      <c r="N11" s="36" t="n">
        <f aca="false">$I11-SUM($K11:M11)</f>
        <v>0</v>
      </c>
      <c r="O11" s="36" t="n">
        <f aca="false">$I11-SUM($K11:N11)</f>
        <v>0</v>
      </c>
      <c r="P11" s="36" t="n">
        <f aca="false">$I11-SUM($K11:O11)</f>
        <v>0</v>
      </c>
      <c r="Q11" s="36" t="n">
        <f aca="false">$I11-SUM($K11:P11)</f>
        <v>0</v>
      </c>
      <c r="R11" s="36" t="n">
        <f aca="false">$I11-SUM($K11:Q11)</f>
        <v>0</v>
      </c>
      <c r="S11" s="36" t="n">
        <f aca="false">$I11-SUM($K11:R11)</f>
        <v>0</v>
      </c>
      <c r="T11" s="36" t="n">
        <f aca="false">$I11-SUM($K11:S11)</f>
        <v>0</v>
      </c>
      <c r="U11" s="36" t="n">
        <f aca="false">$I11-SUM($K11:T11)</f>
        <v>0</v>
      </c>
      <c r="V11" s="36" t="n">
        <f aca="false">$I11-SUM($K11:U11)</f>
        <v>0</v>
      </c>
      <c r="W11" s="36" t="n">
        <f aca="false">$I11-SUM($K11:V11)</f>
        <v>0</v>
      </c>
      <c r="X11" s="36" t="n">
        <f aca="false">$I11-SUM($K11:W11)</f>
        <v>0</v>
      </c>
      <c r="Y11" s="36" t="n">
        <f aca="false">$I11-SUM($K11:X11)</f>
        <v>0</v>
      </c>
      <c r="Z11" s="36" t="n">
        <f aca="false">$I11-SUM($K11:Y11)</f>
        <v>0</v>
      </c>
      <c r="AQ11" s="36" t="n">
        <f aca="false">I11-SUM(K11:AP11)</f>
        <v>0</v>
      </c>
    </row>
    <row r="12" customFormat="false" ht="12.75" hidden="false" customHeight="false" outlineLevel="0" collapsed="false">
      <c r="C12" s="328"/>
      <c r="D12" s="371"/>
      <c r="E12" s="371"/>
      <c r="F12" s="371"/>
      <c r="G12" s="371"/>
      <c r="H12" s="371"/>
      <c r="I12" s="371"/>
      <c r="J12" s="371"/>
      <c r="K12" s="371"/>
    </row>
    <row r="13" customFormat="false" ht="13.5" hidden="false" customHeight="false" outlineLevel="0" collapsed="false">
      <c r="C13" s="328" t="s">
        <v>206</v>
      </c>
      <c r="D13" s="371"/>
      <c r="E13" s="372" t="n">
        <f aca="false">SUM(E7:E12)</f>
        <v>339716740.2</v>
      </c>
      <c r="F13" s="371"/>
      <c r="G13" s="372" t="n">
        <f aca="false">SUM(G7:G12)</f>
        <v>254085821.89</v>
      </c>
      <c r="H13" s="371"/>
      <c r="I13" s="372" t="n">
        <f aca="false">SUM(I7:I12)</f>
        <v>85630918.31</v>
      </c>
      <c r="J13" s="371"/>
      <c r="K13" s="372" t="n">
        <f aca="false">SUM(K7:K12)</f>
        <v>11376414.55</v>
      </c>
      <c r="L13" s="372" t="n">
        <f aca="false">SUM(L7:L12)</f>
        <v>11376414.55</v>
      </c>
      <c r="M13" s="372" t="n">
        <f aca="false">SUM(M7:M12)</f>
        <v>11354794.13</v>
      </c>
      <c r="N13" s="372" t="n">
        <f aca="false">SUM(N7:N12)</f>
        <v>11276604.55</v>
      </c>
      <c r="O13" s="372" t="n">
        <f aca="false">SUM(O7:O12)</f>
        <v>10940978.91</v>
      </c>
      <c r="P13" s="372" t="n">
        <f aca="false">SUM(P7:P12)</f>
        <v>9977386.71</v>
      </c>
      <c r="Q13" s="372" t="n">
        <f aca="false">SUM(Q7:Q12)</f>
        <v>9977386.71</v>
      </c>
      <c r="R13" s="372" t="n">
        <f aca="false">SUM(R7:R12)</f>
        <v>5351294.62</v>
      </c>
      <c r="S13" s="372" t="n">
        <f aca="false">SUM(S7:S12)</f>
        <v>1331362.42</v>
      </c>
      <c r="T13" s="372" t="n">
        <f aca="false">SUM(T7:T12)</f>
        <v>1331362.42</v>
      </c>
      <c r="U13" s="372" t="n">
        <f aca="false">SUM(U7:U12)</f>
        <v>1182455.7</v>
      </c>
      <c r="V13" s="372" t="n">
        <f aca="false">SUM(V7:V12)</f>
        <v>26957</v>
      </c>
      <c r="W13" s="372" t="n">
        <f aca="false">SUM(W7:W12)</f>
        <v>26957</v>
      </c>
      <c r="X13" s="372" t="n">
        <f aca="false">SUM(X7:X12)</f>
        <v>26957</v>
      </c>
      <c r="Y13" s="372" t="n">
        <f aca="false">SUM(Y7:Y12)</f>
        <v>26957</v>
      </c>
      <c r="Z13" s="372" t="n">
        <f aca="false">SUM(Z7:Z12)</f>
        <v>26957</v>
      </c>
      <c r="AA13" s="372" t="n">
        <f aca="false">SUM(AA7:AA12)</f>
        <v>19678.04</v>
      </c>
      <c r="AB13" s="372" t="n">
        <f aca="false">SUM(AB7:AB12)</f>
        <v>0</v>
      </c>
      <c r="AC13" s="372" t="n">
        <f aca="false">SUM(AC7:AC12)</f>
        <v>0</v>
      </c>
      <c r="AD13" s="372" t="n">
        <f aca="false">SUM(AD7:AD12)</f>
        <v>0</v>
      </c>
      <c r="AE13" s="372" t="n">
        <f aca="false">SUM(AE7:AE12)</f>
        <v>0</v>
      </c>
      <c r="AF13" s="372" t="n">
        <f aca="false">SUM(AF7:AF12)</f>
        <v>0</v>
      </c>
      <c r="AG13" s="372" t="n">
        <f aca="false">SUM(AG7:AG12)</f>
        <v>0</v>
      </c>
      <c r="AH13" s="372" t="n">
        <f aca="false">SUM(AH7:AH12)</f>
        <v>0</v>
      </c>
      <c r="AI13" s="372" t="n">
        <f aca="false">SUM(AI7:AI12)</f>
        <v>0</v>
      </c>
      <c r="AJ13" s="372" t="n">
        <f aca="false">SUM(AJ7:AJ12)</f>
        <v>0</v>
      </c>
      <c r="AK13" s="372" t="n">
        <f aca="false">SUM(AK7:AK12)</f>
        <v>0</v>
      </c>
      <c r="AL13" s="372" t="n">
        <f aca="false">SUM(AL7:AL12)</f>
        <v>0</v>
      </c>
      <c r="AM13" s="372" t="n">
        <f aca="false">SUM(AM7:AM12)</f>
        <v>0</v>
      </c>
      <c r="AN13" s="372" t="n">
        <f aca="false">SUM(AN7:AN12)</f>
        <v>0</v>
      </c>
      <c r="AO13" s="372" t="n">
        <f aca="false">SUM(AO7:AO12)</f>
        <v>0</v>
      </c>
      <c r="AQ13" s="372" t="n">
        <f aca="false">SUM(AQ7:AQ12)</f>
        <v>0</v>
      </c>
    </row>
    <row r="14" customFormat="false" ht="13.5" hidden="false" customHeight="false" outlineLevel="0" collapsed="false">
      <c r="C14" s="328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Q14" s="371"/>
    </row>
    <row r="15" customFormat="false" ht="12.75" hidden="false" customHeight="false" outlineLevel="0" collapsed="false">
      <c r="C15" s="328"/>
      <c r="D15" s="371"/>
      <c r="E15" s="371"/>
      <c r="F15" s="371"/>
      <c r="G15" s="371"/>
      <c r="H15" s="371"/>
      <c r="I15" s="371"/>
      <c r="J15" s="371"/>
      <c r="K15" s="371"/>
    </row>
    <row r="16" customFormat="false" ht="12.75" hidden="false" customHeight="false" outlineLevel="0" collapsed="false">
      <c r="C16" s="328" t="s">
        <v>207</v>
      </c>
      <c r="D16" s="371"/>
      <c r="E16" s="371" t="n">
        <v>101656562.08</v>
      </c>
      <c r="F16" s="371"/>
      <c r="G16" s="371" t="n">
        <v>80658493.27</v>
      </c>
      <c r="H16" s="371"/>
      <c r="I16" s="371" t="n">
        <v>20998068.81</v>
      </c>
      <c r="J16" s="36" t="n">
        <f aca="false">E16/K16</f>
        <v>35.970802807717</v>
      </c>
      <c r="K16" s="371" t="n">
        <v>2826085.44</v>
      </c>
      <c r="L16" s="36" t="n">
        <f aca="false">+K16</f>
        <v>2826085.44</v>
      </c>
      <c r="M16" s="36" t="n">
        <f aca="false">+L16</f>
        <v>2826085.44</v>
      </c>
      <c r="N16" s="36" t="n">
        <f aca="false">+M16</f>
        <v>2826085.44</v>
      </c>
      <c r="O16" s="36" t="n">
        <f aca="false">+N16</f>
        <v>2826085.44</v>
      </c>
      <c r="P16" s="36" t="n">
        <f aca="false">+O16</f>
        <v>2826085.44</v>
      </c>
      <c r="Q16" s="36" t="n">
        <f aca="false">+P16</f>
        <v>2826085.44</v>
      </c>
      <c r="R16" s="36" t="n">
        <f aca="false">$I16-SUM($K16:Q16)</f>
        <v>1215470.72999999</v>
      </c>
      <c r="S16" s="36" t="n">
        <f aca="false">$I16-SUM($K16:R16)</f>
        <v>0</v>
      </c>
      <c r="T16" s="36" t="n">
        <f aca="false">$I16-SUM($K16:S16)</f>
        <v>0</v>
      </c>
      <c r="U16" s="36" t="n">
        <f aca="false">$I16-SUM($K16:T16)</f>
        <v>0</v>
      </c>
      <c r="V16" s="36" t="n">
        <f aca="false">$I16-SUM($K16:U16)</f>
        <v>0</v>
      </c>
      <c r="W16" s="36" t="n">
        <f aca="false">$I16-SUM($K16:V16)</f>
        <v>0</v>
      </c>
      <c r="X16" s="36" t="n">
        <f aca="false">$I16-SUM($K16:W16)</f>
        <v>0</v>
      </c>
      <c r="Y16" s="36" t="n">
        <f aca="false">$I16-SUM($K16:X16)</f>
        <v>0</v>
      </c>
      <c r="Z16" s="36" t="n">
        <f aca="false">$I16-SUM($K16:Y16)</f>
        <v>0</v>
      </c>
      <c r="AQ16" s="36" t="n">
        <f aca="false">I16-SUM(K16:AP16)</f>
        <v>0</v>
      </c>
    </row>
    <row r="17" customFormat="false" ht="12.75" hidden="false" customHeight="false" outlineLevel="0" collapsed="false">
      <c r="C17" s="328" t="s">
        <v>208</v>
      </c>
      <c r="D17" s="371"/>
      <c r="E17" s="371" t="n">
        <v>104767572.52</v>
      </c>
      <c r="F17" s="371"/>
      <c r="G17" s="371" t="n">
        <v>58797583.69</v>
      </c>
      <c r="H17" s="371"/>
      <c r="I17" s="371" t="n">
        <v>45969988.83</v>
      </c>
      <c r="J17" s="36" t="n">
        <f aca="false">E17/K17</f>
        <v>34.3203862668311</v>
      </c>
      <c r="K17" s="371" t="n">
        <v>3052633.84</v>
      </c>
      <c r="L17" s="36" t="n">
        <f aca="false">+K17</f>
        <v>3052633.84</v>
      </c>
      <c r="M17" s="36" t="n">
        <f aca="false">+L17</f>
        <v>3052633.84</v>
      </c>
      <c r="N17" s="36" t="n">
        <f aca="false">+M17</f>
        <v>3052633.84</v>
      </c>
      <c r="O17" s="36" t="n">
        <f aca="false">+N17</f>
        <v>3052633.84</v>
      </c>
      <c r="P17" s="36" t="n">
        <f aca="false">+O17</f>
        <v>3052633.84</v>
      </c>
      <c r="Q17" s="36" t="n">
        <f aca="false">+P17</f>
        <v>3052633.84</v>
      </c>
      <c r="R17" s="36" t="n">
        <f aca="false">+Q17</f>
        <v>3052633.84</v>
      </c>
      <c r="S17" s="36" t="n">
        <f aca="false">+R17</f>
        <v>3052633.84</v>
      </c>
      <c r="T17" s="36" t="n">
        <f aca="false">+S17</f>
        <v>3052633.84</v>
      </c>
      <c r="U17" s="36" t="n">
        <f aca="false">+T17</f>
        <v>3052633.84</v>
      </c>
      <c r="V17" s="36" t="n">
        <f aca="false">+U17</f>
        <v>3052633.84</v>
      </c>
      <c r="W17" s="36" t="n">
        <f aca="false">+V17</f>
        <v>3052633.84</v>
      </c>
      <c r="X17" s="36" t="n">
        <f aca="false">+W17</f>
        <v>3052633.84</v>
      </c>
      <c r="Y17" s="36" t="n">
        <f aca="false">+X17</f>
        <v>3052633.84</v>
      </c>
      <c r="Z17" s="36" t="n">
        <f aca="false">$I17-SUM($K17:Y17)</f>
        <v>180481.230000004</v>
      </c>
      <c r="AQ17" s="36" t="n">
        <f aca="false">I17-SUM(K17:AP17)</f>
        <v>0</v>
      </c>
    </row>
    <row r="18" customFormat="false" ht="12.75" hidden="false" customHeight="false" outlineLevel="0" collapsed="false">
      <c r="C18" s="328" t="s">
        <v>209</v>
      </c>
      <c r="D18" s="371"/>
      <c r="E18" s="371" t="n">
        <v>110887720.01</v>
      </c>
      <c r="F18" s="371"/>
      <c r="G18" s="371" t="n">
        <v>66476325.45</v>
      </c>
      <c r="H18" s="371"/>
      <c r="I18" s="371" t="n">
        <v>44411394.56</v>
      </c>
      <c r="J18" s="36" t="n">
        <f aca="false">E18/K18</f>
        <v>33.8989243734817</v>
      </c>
      <c r="K18" s="371" t="n">
        <v>3271127.98</v>
      </c>
      <c r="L18" s="36" t="n">
        <f aca="false">+K18</f>
        <v>3271127.98</v>
      </c>
      <c r="M18" s="36" t="n">
        <f aca="false">+L18</f>
        <v>3271127.98</v>
      </c>
      <c r="N18" s="36" t="n">
        <f aca="false">+M18</f>
        <v>3271127.98</v>
      </c>
      <c r="O18" s="36" t="n">
        <f aca="false">+N18</f>
        <v>3271127.98</v>
      </c>
      <c r="P18" s="36" t="n">
        <f aca="false">+O18</f>
        <v>3271127.98</v>
      </c>
      <c r="Q18" s="36" t="n">
        <f aca="false">+P18</f>
        <v>3271127.98</v>
      </c>
      <c r="R18" s="36" t="n">
        <f aca="false">+Q18</f>
        <v>3271127.98</v>
      </c>
      <c r="S18" s="36" t="n">
        <f aca="false">+R18</f>
        <v>3271127.98</v>
      </c>
      <c r="T18" s="36" t="n">
        <f aca="false">+S18</f>
        <v>3271127.98</v>
      </c>
      <c r="U18" s="36" t="n">
        <f aca="false">+T18</f>
        <v>3271127.98</v>
      </c>
      <c r="V18" s="36" t="n">
        <f aca="false">+U18</f>
        <v>3271127.98</v>
      </c>
      <c r="W18" s="36" t="n">
        <f aca="false">+V18</f>
        <v>3271127.98</v>
      </c>
      <c r="X18" s="36" t="n">
        <f aca="false">$I18-SUM($K18:W18)</f>
        <v>1886730.82000001</v>
      </c>
      <c r="Y18" s="36" t="n">
        <f aca="false">$I18-SUM($K18:X18)</f>
        <v>0</v>
      </c>
      <c r="Z18" s="36" t="n">
        <f aca="false">$I18-SUM($K18:Y18)</f>
        <v>0</v>
      </c>
      <c r="AQ18" s="36" t="n">
        <f aca="false">I18-SUM(K18:AP18)</f>
        <v>0</v>
      </c>
    </row>
    <row r="19" customFormat="false" ht="12.75" hidden="false" customHeight="false" outlineLevel="0" collapsed="false">
      <c r="C19" s="328" t="s">
        <v>210</v>
      </c>
      <c r="D19" s="371"/>
      <c r="E19" s="371" t="n">
        <v>13838129.02</v>
      </c>
      <c r="F19" s="371"/>
      <c r="G19" s="371" t="n">
        <v>8132427.64</v>
      </c>
      <c r="H19" s="371"/>
      <c r="I19" s="371" t="n">
        <v>5705701.38</v>
      </c>
      <c r="J19" s="36" t="n">
        <f aca="false">E19/K19</f>
        <v>22.0215663887384</v>
      </c>
      <c r="K19" s="371" t="n">
        <v>628389.86</v>
      </c>
      <c r="L19" s="36" t="n">
        <f aca="false">+K19</f>
        <v>628389.86</v>
      </c>
      <c r="M19" s="36" t="n">
        <f aca="false">+L19</f>
        <v>628389.86</v>
      </c>
      <c r="N19" s="36" t="n">
        <f aca="false">+M19</f>
        <v>628389.86</v>
      </c>
      <c r="O19" s="36" t="n">
        <f aca="false">+N19</f>
        <v>628389.86</v>
      </c>
      <c r="P19" s="36" t="n">
        <f aca="false">+O19</f>
        <v>628389.86</v>
      </c>
      <c r="Q19" s="36" t="n">
        <f aca="false">+P19</f>
        <v>628389.86</v>
      </c>
      <c r="R19" s="36" t="n">
        <f aca="false">+Q19</f>
        <v>628389.86</v>
      </c>
      <c r="S19" s="36" t="n">
        <f aca="false">+R19</f>
        <v>628389.86</v>
      </c>
      <c r="T19" s="36" t="n">
        <f aca="false">$I19-SUM($K19:S19)</f>
        <v>50192.6399999997</v>
      </c>
      <c r="U19" s="36" t="n">
        <f aca="false">$I19-SUM($K19:T19)</f>
        <v>0</v>
      </c>
      <c r="V19" s="36" t="n">
        <f aca="false">$I19-SUM($K19:U19)</f>
        <v>0</v>
      </c>
      <c r="W19" s="36" t="n">
        <f aca="false">$I19-SUM($K19:V19)</f>
        <v>0</v>
      </c>
      <c r="X19" s="36" t="n">
        <f aca="false">$I19-SUM($K19:W19)</f>
        <v>0</v>
      </c>
      <c r="Y19" s="36" t="n">
        <f aca="false">$I19-SUM($K19:X19)</f>
        <v>0</v>
      </c>
      <c r="Z19" s="36" t="n">
        <f aca="false">$I19-SUM($K19:Y19)</f>
        <v>0</v>
      </c>
      <c r="AQ19" s="36" t="n">
        <f aca="false">I19-SUM(K19:AP19)</f>
        <v>0</v>
      </c>
    </row>
    <row r="20" customFormat="false" ht="12.75" hidden="false" customHeight="false" outlineLevel="0" collapsed="false">
      <c r="C20" s="328" t="s">
        <v>211</v>
      </c>
      <c r="D20" s="371"/>
      <c r="E20" s="371" t="n">
        <v>347266.14</v>
      </c>
      <c r="F20" s="371"/>
      <c r="G20" s="371" t="n">
        <v>129667.61</v>
      </c>
      <c r="H20" s="371"/>
      <c r="I20" s="371" t="n">
        <v>217598.53</v>
      </c>
      <c r="J20" s="36" t="n">
        <f aca="false">E20/K20</f>
        <v>27.0709494855005</v>
      </c>
      <c r="K20" s="371" t="n">
        <v>12828</v>
      </c>
      <c r="L20" s="36" t="n">
        <f aca="false">+K20</f>
        <v>12828</v>
      </c>
      <c r="M20" s="36" t="n">
        <f aca="false">+L20</f>
        <v>12828</v>
      </c>
      <c r="N20" s="36" t="n">
        <f aca="false">+M20</f>
        <v>12828</v>
      </c>
      <c r="O20" s="36" t="n">
        <f aca="false">+N20</f>
        <v>12828</v>
      </c>
      <c r="P20" s="36" t="n">
        <f aca="false">+O20</f>
        <v>12828</v>
      </c>
      <c r="Q20" s="36" t="n">
        <f aca="false">+P20</f>
        <v>12828</v>
      </c>
      <c r="R20" s="36" t="n">
        <f aca="false">+Q20</f>
        <v>12828</v>
      </c>
      <c r="S20" s="36" t="n">
        <f aca="false">+R20</f>
        <v>12828</v>
      </c>
      <c r="T20" s="36" t="n">
        <f aca="false">+S20</f>
        <v>12828</v>
      </c>
      <c r="U20" s="36" t="n">
        <f aca="false">+T20</f>
        <v>12828</v>
      </c>
      <c r="V20" s="36" t="n">
        <f aca="false">+U20</f>
        <v>12828</v>
      </c>
      <c r="W20" s="36" t="n">
        <f aca="false">+V20</f>
        <v>12828</v>
      </c>
      <c r="X20" s="36" t="n">
        <f aca="false">+W20</f>
        <v>12828</v>
      </c>
      <c r="Y20" s="36" t="n">
        <f aca="false">+X20</f>
        <v>12828</v>
      </c>
      <c r="Z20" s="36" t="n">
        <f aca="false">+Y20</f>
        <v>12828</v>
      </c>
      <c r="AA20" s="36" t="n">
        <f aca="false">$I20-SUM($K20:Z20)</f>
        <v>12350.53</v>
      </c>
      <c r="AQ20" s="36" t="n">
        <f aca="false">I20-SUM(K20:AP20)</f>
        <v>0</v>
      </c>
    </row>
    <row r="21" customFormat="false" ht="12.75" hidden="false" customHeight="false" outlineLevel="0" collapsed="false">
      <c r="C21" s="328" t="s">
        <v>212</v>
      </c>
      <c r="D21" s="371"/>
      <c r="E21" s="371" t="n">
        <v>120233.58</v>
      </c>
      <c r="F21" s="371"/>
      <c r="G21" s="371" t="n">
        <v>64410.33</v>
      </c>
      <c r="H21" s="371"/>
      <c r="I21" s="371" t="n">
        <v>55823.25</v>
      </c>
      <c r="J21" s="36" t="n">
        <f aca="false">E21/K21</f>
        <v>30.98005153311</v>
      </c>
      <c r="K21" s="371" t="n">
        <v>3881</v>
      </c>
      <c r="L21" s="36" t="n">
        <f aca="false">+K21</f>
        <v>3881</v>
      </c>
      <c r="M21" s="36" t="n">
        <f aca="false">+L21</f>
        <v>3881</v>
      </c>
      <c r="N21" s="36" t="n">
        <f aca="false">+M21</f>
        <v>3881</v>
      </c>
      <c r="O21" s="36" t="n">
        <f aca="false">+N21</f>
        <v>3881</v>
      </c>
      <c r="P21" s="36" t="n">
        <f aca="false">+O21</f>
        <v>3881</v>
      </c>
      <c r="Q21" s="36" t="n">
        <f aca="false">+P21</f>
        <v>3881</v>
      </c>
      <c r="R21" s="36" t="n">
        <f aca="false">+Q21</f>
        <v>3881</v>
      </c>
      <c r="S21" s="36" t="n">
        <f aca="false">+R21</f>
        <v>3881</v>
      </c>
      <c r="T21" s="36" t="n">
        <f aca="false">+S21</f>
        <v>3881</v>
      </c>
      <c r="U21" s="36" t="n">
        <f aca="false">+T21</f>
        <v>3881</v>
      </c>
      <c r="V21" s="36" t="n">
        <f aca="false">+U21</f>
        <v>3881</v>
      </c>
      <c r="W21" s="36" t="n">
        <f aca="false">+V21</f>
        <v>3881</v>
      </c>
      <c r="X21" s="36" t="n">
        <f aca="false">+W21</f>
        <v>3881</v>
      </c>
      <c r="Y21" s="36" t="n">
        <f aca="false">$I21-SUM($K21:X21)</f>
        <v>1489.25</v>
      </c>
      <c r="Z21" s="36" t="n">
        <f aca="false">$I21-SUM($K21:Y21)</f>
        <v>0</v>
      </c>
      <c r="AQ21" s="36" t="n">
        <f aca="false">I21-SUM(K21:AP21)</f>
        <v>0</v>
      </c>
    </row>
    <row r="22" customFormat="false" ht="12.75" hidden="false" customHeight="false" outlineLevel="0" collapsed="false">
      <c r="C22" s="328" t="s">
        <v>213</v>
      </c>
      <c r="D22" s="371"/>
      <c r="E22" s="371" t="n">
        <v>120233.58</v>
      </c>
      <c r="F22" s="371"/>
      <c r="G22" s="371" t="n">
        <v>64410.33</v>
      </c>
      <c r="H22" s="371"/>
      <c r="I22" s="371" t="n">
        <v>55823.25</v>
      </c>
      <c r="J22" s="36" t="n">
        <f aca="false">E22/K22</f>
        <v>30.98005153311</v>
      </c>
      <c r="K22" s="371" t="n">
        <v>3881</v>
      </c>
      <c r="L22" s="36" t="n">
        <f aca="false">+K22</f>
        <v>3881</v>
      </c>
      <c r="M22" s="36" t="n">
        <f aca="false">+L22</f>
        <v>3881</v>
      </c>
      <c r="N22" s="36" t="n">
        <f aca="false">+M22</f>
        <v>3881</v>
      </c>
      <c r="O22" s="36" t="n">
        <f aca="false">+N22</f>
        <v>3881</v>
      </c>
      <c r="P22" s="36" t="n">
        <f aca="false">+O22</f>
        <v>3881</v>
      </c>
      <c r="Q22" s="36" t="n">
        <f aca="false">+P22</f>
        <v>3881</v>
      </c>
      <c r="R22" s="36" t="n">
        <f aca="false">+Q22</f>
        <v>3881</v>
      </c>
      <c r="S22" s="36" t="n">
        <f aca="false">+R22</f>
        <v>3881</v>
      </c>
      <c r="T22" s="36" t="n">
        <f aca="false">+S22</f>
        <v>3881</v>
      </c>
      <c r="U22" s="36" t="n">
        <f aca="false">+T22</f>
        <v>3881</v>
      </c>
      <c r="V22" s="36" t="n">
        <f aca="false">+U22</f>
        <v>3881</v>
      </c>
      <c r="W22" s="36" t="n">
        <f aca="false">+V22</f>
        <v>3881</v>
      </c>
      <c r="X22" s="36" t="n">
        <f aca="false">+W22</f>
        <v>3881</v>
      </c>
      <c r="Y22" s="36" t="n">
        <f aca="false">$I22-SUM($K22:X22)</f>
        <v>1489.25</v>
      </c>
      <c r="Z22" s="36" t="n">
        <f aca="false">$I22-SUM($K22:Y22)</f>
        <v>0</v>
      </c>
      <c r="AQ22" s="36" t="n">
        <f aca="false">I22-SUM(K22:AP22)</f>
        <v>0</v>
      </c>
    </row>
    <row r="23" customFormat="false" ht="12.75" hidden="false" customHeight="false" outlineLevel="0" collapsed="false">
      <c r="C23" s="328" t="s">
        <v>214</v>
      </c>
      <c r="D23" s="371"/>
      <c r="E23" s="371" t="n">
        <v>499048.03</v>
      </c>
      <c r="F23" s="371"/>
      <c r="G23" s="371" t="n">
        <v>221238.45</v>
      </c>
      <c r="H23" s="371"/>
      <c r="I23" s="371" t="n">
        <v>277809.58</v>
      </c>
      <c r="J23" s="36" t="n">
        <f aca="false">E23/K23</f>
        <v>4.99998026249875</v>
      </c>
      <c r="K23" s="371" t="n">
        <v>99810</v>
      </c>
      <c r="L23" s="36" t="n">
        <f aca="false">+K23</f>
        <v>99810</v>
      </c>
      <c r="M23" s="36" t="n">
        <f aca="false">$I23-SUM($K23:L23)</f>
        <v>78189.58</v>
      </c>
      <c r="N23" s="36" t="n">
        <f aca="false">$I23-SUM($K23:M23)</f>
        <v>0</v>
      </c>
      <c r="O23" s="36" t="n">
        <f aca="false">$I23-SUM($K23:N23)</f>
        <v>0</v>
      </c>
      <c r="P23" s="36" t="n">
        <f aca="false">$I23-SUM($K23:O23)</f>
        <v>0</v>
      </c>
      <c r="Q23" s="36" t="n">
        <f aca="false">$I23-SUM($K23:P23)</f>
        <v>0</v>
      </c>
      <c r="R23" s="36" t="n">
        <f aca="false">$I23-SUM($K23:Q23)</f>
        <v>0</v>
      </c>
      <c r="S23" s="36" t="n">
        <f aca="false">$I23-SUM($K23:R23)</f>
        <v>0</v>
      </c>
      <c r="T23" s="36" t="n">
        <f aca="false">$I23-SUM($K23:S23)</f>
        <v>0</v>
      </c>
      <c r="U23" s="36" t="n">
        <f aca="false">$I23-SUM($K23:T23)</f>
        <v>0</v>
      </c>
      <c r="V23" s="36" t="n">
        <f aca="false">$I23-SUM($K23:U23)</f>
        <v>0</v>
      </c>
      <c r="W23" s="36" t="n">
        <f aca="false">$I23-SUM($K23:V23)</f>
        <v>0</v>
      </c>
      <c r="X23" s="36" t="n">
        <f aca="false">$I23-SUM($K23:W23)</f>
        <v>0</v>
      </c>
      <c r="Y23" s="36" t="n">
        <f aca="false">$I23-SUM($K23:X23)</f>
        <v>0</v>
      </c>
      <c r="Z23" s="36" t="n">
        <f aca="false">$I23-SUM($K23:Y23)</f>
        <v>0</v>
      </c>
      <c r="AQ23" s="36" t="n">
        <f aca="false">I23-SUM(K23:AP23)</f>
        <v>0</v>
      </c>
    </row>
    <row r="24" customFormat="false" ht="12.75" hidden="false" customHeight="false" outlineLevel="0" collapsed="false">
      <c r="C24" s="328"/>
      <c r="D24" s="371"/>
      <c r="E24" s="371"/>
      <c r="F24" s="371"/>
      <c r="G24" s="371"/>
      <c r="H24" s="371"/>
      <c r="I24" s="371"/>
      <c r="J24" s="371"/>
      <c r="K24" s="371"/>
    </row>
    <row r="25" customFormat="false" ht="13.5" hidden="false" customHeight="false" outlineLevel="0" collapsed="false">
      <c r="C25" s="328" t="s">
        <v>215</v>
      </c>
      <c r="D25" s="371"/>
      <c r="E25" s="372" t="n">
        <f aca="false">SUM(E16:E24)</f>
        <v>332236764.96</v>
      </c>
      <c r="F25" s="371"/>
      <c r="G25" s="372" t="n">
        <f aca="false">SUM(G16:G24)</f>
        <v>214544556.77</v>
      </c>
      <c r="H25" s="371"/>
      <c r="I25" s="372" t="n">
        <f aca="false">SUM(I16:I24)</f>
        <v>117692208.19</v>
      </c>
      <c r="J25" s="36" t="n">
        <f aca="false">E25/K25</f>
        <v>33.5638897488951</v>
      </c>
      <c r="K25" s="372" t="n">
        <f aca="false">SUM(K16:K24)</f>
        <v>9898637.12</v>
      </c>
      <c r="L25" s="372" t="n">
        <f aca="false">SUM(L16:L24)</f>
        <v>9898637.12</v>
      </c>
      <c r="M25" s="372" t="n">
        <f aca="false">SUM(M16:M24)</f>
        <v>9877016.7</v>
      </c>
      <c r="N25" s="372" t="n">
        <f aca="false">SUM(N16:N24)</f>
        <v>9798827.12</v>
      </c>
      <c r="O25" s="372" t="n">
        <f aca="false">SUM(O16:O24)</f>
        <v>9798827.12</v>
      </c>
      <c r="P25" s="372" t="n">
        <f aca="false">SUM(P16:P24)</f>
        <v>9798827.12</v>
      </c>
      <c r="Q25" s="372" t="n">
        <f aca="false">SUM(Q16:Q24)</f>
        <v>9798827.12</v>
      </c>
      <c r="R25" s="372" t="n">
        <f aca="false">SUM(R16:R24)</f>
        <v>8188212.40999999</v>
      </c>
      <c r="S25" s="372" t="n">
        <f aca="false">SUM(S16:S24)</f>
        <v>6972741.68</v>
      </c>
      <c r="T25" s="372" t="n">
        <f aca="false">SUM(T16:T24)</f>
        <v>6394544.46</v>
      </c>
      <c r="U25" s="372" t="n">
        <f aca="false">SUM(U16:U24)</f>
        <v>6344351.82</v>
      </c>
      <c r="V25" s="372" t="n">
        <f aca="false">SUM(V16:V24)</f>
        <v>6344351.82</v>
      </c>
      <c r="W25" s="372" t="n">
        <f aca="false">SUM(W16:W24)</f>
        <v>6344351.82</v>
      </c>
      <c r="X25" s="372" t="n">
        <f aca="false">SUM(X16:X24)</f>
        <v>4959954.66000001</v>
      </c>
      <c r="Y25" s="372" t="n">
        <f aca="false">SUM(Y16:Y24)</f>
        <v>3068440.34</v>
      </c>
      <c r="Z25" s="372" t="n">
        <f aca="false">SUM(Z16:Z24)</f>
        <v>193309.230000004</v>
      </c>
      <c r="AA25" s="372" t="n">
        <f aca="false">SUM(AA16:AA24)</f>
        <v>12350.53</v>
      </c>
      <c r="AB25" s="372" t="n">
        <f aca="false">SUM(AB16:AB24)</f>
        <v>0</v>
      </c>
      <c r="AC25" s="372" t="n">
        <f aca="false">SUM(AC16:AC24)</f>
        <v>0</v>
      </c>
      <c r="AD25" s="372" t="n">
        <f aca="false">SUM(AD16:AD24)</f>
        <v>0</v>
      </c>
      <c r="AE25" s="372" t="n">
        <f aca="false">SUM(AE16:AE24)</f>
        <v>0</v>
      </c>
      <c r="AF25" s="372" t="n">
        <f aca="false">SUM(AF16:AF24)</f>
        <v>0</v>
      </c>
      <c r="AG25" s="372" t="n">
        <f aca="false">SUM(AG16:AG24)</f>
        <v>0</v>
      </c>
      <c r="AH25" s="372" t="n">
        <f aca="false">SUM(AH16:AH24)</f>
        <v>0</v>
      </c>
      <c r="AI25" s="372" t="n">
        <f aca="false">SUM(AI16:AI24)</f>
        <v>0</v>
      </c>
      <c r="AJ25" s="372" t="n">
        <f aca="false">SUM(AJ16:AJ24)</f>
        <v>0</v>
      </c>
      <c r="AK25" s="372" t="n">
        <f aca="false">SUM(AK16:AK24)</f>
        <v>0</v>
      </c>
      <c r="AL25" s="372" t="n">
        <f aca="false">SUM(AL16:AL24)</f>
        <v>0</v>
      </c>
      <c r="AM25" s="372" t="n">
        <f aca="false">SUM(AM16:AM24)</f>
        <v>0</v>
      </c>
      <c r="AN25" s="372" t="n">
        <f aca="false">SUM(AN16:AN24)</f>
        <v>0</v>
      </c>
      <c r="AO25" s="372" t="n">
        <f aca="false">SUM(AO16:AO24)</f>
        <v>0</v>
      </c>
      <c r="AQ25" s="372" t="n">
        <f aca="false">SUM(AQ16:AQ24)</f>
        <v>0</v>
      </c>
    </row>
    <row r="26" customFormat="false" ht="13.5" hidden="false" customHeight="false" outlineLevel="0" collapsed="false">
      <c r="C26" s="328"/>
      <c r="D26" s="371"/>
      <c r="E26" s="371"/>
      <c r="F26" s="371"/>
      <c r="G26" s="371"/>
      <c r="H26" s="371"/>
      <c r="I26" s="371"/>
      <c r="J26" s="371"/>
      <c r="K26" s="371"/>
    </row>
    <row r="27" customFormat="false" ht="13.5" hidden="false" customHeight="false" outlineLevel="0" collapsed="false">
      <c r="C27" s="328" t="s">
        <v>216</v>
      </c>
      <c r="D27" s="371"/>
      <c r="E27" s="373" t="n">
        <v>23042394.82</v>
      </c>
      <c r="F27" s="371"/>
      <c r="G27" s="373" t="n">
        <v>18425234.45</v>
      </c>
      <c r="H27" s="371"/>
      <c r="I27" s="373" t="n">
        <v>4617160.37</v>
      </c>
      <c r="J27" s="36" t="n">
        <f aca="false">E27/K27</f>
        <v>24.6278437874576</v>
      </c>
      <c r="K27" s="373" t="n">
        <v>935623.72</v>
      </c>
      <c r="L27" s="374" t="n">
        <f aca="false">+K27</f>
        <v>935623.72</v>
      </c>
      <c r="M27" s="374" t="n">
        <f aca="false">+L27</f>
        <v>935623.72</v>
      </c>
      <c r="N27" s="374" t="n">
        <f aca="false">+M27</f>
        <v>935623.72</v>
      </c>
      <c r="O27" s="374" t="n">
        <f aca="false">$I27-SUM($K27:N27)</f>
        <v>874665.49</v>
      </c>
      <c r="P27" s="374" t="n">
        <f aca="false">$I27-SUM($K27:O27)</f>
        <v>0</v>
      </c>
      <c r="Q27" s="374" t="n">
        <f aca="false">$I27-SUM($K27:P27)</f>
        <v>0</v>
      </c>
      <c r="R27" s="374" t="n">
        <f aca="false">$I27-SUM($K27:Q27)</f>
        <v>0</v>
      </c>
      <c r="S27" s="374" t="n">
        <f aca="false">$I27-SUM($K27:R27)</f>
        <v>0</v>
      </c>
      <c r="T27" s="374" t="n">
        <f aca="false">$I27-SUM($K27:S27)</f>
        <v>0</v>
      </c>
      <c r="U27" s="374" t="n">
        <f aca="false">$I27-SUM($K27:T27)</f>
        <v>0</v>
      </c>
      <c r="V27" s="374" t="n">
        <f aca="false">$I27-SUM($K27:U27)</f>
        <v>0</v>
      </c>
      <c r="W27" s="374" t="n">
        <f aca="false">$I27-SUM($K27:V27)</f>
        <v>0</v>
      </c>
      <c r="X27" s="374" t="n">
        <f aca="false">$I27-SUM($K27:W27)</f>
        <v>0</v>
      </c>
      <c r="Y27" s="374" t="n">
        <f aca="false">$I27-SUM($K27:X27)</f>
        <v>0</v>
      </c>
      <c r="Z27" s="374" t="n">
        <f aca="false">$I27-SUM($K27:Y27)</f>
        <v>0</v>
      </c>
      <c r="AA27" s="37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74"/>
      <c r="AO27" s="374"/>
      <c r="AQ27" s="374" t="n">
        <f aca="false">I27-SUM(K27:AP27)</f>
        <v>0</v>
      </c>
    </row>
    <row r="28" customFormat="false" ht="13.5" hidden="false" customHeight="false" outlineLevel="0" collapsed="false">
      <c r="C28" s="328"/>
      <c r="D28" s="371"/>
      <c r="E28" s="371"/>
      <c r="F28" s="371"/>
      <c r="G28" s="371"/>
      <c r="H28" s="371"/>
      <c r="I28" s="371"/>
      <c r="K28" s="371"/>
    </row>
    <row r="29" customFormat="false" ht="12.75" hidden="false" customHeight="false" outlineLevel="0" collapsed="false">
      <c r="C29" s="328"/>
      <c r="D29" s="371"/>
      <c r="E29" s="371"/>
      <c r="F29" s="371"/>
      <c r="G29" s="371"/>
      <c r="H29" s="371"/>
      <c r="I29" s="371"/>
      <c r="J29" s="371"/>
      <c r="K29" s="371"/>
    </row>
    <row r="30" customFormat="false" ht="13.5" hidden="false" customHeight="false" outlineLevel="0" collapsed="false">
      <c r="C30" s="328" t="s">
        <v>217</v>
      </c>
      <c r="D30" s="371"/>
      <c r="E30" s="373" t="n">
        <v>276947196.91</v>
      </c>
      <c r="F30" s="371"/>
      <c r="G30" s="373" t="n">
        <v>136762044.42</v>
      </c>
      <c r="H30" s="371"/>
      <c r="I30" s="373" t="n">
        <v>140185152.49</v>
      </c>
      <c r="J30" s="36" t="n">
        <f aca="false">E30/K30</f>
        <v>30.792700151358</v>
      </c>
      <c r="K30" s="373" t="n">
        <v>8993923.74</v>
      </c>
      <c r="L30" s="374" t="n">
        <f aca="false">+K30</f>
        <v>8993923.74</v>
      </c>
      <c r="M30" s="374" t="n">
        <f aca="false">+L30</f>
        <v>8993923.74</v>
      </c>
      <c r="N30" s="374" t="n">
        <f aca="false">+M30</f>
        <v>8993923.74</v>
      </c>
      <c r="O30" s="374" t="n">
        <f aca="false">+N30</f>
        <v>8993923.74</v>
      </c>
      <c r="P30" s="374" t="n">
        <f aca="false">+O30</f>
        <v>8993923.74</v>
      </c>
      <c r="Q30" s="374" t="n">
        <f aca="false">+P30</f>
        <v>8993923.74</v>
      </c>
      <c r="R30" s="374" t="n">
        <f aca="false">+Q30</f>
        <v>8993923.74</v>
      </c>
      <c r="S30" s="374" t="n">
        <f aca="false">+R30</f>
        <v>8993923.74</v>
      </c>
      <c r="T30" s="374" t="n">
        <f aca="false">+S30</f>
        <v>8993923.74</v>
      </c>
      <c r="U30" s="374" t="n">
        <f aca="false">+T30</f>
        <v>8993923.74</v>
      </c>
      <c r="V30" s="374" t="n">
        <f aca="false">+U30</f>
        <v>8993923.74</v>
      </c>
      <c r="W30" s="374" t="n">
        <f aca="false">+V30</f>
        <v>8993923.74</v>
      </c>
      <c r="X30" s="374" t="n">
        <f aca="false">+W30</f>
        <v>8993923.74</v>
      </c>
      <c r="Y30" s="374" t="n">
        <f aca="false">+X30</f>
        <v>8993923.74</v>
      </c>
      <c r="Z30" s="374" t="n">
        <f aca="false">$I30-SUM($K30:Y30)</f>
        <v>5276296.39000005</v>
      </c>
      <c r="AA30" s="37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Q30" s="374" t="n">
        <f aca="false">I30-SUM(K30:AP30)</f>
        <v>0</v>
      </c>
    </row>
    <row r="31" customFormat="false" ht="13.5" hidden="false" customHeight="false" outlineLevel="0" collapsed="false">
      <c r="C31" s="328"/>
      <c r="D31" s="371"/>
      <c r="E31" s="371"/>
      <c r="F31" s="371"/>
      <c r="G31" s="371"/>
      <c r="H31" s="371"/>
      <c r="I31" s="371"/>
      <c r="J31" s="371"/>
      <c r="K31" s="371"/>
    </row>
    <row r="32" customFormat="false" ht="13.5" hidden="false" customHeight="false" outlineLevel="0" collapsed="false">
      <c r="C32" s="328" t="s">
        <v>218</v>
      </c>
      <c r="D32" s="371"/>
      <c r="E32" s="373" t="n">
        <v>74539066.46</v>
      </c>
      <c r="F32" s="371"/>
      <c r="G32" s="373" t="n">
        <v>41309729.7</v>
      </c>
      <c r="H32" s="371"/>
      <c r="I32" s="373" t="n">
        <v>33229336.76</v>
      </c>
      <c r="J32" s="36" t="n">
        <f aca="false">E32/K32</f>
        <v>31.7559101539325</v>
      </c>
      <c r="K32" s="373" t="n">
        <v>2347250.2</v>
      </c>
      <c r="L32" s="374" t="n">
        <f aca="false">+K32</f>
        <v>2347250.2</v>
      </c>
      <c r="M32" s="374" t="n">
        <f aca="false">+L32</f>
        <v>2347250.2</v>
      </c>
      <c r="N32" s="374" t="n">
        <f aca="false">+M32</f>
        <v>2347250.2</v>
      </c>
      <c r="O32" s="374" t="n">
        <f aca="false">+N32</f>
        <v>2347250.2</v>
      </c>
      <c r="P32" s="374" t="n">
        <f aca="false">+O32</f>
        <v>2347250.2</v>
      </c>
      <c r="Q32" s="374" t="n">
        <f aca="false">+P32</f>
        <v>2347250.2</v>
      </c>
      <c r="R32" s="374" t="n">
        <f aca="false">+Q32</f>
        <v>2347250.2</v>
      </c>
      <c r="S32" s="374" t="n">
        <f aca="false">+R32</f>
        <v>2347250.2</v>
      </c>
      <c r="T32" s="374" t="n">
        <f aca="false">+S32</f>
        <v>2347250.2</v>
      </c>
      <c r="U32" s="374" t="n">
        <f aca="false">+T32</f>
        <v>2347250.2</v>
      </c>
      <c r="V32" s="374" t="n">
        <f aca="false">+U32</f>
        <v>2347250.2</v>
      </c>
      <c r="W32" s="374" t="n">
        <f aca="false">+V32</f>
        <v>2347250.2</v>
      </c>
      <c r="X32" s="374" t="n">
        <f aca="false">+W32</f>
        <v>2347250.2</v>
      </c>
      <c r="Y32" s="374" t="n">
        <f aca="false">$I32-SUM($K32:X32)</f>
        <v>367833.95999999</v>
      </c>
      <c r="Z32" s="374" t="n">
        <f aca="false">$I32-SUM($K32:Y32)</f>
        <v>0</v>
      </c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74"/>
      <c r="AO32" s="374"/>
      <c r="AQ32" s="374" t="n">
        <f aca="false">I32-SUM(K32:AP32)</f>
        <v>0</v>
      </c>
    </row>
    <row r="33" customFormat="false" ht="13.5" hidden="false" customHeight="false" outlineLevel="0" collapsed="false">
      <c r="C33" s="328"/>
      <c r="D33" s="371"/>
      <c r="E33" s="371"/>
      <c r="F33" s="371"/>
      <c r="G33" s="371"/>
      <c r="H33" s="371"/>
      <c r="I33" s="371"/>
      <c r="J33" s="371"/>
      <c r="K33" s="371"/>
    </row>
    <row r="34" customFormat="false" ht="13.5" hidden="false" customHeight="false" outlineLevel="0" collapsed="false">
      <c r="C34" s="328" t="s">
        <v>219</v>
      </c>
      <c r="D34" s="371"/>
      <c r="E34" s="373" t="n">
        <v>333008286.98</v>
      </c>
      <c r="F34" s="371"/>
      <c r="G34" s="373" t="n">
        <v>181244908.27</v>
      </c>
      <c r="H34" s="371"/>
      <c r="I34" s="373" t="n">
        <v>151763378.71</v>
      </c>
      <c r="J34" s="36" t="n">
        <f aca="false">E34/K34</f>
        <v>36.1976744309913</v>
      </c>
      <c r="K34" s="373" t="n">
        <v>9199714.96</v>
      </c>
      <c r="L34" s="374" t="n">
        <f aca="false">+K34</f>
        <v>9199714.96</v>
      </c>
      <c r="M34" s="374" t="n">
        <f aca="false">+L34</f>
        <v>9199714.96</v>
      </c>
      <c r="N34" s="374" t="n">
        <f aca="false">+M34</f>
        <v>9199714.96</v>
      </c>
      <c r="O34" s="374" t="n">
        <f aca="false">+N34</f>
        <v>9199714.96</v>
      </c>
      <c r="P34" s="374" t="n">
        <f aca="false">+O34</f>
        <v>9199714.96</v>
      </c>
      <c r="Q34" s="374" t="n">
        <f aca="false">+P34</f>
        <v>9199714.96</v>
      </c>
      <c r="R34" s="374" t="n">
        <f aca="false">+Q34</f>
        <v>9199714.96</v>
      </c>
      <c r="S34" s="374" t="n">
        <f aca="false">+R34</f>
        <v>9199714.96</v>
      </c>
      <c r="T34" s="374" t="n">
        <f aca="false">+S34</f>
        <v>9199714.96</v>
      </c>
      <c r="U34" s="374" t="n">
        <f aca="false">+T34</f>
        <v>9199714.96</v>
      </c>
      <c r="V34" s="374" t="n">
        <f aca="false">+U34</f>
        <v>9199714.96</v>
      </c>
      <c r="W34" s="374" t="n">
        <f aca="false">+V34</f>
        <v>9199714.96</v>
      </c>
      <c r="X34" s="374" t="n">
        <f aca="false">+W34</f>
        <v>9199714.96</v>
      </c>
      <c r="Y34" s="374" t="n">
        <f aca="false">+X34</f>
        <v>9199714.96</v>
      </c>
      <c r="Z34" s="374" t="n">
        <f aca="false">+Y34</f>
        <v>9199714.96</v>
      </c>
      <c r="AA34" s="374" t="n">
        <f aca="false">$I34-SUM($K34:Z34)</f>
        <v>4567939.34999991</v>
      </c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Q34" s="374" t="n">
        <f aca="false">I34-SUM(K34:AP34)</f>
        <v>0</v>
      </c>
    </row>
    <row r="35" customFormat="false" ht="13.5" hidden="false" customHeight="false" outlineLevel="0" collapsed="false">
      <c r="C35" s="328"/>
      <c r="D35" s="371"/>
      <c r="E35" s="371"/>
      <c r="F35" s="371"/>
      <c r="G35" s="371"/>
      <c r="H35" s="371"/>
      <c r="I35" s="371"/>
      <c r="J35" s="371"/>
      <c r="K35" s="371"/>
    </row>
    <row r="36" customFormat="false" ht="13.5" hidden="false" customHeight="false" outlineLevel="0" collapsed="false">
      <c r="C36" s="328" t="s">
        <v>220</v>
      </c>
      <c r="D36" s="371"/>
      <c r="E36" s="373" t="n">
        <v>186552063.12</v>
      </c>
      <c r="F36" s="371"/>
      <c r="G36" s="373" t="n">
        <v>95886825.74</v>
      </c>
      <c r="H36" s="371"/>
      <c r="I36" s="373" t="n">
        <v>90665237.38</v>
      </c>
      <c r="J36" s="36" t="n">
        <f aca="false">E36/K36</f>
        <v>36.2802212300833</v>
      </c>
      <c r="K36" s="373" t="n">
        <v>5141977</v>
      </c>
      <c r="L36" s="374" t="n">
        <f aca="false">+K36</f>
        <v>5141977</v>
      </c>
      <c r="M36" s="374" t="n">
        <f aca="false">+L36</f>
        <v>5141977</v>
      </c>
      <c r="N36" s="374" t="n">
        <f aca="false">+M36</f>
        <v>5141977</v>
      </c>
      <c r="O36" s="374" t="n">
        <f aca="false">+N36</f>
        <v>5141977</v>
      </c>
      <c r="P36" s="374" t="n">
        <f aca="false">+O36</f>
        <v>5141977</v>
      </c>
      <c r="Q36" s="374" t="n">
        <f aca="false">+P36</f>
        <v>5141977</v>
      </c>
      <c r="R36" s="374" t="n">
        <f aca="false">+Q36</f>
        <v>5141977</v>
      </c>
      <c r="S36" s="374" t="n">
        <f aca="false">+R36</f>
        <v>5141977</v>
      </c>
      <c r="T36" s="374" t="n">
        <f aca="false">+S36</f>
        <v>5141977</v>
      </c>
      <c r="U36" s="374" t="n">
        <f aca="false">+T36</f>
        <v>5141977</v>
      </c>
      <c r="V36" s="374" t="n">
        <f aca="false">+U36</f>
        <v>5141977</v>
      </c>
      <c r="W36" s="374" t="n">
        <f aca="false">+V36</f>
        <v>5141977</v>
      </c>
      <c r="X36" s="374" t="n">
        <f aca="false">+W36</f>
        <v>5141977</v>
      </c>
      <c r="Y36" s="374" t="n">
        <f aca="false">+X36</f>
        <v>5141977</v>
      </c>
      <c r="Z36" s="374" t="n">
        <f aca="false">+Y36</f>
        <v>5141977</v>
      </c>
      <c r="AA36" s="374" t="n">
        <f aca="false">+Z36</f>
        <v>5141977</v>
      </c>
      <c r="AB36" s="374" t="n">
        <f aca="false">$I36-SUM($K36:AA36)</f>
        <v>3251628.38000001</v>
      </c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Q36" s="374" t="n">
        <f aca="false">I36-SUM(K36:AP36)</f>
        <v>0</v>
      </c>
    </row>
    <row r="37" customFormat="false" ht="13.5" hidden="false" customHeight="false" outlineLevel="0" collapsed="false">
      <c r="C37" s="328"/>
      <c r="D37" s="371"/>
      <c r="E37" s="371"/>
      <c r="F37" s="371"/>
      <c r="G37" s="371"/>
      <c r="H37" s="371"/>
      <c r="I37" s="371"/>
      <c r="J37" s="371"/>
      <c r="K37" s="371"/>
    </row>
    <row r="38" customFormat="false" ht="13.5" hidden="false" customHeight="false" outlineLevel="0" collapsed="false">
      <c r="C38" s="328" t="s">
        <v>221</v>
      </c>
      <c r="D38" s="371"/>
      <c r="E38" s="373" t="n">
        <v>1222316424.12</v>
      </c>
      <c r="F38" s="371"/>
      <c r="G38" s="373" t="n">
        <v>310808658.04</v>
      </c>
      <c r="H38" s="371"/>
      <c r="I38" s="373" t="n">
        <v>911507766.08</v>
      </c>
      <c r="J38" s="36" t="n">
        <f aca="false">E38/K38</f>
        <v>33.8823737245736</v>
      </c>
      <c r="K38" s="373" t="n">
        <v>36075289</v>
      </c>
      <c r="L38" s="374" t="n">
        <f aca="false">+K38</f>
        <v>36075289</v>
      </c>
      <c r="M38" s="374" t="n">
        <f aca="false">+L38</f>
        <v>36075289</v>
      </c>
      <c r="N38" s="374" t="n">
        <f aca="false">+M38</f>
        <v>36075289</v>
      </c>
      <c r="O38" s="374" t="n">
        <f aca="false">+N38</f>
        <v>36075289</v>
      </c>
      <c r="P38" s="374" t="n">
        <f aca="false">+O38</f>
        <v>36075289</v>
      </c>
      <c r="Q38" s="374" t="n">
        <f aca="false">+P38</f>
        <v>36075289</v>
      </c>
      <c r="R38" s="374" t="n">
        <f aca="false">+Q38</f>
        <v>36075289</v>
      </c>
      <c r="S38" s="374" t="n">
        <f aca="false">+R38</f>
        <v>36075289</v>
      </c>
      <c r="T38" s="374" t="n">
        <f aca="false">+S38</f>
        <v>36075289</v>
      </c>
      <c r="U38" s="374" t="n">
        <f aca="false">+T38</f>
        <v>36075289</v>
      </c>
      <c r="V38" s="374" t="n">
        <f aca="false">+U38</f>
        <v>36075289</v>
      </c>
      <c r="W38" s="374" t="n">
        <f aca="false">+V38</f>
        <v>36075289</v>
      </c>
      <c r="X38" s="374" t="n">
        <f aca="false">+W38</f>
        <v>36075289</v>
      </c>
      <c r="Y38" s="374" t="n">
        <f aca="false">+X38</f>
        <v>36075289</v>
      </c>
      <c r="Z38" s="374" t="n">
        <f aca="false">+Y38</f>
        <v>36075289</v>
      </c>
      <c r="AA38" s="374" t="n">
        <f aca="false">+Z38</f>
        <v>36075289</v>
      </c>
      <c r="AB38" s="374" t="n">
        <f aca="false">+AA38</f>
        <v>36075289</v>
      </c>
      <c r="AC38" s="374" t="n">
        <f aca="false">+AB38</f>
        <v>36075289</v>
      </c>
      <c r="AD38" s="374" t="n">
        <f aca="false">+AC38</f>
        <v>36075289</v>
      </c>
      <c r="AE38" s="374" t="n">
        <f aca="false">+AD38</f>
        <v>36075289</v>
      </c>
      <c r="AF38" s="374" t="n">
        <f aca="false">+AE38</f>
        <v>36075289</v>
      </c>
      <c r="AG38" s="374" t="n">
        <f aca="false">+AF38</f>
        <v>36075289</v>
      </c>
      <c r="AH38" s="374" t="n">
        <f aca="false">+AG38</f>
        <v>36075289</v>
      </c>
      <c r="AI38" s="374" t="n">
        <f aca="false">+AH38</f>
        <v>36075289</v>
      </c>
      <c r="AJ38" s="374" t="n">
        <f aca="false">$I38-SUM($K38:AI38)</f>
        <v>9625541.08000016</v>
      </c>
      <c r="AK38" s="374" t="n">
        <f aca="false">$I38-SUM($K38:AJ38)</f>
        <v>0</v>
      </c>
      <c r="AL38" s="374" t="n">
        <f aca="false">$I38-SUM($K38:AK38)</f>
        <v>0</v>
      </c>
      <c r="AM38" s="374" t="n">
        <f aca="false">$I38-SUM($K38:AL38)</f>
        <v>0</v>
      </c>
      <c r="AN38" s="374" t="n">
        <f aca="false">$I38-SUM($K38:AM38)</f>
        <v>0</v>
      </c>
      <c r="AO38" s="374"/>
      <c r="AQ38" s="374" t="n">
        <f aca="false">I38-SUM(K38:AP38)</f>
        <v>0</v>
      </c>
    </row>
    <row r="39" customFormat="false" ht="13.5" hidden="false" customHeight="false" outlineLevel="0" collapsed="false">
      <c r="C39" s="328"/>
      <c r="D39" s="371"/>
      <c r="E39" s="371"/>
      <c r="F39" s="371"/>
      <c r="G39" s="371"/>
      <c r="H39" s="371"/>
      <c r="I39" s="371"/>
      <c r="J39" s="371"/>
      <c r="K39" s="371"/>
    </row>
    <row r="40" customFormat="false" ht="13.5" hidden="false" customHeight="false" outlineLevel="0" collapsed="false">
      <c r="C40" s="328" t="s">
        <v>222</v>
      </c>
      <c r="D40" s="371"/>
      <c r="E40" s="373" t="n">
        <v>237857577.15</v>
      </c>
      <c r="F40" s="371"/>
      <c r="G40" s="373" t="n">
        <v>77832726.93</v>
      </c>
      <c r="H40" s="371"/>
      <c r="I40" s="373" t="n">
        <v>160024850.22</v>
      </c>
      <c r="J40" s="36" t="n">
        <f aca="false">E40/K40</f>
        <v>22.6254628892875</v>
      </c>
      <c r="K40" s="373" t="n">
        <v>10512827</v>
      </c>
      <c r="L40" s="374" t="n">
        <f aca="false">+K40</f>
        <v>10512827</v>
      </c>
      <c r="M40" s="374" t="n">
        <f aca="false">+L40</f>
        <v>10512827</v>
      </c>
      <c r="N40" s="374" t="n">
        <f aca="false">+M40</f>
        <v>10512827</v>
      </c>
      <c r="O40" s="374" t="n">
        <f aca="false">+N40</f>
        <v>10512827</v>
      </c>
      <c r="P40" s="374" t="n">
        <f aca="false">+O40</f>
        <v>10512827</v>
      </c>
      <c r="Q40" s="374" t="n">
        <f aca="false">+P40</f>
        <v>10512827</v>
      </c>
      <c r="R40" s="374" t="n">
        <f aca="false">+Q40</f>
        <v>10512827</v>
      </c>
      <c r="S40" s="374" t="n">
        <f aca="false">+R40</f>
        <v>10512827</v>
      </c>
      <c r="T40" s="374" t="n">
        <f aca="false">+S40</f>
        <v>10512827</v>
      </c>
      <c r="U40" s="374" t="n">
        <f aca="false">+T40</f>
        <v>10512827</v>
      </c>
      <c r="V40" s="374" t="n">
        <f aca="false">+U40</f>
        <v>10512827</v>
      </c>
      <c r="W40" s="374" t="n">
        <f aca="false">+V40</f>
        <v>10512827</v>
      </c>
      <c r="X40" s="374" t="n">
        <f aca="false">+W40</f>
        <v>10512827</v>
      </c>
      <c r="Y40" s="374" t="n">
        <f aca="false">+X40</f>
        <v>10512827</v>
      </c>
      <c r="Z40" s="374" t="n">
        <f aca="false">$I40-SUM($K40:Y40)</f>
        <v>2332445.22000003</v>
      </c>
      <c r="AA40" s="374" t="n">
        <f aca="false">$I40-SUM($K40:Z40)</f>
        <v>0</v>
      </c>
      <c r="AB40" s="374" t="n">
        <f aca="false">$I40-SUM($K40:AA40)</f>
        <v>0</v>
      </c>
      <c r="AC40" s="374" t="n">
        <f aca="false">$I40-SUM($K40:AB40)</f>
        <v>0</v>
      </c>
      <c r="AD40" s="374" t="n">
        <f aca="false">$I40-SUM($K40:AC40)</f>
        <v>0</v>
      </c>
      <c r="AE40" s="374" t="n">
        <f aca="false">$I40-SUM($K40:AD40)</f>
        <v>0</v>
      </c>
      <c r="AF40" s="374" t="n">
        <f aca="false">$I40-SUM($K40:AE40)</f>
        <v>0</v>
      </c>
      <c r="AG40" s="374" t="n">
        <f aca="false">$I40-SUM($K40:AF40)</f>
        <v>0</v>
      </c>
      <c r="AH40" s="374" t="n">
        <f aca="false">$I40-SUM($K40:AG40)</f>
        <v>0</v>
      </c>
      <c r="AI40" s="374" t="n">
        <f aca="false">$I40-SUM($K40:AH40)</f>
        <v>0</v>
      </c>
      <c r="AJ40" s="374" t="n">
        <f aca="false">$I40-SUM($K40:AI40)</f>
        <v>0</v>
      </c>
      <c r="AK40" s="374" t="n">
        <f aca="false">$I40-SUM($K40:AJ40)</f>
        <v>0</v>
      </c>
      <c r="AL40" s="374" t="n">
        <f aca="false">$I40-SUM($K40:AK40)</f>
        <v>0</v>
      </c>
      <c r="AM40" s="374" t="n">
        <f aca="false">$I40-SUM($K40:AL40)</f>
        <v>0</v>
      </c>
      <c r="AN40" s="374" t="n">
        <f aca="false">$I40-SUM($K40:AM40)</f>
        <v>0</v>
      </c>
      <c r="AO40" s="374"/>
      <c r="AQ40" s="374" t="n">
        <f aca="false">I40-SUM(K40:AP40)</f>
        <v>0</v>
      </c>
    </row>
    <row r="41" customFormat="false" ht="13.5" hidden="false" customHeight="false" outlineLevel="0" collapsed="false">
      <c r="C41" s="371"/>
      <c r="D41" s="371"/>
      <c r="E41" s="371"/>
      <c r="F41" s="371"/>
      <c r="G41" s="371"/>
      <c r="H41" s="371"/>
      <c r="I41" s="371"/>
      <c r="J41" s="371"/>
      <c r="K41" s="371"/>
      <c r="AQ41" s="36" t="n">
        <f aca="false">I41-SUM(K41:AP41)</f>
        <v>0</v>
      </c>
    </row>
    <row r="42" customFormat="false" ht="13.5" hidden="false" customHeight="false" outlineLevel="0" collapsed="false">
      <c r="C42" s="328" t="s">
        <v>223</v>
      </c>
      <c r="D42" s="371"/>
      <c r="E42" s="372" t="n">
        <f aca="false">+E13+E25+E27+E30+E32+E34+E36+E38+E40</f>
        <v>3026216514.72</v>
      </c>
      <c r="F42" s="371"/>
      <c r="G42" s="372" t="n">
        <f aca="false">+G13+G25+G27+G30+G32+G34+G36+G38+G40</f>
        <v>1330900506.21</v>
      </c>
      <c r="H42" s="375" t="n">
        <f aca="false">SUM(H7:H40)</f>
        <v>0</v>
      </c>
      <c r="I42" s="372" t="n">
        <f aca="false">+I13+I25+I27+I30+I32+I34+I36+I38+I40</f>
        <v>1695316008.51</v>
      </c>
      <c r="J42" s="36" t="n">
        <f aca="false">E42/K42</f>
        <v>32.029672229726</v>
      </c>
      <c r="K42" s="372" t="n">
        <f aca="false">+K13+K25+K27+K30+K32+K34+K36+K38+K40</f>
        <v>94481657.29</v>
      </c>
      <c r="L42" s="372" t="n">
        <f aca="false">+L13+L25+L27+L30+L32+L34+L36+L38+L40</f>
        <v>94481657.29</v>
      </c>
      <c r="M42" s="372" t="n">
        <f aca="false">+M13+M25+M27+M30+M32+M34+M36+M38+M40</f>
        <v>94438416.45</v>
      </c>
      <c r="N42" s="372" t="n">
        <f aca="false">+N13+N25+N27+N30+N32+N34+N36+N38+N40</f>
        <v>94282037.29</v>
      </c>
      <c r="O42" s="372" t="n">
        <f aca="false">+O13+O25+O27+O30+O32+O34+O36+O38+O40</f>
        <v>93885453.42</v>
      </c>
      <c r="P42" s="372" t="n">
        <f aca="false">+P13+P25+P27+P30+P32+P34+P36+P38+P40</f>
        <v>92047195.73</v>
      </c>
      <c r="Q42" s="372" t="n">
        <f aca="false">+Q13+Q25+Q27+Q30+Q32+Q34+Q36+Q38+Q40</f>
        <v>92047195.73</v>
      </c>
      <c r="R42" s="372" t="n">
        <f aca="false">+R13+R25+R27+R30+R32+R34+R36+R38+R40</f>
        <v>85810488.93</v>
      </c>
      <c r="S42" s="372" t="n">
        <f aca="false">+S13+S25+S27+S30+S32+S34+S36+S38+S40</f>
        <v>80575086</v>
      </c>
      <c r="T42" s="372" t="n">
        <f aca="false">+T13+T25+T27+T30+T32+T34+T36+T38+T40</f>
        <v>79996888.78</v>
      </c>
      <c r="U42" s="372" t="n">
        <f aca="false">+U13+U25+U27+U30+U32+U34+U36+U38+U40</f>
        <v>79797789.42</v>
      </c>
      <c r="V42" s="372" t="n">
        <f aca="false">+V13+V25+V27+V30+V32+V34+V36+V38+V40</f>
        <v>78642290.72</v>
      </c>
      <c r="W42" s="372" t="n">
        <f aca="false">+W13+W25+W27+W30+W32+W34+W36+W38+W40</f>
        <v>78642290.72</v>
      </c>
      <c r="X42" s="372" t="n">
        <f aca="false">+X13+X25+X27+X30+X32+X34+X36+X38+X40</f>
        <v>77257893.56</v>
      </c>
      <c r="Y42" s="372" t="n">
        <f aca="false">+Y13+Y25+Y27+Y30+Y32+Y34+Y36+Y38+Y40</f>
        <v>73386963</v>
      </c>
      <c r="Z42" s="372" t="n">
        <f aca="false">+Z13+Z25+Z27+Z30+Z32+Z34+Z36+Z38+Z40</f>
        <v>58245988.8000001</v>
      </c>
      <c r="AA42" s="372" t="n">
        <f aca="false">+AA13+AA25+AA27+AA30+AA32+AA34+AA36+AA38+AA40</f>
        <v>45817233.9199999</v>
      </c>
      <c r="AB42" s="372" t="n">
        <f aca="false">+AB13+AB25+AB27+AB30+AB32+AB34+AB36+AB38+AB40</f>
        <v>39326917.38</v>
      </c>
      <c r="AC42" s="372" t="n">
        <f aca="false">+AC13+AC25+AC27+AC30+AC32+AC34+AC36+AC38+AC40</f>
        <v>36075289</v>
      </c>
      <c r="AD42" s="372" t="n">
        <f aca="false">+AD13+AD25+AD27+AD30+AD32+AD34+AD36+AD38+AD40</f>
        <v>36075289</v>
      </c>
      <c r="AE42" s="372" t="n">
        <f aca="false">+AE13+AE25+AE27+AE30+AE32+AE34+AE36+AE38+AE40</f>
        <v>36075289</v>
      </c>
      <c r="AF42" s="372" t="n">
        <f aca="false">+AF13+AF25+AF27+AF30+AF32+AF34+AF36+AF38+AF40</f>
        <v>36075289</v>
      </c>
      <c r="AG42" s="372" t="n">
        <f aca="false">+AG13+AG25+AG27+AG30+AG32+AG34+AG36+AG38+AG40</f>
        <v>36075289</v>
      </c>
      <c r="AH42" s="372" t="n">
        <f aca="false">+AH13+AH25+AH27+AH30+AH32+AH34+AH36+AH38+AH40</f>
        <v>36075289</v>
      </c>
      <c r="AI42" s="372" t="n">
        <f aca="false">+AI13+AI25+AI27+AI30+AI32+AI34+AI36+AI38+AI40</f>
        <v>36075289</v>
      </c>
      <c r="AJ42" s="372" t="n">
        <f aca="false">+AJ13+AJ25+AJ27+AJ30+AJ32+AJ34+AJ36+AJ38+AJ40</f>
        <v>9625541.08000016</v>
      </c>
      <c r="AK42" s="372" t="n">
        <f aca="false">+AK13+AK25+AK27+AK30+AK32+AK34+AK36+AK38+AK40</f>
        <v>0</v>
      </c>
      <c r="AL42" s="372" t="n">
        <f aca="false">+AL13+AL25+AL27+AL30+AL32+AL34+AL36+AL38+AL40</f>
        <v>0</v>
      </c>
      <c r="AM42" s="372" t="n">
        <f aca="false">+AM13+AM25+AM27+AM30+AM32+AM34+AM36+AM38+AM40</f>
        <v>0</v>
      </c>
      <c r="AN42" s="372" t="n">
        <f aca="false">+AN13+AN25+AN27+AN30+AN32+AN34+AN36+AN38+AN40</f>
        <v>0</v>
      </c>
      <c r="AO42" s="372" t="n">
        <f aca="false">+AO13+AO25+AO27+AO30+AO32+AO34+AO36+AO38+AO40</f>
        <v>0</v>
      </c>
      <c r="AQ42" s="372" t="n">
        <f aca="false">+AQ13+AQ25+AQ27+AQ30+AQ32+AQ34+AQ36+AQ38+AQ40</f>
        <v>0</v>
      </c>
    </row>
    <row r="43" customFormat="false" ht="13.5" hidden="false" customHeight="false" outlineLevel="0" collapsed="false">
      <c r="E43" s="371"/>
      <c r="F43" s="371"/>
      <c r="G43" s="371"/>
      <c r="H43" s="371"/>
      <c r="I43" s="371"/>
      <c r="J43" s="371"/>
      <c r="K43" s="371"/>
    </row>
    <row r="44" customFormat="false" ht="12.75" hidden="false" customHeight="false" outlineLevel="0" collapsed="false">
      <c r="C44" s="371"/>
      <c r="D44" s="371"/>
      <c r="E44" s="371"/>
      <c r="F44" s="371"/>
      <c r="G44" s="371"/>
      <c r="H44" s="371"/>
      <c r="I44" s="371"/>
      <c r="J44" s="371"/>
      <c r="K44" s="371"/>
    </row>
    <row r="45" customFormat="false" ht="12.75" hidden="false" customHeight="false" outlineLevel="0" collapsed="false">
      <c r="C45" s="328"/>
      <c r="D45" s="371"/>
      <c r="E45" s="371"/>
      <c r="F45" s="371"/>
      <c r="G45" s="371"/>
      <c r="H45" s="371"/>
      <c r="I45" s="371"/>
      <c r="J45" s="371"/>
      <c r="K45" s="371"/>
    </row>
    <row r="46" customFormat="false" ht="12.75" hidden="false" customHeight="false" outlineLevel="0" collapsed="false">
      <c r="C46" s="371"/>
      <c r="D46" s="371"/>
      <c r="E46" s="371"/>
      <c r="F46" s="371"/>
      <c r="G46" s="371"/>
      <c r="H46" s="371"/>
      <c r="I46" s="371"/>
      <c r="J46" s="371"/>
      <c r="K46" s="371"/>
    </row>
    <row r="47" customFormat="false" ht="12.75" hidden="false" customHeight="false" outlineLevel="0" collapsed="false">
      <c r="C47" s="371"/>
      <c r="D47" s="371"/>
      <c r="E47" s="371"/>
      <c r="F47" s="371"/>
      <c r="G47" s="371"/>
      <c r="H47" s="371"/>
      <c r="I47" s="371"/>
      <c r="J47" s="371"/>
      <c r="K47" s="371"/>
    </row>
    <row r="51" customFormat="false" ht="12.75" hidden="false" customHeight="false" outlineLevel="0" collapsed="false">
      <c r="D51" s="36" t="s">
        <v>224</v>
      </c>
    </row>
    <row r="53" customFormat="false" ht="12.75" hidden="false" customHeight="false" outlineLevel="0" collapsed="false">
      <c r="F53" s="36" t="s">
        <v>225</v>
      </c>
    </row>
    <row r="54" customFormat="false" ht="12.75" hidden="false" customHeight="false" outlineLevel="0" collapsed="false">
      <c r="E54" s="371"/>
      <c r="F54" s="371"/>
      <c r="G54" s="371"/>
      <c r="H54" s="371"/>
      <c r="I54" s="371"/>
      <c r="J54" s="371"/>
      <c r="K54" s="34" t="n">
        <v>2000</v>
      </c>
    </row>
    <row r="55" customFormat="false" ht="12.75" hidden="false" customHeight="false" outlineLevel="0" collapsed="false">
      <c r="E55" s="34" t="s">
        <v>193</v>
      </c>
      <c r="F55" s="371"/>
      <c r="G55" s="34" t="s">
        <v>194</v>
      </c>
      <c r="H55" s="371"/>
      <c r="I55" s="34" t="s">
        <v>195</v>
      </c>
      <c r="J55" s="371"/>
      <c r="K55" s="34" t="s">
        <v>196</v>
      </c>
    </row>
    <row r="56" customFormat="false" ht="12.75" hidden="false" customHeight="false" outlineLevel="0" collapsed="false">
      <c r="E56" s="34" t="s">
        <v>197</v>
      </c>
      <c r="F56" s="371"/>
      <c r="G56" s="34" t="s">
        <v>198</v>
      </c>
      <c r="H56" s="371"/>
      <c r="I56" s="34" t="s">
        <v>199</v>
      </c>
      <c r="J56" s="371"/>
      <c r="K56" s="34" t="s">
        <v>200</v>
      </c>
    </row>
    <row r="57" customFormat="false" ht="12.75" hidden="false" customHeight="false" outlineLevel="0" collapsed="false">
      <c r="AQ57" s="36" t="n">
        <f aca="false">I57-SUM(K57:AP57)</f>
        <v>0</v>
      </c>
    </row>
    <row r="58" customFormat="false" ht="12.75" hidden="false" customHeight="false" outlineLevel="0" collapsed="false">
      <c r="C58" s="36" t="s">
        <v>226</v>
      </c>
      <c r="E58" s="36" t="n">
        <v>299012.98</v>
      </c>
      <c r="G58" s="36" t="n">
        <v>217537.62</v>
      </c>
      <c r="I58" s="36" t="n">
        <v>81475.36</v>
      </c>
      <c r="J58" s="36" t="n">
        <f aca="false">E58/K58</f>
        <v>34.9640996258185</v>
      </c>
      <c r="K58" s="36" t="n">
        <v>8552</v>
      </c>
      <c r="L58" s="36" t="n">
        <f aca="false">+K58</f>
        <v>8552</v>
      </c>
      <c r="M58" s="36" t="n">
        <f aca="false">+L58</f>
        <v>8552</v>
      </c>
      <c r="N58" s="36" t="n">
        <f aca="false">+M58</f>
        <v>8552</v>
      </c>
      <c r="O58" s="36" t="n">
        <f aca="false">+N58</f>
        <v>8552</v>
      </c>
      <c r="P58" s="36" t="n">
        <f aca="false">+O58</f>
        <v>8552</v>
      </c>
      <c r="Q58" s="36" t="n">
        <f aca="false">+P58</f>
        <v>8552</v>
      </c>
      <c r="R58" s="36" t="n">
        <f aca="false">+Q58</f>
        <v>8552</v>
      </c>
      <c r="S58" s="36" t="n">
        <f aca="false">+R58</f>
        <v>8552</v>
      </c>
      <c r="T58" s="36" t="n">
        <f aca="false">$I58-SUM($K58:S58)</f>
        <v>4507.36</v>
      </c>
      <c r="U58" s="36" t="n">
        <f aca="false">$I58-SUM($K58:T58)</f>
        <v>0</v>
      </c>
      <c r="V58" s="36" t="n">
        <f aca="false">$I58-SUM($K58:U58)</f>
        <v>0</v>
      </c>
      <c r="W58" s="36" t="n">
        <f aca="false">$I58-SUM($K58:V58)</f>
        <v>0</v>
      </c>
      <c r="X58" s="36" t="n">
        <f aca="false">$I58-SUM($K58:W58)</f>
        <v>0</v>
      </c>
      <c r="Y58" s="36" t="n">
        <f aca="false">$I58-SUM($K58:X58)</f>
        <v>0</v>
      </c>
      <c r="Z58" s="36" t="n">
        <f aca="false">$I58-SUM($K58:Y58)</f>
        <v>0</v>
      </c>
      <c r="AA58" s="36" t="n">
        <f aca="false">$I58-SUM($K58:Z58)</f>
        <v>0</v>
      </c>
      <c r="AB58" s="36" t="n">
        <f aca="false">$I58-SUM($K58:AA58)</f>
        <v>0</v>
      </c>
      <c r="AC58" s="36" t="n">
        <f aca="false">$I58-SUM($K58:AB58)</f>
        <v>0</v>
      </c>
      <c r="AD58" s="36" t="n">
        <f aca="false">$I58-SUM($K58:AC58)</f>
        <v>0</v>
      </c>
      <c r="AE58" s="36" t="n">
        <f aca="false">$I58-SUM($K58:AD58)</f>
        <v>0</v>
      </c>
      <c r="AF58" s="36" t="n">
        <f aca="false">$I58-SUM($K58:AE58)</f>
        <v>0</v>
      </c>
      <c r="AG58" s="36" t="n">
        <f aca="false">$I58-SUM($K58:AF58)</f>
        <v>0</v>
      </c>
      <c r="AH58" s="36" t="n">
        <f aca="false">$I58-SUM($K58:AG58)</f>
        <v>0</v>
      </c>
      <c r="AI58" s="36" t="n">
        <f aca="false">$I58-SUM($K58:AH58)</f>
        <v>0</v>
      </c>
      <c r="AJ58" s="36" t="n">
        <f aca="false">$I58-SUM($K58:AI58)</f>
        <v>0</v>
      </c>
      <c r="AK58" s="36" t="n">
        <f aca="false">$I58-SUM($K58:AJ58)</f>
        <v>0</v>
      </c>
      <c r="AL58" s="36" t="n">
        <f aca="false">$I58-SUM($K58:AK58)</f>
        <v>0</v>
      </c>
      <c r="AM58" s="36" t="n">
        <f aca="false">$I58-SUM($K58:AL58)</f>
        <v>0</v>
      </c>
      <c r="AN58" s="36" t="n">
        <f aca="false">$I58-SUM($K58:AM58)</f>
        <v>0</v>
      </c>
      <c r="AO58" s="36" t="n">
        <f aca="false">$I58-SUM($K58:AN58)</f>
        <v>0</v>
      </c>
      <c r="AQ58" s="36" t="n">
        <f aca="false">I58-SUM(K58:AP58)</f>
        <v>0</v>
      </c>
    </row>
    <row r="59" customFormat="false" ht="12.75" hidden="false" customHeight="false" outlineLevel="0" collapsed="false">
      <c r="C59" s="36" t="s">
        <v>227</v>
      </c>
      <c r="E59" s="36" t="n">
        <v>760980.54</v>
      </c>
      <c r="G59" s="36" t="n">
        <v>311234.11</v>
      </c>
      <c r="I59" s="36" t="n">
        <v>449746.43</v>
      </c>
      <c r="J59" s="36" t="n">
        <f aca="false">I59/K59</f>
        <v>35.1804153629537</v>
      </c>
      <c r="K59" s="36" t="n">
        <v>12784</v>
      </c>
      <c r="L59" s="36" t="n">
        <f aca="false">+K59</f>
        <v>12784</v>
      </c>
      <c r="M59" s="36" t="n">
        <f aca="false">+L59</f>
        <v>12784</v>
      </c>
      <c r="N59" s="36" t="n">
        <f aca="false">+M59</f>
        <v>12784</v>
      </c>
      <c r="O59" s="36" t="n">
        <f aca="false">+N59</f>
        <v>12784</v>
      </c>
      <c r="P59" s="36" t="n">
        <f aca="false">+O59</f>
        <v>12784</v>
      </c>
      <c r="Q59" s="36" t="n">
        <f aca="false">+P59</f>
        <v>12784</v>
      </c>
      <c r="R59" s="36" t="n">
        <f aca="false">+Q59</f>
        <v>12784</v>
      </c>
      <c r="S59" s="36" t="n">
        <f aca="false">+R59</f>
        <v>12784</v>
      </c>
      <c r="T59" s="36" t="n">
        <f aca="false">+S59</f>
        <v>12784</v>
      </c>
      <c r="U59" s="36" t="n">
        <f aca="false">+T59</f>
        <v>12784</v>
      </c>
      <c r="V59" s="36" t="n">
        <f aca="false">+U59</f>
        <v>12784</v>
      </c>
      <c r="W59" s="36" t="n">
        <f aca="false">+V59</f>
        <v>12784</v>
      </c>
      <c r="X59" s="36" t="n">
        <f aca="false">+W59</f>
        <v>12784</v>
      </c>
      <c r="Y59" s="36" t="n">
        <f aca="false">+X59</f>
        <v>12784</v>
      </c>
      <c r="Z59" s="36" t="n">
        <f aca="false">+Y59</f>
        <v>12784</v>
      </c>
      <c r="AA59" s="36" t="n">
        <f aca="false">+Z59</f>
        <v>12784</v>
      </c>
      <c r="AB59" s="36" t="n">
        <f aca="false">+AA59</f>
        <v>12784</v>
      </c>
      <c r="AC59" s="36" t="n">
        <f aca="false">+AB59</f>
        <v>12784</v>
      </c>
      <c r="AD59" s="36" t="n">
        <f aca="false">+AC59</f>
        <v>12784</v>
      </c>
      <c r="AE59" s="36" t="n">
        <f aca="false">+AD59</f>
        <v>12784</v>
      </c>
      <c r="AF59" s="36" t="n">
        <f aca="false">+AE59</f>
        <v>12784</v>
      </c>
      <c r="AG59" s="36" t="n">
        <f aca="false">+AF59</f>
        <v>12784</v>
      </c>
      <c r="AH59" s="36" t="n">
        <f aca="false">+AG59</f>
        <v>12784</v>
      </c>
      <c r="AI59" s="36" t="n">
        <f aca="false">+AH59</f>
        <v>12784</v>
      </c>
      <c r="AJ59" s="36" t="n">
        <f aca="false">+AI59</f>
        <v>12784</v>
      </c>
      <c r="AK59" s="36" t="n">
        <f aca="false">+AJ59</f>
        <v>12784</v>
      </c>
      <c r="AL59" s="36" t="n">
        <f aca="false">+AK59</f>
        <v>12784</v>
      </c>
      <c r="AM59" s="36" t="n">
        <f aca="false">+AL59</f>
        <v>12784</v>
      </c>
      <c r="AN59" s="36" t="n">
        <f aca="false">+AM59</f>
        <v>12784</v>
      </c>
      <c r="AO59" s="36" t="n">
        <f aca="false">+AN59</f>
        <v>12784</v>
      </c>
      <c r="AQ59" s="36" t="n">
        <f aca="false">I59-SUM(K59:AP59)</f>
        <v>53442.43</v>
      </c>
    </row>
    <row r="60" customFormat="false" ht="12.75" hidden="false" customHeight="false" outlineLevel="0" collapsed="false">
      <c r="C60" s="36" t="s">
        <v>228</v>
      </c>
      <c r="E60" s="36" t="n">
        <v>2016876.51</v>
      </c>
      <c r="G60" s="36" t="n">
        <v>1208263.73</v>
      </c>
      <c r="I60" s="36" t="n">
        <v>808612.78</v>
      </c>
      <c r="J60" s="36" t="n">
        <f aca="false">I60/K60</f>
        <v>23.8641476803211</v>
      </c>
      <c r="K60" s="36" t="n">
        <v>33884</v>
      </c>
      <c r="L60" s="36" t="n">
        <f aca="false">+K60</f>
        <v>33884</v>
      </c>
      <c r="M60" s="36" t="n">
        <f aca="false">+L60</f>
        <v>33884</v>
      </c>
      <c r="N60" s="36" t="n">
        <f aca="false">+M60</f>
        <v>33884</v>
      </c>
      <c r="O60" s="36" t="n">
        <f aca="false">+N60</f>
        <v>33884</v>
      </c>
      <c r="P60" s="36" t="n">
        <f aca="false">+O60</f>
        <v>33884</v>
      </c>
      <c r="Q60" s="36" t="n">
        <f aca="false">+P60</f>
        <v>33884</v>
      </c>
      <c r="R60" s="36" t="n">
        <f aca="false">+Q60</f>
        <v>33884</v>
      </c>
      <c r="S60" s="36" t="n">
        <f aca="false">+R60</f>
        <v>33884</v>
      </c>
      <c r="T60" s="36" t="n">
        <f aca="false">+S60</f>
        <v>33884</v>
      </c>
      <c r="U60" s="36" t="n">
        <f aca="false">+T60</f>
        <v>33884</v>
      </c>
      <c r="V60" s="36" t="n">
        <f aca="false">+U60</f>
        <v>33884</v>
      </c>
      <c r="W60" s="36" t="n">
        <f aca="false">+V60</f>
        <v>33884</v>
      </c>
      <c r="X60" s="36" t="n">
        <f aca="false">+W60</f>
        <v>33884</v>
      </c>
      <c r="Y60" s="36" t="n">
        <f aca="false">+X60</f>
        <v>33884</v>
      </c>
      <c r="Z60" s="36" t="n">
        <f aca="false">+Y60</f>
        <v>33884</v>
      </c>
      <c r="AA60" s="36" t="n">
        <f aca="false">+Z60</f>
        <v>33884</v>
      </c>
      <c r="AB60" s="36" t="n">
        <f aca="false">+AA60</f>
        <v>33884</v>
      </c>
      <c r="AC60" s="36" t="n">
        <f aca="false">+AB60</f>
        <v>33884</v>
      </c>
      <c r="AD60" s="36" t="n">
        <f aca="false">+AC60</f>
        <v>33884</v>
      </c>
      <c r="AE60" s="36" t="n">
        <f aca="false">+AD60</f>
        <v>33884</v>
      </c>
      <c r="AF60" s="36" t="n">
        <f aca="false">+AE60</f>
        <v>33884</v>
      </c>
      <c r="AG60" s="36" t="n">
        <f aca="false">+AF60</f>
        <v>33884</v>
      </c>
      <c r="AH60" s="36" t="n">
        <f aca="false">$I60-SUM($K60:AG60)</f>
        <v>29280.78</v>
      </c>
      <c r="AI60" s="36" t="n">
        <f aca="false">$I60-SUM($K60:AH60)</f>
        <v>0</v>
      </c>
      <c r="AJ60" s="36" t="n">
        <f aca="false">$I60-SUM($K60:AI60)</f>
        <v>0</v>
      </c>
      <c r="AK60" s="36" t="n">
        <f aca="false">$I60-SUM($K60:AJ60)</f>
        <v>0</v>
      </c>
      <c r="AL60" s="36" t="n">
        <f aca="false">$I60-SUM($K60:AK60)</f>
        <v>0</v>
      </c>
      <c r="AM60" s="36" t="n">
        <f aca="false">$I60-SUM($K60:AL60)</f>
        <v>0</v>
      </c>
      <c r="AN60" s="36" t="n">
        <f aca="false">$I60-SUM($K60:AM60)</f>
        <v>0</v>
      </c>
      <c r="AO60" s="36" t="n">
        <f aca="false">$I60-SUM($K60:AN60)</f>
        <v>0</v>
      </c>
      <c r="AQ60" s="36" t="n">
        <f aca="false">I60-SUM(K60:AP60)</f>
        <v>0</v>
      </c>
    </row>
    <row r="62" customFormat="false" ht="13.5" hidden="false" customHeight="false" outlineLevel="0" collapsed="false">
      <c r="C62" s="36" t="s">
        <v>229</v>
      </c>
      <c r="E62" s="376" t="n">
        <f aca="false">SUM(E58:E60)</f>
        <v>3076870.03</v>
      </c>
      <c r="G62" s="376" t="n">
        <f aca="false">SUM(G58:G60)</f>
        <v>1737035.46</v>
      </c>
      <c r="I62" s="376" t="n">
        <f aca="false">SUM(I58:I60)</f>
        <v>1339834.57</v>
      </c>
      <c r="K62" s="376" t="n">
        <f aca="false">SUM(K58:K60)</f>
        <v>55220</v>
      </c>
      <c r="L62" s="376" t="n">
        <f aca="false">SUM(L58:L60)</f>
        <v>55220</v>
      </c>
      <c r="M62" s="376" t="n">
        <f aca="false">SUM(M58:M60)</f>
        <v>55220</v>
      </c>
      <c r="N62" s="376" t="n">
        <f aca="false">SUM(N58:N60)</f>
        <v>55220</v>
      </c>
      <c r="O62" s="376" t="n">
        <f aca="false">SUM(O58:O60)</f>
        <v>55220</v>
      </c>
      <c r="P62" s="376" t="n">
        <f aca="false">SUM(P58:P60)</f>
        <v>55220</v>
      </c>
      <c r="Q62" s="376" t="n">
        <f aca="false">SUM(Q58:Q60)</f>
        <v>55220</v>
      </c>
      <c r="R62" s="376" t="n">
        <f aca="false">SUM(R58:R60)</f>
        <v>55220</v>
      </c>
      <c r="S62" s="376" t="n">
        <f aca="false">SUM(S58:S60)</f>
        <v>55220</v>
      </c>
      <c r="T62" s="376" t="n">
        <f aca="false">SUM(T58:T60)</f>
        <v>51175.36</v>
      </c>
      <c r="U62" s="376" t="n">
        <f aca="false">SUM(U58:U60)</f>
        <v>46668</v>
      </c>
      <c r="V62" s="376" t="n">
        <f aca="false">SUM(V58:V60)</f>
        <v>46668</v>
      </c>
      <c r="W62" s="376" t="n">
        <f aca="false">SUM(W58:W60)</f>
        <v>46668</v>
      </c>
      <c r="X62" s="376" t="n">
        <f aca="false">SUM(X58:X60)</f>
        <v>46668</v>
      </c>
      <c r="Y62" s="376" t="n">
        <f aca="false">SUM(Y58:Y60)</f>
        <v>46668</v>
      </c>
      <c r="Z62" s="376" t="n">
        <f aca="false">SUM(Z58:Z60)</f>
        <v>46668</v>
      </c>
      <c r="AA62" s="376" t="n">
        <f aca="false">SUM(AA58:AA60)</f>
        <v>46668</v>
      </c>
      <c r="AB62" s="376" t="n">
        <f aca="false">SUM(AB58:AB60)</f>
        <v>46668</v>
      </c>
      <c r="AC62" s="376" t="n">
        <f aca="false">SUM(AC58:AC60)</f>
        <v>46668</v>
      </c>
      <c r="AD62" s="376" t="n">
        <f aca="false">SUM(AD58:AD60)</f>
        <v>46668</v>
      </c>
      <c r="AE62" s="376" t="n">
        <f aca="false">SUM(AE58:AE60)</f>
        <v>46668</v>
      </c>
      <c r="AF62" s="376" t="n">
        <f aca="false">SUM(AF58:AF60)</f>
        <v>46668</v>
      </c>
      <c r="AG62" s="376" t="n">
        <f aca="false">SUM(AG58:AG60)</f>
        <v>46668</v>
      </c>
      <c r="AH62" s="376" t="n">
        <f aca="false">SUM(AH58:AH60)</f>
        <v>42064.78</v>
      </c>
      <c r="AI62" s="376" t="n">
        <f aca="false">SUM(AI58:AI60)</f>
        <v>12784</v>
      </c>
      <c r="AJ62" s="376" t="n">
        <f aca="false">SUM(AJ58:AJ60)</f>
        <v>12784</v>
      </c>
      <c r="AK62" s="376" t="n">
        <f aca="false">SUM(AK58:AK60)</f>
        <v>12784</v>
      </c>
      <c r="AL62" s="376" t="n">
        <f aca="false">SUM(AL58:AL60)</f>
        <v>12784</v>
      </c>
      <c r="AM62" s="376" t="n">
        <f aca="false">SUM(AM58:AM60)</f>
        <v>12784</v>
      </c>
      <c r="AN62" s="376" t="n">
        <f aca="false">SUM(AN58:AN60)</f>
        <v>12784</v>
      </c>
      <c r="AO62" s="376" t="n">
        <f aca="false">SUM(AO58:AO60)</f>
        <v>12784</v>
      </c>
      <c r="AQ62" s="376" t="n">
        <f aca="false">SUM(AQ58:AQ60)</f>
        <v>53442.43</v>
      </c>
    </row>
    <row r="63" customFormat="false" ht="13.5" hidden="false" customHeight="false" outlineLevel="0" collapsed="false"/>
    <row r="64" customFormat="false" ht="12.75" hidden="false" customHeight="false" outlineLevel="0" collapsed="false">
      <c r="C64" s="36" t="s">
        <v>230</v>
      </c>
      <c r="E64" s="36" t="n">
        <v>1408063.74</v>
      </c>
      <c r="G64" s="36" t="n">
        <v>613206.54</v>
      </c>
      <c r="I64" s="36" t="n">
        <v>794857.2</v>
      </c>
      <c r="J64" s="36" t="n">
        <f aca="false">E64/K64</f>
        <v>34.9647076059696</v>
      </c>
      <c r="K64" s="36" t="n">
        <v>40271</v>
      </c>
      <c r="L64" s="36" t="n">
        <f aca="false">+K64</f>
        <v>40271</v>
      </c>
      <c r="M64" s="36" t="n">
        <f aca="false">+L64</f>
        <v>40271</v>
      </c>
      <c r="N64" s="36" t="n">
        <f aca="false">+M64</f>
        <v>40271</v>
      </c>
      <c r="O64" s="36" t="n">
        <f aca="false">+N64</f>
        <v>40271</v>
      </c>
      <c r="P64" s="36" t="n">
        <f aca="false">+O64</f>
        <v>40271</v>
      </c>
      <c r="Q64" s="36" t="n">
        <f aca="false">+P64</f>
        <v>40271</v>
      </c>
      <c r="R64" s="36" t="n">
        <f aca="false">+Q64</f>
        <v>40271</v>
      </c>
      <c r="S64" s="36" t="n">
        <f aca="false">+R64</f>
        <v>40271</v>
      </c>
      <c r="T64" s="36" t="n">
        <f aca="false">+S64</f>
        <v>40271</v>
      </c>
      <c r="U64" s="36" t="n">
        <f aca="false">+T64</f>
        <v>40271</v>
      </c>
      <c r="V64" s="36" t="n">
        <f aca="false">+U64</f>
        <v>40271</v>
      </c>
      <c r="W64" s="36" t="n">
        <f aca="false">+V64</f>
        <v>40271</v>
      </c>
      <c r="X64" s="36" t="n">
        <f aca="false">+W64</f>
        <v>40271</v>
      </c>
      <c r="Y64" s="36" t="n">
        <f aca="false">+X64</f>
        <v>40271</v>
      </c>
      <c r="Z64" s="36" t="n">
        <f aca="false">+Y64</f>
        <v>40271</v>
      </c>
      <c r="AA64" s="36" t="n">
        <f aca="false">+Z64</f>
        <v>40271</v>
      </c>
      <c r="AB64" s="36" t="n">
        <f aca="false">+AA64</f>
        <v>40271</v>
      </c>
      <c r="AC64" s="36" t="n">
        <f aca="false">+AB64</f>
        <v>40271</v>
      </c>
      <c r="AD64" s="36" t="n">
        <f aca="false">$I64-SUM($K64:AC64)</f>
        <v>29708.2</v>
      </c>
      <c r="AE64" s="36" t="n">
        <f aca="false">$I64-SUM($K64:AD64)</f>
        <v>0</v>
      </c>
      <c r="AF64" s="36" t="n">
        <f aca="false">$I64-SUM($K64:AE64)</f>
        <v>0</v>
      </c>
      <c r="AG64" s="36" t="n">
        <f aca="false">$I64-SUM($K64:AF64)</f>
        <v>0</v>
      </c>
      <c r="AH64" s="36" t="n">
        <f aca="false">$I64-SUM($K64:AG64)</f>
        <v>0</v>
      </c>
      <c r="AI64" s="36" t="n">
        <f aca="false">$I64-SUM($K64:AH64)</f>
        <v>0</v>
      </c>
      <c r="AJ64" s="36" t="n">
        <f aca="false">$I64-SUM($K64:AI64)</f>
        <v>0</v>
      </c>
      <c r="AK64" s="36" t="n">
        <f aca="false">$I64-SUM($K64:AJ64)</f>
        <v>0</v>
      </c>
      <c r="AL64" s="36" t="n">
        <f aca="false">$I64-SUM($K64:AK64)</f>
        <v>0</v>
      </c>
      <c r="AM64" s="36" t="n">
        <f aca="false">$I64-SUM($K64:AL64)</f>
        <v>0</v>
      </c>
      <c r="AN64" s="36" t="n">
        <f aca="false">$I64-SUM($K64:AM64)</f>
        <v>0</v>
      </c>
      <c r="AO64" s="36" t="n">
        <f aca="false">$I64-SUM($K64:AN64)</f>
        <v>0</v>
      </c>
      <c r="AQ64" s="36" t="n">
        <f aca="false">I64-SUM(K64:AP64)</f>
        <v>0</v>
      </c>
    </row>
    <row r="65" customFormat="false" ht="12.75" hidden="false" customHeight="false" outlineLevel="0" collapsed="false">
      <c r="C65" s="36" t="s">
        <v>231</v>
      </c>
      <c r="E65" s="36" t="n">
        <v>274153.31</v>
      </c>
      <c r="G65" s="36" t="n">
        <v>116273.59</v>
      </c>
      <c r="I65" s="36" t="n">
        <v>157879.72</v>
      </c>
      <c r="J65" s="36" t="n">
        <f aca="false">E65/K65</f>
        <v>59.5209096830222</v>
      </c>
      <c r="K65" s="36" t="n">
        <v>4606</v>
      </c>
      <c r="L65" s="36" t="n">
        <f aca="false">+K65</f>
        <v>4606</v>
      </c>
      <c r="M65" s="36" t="n">
        <f aca="false">+L65</f>
        <v>4606</v>
      </c>
      <c r="N65" s="36" t="n">
        <f aca="false">+M65</f>
        <v>4606</v>
      </c>
      <c r="O65" s="36" t="n">
        <f aca="false">+N65</f>
        <v>4606</v>
      </c>
      <c r="P65" s="36" t="n">
        <f aca="false">+O65</f>
        <v>4606</v>
      </c>
      <c r="Q65" s="36" t="n">
        <f aca="false">+P65</f>
        <v>4606</v>
      </c>
      <c r="R65" s="36" t="n">
        <f aca="false">+Q65</f>
        <v>4606</v>
      </c>
      <c r="S65" s="36" t="n">
        <f aca="false">+R65</f>
        <v>4606</v>
      </c>
      <c r="T65" s="36" t="n">
        <f aca="false">+S65</f>
        <v>4606</v>
      </c>
      <c r="U65" s="36" t="n">
        <f aca="false">+T65</f>
        <v>4606</v>
      </c>
      <c r="V65" s="36" t="n">
        <f aca="false">+U65</f>
        <v>4606</v>
      </c>
      <c r="W65" s="36" t="n">
        <f aca="false">+V65</f>
        <v>4606</v>
      </c>
      <c r="X65" s="36" t="n">
        <f aca="false">+W65</f>
        <v>4606</v>
      </c>
      <c r="Y65" s="36" t="n">
        <f aca="false">+X65</f>
        <v>4606</v>
      </c>
      <c r="Z65" s="36" t="n">
        <f aca="false">+Y65</f>
        <v>4606</v>
      </c>
      <c r="AA65" s="36" t="n">
        <f aca="false">+Z65</f>
        <v>4606</v>
      </c>
      <c r="AB65" s="36" t="n">
        <f aca="false">+AA65</f>
        <v>4606</v>
      </c>
      <c r="AC65" s="36" t="n">
        <f aca="false">+AB65</f>
        <v>4606</v>
      </c>
      <c r="AD65" s="36" t="n">
        <f aca="false">+AC65</f>
        <v>4606</v>
      </c>
      <c r="AE65" s="36" t="n">
        <f aca="false">+AD65</f>
        <v>4606</v>
      </c>
      <c r="AF65" s="36" t="n">
        <f aca="false">+AE65</f>
        <v>4606</v>
      </c>
      <c r="AG65" s="36" t="n">
        <f aca="false">+AF65</f>
        <v>4606</v>
      </c>
      <c r="AH65" s="36" t="n">
        <f aca="false">+AG65</f>
        <v>4606</v>
      </c>
      <c r="AI65" s="36" t="n">
        <f aca="false">+AH65</f>
        <v>4606</v>
      </c>
      <c r="AJ65" s="36" t="n">
        <f aca="false">+AI65</f>
        <v>4606</v>
      </c>
      <c r="AK65" s="36" t="n">
        <f aca="false">+AJ65</f>
        <v>4606</v>
      </c>
      <c r="AL65" s="36" t="n">
        <f aca="false">+AK65</f>
        <v>4606</v>
      </c>
      <c r="AM65" s="36" t="n">
        <f aca="false">+AL65</f>
        <v>4606</v>
      </c>
      <c r="AN65" s="36" t="n">
        <f aca="false">+AM65</f>
        <v>4606</v>
      </c>
      <c r="AO65" s="36" t="n">
        <f aca="false">+AN65</f>
        <v>4606</v>
      </c>
      <c r="AQ65" s="36" t="n">
        <f aca="false">I65-SUM(K65:AP65)</f>
        <v>15093.72</v>
      </c>
    </row>
    <row r="66" customFormat="false" ht="12.75" hidden="false" customHeight="false" outlineLevel="0" collapsed="false">
      <c r="C66" s="36" t="s">
        <v>232</v>
      </c>
      <c r="E66" s="36" t="n">
        <v>884614.94</v>
      </c>
      <c r="G66" s="36" t="n">
        <v>575801.15</v>
      </c>
      <c r="I66" s="36" t="n">
        <v>308813.79</v>
      </c>
      <c r="J66" s="36" t="n">
        <f aca="false">E66/K66</f>
        <v>59.5219310994483</v>
      </c>
      <c r="K66" s="36" t="n">
        <v>14862</v>
      </c>
      <c r="L66" s="36" t="n">
        <f aca="false">+K66</f>
        <v>14862</v>
      </c>
      <c r="M66" s="36" t="n">
        <f aca="false">+L66</f>
        <v>14862</v>
      </c>
      <c r="N66" s="36" t="n">
        <f aca="false">+M66</f>
        <v>14862</v>
      </c>
      <c r="O66" s="36" t="n">
        <f aca="false">+N66</f>
        <v>14862</v>
      </c>
      <c r="P66" s="36" t="n">
        <f aca="false">+O66</f>
        <v>14862</v>
      </c>
      <c r="Q66" s="36" t="n">
        <f aca="false">+P66</f>
        <v>14862</v>
      </c>
      <c r="R66" s="36" t="n">
        <f aca="false">+Q66</f>
        <v>14862</v>
      </c>
      <c r="S66" s="36" t="n">
        <f aca="false">+R66</f>
        <v>14862</v>
      </c>
      <c r="T66" s="36" t="n">
        <f aca="false">+S66</f>
        <v>14862</v>
      </c>
      <c r="U66" s="36" t="n">
        <f aca="false">+T66</f>
        <v>14862</v>
      </c>
      <c r="V66" s="36" t="n">
        <f aca="false">+U66</f>
        <v>14862</v>
      </c>
      <c r="W66" s="36" t="n">
        <f aca="false">+V66</f>
        <v>14862</v>
      </c>
      <c r="X66" s="36" t="n">
        <f aca="false">+W66</f>
        <v>14862</v>
      </c>
      <c r="Y66" s="36" t="n">
        <f aca="false">+X66</f>
        <v>14862</v>
      </c>
      <c r="Z66" s="36" t="n">
        <f aca="false">+Y66</f>
        <v>14862</v>
      </c>
      <c r="AA66" s="36" t="n">
        <f aca="false">+Z66</f>
        <v>14862</v>
      </c>
      <c r="AB66" s="36" t="n">
        <f aca="false">+AA66</f>
        <v>14862</v>
      </c>
      <c r="AC66" s="36" t="n">
        <f aca="false">+AB66</f>
        <v>14862</v>
      </c>
      <c r="AD66" s="36" t="n">
        <f aca="false">+AC66</f>
        <v>14862</v>
      </c>
      <c r="AE66" s="36" t="n">
        <f aca="false">$I66-SUM($K66:AD66)</f>
        <v>11573.79</v>
      </c>
      <c r="AF66" s="36" t="n">
        <f aca="false">$I66-SUM($K66:AE66)</f>
        <v>0</v>
      </c>
      <c r="AG66" s="36" t="n">
        <f aca="false">$I66-SUM($K66:AF66)</f>
        <v>0</v>
      </c>
      <c r="AH66" s="36" t="n">
        <f aca="false">$I66-SUM($K66:AG66)</f>
        <v>0</v>
      </c>
      <c r="AI66" s="36" t="n">
        <f aca="false">$I66-SUM($K66:AH66)</f>
        <v>0</v>
      </c>
      <c r="AJ66" s="36" t="n">
        <f aca="false">$I66-SUM($K66:AI66)</f>
        <v>0</v>
      </c>
      <c r="AK66" s="36" t="n">
        <f aca="false">$I66-SUM($K66:AJ66)</f>
        <v>0</v>
      </c>
      <c r="AL66" s="36" t="n">
        <f aca="false">$I66-SUM($K66:AK66)</f>
        <v>0</v>
      </c>
      <c r="AM66" s="36" t="n">
        <f aca="false">$I66-SUM($K66:AL66)</f>
        <v>0</v>
      </c>
      <c r="AN66" s="36" t="n">
        <f aca="false">$I66-SUM($K66:AM66)</f>
        <v>0</v>
      </c>
      <c r="AO66" s="36" t="n">
        <f aca="false">$I66-SUM($K66:AN66)</f>
        <v>0</v>
      </c>
      <c r="AQ66" s="36" t="n">
        <f aca="false">I66-SUM(K66:AP66)</f>
        <v>0</v>
      </c>
    </row>
    <row r="67" customFormat="false" ht="12.75" hidden="false" customHeight="false" outlineLevel="0" collapsed="false">
      <c r="C67" s="36" t="s">
        <v>233</v>
      </c>
      <c r="E67" s="36" t="n">
        <v>131002.14</v>
      </c>
      <c r="G67" s="36" t="n">
        <v>121085.79</v>
      </c>
      <c r="I67" s="36" t="n">
        <v>9916.35000000001</v>
      </c>
      <c r="J67" s="36" t="n">
        <f aca="false">E67/K67</f>
        <v>59.5193730122672</v>
      </c>
      <c r="K67" s="36" t="n">
        <v>2201</v>
      </c>
      <c r="L67" s="36" t="n">
        <f aca="false">+K67</f>
        <v>2201</v>
      </c>
      <c r="M67" s="36" t="n">
        <f aca="false">+L67</f>
        <v>2201</v>
      </c>
      <c r="N67" s="36" t="n">
        <f aca="false">+M67</f>
        <v>2201</v>
      </c>
      <c r="O67" s="36" t="n">
        <f aca="false">$I67-SUM($K67:N67)</f>
        <v>1112.35000000001</v>
      </c>
      <c r="P67" s="36" t="n">
        <f aca="false">$I67-SUM($K67:O67)</f>
        <v>0</v>
      </c>
      <c r="Q67" s="36" t="n">
        <f aca="false">$I67-SUM($K67:P67)</f>
        <v>0</v>
      </c>
      <c r="R67" s="36" t="n">
        <f aca="false">$I67-SUM($K67:Q67)</f>
        <v>0</v>
      </c>
      <c r="S67" s="36" t="n">
        <f aca="false">$I67-SUM($K67:R67)</f>
        <v>0</v>
      </c>
      <c r="T67" s="36" t="n">
        <f aca="false">$I67-SUM($K67:S67)</f>
        <v>0</v>
      </c>
      <c r="U67" s="36" t="n">
        <f aca="false">$I67-SUM($K67:T67)</f>
        <v>0</v>
      </c>
      <c r="V67" s="36" t="n">
        <f aca="false">$I67-SUM($K67:U67)</f>
        <v>0</v>
      </c>
      <c r="W67" s="36" t="n">
        <f aca="false">$I67-SUM($K67:V67)</f>
        <v>0</v>
      </c>
      <c r="X67" s="36" t="n">
        <f aca="false">$I67-SUM($K67:W67)</f>
        <v>0</v>
      </c>
      <c r="Y67" s="36" t="n">
        <f aca="false">$I67-SUM($K67:X67)</f>
        <v>0</v>
      </c>
      <c r="Z67" s="36" t="n">
        <f aca="false">$I67-SUM($K67:Y67)</f>
        <v>0</v>
      </c>
      <c r="AA67" s="36" t="n">
        <f aca="false">$I67-SUM($K67:Z67)</f>
        <v>0</v>
      </c>
      <c r="AB67" s="36" t="n">
        <f aca="false">$I67-SUM($K67:AA67)</f>
        <v>0</v>
      </c>
      <c r="AC67" s="36" t="n">
        <f aca="false">$I67-SUM($K67:AB67)</f>
        <v>0</v>
      </c>
      <c r="AD67" s="36" t="n">
        <f aca="false">$I67-SUM($K67:AC67)</f>
        <v>0</v>
      </c>
      <c r="AE67" s="36" t="n">
        <f aca="false">$I67-SUM($K67:AD67)</f>
        <v>0</v>
      </c>
      <c r="AF67" s="36" t="n">
        <f aca="false">$I67-SUM($K67:AE67)</f>
        <v>0</v>
      </c>
      <c r="AG67" s="36" t="n">
        <f aca="false">$I67-SUM($K67:AF67)</f>
        <v>0</v>
      </c>
      <c r="AH67" s="36" t="n">
        <f aca="false">$I67-SUM($K67:AG67)</f>
        <v>0</v>
      </c>
      <c r="AI67" s="36" t="n">
        <f aca="false">$I67-SUM($K67:AH67)</f>
        <v>0</v>
      </c>
      <c r="AJ67" s="36" t="n">
        <f aca="false">$I67-SUM($K67:AI67)</f>
        <v>0</v>
      </c>
      <c r="AK67" s="36" t="n">
        <f aca="false">$I67-SUM($K67:AJ67)</f>
        <v>0</v>
      </c>
      <c r="AL67" s="36" t="n">
        <f aca="false">$I67-SUM($K67:AK67)</f>
        <v>0</v>
      </c>
      <c r="AM67" s="36" t="n">
        <f aca="false">$I67-SUM($K67:AL67)</f>
        <v>0</v>
      </c>
      <c r="AN67" s="36" t="n">
        <f aca="false">$I67-SUM($K67:AM67)</f>
        <v>0</v>
      </c>
      <c r="AO67" s="36" t="n">
        <f aca="false">$I67-SUM($K67:AN67)</f>
        <v>0</v>
      </c>
      <c r="AQ67" s="36" t="n">
        <f aca="false">I67-SUM(K67:AP67)</f>
        <v>0</v>
      </c>
    </row>
    <row r="69" customFormat="false" ht="13.5" hidden="false" customHeight="false" outlineLevel="0" collapsed="false">
      <c r="C69" s="36" t="s">
        <v>234</v>
      </c>
      <c r="E69" s="376" t="n">
        <f aca="false">SUM(E64:E68)</f>
        <v>2697834.13</v>
      </c>
      <c r="G69" s="376" t="n">
        <f aca="false">SUM(G64:G68)</f>
        <v>1426367.07</v>
      </c>
      <c r="I69" s="376" t="n">
        <f aca="false">SUM(I64:I68)</f>
        <v>1271467.06</v>
      </c>
      <c r="J69" s="36" t="n">
        <f aca="false">E69/K69</f>
        <v>43.5556042944785</v>
      </c>
      <c r="K69" s="376" t="n">
        <f aca="false">SUM(K64:K68)</f>
        <v>61940</v>
      </c>
      <c r="L69" s="376" t="n">
        <f aca="false">SUM(L64:L68)</f>
        <v>61940</v>
      </c>
      <c r="M69" s="376" t="n">
        <f aca="false">SUM(M64:M68)</f>
        <v>61940</v>
      </c>
      <c r="N69" s="376" t="n">
        <f aca="false">SUM(N64:N68)</f>
        <v>61940</v>
      </c>
      <c r="O69" s="376" t="n">
        <f aca="false">SUM(O64:O68)</f>
        <v>60851.35</v>
      </c>
      <c r="P69" s="376" t="n">
        <f aca="false">SUM(P64:P68)</f>
        <v>59739</v>
      </c>
      <c r="Q69" s="376" t="n">
        <f aca="false">SUM(Q64:Q68)</f>
        <v>59739</v>
      </c>
      <c r="R69" s="376" t="n">
        <f aca="false">SUM(R64:R68)</f>
        <v>59739</v>
      </c>
      <c r="S69" s="376" t="n">
        <f aca="false">SUM(S64:S68)</f>
        <v>59739</v>
      </c>
      <c r="T69" s="376" t="n">
        <f aca="false">SUM(T64:T68)</f>
        <v>59739</v>
      </c>
      <c r="U69" s="376" t="n">
        <f aca="false">SUM(U64:U68)</f>
        <v>59739</v>
      </c>
      <c r="V69" s="376" t="n">
        <f aca="false">SUM(V64:V68)</f>
        <v>59739</v>
      </c>
      <c r="W69" s="376" t="n">
        <f aca="false">SUM(W64:W68)</f>
        <v>59739</v>
      </c>
      <c r="X69" s="376" t="n">
        <f aca="false">SUM(X64:X68)</f>
        <v>59739</v>
      </c>
      <c r="Y69" s="376" t="n">
        <f aca="false">SUM(Y64:Y68)</f>
        <v>59739</v>
      </c>
      <c r="Z69" s="376" t="n">
        <f aca="false">SUM(Z64:Z68)</f>
        <v>59739</v>
      </c>
      <c r="AA69" s="376" t="n">
        <f aca="false">SUM(AA64:AA68)</f>
        <v>59739</v>
      </c>
      <c r="AB69" s="376" t="n">
        <f aca="false">SUM(AB64:AB68)</f>
        <v>59739</v>
      </c>
      <c r="AC69" s="376" t="n">
        <f aca="false">SUM(AC64:AC68)</f>
        <v>59739</v>
      </c>
      <c r="AD69" s="376" t="n">
        <f aca="false">SUM(AD64:AD68)</f>
        <v>49176.2</v>
      </c>
      <c r="AE69" s="376" t="n">
        <f aca="false">SUM(AE64:AE68)</f>
        <v>16179.79</v>
      </c>
      <c r="AF69" s="376" t="n">
        <f aca="false">SUM(AF64:AF68)</f>
        <v>4606</v>
      </c>
      <c r="AG69" s="376" t="n">
        <f aca="false">SUM(AG64:AG68)</f>
        <v>4606</v>
      </c>
      <c r="AH69" s="376" t="n">
        <f aca="false">SUM(AH64:AH68)</f>
        <v>4606</v>
      </c>
      <c r="AI69" s="376" t="n">
        <f aca="false">SUM(AI64:AI68)</f>
        <v>4606</v>
      </c>
      <c r="AJ69" s="376" t="n">
        <f aca="false">SUM(AJ64:AJ68)</f>
        <v>4606</v>
      </c>
      <c r="AK69" s="376" t="n">
        <f aca="false">SUM(AK64:AK68)</f>
        <v>4606</v>
      </c>
      <c r="AL69" s="376" t="n">
        <f aca="false">SUM(AL64:AL68)</f>
        <v>4606</v>
      </c>
      <c r="AM69" s="376" t="n">
        <f aca="false">SUM(AM64:AM68)</f>
        <v>4606</v>
      </c>
      <c r="AN69" s="376" t="n">
        <f aca="false">SUM(AN64:AN68)</f>
        <v>4606</v>
      </c>
      <c r="AO69" s="376" t="n">
        <f aca="false">SUM(AO64:AO68)</f>
        <v>4606</v>
      </c>
      <c r="AQ69" s="376" t="n">
        <f aca="false">SUM(AQ64:AQ68)</f>
        <v>15093.72</v>
      </c>
    </row>
    <row r="70" customFormat="false" ht="13.5" hidden="false" customHeight="false" outlineLevel="0" collapsed="false"/>
    <row r="71" customFormat="false" ht="13.5" hidden="false" customHeight="false" outlineLevel="0" collapsed="false">
      <c r="C71" s="328" t="s">
        <v>235</v>
      </c>
      <c r="D71" s="371"/>
      <c r="E71" s="373" t="n">
        <v>1701565.31</v>
      </c>
      <c r="F71" s="371"/>
      <c r="G71" s="373" t="n">
        <v>462851.05</v>
      </c>
      <c r="H71" s="371"/>
      <c r="I71" s="373" t="n">
        <v>1238714.26</v>
      </c>
      <c r="J71" s="36" t="n">
        <f aca="false">E71/K71</f>
        <v>59.5244283915203</v>
      </c>
      <c r="K71" s="373" t="n">
        <v>28586</v>
      </c>
      <c r="L71" s="374" t="n">
        <f aca="false">+K71</f>
        <v>28586</v>
      </c>
      <c r="M71" s="374" t="n">
        <f aca="false">+L71</f>
        <v>28586</v>
      </c>
      <c r="N71" s="374" t="n">
        <f aca="false">+M71</f>
        <v>28586</v>
      </c>
      <c r="O71" s="374" t="n">
        <f aca="false">+N71</f>
        <v>28586</v>
      </c>
      <c r="P71" s="374" t="n">
        <f aca="false">+O71</f>
        <v>28586</v>
      </c>
      <c r="Q71" s="374" t="n">
        <f aca="false">+P71</f>
        <v>28586</v>
      </c>
      <c r="R71" s="374" t="n">
        <f aca="false">+Q71</f>
        <v>28586</v>
      </c>
      <c r="S71" s="374" t="n">
        <f aca="false">+R71</f>
        <v>28586</v>
      </c>
      <c r="T71" s="374" t="n">
        <f aca="false">+S71</f>
        <v>28586</v>
      </c>
      <c r="U71" s="374" t="n">
        <f aca="false">+T71</f>
        <v>28586</v>
      </c>
      <c r="V71" s="374" t="n">
        <f aca="false">+U71</f>
        <v>28586</v>
      </c>
      <c r="W71" s="374" t="n">
        <f aca="false">+V71</f>
        <v>28586</v>
      </c>
      <c r="X71" s="374" t="n">
        <f aca="false">+W71</f>
        <v>28586</v>
      </c>
      <c r="Y71" s="374" t="n">
        <f aca="false">+X71</f>
        <v>28586</v>
      </c>
      <c r="Z71" s="374" t="n">
        <f aca="false">+Y71</f>
        <v>28586</v>
      </c>
      <c r="AA71" s="374" t="n">
        <f aca="false">+Z71</f>
        <v>28586</v>
      </c>
      <c r="AB71" s="374" t="n">
        <f aca="false">+AA71</f>
        <v>28586</v>
      </c>
      <c r="AC71" s="374" t="n">
        <f aca="false">+AB71</f>
        <v>28586</v>
      </c>
      <c r="AD71" s="374" t="n">
        <f aca="false">+AC71</f>
        <v>28586</v>
      </c>
      <c r="AE71" s="374" t="n">
        <f aca="false">+AD71</f>
        <v>28586</v>
      </c>
      <c r="AF71" s="374" t="n">
        <f aca="false">+AE71</f>
        <v>28586</v>
      </c>
      <c r="AG71" s="374" t="n">
        <f aca="false">+AF71</f>
        <v>28586</v>
      </c>
      <c r="AH71" s="374" t="n">
        <f aca="false">+AG71</f>
        <v>28586</v>
      </c>
      <c r="AI71" s="374" t="n">
        <f aca="false">+AH71</f>
        <v>28586</v>
      </c>
      <c r="AJ71" s="374" t="n">
        <f aca="false">+AI71</f>
        <v>28586</v>
      </c>
      <c r="AK71" s="374" t="n">
        <f aca="false">+AJ71</f>
        <v>28586</v>
      </c>
      <c r="AL71" s="374" t="n">
        <f aca="false">+AK71</f>
        <v>28586</v>
      </c>
      <c r="AM71" s="374" t="n">
        <f aca="false">+AL71</f>
        <v>28586</v>
      </c>
      <c r="AN71" s="374" t="n">
        <f aca="false">+AM71</f>
        <v>28586</v>
      </c>
      <c r="AO71" s="374" t="n">
        <f aca="false">+AN71</f>
        <v>28586</v>
      </c>
      <c r="AQ71" s="374" t="n">
        <f aca="false">I71-SUM(K71:AP71)</f>
        <v>352548.26</v>
      </c>
    </row>
    <row r="72" customFormat="false" ht="13.5" hidden="false" customHeight="false" outlineLevel="0" collapsed="false"/>
    <row r="73" customFormat="false" ht="13.5" hidden="false" customHeight="false" outlineLevel="0" collapsed="false">
      <c r="C73" s="328" t="s">
        <v>236</v>
      </c>
      <c r="D73" s="371"/>
      <c r="E73" s="373" t="n">
        <v>1790576.07</v>
      </c>
      <c r="F73" s="371"/>
      <c r="G73" s="373" t="n">
        <v>966398.98</v>
      </c>
      <c r="H73" s="371"/>
      <c r="I73" s="373" t="n">
        <v>824177.09</v>
      </c>
      <c r="J73" s="36" t="n">
        <f aca="false">E73/K73</f>
        <v>34.965359695372</v>
      </c>
      <c r="K73" s="373" t="n">
        <v>51210</v>
      </c>
      <c r="L73" s="374" t="n">
        <f aca="false">+K73</f>
        <v>51210</v>
      </c>
      <c r="M73" s="374" t="n">
        <f aca="false">+L73</f>
        <v>51210</v>
      </c>
      <c r="N73" s="374" t="n">
        <f aca="false">+M73</f>
        <v>51210</v>
      </c>
      <c r="O73" s="374" t="n">
        <f aca="false">+N73</f>
        <v>51210</v>
      </c>
      <c r="P73" s="374" t="n">
        <f aca="false">+O73</f>
        <v>51210</v>
      </c>
      <c r="Q73" s="374" t="n">
        <f aca="false">+P73</f>
        <v>51210</v>
      </c>
      <c r="R73" s="374" t="n">
        <f aca="false">+Q73</f>
        <v>51210</v>
      </c>
      <c r="S73" s="374" t="n">
        <f aca="false">+R73</f>
        <v>51210</v>
      </c>
      <c r="T73" s="374" t="n">
        <f aca="false">+S73</f>
        <v>51210</v>
      </c>
      <c r="U73" s="374" t="n">
        <f aca="false">+T73</f>
        <v>51210</v>
      </c>
      <c r="V73" s="374" t="n">
        <f aca="false">+U73</f>
        <v>51210</v>
      </c>
      <c r="W73" s="374" t="n">
        <f aca="false">+V73</f>
        <v>51210</v>
      </c>
      <c r="X73" s="374" t="n">
        <f aca="false">+W73</f>
        <v>51210</v>
      </c>
      <c r="Y73" s="374" t="n">
        <f aca="false">+X73</f>
        <v>51210</v>
      </c>
      <c r="Z73" s="374" t="n">
        <f aca="false">+Y73</f>
        <v>51210</v>
      </c>
      <c r="AA73" s="374" t="n">
        <f aca="false">$I73-SUM($K73:Z73)</f>
        <v>4817.08999999997</v>
      </c>
      <c r="AB73" s="374" t="n">
        <f aca="false">$I73-SUM($K73:AA73)</f>
        <v>0</v>
      </c>
      <c r="AC73" s="374" t="n">
        <f aca="false">$I73-SUM($K73:AB73)</f>
        <v>0</v>
      </c>
      <c r="AD73" s="374" t="n">
        <f aca="false">$I73-SUM($K73:AC73)</f>
        <v>0</v>
      </c>
      <c r="AE73" s="374" t="n">
        <f aca="false">$I73-SUM($K73:AD73)</f>
        <v>0</v>
      </c>
      <c r="AF73" s="374" t="n">
        <f aca="false">$I73-SUM($K73:AE73)</f>
        <v>0</v>
      </c>
      <c r="AG73" s="374" t="n">
        <f aca="false">$I73-SUM($K73:AF73)</f>
        <v>0</v>
      </c>
      <c r="AH73" s="374" t="n">
        <f aca="false">$I73-SUM($K73:AG73)</f>
        <v>0</v>
      </c>
      <c r="AI73" s="374" t="n">
        <f aca="false">$I73-SUM($K73:AH73)</f>
        <v>0</v>
      </c>
      <c r="AJ73" s="374" t="n">
        <f aca="false">$I73-SUM($K73:AI73)</f>
        <v>0</v>
      </c>
      <c r="AK73" s="374" t="n">
        <f aca="false">$I73-SUM($K73:AJ73)</f>
        <v>0</v>
      </c>
      <c r="AL73" s="374" t="n">
        <f aca="false">$I73-SUM($K73:AK73)</f>
        <v>0</v>
      </c>
      <c r="AM73" s="374" t="n">
        <f aca="false">$I73-SUM($K73:AL73)</f>
        <v>0</v>
      </c>
      <c r="AN73" s="374" t="n">
        <f aca="false">$I73-SUM($K73:AM73)</f>
        <v>0</v>
      </c>
      <c r="AO73" s="374" t="n">
        <f aca="false">$I73-SUM($K73:AN73)</f>
        <v>0</v>
      </c>
      <c r="AQ73" s="374" t="n">
        <f aca="false">I73-SUM(K73:AP73)</f>
        <v>0</v>
      </c>
    </row>
    <row r="74" customFormat="false" ht="13.5" hidden="false" customHeight="false" outlineLevel="0" collapsed="false"/>
    <row r="75" customFormat="false" ht="13.5" hidden="false" customHeight="false" outlineLevel="0" collapsed="false">
      <c r="C75" s="328" t="s">
        <v>237</v>
      </c>
      <c r="D75" s="371"/>
      <c r="E75" s="373" t="n">
        <v>333253.61</v>
      </c>
      <c r="F75" s="371"/>
      <c r="G75" s="373" t="n">
        <v>202631.34</v>
      </c>
      <c r="H75" s="371"/>
      <c r="I75" s="373" t="n">
        <v>130622.27</v>
      </c>
      <c r="J75" s="36" t="n">
        <f aca="false">E75/K75</f>
        <v>34.9652303011227</v>
      </c>
      <c r="K75" s="373" t="n">
        <v>9531</v>
      </c>
      <c r="L75" s="374" t="n">
        <f aca="false">+K75</f>
        <v>9531</v>
      </c>
      <c r="M75" s="374" t="n">
        <f aca="false">+L75</f>
        <v>9531</v>
      </c>
      <c r="N75" s="374" t="n">
        <f aca="false">+M75</f>
        <v>9531</v>
      </c>
      <c r="O75" s="374" t="n">
        <f aca="false">+N75</f>
        <v>9531</v>
      </c>
      <c r="P75" s="374" t="n">
        <f aca="false">+O75</f>
        <v>9531</v>
      </c>
      <c r="Q75" s="374" t="n">
        <f aca="false">+P75</f>
        <v>9531</v>
      </c>
      <c r="R75" s="374" t="n">
        <f aca="false">+Q75</f>
        <v>9531</v>
      </c>
      <c r="S75" s="374" t="n">
        <f aca="false">+R75</f>
        <v>9531</v>
      </c>
      <c r="T75" s="374" t="n">
        <f aca="false">+S75</f>
        <v>9531</v>
      </c>
      <c r="U75" s="374" t="n">
        <f aca="false">+T75</f>
        <v>9531</v>
      </c>
      <c r="V75" s="374" t="n">
        <f aca="false">+U75</f>
        <v>9531</v>
      </c>
      <c r="W75" s="374" t="n">
        <f aca="false">+V75</f>
        <v>9531</v>
      </c>
      <c r="X75" s="374" t="n">
        <f aca="false">$I75-SUM($K75:W75)</f>
        <v>6719.27</v>
      </c>
      <c r="Y75" s="374" t="n">
        <f aca="false">$I75-SUM($K75:X75)</f>
        <v>0</v>
      </c>
      <c r="Z75" s="374" t="n">
        <f aca="false">$I75-SUM($K75:Y75)</f>
        <v>0</v>
      </c>
      <c r="AA75" s="374" t="n">
        <f aca="false">$I75-SUM($K75:Z75)</f>
        <v>0</v>
      </c>
      <c r="AB75" s="374" t="n">
        <f aca="false">$I75-SUM($K75:AA75)</f>
        <v>0</v>
      </c>
      <c r="AC75" s="374" t="n">
        <f aca="false">$I75-SUM($K75:AB75)</f>
        <v>0</v>
      </c>
      <c r="AD75" s="374" t="n">
        <f aca="false">$I75-SUM($K75:AC75)</f>
        <v>0</v>
      </c>
      <c r="AE75" s="374" t="n">
        <f aca="false">$I75-SUM($K75:AD75)</f>
        <v>0</v>
      </c>
      <c r="AF75" s="374" t="n">
        <f aca="false">$I75-SUM($K75:AE75)</f>
        <v>0</v>
      </c>
      <c r="AG75" s="374" t="n">
        <f aca="false">$I75-SUM($K75:AF75)</f>
        <v>0</v>
      </c>
      <c r="AH75" s="374" t="n">
        <f aca="false">$I75-SUM($K75:AG75)</f>
        <v>0</v>
      </c>
      <c r="AI75" s="374" t="n">
        <f aca="false">$I75-SUM($K75:AH75)</f>
        <v>0</v>
      </c>
      <c r="AJ75" s="374" t="n">
        <f aca="false">$I75-SUM($K75:AI75)</f>
        <v>0</v>
      </c>
      <c r="AK75" s="374" t="n">
        <f aca="false">$I75-SUM($K75:AJ75)</f>
        <v>0</v>
      </c>
      <c r="AL75" s="374" t="n">
        <f aca="false">$I75-SUM($K75:AK75)</f>
        <v>0</v>
      </c>
      <c r="AM75" s="374" t="n">
        <f aca="false">$I75-SUM($K75:AL75)</f>
        <v>0</v>
      </c>
      <c r="AN75" s="374" t="n">
        <f aca="false">$I75-SUM($K75:AM75)</f>
        <v>0</v>
      </c>
      <c r="AO75" s="374" t="n">
        <f aca="false">$I75-SUM($K75:AN75)</f>
        <v>0</v>
      </c>
      <c r="AQ75" s="374" t="n">
        <f aca="false">I75-SUM(K75:AP75)</f>
        <v>0</v>
      </c>
    </row>
    <row r="76" customFormat="false" ht="13.5" hidden="false" customHeight="false" outlineLevel="0" collapsed="false"/>
    <row r="77" customFormat="false" ht="13.5" hidden="false" customHeight="false" outlineLevel="0" collapsed="false">
      <c r="C77" s="328" t="s">
        <v>238</v>
      </c>
      <c r="D77" s="371"/>
      <c r="E77" s="373" t="n">
        <v>3150960.7</v>
      </c>
      <c r="F77" s="371"/>
      <c r="G77" s="373" t="n">
        <v>294928.84</v>
      </c>
      <c r="H77" s="371"/>
      <c r="I77" s="373" t="n">
        <v>2856031.86</v>
      </c>
      <c r="J77" s="36" t="n">
        <f aca="false">E77/K77</f>
        <v>59.5239666767417</v>
      </c>
      <c r="K77" s="373" t="n">
        <v>52936</v>
      </c>
      <c r="L77" s="374" t="n">
        <f aca="false">+K77</f>
        <v>52936</v>
      </c>
      <c r="M77" s="374" t="n">
        <f aca="false">+L77</f>
        <v>52936</v>
      </c>
      <c r="N77" s="374" t="n">
        <f aca="false">+M77</f>
        <v>52936</v>
      </c>
      <c r="O77" s="374" t="n">
        <f aca="false">+N77</f>
        <v>52936</v>
      </c>
      <c r="P77" s="374" t="n">
        <f aca="false">+O77</f>
        <v>52936</v>
      </c>
      <c r="Q77" s="374" t="n">
        <f aca="false">+P77</f>
        <v>52936</v>
      </c>
      <c r="R77" s="374" t="n">
        <f aca="false">+Q77</f>
        <v>52936</v>
      </c>
      <c r="S77" s="374" t="n">
        <f aca="false">+R77</f>
        <v>52936</v>
      </c>
      <c r="T77" s="374" t="n">
        <f aca="false">+S77</f>
        <v>52936</v>
      </c>
      <c r="U77" s="374" t="n">
        <f aca="false">+T77</f>
        <v>52936</v>
      </c>
      <c r="V77" s="374" t="n">
        <f aca="false">+U77</f>
        <v>52936</v>
      </c>
      <c r="W77" s="374" t="n">
        <f aca="false">+V77</f>
        <v>52936</v>
      </c>
      <c r="X77" s="374" t="n">
        <f aca="false">+W77</f>
        <v>52936</v>
      </c>
      <c r="Y77" s="374" t="n">
        <f aca="false">+X77</f>
        <v>52936</v>
      </c>
      <c r="Z77" s="374" t="n">
        <f aca="false">+Y77</f>
        <v>52936</v>
      </c>
      <c r="AA77" s="374" t="n">
        <f aca="false">+Z77</f>
        <v>52936</v>
      </c>
      <c r="AB77" s="374" t="n">
        <f aca="false">+AA77</f>
        <v>52936</v>
      </c>
      <c r="AC77" s="374" t="n">
        <f aca="false">+AB77</f>
        <v>52936</v>
      </c>
      <c r="AD77" s="374" t="n">
        <f aca="false">+AC77</f>
        <v>52936</v>
      </c>
      <c r="AE77" s="374" t="n">
        <f aca="false">+AD77</f>
        <v>52936</v>
      </c>
      <c r="AF77" s="374" t="n">
        <f aca="false">+AE77</f>
        <v>52936</v>
      </c>
      <c r="AG77" s="374" t="n">
        <f aca="false">+AF77</f>
        <v>52936</v>
      </c>
      <c r="AH77" s="374" t="n">
        <f aca="false">+AG77</f>
        <v>52936</v>
      </c>
      <c r="AI77" s="374" t="n">
        <f aca="false">+AH77</f>
        <v>52936</v>
      </c>
      <c r="AJ77" s="374" t="n">
        <f aca="false">+AI77</f>
        <v>52936</v>
      </c>
      <c r="AK77" s="374" t="n">
        <f aca="false">+AJ77</f>
        <v>52936</v>
      </c>
      <c r="AL77" s="374" t="n">
        <f aca="false">+AK77</f>
        <v>52936</v>
      </c>
      <c r="AM77" s="374" t="n">
        <f aca="false">+AL77</f>
        <v>52936</v>
      </c>
      <c r="AN77" s="374" t="n">
        <f aca="false">+AM77</f>
        <v>52936</v>
      </c>
      <c r="AO77" s="374" t="n">
        <f aca="false">+AN77</f>
        <v>52936</v>
      </c>
      <c r="AQ77" s="374" t="n">
        <f aca="false">I77-SUM(K77:AP77)</f>
        <v>1215015.86</v>
      </c>
    </row>
    <row r="78" customFormat="false" ht="13.5" hidden="false" customHeight="false" outlineLevel="0" collapsed="false"/>
    <row r="79" customFormat="false" ht="13.5" hidden="false" customHeight="false" outlineLevel="0" collapsed="false">
      <c r="C79" s="328" t="s">
        <v>239</v>
      </c>
      <c r="D79" s="371"/>
      <c r="E79" s="373" t="n">
        <v>2260582.98</v>
      </c>
      <c r="F79" s="371"/>
      <c r="G79" s="373" t="n">
        <v>540594.73</v>
      </c>
      <c r="H79" s="371"/>
      <c r="I79" s="373" t="n">
        <v>1719988.25</v>
      </c>
      <c r="J79" s="36" t="n">
        <f aca="false">E79/K79</f>
        <v>34.964858243237</v>
      </c>
      <c r="K79" s="373" t="n">
        <v>64653</v>
      </c>
      <c r="L79" s="374" t="n">
        <f aca="false">+K79</f>
        <v>64653</v>
      </c>
      <c r="M79" s="374" t="n">
        <f aca="false">+L79</f>
        <v>64653</v>
      </c>
      <c r="N79" s="374" t="n">
        <f aca="false">+M79</f>
        <v>64653</v>
      </c>
      <c r="O79" s="374" t="n">
        <f aca="false">+N79</f>
        <v>64653</v>
      </c>
      <c r="P79" s="374" t="n">
        <f aca="false">+O79</f>
        <v>64653</v>
      </c>
      <c r="Q79" s="374" t="n">
        <f aca="false">+P79</f>
        <v>64653</v>
      </c>
      <c r="R79" s="374" t="n">
        <f aca="false">+Q79</f>
        <v>64653</v>
      </c>
      <c r="S79" s="374" t="n">
        <f aca="false">+R79</f>
        <v>64653</v>
      </c>
      <c r="T79" s="374" t="n">
        <f aca="false">+S79</f>
        <v>64653</v>
      </c>
      <c r="U79" s="374" t="n">
        <f aca="false">+T79</f>
        <v>64653</v>
      </c>
      <c r="V79" s="374" t="n">
        <f aca="false">+U79</f>
        <v>64653</v>
      </c>
      <c r="W79" s="374" t="n">
        <f aca="false">+V79</f>
        <v>64653</v>
      </c>
      <c r="X79" s="374" t="n">
        <f aca="false">+W79</f>
        <v>64653</v>
      </c>
      <c r="Y79" s="374" t="n">
        <f aca="false">+X79</f>
        <v>64653</v>
      </c>
      <c r="Z79" s="374" t="n">
        <f aca="false">+Y79</f>
        <v>64653</v>
      </c>
      <c r="AA79" s="374" t="n">
        <f aca="false">+Z79</f>
        <v>64653</v>
      </c>
      <c r="AB79" s="374" t="n">
        <f aca="false">+AA79</f>
        <v>64653</v>
      </c>
      <c r="AC79" s="374" t="n">
        <f aca="false">+AB79</f>
        <v>64653</v>
      </c>
      <c r="AD79" s="374" t="n">
        <f aca="false">+AC79</f>
        <v>64653</v>
      </c>
      <c r="AE79" s="374" t="n">
        <f aca="false">+AD79</f>
        <v>64653</v>
      </c>
      <c r="AF79" s="374" t="n">
        <f aca="false">+AE79</f>
        <v>64653</v>
      </c>
      <c r="AG79" s="374" t="n">
        <f aca="false">+AF79</f>
        <v>64653</v>
      </c>
      <c r="AH79" s="374" t="n">
        <f aca="false">+AG79</f>
        <v>64653</v>
      </c>
      <c r="AI79" s="374" t="n">
        <f aca="false">+AH79</f>
        <v>64653</v>
      </c>
      <c r="AJ79" s="374" t="n">
        <f aca="false">+AI79</f>
        <v>64653</v>
      </c>
      <c r="AK79" s="374" t="n">
        <f aca="false">$I79-SUM($K79:AJ79)</f>
        <v>39010.25</v>
      </c>
      <c r="AL79" s="374" t="n">
        <f aca="false">$I79-SUM($K79:AK79)</f>
        <v>0</v>
      </c>
      <c r="AM79" s="374" t="n">
        <f aca="false">$I79-SUM($K79:AL79)</f>
        <v>0</v>
      </c>
      <c r="AN79" s="374" t="n">
        <f aca="false">$I79-SUM($K79:AM79)</f>
        <v>0</v>
      </c>
      <c r="AO79" s="374" t="n">
        <f aca="false">$I79-SUM($K79:AN79)</f>
        <v>0</v>
      </c>
      <c r="AQ79" s="374" t="n">
        <f aca="false">I79-SUM(K79:AP79)</f>
        <v>0</v>
      </c>
    </row>
    <row r="80" customFormat="false" ht="13.5" hidden="false" customHeight="false" outlineLevel="0" collapsed="false"/>
    <row r="81" customFormat="false" ht="13.5" hidden="false" customHeight="false" outlineLevel="0" collapsed="false">
      <c r="C81" s="328" t="s">
        <v>240</v>
      </c>
      <c r="D81" s="371"/>
      <c r="E81" s="373" t="n">
        <v>10592322</v>
      </c>
      <c r="F81" s="371"/>
      <c r="G81" s="373" t="n">
        <v>1056315.42</v>
      </c>
      <c r="H81" s="371"/>
      <c r="I81" s="373" t="n">
        <v>9536006.58</v>
      </c>
      <c r="J81" s="36" t="n">
        <f aca="false">E81/K81</f>
        <v>59.5238127349664</v>
      </c>
      <c r="K81" s="373" t="n">
        <v>177951</v>
      </c>
      <c r="L81" s="374" t="n">
        <f aca="false">+K81</f>
        <v>177951</v>
      </c>
      <c r="M81" s="374" t="n">
        <f aca="false">+L81</f>
        <v>177951</v>
      </c>
      <c r="N81" s="374" t="n">
        <f aca="false">+M81</f>
        <v>177951</v>
      </c>
      <c r="O81" s="374" t="n">
        <f aca="false">+N81</f>
        <v>177951</v>
      </c>
      <c r="P81" s="374" t="n">
        <f aca="false">+O81</f>
        <v>177951</v>
      </c>
      <c r="Q81" s="374" t="n">
        <f aca="false">+P81</f>
        <v>177951</v>
      </c>
      <c r="R81" s="374" t="n">
        <f aca="false">+Q81</f>
        <v>177951</v>
      </c>
      <c r="S81" s="374" t="n">
        <f aca="false">+R81</f>
        <v>177951</v>
      </c>
      <c r="T81" s="374" t="n">
        <f aca="false">+S81</f>
        <v>177951</v>
      </c>
      <c r="U81" s="374" t="n">
        <f aca="false">+T81</f>
        <v>177951</v>
      </c>
      <c r="V81" s="374" t="n">
        <f aca="false">+U81</f>
        <v>177951</v>
      </c>
      <c r="W81" s="374" t="n">
        <f aca="false">+V81</f>
        <v>177951</v>
      </c>
      <c r="X81" s="374" t="n">
        <f aca="false">+W81</f>
        <v>177951</v>
      </c>
      <c r="Y81" s="374" t="n">
        <f aca="false">+X81</f>
        <v>177951</v>
      </c>
      <c r="Z81" s="374" t="n">
        <f aca="false">+Y81</f>
        <v>177951</v>
      </c>
      <c r="AA81" s="374" t="n">
        <f aca="false">+Z81</f>
        <v>177951</v>
      </c>
      <c r="AB81" s="374" t="n">
        <f aca="false">+AA81</f>
        <v>177951</v>
      </c>
      <c r="AC81" s="374" t="n">
        <f aca="false">+AB81</f>
        <v>177951</v>
      </c>
      <c r="AD81" s="374" t="n">
        <f aca="false">+AC81</f>
        <v>177951</v>
      </c>
      <c r="AE81" s="374" t="n">
        <f aca="false">+AD81</f>
        <v>177951</v>
      </c>
      <c r="AF81" s="374" t="n">
        <f aca="false">+AE81</f>
        <v>177951</v>
      </c>
      <c r="AG81" s="374" t="n">
        <f aca="false">+AF81</f>
        <v>177951</v>
      </c>
      <c r="AH81" s="374" t="n">
        <f aca="false">+AG81</f>
        <v>177951</v>
      </c>
      <c r="AI81" s="374" t="n">
        <f aca="false">+AH81</f>
        <v>177951</v>
      </c>
      <c r="AJ81" s="374" t="n">
        <f aca="false">+AI81</f>
        <v>177951</v>
      </c>
      <c r="AK81" s="374" t="n">
        <f aca="false">+AJ81</f>
        <v>177951</v>
      </c>
      <c r="AL81" s="374" t="n">
        <f aca="false">+AK81</f>
        <v>177951</v>
      </c>
      <c r="AM81" s="374" t="n">
        <f aca="false">+AL81</f>
        <v>177951</v>
      </c>
      <c r="AN81" s="374" t="n">
        <f aca="false">+AM81</f>
        <v>177951</v>
      </c>
      <c r="AO81" s="374" t="n">
        <f aca="false">+AN81</f>
        <v>177951</v>
      </c>
      <c r="AQ81" s="374" t="n">
        <f aca="false">I81-SUM(K81:AP81)</f>
        <v>4019525.58</v>
      </c>
    </row>
    <row r="82" customFormat="false" ht="13.5" hidden="false" customHeight="false" outlineLevel="0" collapsed="false">
      <c r="AQ82" s="36" t="n">
        <f aca="false">I82-SUM(K82:AP82)</f>
        <v>0</v>
      </c>
    </row>
    <row r="83" customFormat="false" ht="13.5" hidden="false" customHeight="false" outlineLevel="0" collapsed="false">
      <c r="C83" s="36" t="s">
        <v>241</v>
      </c>
      <c r="E83" s="376" t="n">
        <f aca="false">+E62+E69+E71+E73+E75+E77+E79+E81</f>
        <v>25603964.83</v>
      </c>
      <c r="G83" s="376" t="n">
        <f aca="false">+G62+G69+G71+G73+G75+G77+G79+G81</f>
        <v>6687122.89</v>
      </c>
      <c r="I83" s="376" t="n">
        <f aca="false">+I62+I69+I71+I73+I75+I77+I79+I81</f>
        <v>18916841.94</v>
      </c>
      <c r="J83" s="36" t="n">
        <f aca="false">E83/K83</f>
        <v>51.0011709131182</v>
      </c>
      <c r="K83" s="376" t="n">
        <f aca="false">+K62+K69+K71+K73+K75+K77+K79+K81</f>
        <v>502027</v>
      </c>
      <c r="L83" s="376" t="n">
        <f aca="false">+L62+L69+L71+L73+L75+L77+L79+L81</f>
        <v>502027</v>
      </c>
      <c r="M83" s="376" t="n">
        <f aca="false">+M62+M69+M71+M73+M75+M77+M79+M81</f>
        <v>502027</v>
      </c>
      <c r="N83" s="376" t="n">
        <f aca="false">+N62+N69+N71+N73+N75+N77+N79+N81</f>
        <v>502027</v>
      </c>
      <c r="O83" s="376" t="n">
        <f aca="false">+O62+O69+O71+O73+O75+O77+O79+O81</f>
        <v>500938.35</v>
      </c>
      <c r="P83" s="376" t="n">
        <f aca="false">+P62+P69+P71+P73+P75+P77+P79+P81</f>
        <v>499826</v>
      </c>
      <c r="Q83" s="376" t="n">
        <f aca="false">+Q62+Q69+Q71+Q73+Q75+Q77+Q79+Q81</f>
        <v>499826</v>
      </c>
      <c r="R83" s="376" t="n">
        <f aca="false">+R62+R69+R71+R73+R75+R77+R79+R81</f>
        <v>499826</v>
      </c>
      <c r="S83" s="376" t="n">
        <f aca="false">+S62+S69+S71+S73+S75+S77+S79+S81</f>
        <v>499826</v>
      </c>
      <c r="T83" s="376" t="n">
        <f aca="false">+T62+T69+T71+T73+T75+T77+T79+T81</f>
        <v>495781.36</v>
      </c>
      <c r="U83" s="376" t="n">
        <f aca="false">+U62+U69+U71+U73+U75+U77+U79+U81</f>
        <v>491274</v>
      </c>
      <c r="V83" s="376" t="n">
        <f aca="false">+V62+V69+V71+V73+V75+V77+V79+V81</f>
        <v>491274</v>
      </c>
      <c r="W83" s="376" t="n">
        <f aca="false">+W62+W69+W71+W73+W75+W77+W79+W81</f>
        <v>491274</v>
      </c>
      <c r="X83" s="376" t="n">
        <f aca="false">+X62+X69+X71+X73+X75+X77+X79+X81</f>
        <v>488462.27</v>
      </c>
      <c r="Y83" s="376" t="n">
        <f aca="false">+Y62+Y69+Y71+Y73+Y75+Y77+Y79+Y81</f>
        <v>481743</v>
      </c>
      <c r="Z83" s="376" t="n">
        <f aca="false">+Z62+Z69+Z71+Z73+Z75+Z77+Z79+Z81</f>
        <v>481743</v>
      </c>
      <c r="AA83" s="376" t="n">
        <f aca="false">+AA62+AA69+AA71+AA73+AA75+AA77+AA79+AA81</f>
        <v>435350.09</v>
      </c>
      <c r="AB83" s="376" t="n">
        <f aca="false">+AB62+AB69+AB71+AB73+AB75+AB77+AB79+AB81</f>
        <v>430533</v>
      </c>
      <c r="AC83" s="376" t="n">
        <f aca="false">+AC62+AC69+AC71+AC73+AC75+AC77+AC79+AC81</f>
        <v>430533</v>
      </c>
      <c r="AD83" s="376" t="n">
        <f aca="false">+AD62+AD69+AD71+AD73+AD75+AD77+AD79+AD81</f>
        <v>419970.2</v>
      </c>
      <c r="AE83" s="376" t="n">
        <f aca="false">+AE62+AE69+AE71+AE73+AE75+AE77+AE79+AE81</f>
        <v>386973.79</v>
      </c>
      <c r="AF83" s="376" t="n">
        <f aca="false">+AF62+AF69+AF71+AF73+AF75+AF77+AF79+AF81</f>
        <v>375400</v>
      </c>
      <c r="AG83" s="376" t="n">
        <f aca="false">+AG62+AG69+AG71+AG73+AG75+AG77+AG79+AG81</f>
        <v>375400</v>
      </c>
      <c r="AH83" s="376" t="n">
        <f aca="false">+AH62+AH69+AH71+AH73+AH75+AH77+AH79+AH81</f>
        <v>370796.78</v>
      </c>
      <c r="AI83" s="376" t="n">
        <f aca="false">+AI62+AI69+AI71+AI73+AI75+AI77+AI79+AI81</f>
        <v>341516</v>
      </c>
      <c r="AJ83" s="376" t="n">
        <f aca="false">+AJ62+AJ69+AJ71+AJ73+AJ75+AJ77+AJ79+AJ81</f>
        <v>341516</v>
      </c>
      <c r="AK83" s="376" t="n">
        <f aca="false">+AK62+AK69+AK71+AK73+AK75+AK77+AK79+AK81</f>
        <v>315873.25</v>
      </c>
      <c r="AL83" s="376" t="n">
        <f aca="false">+AL62+AL69+AL71+AL73+AL75+AL77+AL79+AL81</f>
        <v>276863</v>
      </c>
      <c r="AM83" s="376" t="n">
        <f aca="false">+AM62+AM69+AM71+AM73+AM75+AM77+AM79+AM81</f>
        <v>276863</v>
      </c>
      <c r="AN83" s="376" t="n">
        <f aca="false">+AN62+AN69+AN71+AN73+AN75+AN77+AN79+AN81</f>
        <v>276863</v>
      </c>
      <c r="AO83" s="376" t="n">
        <f aca="false">+AO62+AO69+AO71+AO73+AO75+AO77+AO79+AO81</f>
        <v>276863</v>
      </c>
      <c r="AQ83" s="376" t="n">
        <f aca="false">+AQ62+AQ69+AQ71+AQ73+AQ75+AQ77+AQ79+AQ81</f>
        <v>5655625.85</v>
      </c>
    </row>
    <row r="84" customFormat="false" ht="13.5" hidden="false" customHeight="false" outlineLevel="0" collapsed="false"/>
    <row r="86" customFormat="false" ht="13.5" hidden="false" customHeight="false" outlineLevel="0" collapsed="false">
      <c r="E86" s="374" t="n">
        <f aca="false">+E83+E42</f>
        <v>3051820479.55</v>
      </c>
      <c r="G86" s="374" t="n">
        <f aca="false">+G83+G42</f>
        <v>1337587629.1</v>
      </c>
      <c r="I86" s="374" t="n">
        <f aca="false">+I83+I42</f>
        <v>1714232850.45</v>
      </c>
      <c r="J86" s="36" t="n">
        <f aca="false">E86/K86</f>
        <v>32.1299442358155</v>
      </c>
      <c r="K86" s="374" t="n">
        <f aca="false">+K83+K42</f>
        <v>94983684.29</v>
      </c>
      <c r="L86" s="374" t="n">
        <f aca="false">+L83+L42</f>
        <v>94983684.29</v>
      </c>
      <c r="M86" s="374" t="n">
        <f aca="false">+M83+M42</f>
        <v>94940443.45</v>
      </c>
      <c r="N86" s="374" t="n">
        <f aca="false">+N83+N42</f>
        <v>94784064.29</v>
      </c>
      <c r="O86" s="374" t="n">
        <f aca="false">+O83+O42</f>
        <v>94386391.77</v>
      </c>
      <c r="P86" s="374" t="n">
        <f aca="false">+P83+P42</f>
        <v>92547021.73</v>
      </c>
      <c r="Q86" s="374" t="n">
        <f aca="false">+Q83+Q42</f>
        <v>92547021.73</v>
      </c>
      <c r="R86" s="374" t="n">
        <f aca="false">+R83+R42</f>
        <v>86310314.93</v>
      </c>
      <c r="S86" s="374" t="n">
        <f aca="false">+S83+S42</f>
        <v>81074912</v>
      </c>
      <c r="T86" s="374" t="n">
        <f aca="false">+T83+T42</f>
        <v>80492670.14</v>
      </c>
      <c r="U86" s="374" t="n">
        <f aca="false">+U83+U42</f>
        <v>80289063.42</v>
      </c>
      <c r="V86" s="374" t="n">
        <f aca="false">+V83+V42</f>
        <v>79133564.72</v>
      </c>
      <c r="W86" s="374" t="n">
        <f aca="false">+W83+W42</f>
        <v>79133564.72</v>
      </c>
      <c r="X86" s="374" t="n">
        <f aca="false">+X83+X42</f>
        <v>77746355.83</v>
      </c>
      <c r="Y86" s="374" t="n">
        <f aca="false">+Y83+Y42</f>
        <v>73868706</v>
      </c>
      <c r="Z86" s="374" t="n">
        <f aca="false">+Z83+Z42</f>
        <v>58727731.8000001</v>
      </c>
      <c r="AA86" s="374" t="n">
        <f aca="false">+AA83+AA42</f>
        <v>46252584.0099999</v>
      </c>
      <c r="AB86" s="374" t="n">
        <f aca="false">+AB83+AB42</f>
        <v>39757450.38</v>
      </c>
      <c r="AC86" s="374" t="n">
        <f aca="false">+AC83+AC42</f>
        <v>36505822</v>
      </c>
      <c r="AD86" s="374" t="n">
        <f aca="false">+AD83+AD42</f>
        <v>36495259.2</v>
      </c>
      <c r="AE86" s="374" t="n">
        <f aca="false">+AE83+AE42</f>
        <v>36462262.79</v>
      </c>
      <c r="AF86" s="374" t="n">
        <f aca="false">+AF83+AF42</f>
        <v>36450689</v>
      </c>
      <c r="AG86" s="374" t="n">
        <f aca="false">+AG83+AG42</f>
        <v>36450689</v>
      </c>
      <c r="AH86" s="374" t="n">
        <f aca="false">+AH83+AH42</f>
        <v>36446085.78</v>
      </c>
      <c r="AI86" s="374" t="n">
        <f aca="false">+AI83+AI42</f>
        <v>36416805</v>
      </c>
      <c r="AJ86" s="374" t="n">
        <f aca="false">+AJ83+AJ42</f>
        <v>9967057.08000016</v>
      </c>
      <c r="AK86" s="374" t="n">
        <f aca="false">+AK83+AK42</f>
        <v>315873.25</v>
      </c>
      <c r="AL86" s="374" t="n">
        <f aca="false">+AL83+AL42</f>
        <v>276863</v>
      </c>
      <c r="AM86" s="374" t="n">
        <f aca="false">+AM83+AM42</f>
        <v>276863</v>
      </c>
      <c r="AN86" s="374" t="n">
        <f aca="false">+AN83+AN42</f>
        <v>276863</v>
      </c>
      <c r="AO86" s="374" t="n">
        <f aca="false">+AO83+AO42</f>
        <v>276863</v>
      </c>
      <c r="AQ86" s="374" t="n">
        <f aca="false">+AQ83+AQ42</f>
        <v>5655625.85</v>
      </c>
    </row>
    <row r="87" customFormat="false" ht="13.5" hidden="false" customHeight="false" outlineLevel="0" collapsed="false"/>
    <row r="90" customFormat="false" ht="12.75" hidden="false" customHeight="false" outlineLevel="0" collapsed="false">
      <c r="C90" s="377" t="s">
        <v>242</v>
      </c>
    </row>
    <row r="92" customFormat="false" ht="12.75" hidden="false" customHeight="false" outlineLevel="0" collapsed="false">
      <c r="C92" s="36" t="s">
        <v>243</v>
      </c>
      <c r="E92" s="36" t="n">
        <f aca="false">+E13+E62</f>
        <v>342793610.23</v>
      </c>
      <c r="G92" s="36" t="n">
        <f aca="false">+G13+G62</f>
        <v>255822857.35</v>
      </c>
      <c r="I92" s="36" t="n">
        <f aca="false">+I13+I62</f>
        <v>86970752.88</v>
      </c>
      <c r="J92" s="36" t="n">
        <f aca="false">E92/K92</f>
        <v>29.9864038454588</v>
      </c>
      <c r="K92" s="36" t="n">
        <f aca="false">+K13+K62</f>
        <v>11431634.55</v>
      </c>
      <c r="L92" s="36" t="n">
        <f aca="false">+L13+L62</f>
        <v>11431634.55</v>
      </c>
      <c r="M92" s="36" t="n">
        <f aca="false">+M13+M62</f>
        <v>11410014.13</v>
      </c>
      <c r="N92" s="36" t="n">
        <f aca="false">+N13+N62</f>
        <v>11331824.55</v>
      </c>
      <c r="O92" s="36" t="n">
        <f aca="false">+O13+O62</f>
        <v>10996198.91</v>
      </c>
      <c r="P92" s="36" t="n">
        <f aca="false">+P13+P62</f>
        <v>10032606.71</v>
      </c>
      <c r="Q92" s="36" t="n">
        <f aca="false">+Q13+Q62</f>
        <v>10032606.71</v>
      </c>
      <c r="R92" s="36" t="n">
        <f aca="false">+R13+R62</f>
        <v>5406514.62</v>
      </c>
      <c r="S92" s="36" t="n">
        <f aca="false">+S13+S62</f>
        <v>1386582.42</v>
      </c>
      <c r="T92" s="36" t="n">
        <f aca="false">+T13+T62</f>
        <v>1382537.78</v>
      </c>
      <c r="U92" s="36" t="n">
        <f aca="false">+U13+U62</f>
        <v>1229123.7</v>
      </c>
      <c r="V92" s="36" t="n">
        <f aca="false">+V13+V62</f>
        <v>73625</v>
      </c>
      <c r="W92" s="36" t="n">
        <f aca="false">+W13+W62</f>
        <v>73625</v>
      </c>
      <c r="X92" s="36" t="n">
        <f aca="false">+X13+X62</f>
        <v>73625</v>
      </c>
      <c r="Y92" s="36" t="n">
        <f aca="false">+Y13+Y62</f>
        <v>73625</v>
      </c>
      <c r="Z92" s="36" t="n">
        <f aca="false">+Z13+Z62</f>
        <v>73625</v>
      </c>
      <c r="AA92" s="36" t="n">
        <f aca="false">+AA13+AA62</f>
        <v>66346.04</v>
      </c>
      <c r="AB92" s="36" t="n">
        <f aca="false">+AB13+AB62</f>
        <v>46668</v>
      </c>
      <c r="AC92" s="36" t="n">
        <f aca="false">+AC13+AC62</f>
        <v>46668</v>
      </c>
      <c r="AD92" s="36" t="n">
        <f aca="false">+AD13+AD62</f>
        <v>46668</v>
      </c>
      <c r="AE92" s="36" t="n">
        <f aca="false">+AE13+AE62</f>
        <v>46668</v>
      </c>
      <c r="AF92" s="36" t="n">
        <f aca="false">+AF13+AF62</f>
        <v>46668</v>
      </c>
      <c r="AG92" s="36" t="n">
        <f aca="false">+AG13+AG62</f>
        <v>46668</v>
      </c>
      <c r="AH92" s="36" t="n">
        <f aca="false">+AH13+AH62</f>
        <v>42064.78</v>
      </c>
      <c r="AI92" s="36" t="n">
        <f aca="false">+AI13+AI62</f>
        <v>12784</v>
      </c>
      <c r="AJ92" s="36" t="n">
        <f aca="false">+AJ13+AJ62</f>
        <v>12784</v>
      </c>
      <c r="AK92" s="36" t="n">
        <f aca="false">+AK13+AK62</f>
        <v>12784</v>
      </c>
      <c r="AL92" s="36" t="n">
        <f aca="false">+AL13+AL62</f>
        <v>12784</v>
      </c>
      <c r="AM92" s="36" t="n">
        <f aca="false">+AM13+AM62</f>
        <v>12784</v>
      </c>
      <c r="AN92" s="36" t="n">
        <f aca="false">+AN13+AN62</f>
        <v>12784</v>
      </c>
      <c r="AO92" s="36" t="n">
        <f aca="false">+AO13+AO62</f>
        <v>12784</v>
      </c>
      <c r="AQ92" s="36" t="n">
        <f aca="false">I92-SUM(K92:AP92)</f>
        <v>53442.4299999923</v>
      </c>
    </row>
    <row r="93" customFormat="false" ht="12.75" hidden="false" customHeight="false" outlineLevel="0" collapsed="false">
      <c r="C93" s="36" t="s">
        <v>244</v>
      </c>
      <c r="E93" s="36" t="n">
        <f aca="false">+E25+E69</f>
        <v>334934599.09</v>
      </c>
      <c r="G93" s="36" t="n">
        <f aca="false">+G25+G69</f>
        <v>215970923.84</v>
      </c>
      <c r="I93" s="36" t="n">
        <f aca="false">+I25+I69</f>
        <v>118963675.25</v>
      </c>
      <c r="J93" s="36" t="n">
        <f aca="false">E93/K93</f>
        <v>33.6260233774486</v>
      </c>
      <c r="K93" s="36" t="n">
        <f aca="false">+K25+K69</f>
        <v>9960577.12</v>
      </c>
      <c r="L93" s="36" t="n">
        <f aca="false">+L25+L69</f>
        <v>9960577.12</v>
      </c>
      <c r="M93" s="36" t="n">
        <f aca="false">+M25+M69</f>
        <v>9938956.7</v>
      </c>
      <c r="N93" s="36" t="n">
        <f aca="false">+N25+N69</f>
        <v>9860767.12</v>
      </c>
      <c r="O93" s="36" t="n">
        <f aca="false">+O25+O69</f>
        <v>9859678.47</v>
      </c>
      <c r="P93" s="36" t="n">
        <f aca="false">+P25+P69</f>
        <v>9858566.12</v>
      </c>
      <c r="Q93" s="36" t="n">
        <f aca="false">+Q25+Q69</f>
        <v>9858566.12</v>
      </c>
      <c r="R93" s="36" t="n">
        <f aca="false">+R25+R69</f>
        <v>8247951.40999999</v>
      </c>
      <c r="S93" s="36" t="n">
        <f aca="false">+S25+S69</f>
        <v>7032480.68</v>
      </c>
      <c r="T93" s="36" t="n">
        <f aca="false">+T25+T69</f>
        <v>6454283.46</v>
      </c>
      <c r="U93" s="36" t="n">
        <f aca="false">+U25+U69</f>
        <v>6404090.82</v>
      </c>
      <c r="V93" s="36" t="n">
        <f aca="false">+V25+V69</f>
        <v>6404090.82</v>
      </c>
      <c r="W93" s="36" t="n">
        <f aca="false">+W25+W69</f>
        <v>6404090.82</v>
      </c>
      <c r="X93" s="36" t="n">
        <f aca="false">+X25+X69</f>
        <v>5019693.66000001</v>
      </c>
      <c r="Y93" s="36" t="n">
        <f aca="false">+Y25+Y69</f>
        <v>3128179.34</v>
      </c>
      <c r="Z93" s="36" t="n">
        <f aca="false">+Z25+Z69</f>
        <v>253048.230000004</v>
      </c>
      <c r="AA93" s="36" t="n">
        <f aca="false">+AA25+AA69</f>
        <v>72089.53</v>
      </c>
      <c r="AB93" s="36" t="n">
        <f aca="false">+AB25+AB69</f>
        <v>59739</v>
      </c>
      <c r="AC93" s="36" t="n">
        <f aca="false">+AC25+AC69</f>
        <v>59739</v>
      </c>
      <c r="AD93" s="36" t="n">
        <f aca="false">+AD25+AD69</f>
        <v>49176.2</v>
      </c>
      <c r="AE93" s="36" t="n">
        <f aca="false">+AE25+AE69</f>
        <v>16179.79</v>
      </c>
      <c r="AF93" s="36" t="n">
        <f aca="false">+AF25+AF69</f>
        <v>4606</v>
      </c>
      <c r="AG93" s="36" t="n">
        <f aca="false">+AG25+AG69</f>
        <v>4606</v>
      </c>
      <c r="AH93" s="36" t="n">
        <f aca="false">+AH25+AH69</f>
        <v>4606</v>
      </c>
      <c r="AI93" s="36" t="n">
        <f aca="false">+AI25+AI69</f>
        <v>4606</v>
      </c>
      <c r="AJ93" s="36" t="n">
        <f aca="false">+AJ25+AJ69</f>
        <v>4606</v>
      </c>
      <c r="AK93" s="36" t="n">
        <f aca="false">+AK25+AK69</f>
        <v>4606</v>
      </c>
      <c r="AL93" s="36" t="n">
        <f aca="false">+AL25+AL69</f>
        <v>4606</v>
      </c>
      <c r="AM93" s="36" t="n">
        <f aca="false">+AM25+AM69</f>
        <v>4606</v>
      </c>
      <c r="AN93" s="36" t="n">
        <f aca="false">+AN25+AN69</f>
        <v>4606</v>
      </c>
      <c r="AO93" s="36" t="n">
        <f aca="false">+AO25+AO69</f>
        <v>4606</v>
      </c>
      <c r="AQ93" s="36" t="n">
        <f aca="false">I93-SUM(K93:AP93)</f>
        <v>15093.7199999988</v>
      </c>
    </row>
    <row r="94" customFormat="false" ht="12.75" hidden="false" customHeight="false" outlineLevel="0" collapsed="false">
      <c r="C94" s="328" t="s">
        <v>216</v>
      </c>
      <c r="E94" s="36" t="n">
        <f aca="false">+E27+E71</f>
        <v>24743960.13</v>
      </c>
      <c r="G94" s="36" t="n">
        <f aca="false">+G27+G71</f>
        <v>18888085.5</v>
      </c>
      <c r="I94" s="36" t="n">
        <f aca="false">+I27+I71</f>
        <v>5855874.63</v>
      </c>
      <c r="J94" s="36" t="n">
        <f aca="false">E94/K94</f>
        <v>25.6624255250196</v>
      </c>
      <c r="K94" s="36" t="n">
        <f aca="false">+K27+K71</f>
        <v>964209.72</v>
      </c>
      <c r="L94" s="36" t="n">
        <f aca="false">+L27+L71</f>
        <v>964209.72</v>
      </c>
      <c r="M94" s="36" t="n">
        <f aca="false">+M27+M71</f>
        <v>964209.72</v>
      </c>
      <c r="N94" s="36" t="n">
        <f aca="false">+N27+N71</f>
        <v>964209.72</v>
      </c>
      <c r="O94" s="36" t="n">
        <f aca="false">+O27+O71</f>
        <v>903251.49</v>
      </c>
      <c r="P94" s="36" t="n">
        <f aca="false">+P27+P71</f>
        <v>28586</v>
      </c>
      <c r="Q94" s="36" t="n">
        <f aca="false">+Q27+Q71</f>
        <v>28586</v>
      </c>
      <c r="R94" s="36" t="n">
        <f aca="false">+R27+R71</f>
        <v>28586</v>
      </c>
      <c r="S94" s="36" t="n">
        <f aca="false">+S27+S71</f>
        <v>28586</v>
      </c>
      <c r="T94" s="36" t="n">
        <f aca="false">+T27+T71</f>
        <v>28586</v>
      </c>
      <c r="U94" s="36" t="n">
        <f aca="false">+U27+U71</f>
        <v>28586</v>
      </c>
      <c r="V94" s="36" t="n">
        <f aca="false">+V27+V71</f>
        <v>28586</v>
      </c>
      <c r="W94" s="36" t="n">
        <f aca="false">+W27+W71</f>
        <v>28586</v>
      </c>
      <c r="X94" s="36" t="n">
        <f aca="false">+X27+X71</f>
        <v>28586</v>
      </c>
      <c r="Y94" s="36" t="n">
        <f aca="false">+Y27+Y71</f>
        <v>28586</v>
      </c>
      <c r="Z94" s="36" t="n">
        <f aca="false">+Z27+Z71</f>
        <v>28586</v>
      </c>
      <c r="AA94" s="36" t="n">
        <f aca="false">+AA27+AA71</f>
        <v>28586</v>
      </c>
      <c r="AB94" s="36" t="n">
        <f aca="false">+AB27+AB71</f>
        <v>28586</v>
      </c>
      <c r="AC94" s="36" t="n">
        <f aca="false">+AC27+AC71</f>
        <v>28586</v>
      </c>
      <c r="AD94" s="36" t="n">
        <f aca="false">+AD27+AD71</f>
        <v>28586</v>
      </c>
      <c r="AE94" s="36" t="n">
        <f aca="false">+AE27+AE71</f>
        <v>28586</v>
      </c>
      <c r="AF94" s="36" t="n">
        <f aca="false">+AF27+AF71</f>
        <v>28586</v>
      </c>
      <c r="AG94" s="36" t="n">
        <f aca="false">+AG27+AG71</f>
        <v>28586</v>
      </c>
      <c r="AH94" s="36" t="n">
        <f aca="false">+AH27+AH71</f>
        <v>28586</v>
      </c>
      <c r="AI94" s="36" t="n">
        <f aca="false">+AI27+AI71</f>
        <v>28586</v>
      </c>
      <c r="AJ94" s="36" t="n">
        <f aca="false">+AJ27+AJ71</f>
        <v>28586</v>
      </c>
      <c r="AK94" s="36" t="n">
        <f aca="false">+AK27+AK71</f>
        <v>28586</v>
      </c>
      <c r="AL94" s="36" t="n">
        <f aca="false">+AL27+AL71</f>
        <v>28586</v>
      </c>
      <c r="AM94" s="36" t="n">
        <f aca="false">+AM27+AM71</f>
        <v>28586</v>
      </c>
      <c r="AN94" s="36" t="n">
        <f aca="false">+AN27+AN71</f>
        <v>28586</v>
      </c>
      <c r="AO94" s="36" t="n">
        <f aca="false">+AO27+AO71</f>
        <v>28586</v>
      </c>
      <c r="AQ94" s="36" t="n">
        <f aca="false">I94-SUM(K94:AP94)</f>
        <v>352548.26</v>
      </c>
    </row>
    <row r="95" customFormat="false" ht="12.75" hidden="false" customHeight="false" outlineLevel="0" collapsed="false">
      <c r="C95" s="328" t="s">
        <v>217</v>
      </c>
      <c r="E95" s="36" t="n">
        <f aca="false">+E30+E73</f>
        <v>278737772.98</v>
      </c>
      <c r="G95" s="36" t="n">
        <f aca="false">+G30+G73</f>
        <v>137728443.4</v>
      </c>
      <c r="I95" s="36" t="n">
        <f aca="false">+I30+I73</f>
        <v>141009329.58</v>
      </c>
      <c r="J95" s="36" t="n">
        <f aca="false">E95/K95</f>
        <v>30.8163241133016</v>
      </c>
      <c r="K95" s="36" t="n">
        <f aca="false">+K30+K73</f>
        <v>9045133.74</v>
      </c>
      <c r="L95" s="36" t="n">
        <f aca="false">+L30+L73</f>
        <v>9045133.74</v>
      </c>
      <c r="M95" s="36" t="n">
        <f aca="false">+M30+M73</f>
        <v>9045133.74</v>
      </c>
      <c r="N95" s="36" t="n">
        <f aca="false">+N30+N73</f>
        <v>9045133.74</v>
      </c>
      <c r="O95" s="36" t="n">
        <f aca="false">+O30+O73</f>
        <v>9045133.74</v>
      </c>
      <c r="P95" s="36" t="n">
        <f aca="false">+P30+P73</f>
        <v>9045133.74</v>
      </c>
      <c r="Q95" s="36" t="n">
        <f aca="false">+Q30+Q73</f>
        <v>9045133.74</v>
      </c>
      <c r="R95" s="36" t="n">
        <f aca="false">+R30+R73</f>
        <v>9045133.74</v>
      </c>
      <c r="S95" s="36" t="n">
        <f aca="false">+S30+S73</f>
        <v>9045133.74</v>
      </c>
      <c r="T95" s="36" t="n">
        <f aca="false">+T30+T73</f>
        <v>9045133.74</v>
      </c>
      <c r="U95" s="36" t="n">
        <f aca="false">+U30+U73</f>
        <v>9045133.74</v>
      </c>
      <c r="V95" s="36" t="n">
        <f aca="false">+V30+V73</f>
        <v>9045133.74</v>
      </c>
      <c r="W95" s="36" t="n">
        <f aca="false">+W30+W73</f>
        <v>9045133.74</v>
      </c>
      <c r="X95" s="36" t="n">
        <f aca="false">+X30+X73</f>
        <v>9045133.74</v>
      </c>
      <c r="Y95" s="36" t="n">
        <f aca="false">+Y30+Y73</f>
        <v>9045133.74</v>
      </c>
      <c r="Z95" s="36" t="n">
        <f aca="false">+Z30+Z73</f>
        <v>5327506.39000005</v>
      </c>
      <c r="AA95" s="36" t="n">
        <f aca="false">+AA30+AA73</f>
        <v>4817.08999999997</v>
      </c>
      <c r="AB95" s="36" t="n">
        <f aca="false">+AB30+AB73</f>
        <v>0</v>
      </c>
      <c r="AC95" s="36" t="n">
        <f aca="false">+AC30+AC73</f>
        <v>0</v>
      </c>
      <c r="AD95" s="36" t="n">
        <f aca="false">+AD30+AD73</f>
        <v>0</v>
      </c>
      <c r="AE95" s="36" t="n">
        <f aca="false">+AE30+AE73</f>
        <v>0</v>
      </c>
      <c r="AF95" s="36" t="n">
        <f aca="false">+AF30+AF73</f>
        <v>0</v>
      </c>
      <c r="AG95" s="36" t="n">
        <f aca="false">+AG30+AG73</f>
        <v>0</v>
      </c>
      <c r="AH95" s="36" t="n">
        <f aca="false">+AH30+AH73</f>
        <v>0</v>
      </c>
      <c r="AI95" s="36" t="n">
        <f aca="false">+AI30+AI73</f>
        <v>0</v>
      </c>
      <c r="AJ95" s="36" t="n">
        <f aca="false">+AJ30+AJ73</f>
        <v>0</v>
      </c>
      <c r="AK95" s="36" t="n">
        <f aca="false">+AK30+AK73</f>
        <v>0</v>
      </c>
      <c r="AL95" s="36" t="n">
        <f aca="false">+AL30+AL73</f>
        <v>0</v>
      </c>
      <c r="AM95" s="36" t="n">
        <f aca="false">+AM30+AM73</f>
        <v>0</v>
      </c>
      <c r="AN95" s="36" t="n">
        <f aca="false">+AN30+AN73</f>
        <v>0</v>
      </c>
      <c r="AO95" s="36" t="n">
        <f aca="false">+AO30+AO73</f>
        <v>0</v>
      </c>
      <c r="AQ95" s="36" t="n">
        <f aca="false">I95-SUM(K95:AP95)</f>
        <v>0</v>
      </c>
    </row>
    <row r="96" customFormat="false" ht="12.75" hidden="false" customHeight="false" outlineLevel="0" collapsed="false">
      <c r="C96" s="328" t="s">
        <v>237</v>
      </c>
      <c r="E96" s="36" t="n">
        <f aca="false">+E32+E75</f>
        <v>74872320.07</v>
      </c>
      <c r="G96" s="36" t="n">
        <f aca="false">+G32+G75</f>
        <v>41512361.04</v>
      </c>
      <c r="I96" s="36" t="n">
        <f aca="false">+I32+I75</f>
        <v>33359959.03</v>
      </c>
      <c r="J96" s="36" t="n">
        <f aca="false">E96/K96</f>
        <v>31.7688888854001</v>
      </c>
      <c r="K96" s="36" t="n">
        <f aca="false">+K32+K75</f>
        <v>2356781.2</v>
      </c>
      <c r="L96" s="36" t="n">
        <f aca="false">+L32+L75</f>
        <v>2356781.2</v>
      </c>
      <c r="M96" s="36" t="n">
        <f aca="false">+M32+M75</f>
        <v>2356781.2</v>
      </c>
      <c r="N96" s="36" t="n">
        <f aca="false">+N32+N75</f>
        <v>2356781.2</v>
      </c>
      <c r="O96" s="36" t="n">
        <f aca="false">+O32+O75</f>
        <v>2356781.2</v>
      </c>
      <c r="P96" s="36" t="n">
        <f aca="false">+P32+P75</f>
        <v>2356781.2</v>
      </c>
      <c r="Q96" s="36" t="n">
        <f aca="false">+Q32+Q75</f>
        <v>2356781.2</v>
      </c>
      <c r="R96" s="36" t="n">
        <f aca="false">+R32+R75</f>
        <v>2356781.2</v>
      </c>
      <c r="S96" s="36" t="n">
        <f aca="false">+S32+S75</f>
        <v>2356781.2</v>
      </c>
      <c r="T96" s="36" t="n">
        <f aca="false">+T32+T75</f>
        <v>2356781.2</v>
      </c>
      <c r="U96" s="36" t="n">
        <f aca="false">+U32+U75</f>
        <v>2356781.2</v>
      </c>
      <c r="V96" s="36" t="n">
        <f aca="false">+V32+V75</f>
        <v>2356781.2</v>
      </c>
      <c r="W96" s="36" t="n">
        <f aca="false">+W32+W75</f>
        <v>2356781.2</v>
      </c>
      <c r="X96" s="36" t="n">
        <f aca="false">+X32+X75</f>
        <v>2353969.47</v>
      </c>
      <c r="Y96" s="36" t="n">
        <f aca="false">+Y32+Y75</f>
        <v>367833.95999999</v>
      </c>
      <c r="Z96" s="36" t="n">
        <f aca="false">+Z32+Z75</f>
        <v>0</v>
      </c>
      <c r="AA96" s="36" t="n">
        <f aca="false">+AA32+AA75</f>
        <v>0</v>
      </c>
      <c r="AB96" s="36" t="n">
        <f aca="false">+AB32+AB75</f>
        <v>0</v>
      </c>
      <c r="AC96" s="36" t="n">
        <f aca="false">+AC32+AC75</f>
        <v>0</v>
      </c>
      <c r="AD96" s="36" t="n">
        <f aca="false">+AD32+AD75</f>
        <v>0</v>
      </c>
      <c r="AE96" s="36" t="n">
        <f aca="false">+AE32+AE75</f>
        <v>0</v>
      </c>
      <c r="AF96" s="36" t="n">
        <f aca="false">+AF32+AF75</f>
        <v>0</v>
      </c>
      <c r="AG96" s="36" t="n">
        <f aca="false">+AG32+AG75</f>
        <v>0</v>
      </c>
      <c r="AH96" s="36" t="n">
        <f aca="false">+AH32+AH75</f>
        <v>0</v>
      </c>
      <c r="AI96" s="36" t="n">
        <f aca="false">+AI32+AI75</f>
        <v>0</v>
      </c>
      <c r="AJ96" s="36" t="n">
        <f aca="false">+AJ32+AJ75</f>
        <v>0</v>
      </c>
      <c r="AK96" s="36" t="n">
        <f aca="false">+AK32+AK75</f>
        <v>0</v>
      </c>
      <c r="AL96" s="36" t="n">
        <f aca="false">+AL32+AL75</f>
        <v>0</v>
      </c>
      <c r="AM96" s="36" t="n">
        <f aca="false">+AM32+AM75</f>
        <v>0</v>
      </c>
      <c r="AN96" s="36" t="n">
        <f aca="false">+AN32+AN75</f>
        <v>0</v>
      </c>
      <c r="AO96" s="36" t="n">
        <f aca="false">+AO32+AO75</f>
        <v>0</v>
      </c>
      <c r="AQ96" s="36" t="n">
        <f aca="false">I96-SUM(K96:AP96)</f>
        <v>0</v>
      </c>
    </row>
    <row r="97" customFormat="false" ht="12.75" hidden="false" customHeight="false" outlineLevel="0" collapsed="false">
      <c r="C97" s="328" t="s">
        <v>238</v>
      </c>
      <c r="E97" s="36" t="n">
        <f aca="false">+E34+E77</f>
        <v>336159247.68</v>
      </c>
      <c r="G97" s="36" t="n">
        <f aca="false">+G34+G77</f>
        <v>181539837.11</v>
      </c>
      <c r="I97" s="36" t="n">
        <f aca="false">+I34+I77</f>
        <v>154619410.57</v>
      </c>
      <c r="J97" s="36" t="n">
        <f aca="false">E97/K97</f>
        <v>36.3311281418963</v>
      </c>
      <c r="K97" s="36" t="n">
        <f aca="false">+K34+K77</f>
        <v>9252650.96</v>
      </c>
      <c r="L97" s="36" t="n">
        <f aca="false">+L34+L77</f>
        <v>9252650.96</v>
      </c>
      <c r="M97" s="36" t="n">
        <f aca="false">+M34+M77</f>
        <v>9252650.96</v>
      </c>
      <c r="N97" s="36" t="n">
        <f aca="false">+N34+N77</f>
        <v>9252650.96</v>
      </c>
      <c r="O97" s="36" t="n">
        <f aca="false">+O34+O77</f>
        <v>9252650.96</v>
      </c>
      <c r="P97" s="36" t="n">
        <f aca="false">+P34+P77</f>
        <v>9252650.96</v>
      </c>
      <c r="Q97" s="36" t="n">
        <f aca="false">+Q34+Q77</f>
        <v>9252650.96</v>
      </c>
      <c r="R97" s="36" t="n">
        <f aca="false">+R34+R77</f>
        <v>9252650.96</v>
      </c>
      <c r="S97" s="36" t="n">
        <f aca="false">+S34+S77</f>
        <v>9252650.96</v>
      </c>
      <c r="T97" s="36" t="n">
        <f aca="false">+T34+T77</f>
        <v>9252650.96</v>
      </c>
      <c r="U97" s="36" t="n">
        <f aca="false">+U34+U77</f>
        <v>9252650.96</v>
      </c>
      <c r="V97" s="36" t="n">
        <f aca="false">+V34+V77</f>
        <v>9252650.96</v>
      </c>
      <c r="W97" s="36" t="n">
        <f aca="false">+W34+W77</f>
        <v>9252650.96</v>
      </c>
      <c r="X97" s="36" t="n">
        <f aca="false">+X34+X77</f>
        <v>9252650.96</v>
      </c>
      <c r="Y97" s="36" t="n">
        <f aca="false">+Y34+Y77</f>
        <v>9252650.96</v>
      </c>
      <c r="Z97" s="36" t="n">
        <f aca="false">+Z34+Z77</f>
        <v>9252650.96</v>
      </c>
      <c r="AA97" s="36" t="n">
        <f aca="false">+AA34+AA77</f>
        <v>4620875.34999991</v>
      </c>
      <c r="AB97" s="36" t="n">
        <f aca="false">+AB34+AB77</f>
        <v>52936</v>
      </c>
      <c r="AC97" s="36" t="n">
        <f aca="false">+AC34+AC77</f>
        <v>52936</v>
      </c>
      <c r="AD97" s="36" t="n">
        <f aca="false">+AD34+AD77</f>
        <v>52936</v>
      </c>
      <c r="AE97" s="36" t="n">
        <f aca="false">+AE34+AE77</f>
        <v>52936</v>
      </c>
      <c r="AF97" s="36" t="n">
        <f aca="false">+AF34+AF77</f>
        <v>52936</v>
      </c>
      <c r="AG97" s="36" t="n">
        <f aca="false">+AG34+AG77</f>
        <v>52936</v>
      </c>
      <c r="AH97" s="36" t="n">
        <f aca="false">+AH34+AH77</f>
        <v>52936</v>
      </c>
      <c r="AI97" s="36" t="n">
        <f aca="false">+AI34+AI77</f>
        <v>52936</v>
      </c>
      <c r="AJ97" s="36" t="n">
        <f aca="false">+AJ34+AJ77</f>
        <v>52936</v>
      </c>
      <c r="AK97" s="36" t="n">
        <f aca="false">+AK34+AK77</f>
        <v>52936</v>
      </c>
      <c r="AL97" s="36" t="n">
        <f aca="false">+AL34+AL77</f>
        <v>52936</v>
      </c>
      <c r="AM97" s="36" t="n">
        <f aca="false">+AM34+AM77</f>
        <v>52936</v>
      </c>
      <c r="AN97" s="36" t="n">
        <f aca="false">+AN34+AN77</f>
        <v>52936</v>
      </c>
      <c r="AO97" s="36" t="n">
        <f aca="false">+AO34+AO77</f>
        <v>52936</v>
      </c>
      <c r="AQ97" s="36" t="n">
        <f aca="false">I97-SUM(K97:AP97)</f>
        <v>1215015.86000001</v>
      </c>
    </row>
    <row r="98" customFormat="false" ht="12.75" hidden="false" customHeight="false" outlineLevel="0" collapsed="false">
      <c r="C98" s="328" t="s">
        <v>220</v>
      </c>
      <c r="E98" s="36" t="n">
        <f aca="false">+E36</f>
        <v>186552063.12</v>
      </c>
      <c r="G98" s="36" t="n">
        <f aca="false">+G36</f>
        <v>95886825.74</v>
      </c>
      <c r="I98" s="36" t="n">
        <f aca="false">+I36</f>
        <v>90665237.38</v>
      </c>
      <c r="J98" s="36" t="n">
        <f aca="false">E98/K98</f>
        <v>36.2802212300833</v>
      </c>
      <c r="K98" s="36" t="n">
        <f aca="false">+K36</f>
        <v>5141977</v>
      </c>
      <c r="L98" s="36" t="n">
        <f aca="false">+L36</f>
        <v>5141977</v>
      </c>
      <c r="M98" s="36" t="n">
        <f aca="false">+M36</f>
        <v>5141977</v>
      </c>
      <c r="N98" s="36" t="n">
        <f aca="false">+N36</f>
        <v>5141977</v>
      </c>
      <c r="O98" s="36" t="n">
        <f aca="false">+O36</f>
        <v>5141977</v>
      </c>
      <c r="P98" s="36" t="n">
        <f aca="false">+P36</f>
        <v>5141977</v>
      </c>
      <c r="Q98" s="36" t="n">
        <f aca="false">+Q36</f>
        <v>5141977</v>
      </c>
      <c r="R98" s="36" t="n">
        <f aca="false">+R36</f>
        <v>5141977</v>
      </c>
      <c r="S98" s="36" t="n">
        <f aca="false">+S36</f>
        <v>5141977</v>
      </c>
      <c r="T98" s="36" t="n">
        <f aca="false">+T36</f>
        <v>5141977</v>
      </c>
      <c r="U98" s="36" t="n">
        <f aca="false">+U36</f>
        <v>5141977</v>
      </c>
      <c r="V98" s="36" t="n">
        <f aca="false">+V36</f>
        <v>5141977</v>
      </c>
      <c r="W98" s="36" t="n">
        <f aca="false">+W36</f>
        <v>5141977</v>
      </c>
      <c r="X98" s="36" t="n">
        <f aca="false">+X36</f>
        <v>5141977</v>
      </c>
      <c r="Y98" s="36" t="n">
        <f aca="false">+Y36</f>
        <v>5141977</v>
      </c>
      <c r="Z98" s="36" t="n">
        <f aca="false">+Z36</f>
        <v>5141977</v>
      </c>
      <c r="AA98" s="36" t="n">
        <f aca="false">+AA36</f>
        <v>5141977</v>
      </c>
      <c r="AB98" s="36" t="n">
        <f aca="false">+AB36</f>
        <v>3251628.38000001</v>
      </c>
      <c r="AC98" s="36" t="n">
        <f aca="false">+AC36</f>
        <v>0</v>
      </c>
      <c r="AD98" s="36" t="n">
        <f aca="false">+AD36</f>
        <v>0</v>
      </c>
      <c r="AE98" s="36" t="n">
        <f aca="false">+AE36</f>
        <v>0</v>
      </c>
      <c r="AF98" s="36" t="n">
        <f aca="false">+AF36</f>
        <v>0</v>
      </c>
      <c r="AG98" s="36" t="n">
        <f aca="false">+AG36</f>
        <v>0</v>
      </c>
      <c r="AH98" s="36" t="n">
        <f aca="false">+AH36</f>
        <v>0</v>
      </c>
      <c r="AI98" s="36" t="n">
        <f aca="false">+AI36</f>
        <v>0</v>
      </c>
      <c r="AJ98" s="36" t="n">
        <f aca="false">+AJ36</f>
        <v>0</v>
      </c>
      <c r="AK98" s="36" t="n">
        <f aca="false">+AK36</f>
        <v>0</v>
      </c>
      <c r="AL98" s="36" t="n">
        <f aca="false">+AL36</f>
        <v>0</v>
      </c>
      <c r="AM98" s="36" t="n">
        <f aca="false">+AM36</f>
        <v>0</v>
      </c>
      <c r="AN98" s="36" t="n">
        <f aca="false">+AN36</f>
        <v>0</v>
      </c>
      <c r="AO98" s="36" t="n">
        <f aca="false">+AO36</f>
        <v>0</v>
      </c>
      <c r="AQ98" s="36" t="n">
        <f aca="false">I98-SUM(K98:AP98)</f>
        <v>0</v>
      </c>
    </row>
    <row r="99" customFormat="false" ht="12.75" hidden="false" customHeight="false" outlineLevel="0" collapsed="false">
      <c r="C99" s="328" t="s">
        <v>239</v>
      </c>
      <c r="E99" s="36" t="n">
        <f aca="false">+E38+E79</f>
        <v>1224577007.1</v>
      </c>
      <c r="G99" s="36" t="n">
        <f aca="false">+G38+G79</f>
        <v>311349252.77</v>
      </c>
      <c r="I99" s="36" t="n">
        <f aca="false">+I38+I79</f>
        <v>913227754.33</v>
      </c>
      <c r="J99" s="36" t="n">
        <f aca="false">E99/K99</f>
        <v>33.8843102487547</v>
      </c>
      <c r="K99" s="36" t="n">
        <f aca="false">+K38+K79</f>
        <v>36139942</v>
      </c>
      <c r="L99" s="36" t="n">
        <f aca="false">+L38+L79</f>
        <v>36139942</v>
      </c>
      <c r="M99" s="36" t="n">
        <f aca="false">+M38+M79</f>
        <v>36139942</v>
      </c>
      <c r="N99" s="36" t="n">
        <f aca="false">+N38+N79</f>
        <v>36139942</v>
      </c>
      <c r="O99" s="36" t="n">
        <f aca="false">+O38+O79</f>
        <v>36139942</v>
      </c>
      <c r="P99" s="36" t="n">
        <f aca="false">+P38+P79</f>
        <v>36139942</v>
      </c>
      <c r="Q99" s="36" t="n">
        <f aca="false">+Q38+Q79</f>
        <v>36139942</v>
      </c>
      <c r="R99" s="36" t="n">
        <f aca="false">+R38+R79</f>
        <v>36139942</v>
      </c>
      <c r="S99" s="36" t="n">
        <f aca="false">+S38+S79</f>
        <v>36139942</v>
      </c>
      <c r="T99" s="36" t="n">
        <f aca="false">+T38+T79</f>
        <v>36139942</v>
      </c>
      <c r="U99" s="36" t="n">
        <f aca="false">+U38+U79</f>
        <v>36139942</v>
      </c>
      <c r="V99" s="36" t="n">
        <f aca="false">+V38+V79</f>
        <v>36139942</v>
      </c>
      <c r="W99" s="36" t="n">
        <f aca="false">+W38+W79</f>
        <v>36139942</v>
      </c>
      <c r="X99" s="36" t="n">
        <f aca="false">+X38+X79</f>
        <v>36139942</v>
      </c>
      <c r="Y99" s="36" t="n">
        <f aca="false">+Y38+Y79</f>
        <v>36139942</v>
      </c>
      <c r="Z99" s="36" t="n">
        <f aca="false">+Z38+Z79</f>
        <v>36139942</v>
      </c>
      <c r="AA99" s="36" t="n">
        <f aca="false">+AA38+AA79</f>
        <v>36139942</v>
      </c>
      <c r="AB99" s="36" t="n">
        <f aca="false">+AB38+AB79</f>
        <v>36139942</v>
      </c>
      <c r="AC99" s="36" t="n">
        <f aca="false">+AC38+AC79</f>
        <v>36139942</v>
      </c>
      <c r="AD99" s="36" t="n">
        <f aca="false">+AD38+AD79</f>
        <v>36139942</v>
      </c>
      <c r="AE99" s="36" t="n">
        <f aca="false">+AE38+AE79</f>
        <v>36139942</v>
      </c>
      <c r="AF99" s="36" t="n">
        <f aca="false">+AF38+AF79</f>
        <v>36139942</v>
      </c>
      <c r="AG99" s="36" t="n">
        <f aca="false">+AG38+AG79</f>
        <v>36139942</v>
      </c>
      <c r="AH99" s="36" t="n">
        <f aca="false">+AH38+AH79</f>
        <v>36139942</v>
      </c>
      <c r="AI99" s="36" t="n">
        <f aca="false">+AI38+AI79</f>
        <v>36139942</v>
      </c>
      <c r="AJ99" s="36" t="n">
        <f aca="false">+AJ38+AJ79</f>
        <v>9690194.08000016</v>
      </c>
      <c r="AK99" s="36" t="n">
        <f aca="false">+AK38+AK79</f>
        <v>39010.25</v>
      </c>
      <c r="AL99" s="36" t="n">
        <f aca="false">+AL38+AL79</f>
        <v>0</v>
      </c>
      <c r="AM99" s="36" t="n">
        <f aca="false">+AM38+AM79</f>
        <v>0</v>
      </c>
      <c r="AN99" s="36" t="n">
        <f aca="false">+AN38+AN79</f>
        <v>0</v>
      </c>
      <c r="AO99" s="36" t="n">
        <f aca="false">+AO38+AO79</f>
        <v>0</v>
      </c>
      <c r="AQ99" s="36" t="n">
        <f aca="false">I99-SUM(K99:AP99)</f>
        <v>0</v>
      </c>
    </row>
    <row r="100" customFormat="false" ht="12.75" hidden="false" customHeight="false" outlineLevel="0" collapsed="false">
      <c r="C100" s="328" t="s">
        <v>240</v>
      </c>
      <c r="E100" s="36" t="n">
        <f aca="false">+E40+E81</f>
        <v>248449899.15</v>
      </c>
      <c r="G100" s="36" t="n">
        <f aca="false">+G40+G81</f>
        <v>78889042.35</v>
      </c>
      <c r="I100" s="36" t="n">
        <f aca="false">+I40+I81</f>
        <v>169560856.8</v>
      </c>
      <c r="J100" s="36" t="n">
        <f aca="false">E100/K100</f>
        <v>23.2396462773804</v>
      </c>
      <c r="K100" s="36" t="n">
        <f aca="false">+K40+K81</f>
        <v>10690778</v>
      </c>
      <c r="L100" s="36" t="n">
        <f aca="false">+L40+L81</f>
        <v>10690778</v>
      </c>
      <c r="M100" s="36" t="n">
        <f aca="false">+M40+M81</f>
        <v>10690778</v>
      </c>
      <c r="N100" s="36" t="n">
        <f aca="false">+N40+N81</f>
        <v>10690778</v>
      </c>
      <c r="O100" s="36" t="n">
        <f aca="false">+O40+O81</f>
        <v>10690778</v>
      </c>
      <c r="P100" s="36" t="n">
        <f aca="false">+P40+P81</f>
        <v>10690778</v>
      </c>
      <c r="Q100" s="36" t="n">
        <f aca="false">+Q40+Q81</f>
        <v>10690778</v>
      </c>
      <c r="R100" s="36" t="n">
        <f aca="false">+R40+R81</f>
        <v>10690778</v>
      </c>
      <c r="S100" s="36" t="n">
        <f aca="false">+S40+S81</f>
        <v>10690778</v>
      </c>
      <c r="T100" s="36" t="n">
        <f aca="false">+T40+T81</f>
        <v>10690778</v>
      </c>
      <c r="U100" s="36" t="n">
        <f aca="false">+U40+U81</f>
        <v>10690778</v>
      </c>
      <c r="V100" s="36" t="n">
        <f aca="false">+V40+V81</f>
        <v>10690778</v>
      </c>
      <c r="W100" s="36" t="n">
        <f aca="false">+W40+W81</f>
        <v>10690778</v>
      </c>
      <c r="X100" s="36" t="n">
        <f aca="false">+X40+X81</f>
        <v>10690778</v>
      </c>
      <c r="Y100" s="36" t="n">
        <f aca="false">+Y40+Y81</f>
        <v>10690778</v>
      </c>
      <c r="Z100" s="36" t="n">
        <f aca="false">+Z40+Z81</f>
        <v>2510396.22000003</v>
      </c>
      <c r="AA100" s="36" t="n">
        <f aca="false">+AA40+AA81</f>
        <v>177951</v>
      </c>
      <c r="AB100" s="36" t="n">
        <f aca="false">+AB40+AB81</f>
        <v>177951</v>
      </c>
      <c r="AC100" s="36" t="n">
        <f aca="false">+AC40+AC81</f>
        <v>177951</v>
      </c>
      <c r="AD100" s="36" t="n">
        <f aca="false">+AD40+AD81</f>
        <v>177951</v>
      </c>
      <c r="AE100" s="36" t="n">
        <f aca="false">+AE40+AE81</f>
        <v>177951</v>
      </c>
      <c r="AF100" s="36" t="n">
        <f aca="false">+AF40+AF81</f>
        <v>177951</v>
      </c>
      <c r="AG100" s="36" t="n">
        <f aca="false">+AG40+AG81</f>
        <v>177951</v>
      </c>
      <c r="AH100" s="36" t="n">
        <f aca="false">+AH40+AH81</f>
        <v>177951</v>
      </c>
      <c r="AI100" s="36" t="n">
        <f aca="false">+AI40+AI81</f>
        <v>177951</v>
      </c>
      <c r="AJ100" s="36" t="n">
        <f aca="false">+AJ40+AJ81</f>
        <v>177951</v>
      </c>
      <c r="AK100" s="36" t="n">
        <f aca="false">+AK40+AK81</f>
        <v>177951</v>
      </c>
      <c r="AL100" s="36" t="n">
        <f aca="false">+AL40+AL81</f>
        <v>177951</v>
      </c>
      <c r="AM100" s="36" t="n">
        <f aca="false">+AM40+AM81</f>
        <v>177951</v>
      </c>
      <c r="AN100" s="36" t="n">
        <f aca="false">+AN40+AN81</f>
        <v>177951</v>
      </c>
      <c r="AO100" s="36" t="n">
        <f aca="false">+AO40+AO81</f>
        <v>177951</v>
      </c>
      <c r="AQ100" s="36" t="n">
        <f aca="false">I100-SUM(K100:AP100)</f>
        <v>4019525.58000001</v>
      </c>
    </row>
    <row r="102" customFormat="false" ht="13.5" hidden="false" customHeight="false" outlineLevel="0" collapsed="false">
      <c r="E102" s="376" t="n">
        <f aca="false">SUM(E92:E101)</f>
        <v>3051820479.55</v>
      </c>
      <c r="G102" s="376" t="n">
        <f aca="false">SUM(G92:G101)</f>
        <v>1337587629.1</v>
      </c>
      <c r="I102" s="376" t="n">
        <f aca="false">SUM(I92:I101)</f>
        <v>1714232850.45</v>
      </c>
      <c r="J102" s="36" t="n">
        <f aca="false">E102/K102</f>
        <v>32.1299442358155</v>
      </c>
      <c r="K102" s="376" t="n">
        <f aca="false">SUM(K92:K101)</f>
        <v>94983684.29</v>
      </c>
      <c r="L102" s="376" t="n">
        <f aca="false">SUM(L92:L101)</f>
        <v>94983684.29</v>
      </c>
      <c r="M102" s="376" t="n">
        <f aca="false">SUM(M92:M101)</f>
        <v>94940443.45</v>
      </c>
      <c r="N102" s="376" t="n">
        <f aca="false">SUM(N92:N101)</f>
        <v>94784064.29</v>
      </c>
      <c r="O102" s="376" t="n">
        <f aca="false">SUM(O92:O101)</f>
        <v>94386391.77</v>
      </c>
      <c r="P102" s="376" t="n">
        <f aca="false">SUM(P92:P101)</f>
        <v>92547021.73</v>
      </c>
      <c r="Q102" s="376" t="n">
        <f aca="false">SUM(Q92:Q101)</f>
        <v>92547021.73</v>
      </c>
      <c r="R102" s="376" t="n">
        <f aca="false">SUM(R92:R101)</f>
        <v>86310314.93</v>
      </c>
      <c r="S102" s="376" t="n">
        <f aca="false">SUM(S92:S101)</f>
        <v>81074912</v>
      </c>
      <c r="T102" s="376" t="n">
        <f aca="false">SUM(T92:T101)</f>
        <v>80492670.14</v>
      </c>
      <c r="U102" s="376" t="n">
        <f aca="false">SUM(U92:U101)</f>
        <v>80289063.42</v>
      </c>
      <c r="V102" s="376" t="n">
        <f aca="false">SUM(V92:V101)</f>
        <v>79133564.72</v>
      </c>
      <c r="W102" s="376" t="n">
        <f aca="false">SUM(W92:W101)</f>
        <v>79133564.72</v>
      </c>
      <c r="X102" s="376" t="n">
        <f aca="false">SUM(X92:X101)</f>
        <v>77746355.83</v>
      </c>
      <c r="Y102" s="376" t="n">
        <f aca="false">SUM(Y92:Y101)</f>
        <v>73868706</v>
      </c>
      <c r="Z102" s="376" t="n">
        <f aca="false">SUM(Z92:Z101)</f>
        <v>58727731.8000001</v>
      </c>
      <c r="AA102" s="376" t="n">
        <f aca="false">SUM(AA92:AA101)</f>
        <v>46252584.0099999</v>
      </c>
      <c r="AB102" s="376" t="n">
        <f aca="false">SUM(AB92:AB101)</f>
        <v>39757450.38</v>
      </c>
      <c r="AC102" s="376" t="n">
        <f aca="false">SUM(AC92:AC101)</f>
        <v>36505822</v>
      </c>
      <c r="AD102" s="376" t="n">
        <f aca="false">SUM(AD92:AD101)</f>
        <v>36495259.2</v>
      </c>
      <c r="AE102" s="376" t="n">
        <f aca="false">SUM(AE92:AE101)</f>
        <v>36462262.79</v>
      </c>
      <c r="AF102" s="376" t="n">
        <f aca="false">SUM(AF92:AF101)</f>
        <v>36450689</v>
      </c>
      <c r="AG102" s="376" t="n">
        <f aca="false">SUM(AG92:AG101)</f>
        <v>36450689</v>
      </c>
      <c r="AH102" s="376" t="n">
        <f aca="false">SUM(AH92:AH101)</f>
        <v>36446085.78</v>
      </c>
      <c r="AI102" s="376" t="n">
        <f aca="false">SUM(AI92:AI101)</f>
        <v>36416805</v>
      </c>
      <c r="AJ102" s="376" t="n">
        <f aca="false">SUM(AJ92:AJ101)</f>
        <v>9967057.08000016</v>
      </c>
      <c r="AK102" s="376" t="n">
        <f aca="false">SUM(AK92:AK101)</f>
        <v>315873.25</v>
      </c>
      <c r="AL102" s="376" t="n">
        <f aca="false">SUM(AL92:AL101)</f>
        <v>276863</v>
      </c>
      <c r="AM102" s="376" t="n">
        <f aca="false">SUM(AM92:AM101)</f>
        <v>276863</v>
      </c>
      <c r="AN102" s="376" t="n">
        <f aca="false">SUM(AN92:AN101)</f>
        <v>276863</v>
      </c>
      <c r="AO102" s="376" t="n">
        <f aca="false">SUM(AO92:AO101)</f>
        <v>276863</v>
      </c>
      <c r="AQ102" s="376" t="n">
        <f aca="false">SUM(AQ92:AQ101)</f>
        <v>5655625.85000002</v>
      </c>
    </row>
    <row r="103" customFormat="false" ht="13.5" hidden="false" customHeight="false" outlineLevel="0" collapsed="false"/>
    <row r="105" customFormat="false" ht="12.75" hidden="false" customHeight="false" outlineLevel="0" collapsed="false">
      <c r="C105" s="377" t="s">
        <v>245</v>
      </c>
    </row>
    <row r="106" customFormat="false" ht="12.75" hidden="false" customHeight="false" outlineLevel="0" collapsed="false">
      <c r="C106" s="377"/>
      <c r="J106" s="378" t="s">
        <v>246</v>
      </c>
      <c r="K106" s="379" t="n">
        <f aca="false">+K3</f>
        <v>2000</v>
      </c>
      <c r="L106" s="379" t="n">
        <f aca="false">+L3</f>
        <v>2001</v>
      </c>
      <c r="M106" s="379" t="n">
        <f aca="false">+M3</f>
        <v>2002</v>
      </c>
      <c r="N106" s="379" t="n">
        <f aca="false">+N3</f>
        <v>2003</v>
      </c>
      <c r="O106" s="379" t="n">
        <f aca="false">+O3</f>
        <v>2004</v>
      </c>
      <c r="P106" s="379" t="n">
        <f aca="false">+P3</f>
        <v>2005</v>
      </c>
      <c r="Q106" s="379" t="n">
        <f aca="false">+Q3</f>
        <v>2006</v>
      </c>
      <c r="R106" s="379" t="n">
        <f aca="false">+R3</f>
        <v>2007</v>
      </c>
      <c r="S106" s="379" t="n">
        <f aca="false">+S3</f>
        <v>2008</v>
      </c>
      <c r="T106" s="379" t="n">
        <f aca="false">+T3</f>
        <v>2009</v>
      </c>
      <c r="U106" s="379" t="n">
        <f aca="false">+U3</f>
        <v>2010</v>
      </c>
      <c r="V106" s="379" t="n">
        <f aca="false">+V3</f>
        <v>2011</v>
      </c>
      <c r="W106" s="379" t="n">
        <f aca="false">+W3</f>
        <v>2012</v>
      </c>
      <c r="X106" s="379" t="n">
        <f aca="false">+X3</f>
        <v>2013</v>
      </c>
      <c r="Y106" s="379" t="n">
        <f aca="false">+Y3</f>
        <v>2014</v>
      </c>
      <c r="Z106" s="379" t="n">
        <f aca="false">+Z3</f>
        <v>2015</v>
      </c>
      <c r="AA106" s="379" t="n">
        <f aca="false">+AA3</f>
        <v>2016</v>
      </c>
      <c r="AB106" s="379" t="n">
        <f aca="false">+AB3</f>
        <v>2017</v>
      </c>
      <c r="AC106" s="379" t="n">
        <f aca="false">+AC3</f>
        <v>2018</v>
      </c>
      <c r="AD106" s="379" t="n">
        <f aca="false">+AD3</f>
        <v>2019</v>
      </c>
      <c r="AE106" s="379" t="n">
        <f aca="false">+AE3</f>
        <v>2020</v>
      </c>
      <c r="AF106" s="379" t="n">
        <f aca="false">+AF3</f>
        <v>2021</v>
      </c>
      <c r="AG106" s="379" t="n">
        <f aca="false">+AG3</f>
        <v>2022</v>
      </c>
      <c r="AH106" s="379" t="n">
        <f aca="false">+AH3</f>
        <v>2023</v>
      </c>
      <c r="AI106" s="379" t="n">
        <f aca="false">+AI3</f>
        <v>2024</v>
      </c>
      <c r="AJ106" s="379" t="n">
        <f aca="false">+AJ3</f>
        <v>2025</v>
      </c>
      <c r="AK106" s="379" t="n">
        <f aca="false">+AK3</f>
        <v>2026</v>
      </c>
      <c r="AL106" s="379" t="n">
        <f aca="false">+AL3</f>
        <v>2027</v>
      </c>
      <c r="AM106" s="379" t="n">
        <f aca="false">+AM3</f>
        <v>2028</v>
      </c>
      <c r="AN106" s="379" t="n">
        <f aca="false">+AN3</f>
        <v>2029</v>
      </c>
      <c r="AO106" s="379" t="n">
        <f aca="false">+AO3</f>
        <v>2030</v>
      </c>
    </row>
    <row r="107" customFormat="false" ht="12.75" hidden="false" customHeight="false" outlineLevel="0" collapsed="false">
      <c r="C107" s="377"/>
    </row>
    <row r="108" customFormat="false" ht="12.75" hidden="false" customHeight="false" outlineLevel="0" collapsed="false">
      <c r="C108" s="36" t="s">
        <v>243</v>
      </c>
      <c r="I108" s="36" t="n">
        <f aca="false">+K108*J108</f>
        <v>13534362.2426179</v>
      </c>
      <c r="J108" s="36" t="n">
        <v>30</v>
      </c>
      <c r="K108" s="36" t="n">
        <f aca="false">+K121-K92</f>
        <v>451145.408087263</v>
      </c>
      <c r="L108" s="36" t="n">
        <f aca="false">+K108</f>
        <v>451145.408087263</v>
      </c>
      <c r="M108" s="36" t="n">
        <f aca="false">+L108</f>
        <v>451145.408087263</v>
      </c>
      <c r="N108" s="36" t="n">
        <f aca="false">+M108</f>
        <v>451145.408087263</v>
      </c>
      <c r="O108" s="36" t="n">
        <f aca="false">+N108</f>
        <v>451145.408087263</v>
      </c>
      <c r="P108" s="36" t="n">
        <f aca="false">+O108</f>
        <v>451145.408087263</v>
      </c>
      <c r="Q108" s="36" t="n">
        <f aca="false">+P108</f>
        <v>451145.408087263</v>
      </c>
      <c r="R108" s="36" t="n">
        <f aca="false">+Q108</f>
        <v>451145.408087263</v>
      </c>
      <c r="S108" s="36" t="n">
        <f aca="false">+R108</f>
        <v>451145.408087263</v>
      </c>
      <c r="T108" s="36" t="n">
        <f aca="false">+S108</f>
        <v>451145.408087263</v>
      </c>
      <c r="U108" s="36" t="n">
        <f aca="false">+T108</f>
        <v>451145.408087263</v>
      </c>
      <c r="V108" s="36" t="n">
        <f aca="false">+U108</f>
        <v>451145.408087263</v>
      </c>
      <c r="W108" s="36" t="n">
        <f aca="false">+V108</f>
        <v>451145.408087263</v>
      </c>
      <c r="X108" s="36" t="n">
        <f aca="false">+W108</f>
        <v>451145.408087263</v>
      </c>
      <c r="Y108" s="36" t="n">
        <f aca="false">+X108</f>
        <v>451145.408087263</v>
      </c>
      <c r="Z108" s="36" t="n">
        <f aca="false">+Y108</f>
        <v>451145.408087263</v>
      </c>
      <c r="AA108" s="36" t="n">
        <f aca="false">+Z108</f>
        <v>451145.408087263</v>
      </c>
      <c r="AB108" s="36" t="n">
        <f aca="false">+AA108</f>
        <v>451145.408087263</v>
      </c>
      <c r="AC108" s="36" t="n">
        <f aca="false">+AB108</f>
        <v>451145.408087263</v>
      </c>
      <c r="AD108" s="36" t="n">
        <f aca="false">+AC108</f>
        <v>451145.408087263</v>
      </c>
      <c r="AE108" s="36" t="n">
        <f aca="false">+AD108</f>
        <v>451145.408087263</v>
      </c>
      <c r="AF108" s="36" t="n">
        <f aca="false">+AE108</f>
        <v>451145.408087263</v>
      </c>
      <c r="AG108" s="36" t="n">
        <f aca="false">+AF108</f>
        <v>451145.408087263</v>
      </c>
      <c r="AH108" s="36" t="n">
        <f aca="false">+AG108</f>
        <v>451145.408087263</v>
      </c>
      <c r="AI108" s="36" t="n">
        <f aca="false">+AH108</f>
        <v>451145.408087263</v>
      </c>
      <c r="AJ108" s="36" t="n">
        <f aca="false">+AI108</f>
        <v>451145.408087263</v>
      </c>
      <c r="AK108" s="36" t="n">
        <f aca="false">+AJ108</f>
        <v>451145.408087263</v>
      </c>
      <c r="AL108" s="36" t="n">
        <f aca="false">+AK108</f>
        <v>451145.408087263</v>
      </c>
      <c r="AM108" s="36" t="n">
        <f aca="false">+AL108</f>
        <v>451145.408087263</v>
      </c>
      <c r="AN108" s="36" t="n">
        <f aca="false">+AM108</f>
        <v>451145.408087263</v>
      </c>
      <c r="AO108" s="36" t="n">
        <v>0</v>
      </c>
      <c r="AQ108" s="36" t="n">
        <f aca="false">I108-SUM(K108:AP108)</f>
        <v>0</v>
      </c>
    </row>
    <row r="109" customFormat="false" ht="12.75" hidden="false" customHeight="false" outlineLevel="0" collapsed="false">
      <c r="C109" s="36" t="s">
        <v>244</v>
      </c>
      <c r="I109" s="36" t="n">
        <f aca="false">+K109*J109</f>
        <v>11382155.8227474</v>
      </c>
      <c r="J109" s="36" t="n">
        <v>30</v>
      </c>
      <c r="K109" s="36" t="n">
        <f aca="false">+K122-K93</f>
        <v>379405.194091579</v>
      </c>
      <c r="L109" s="36" t="n">
        <f aca="false">+K109</f>
        <v>379405.194091579</v>
      </c>
      <c r="M109" s="36" t="n">
        <f aca="false">+L109</f>
        <v>379405.194091579</v>
      </c>
      <c r="N109" s="36" t="n">
        <f aca="false">+M109</f>
        <v>379405.194091579</v>
      </c>
      <c r="O109" s="36" t="n">
        <f aca="false">+N109</f>
        <v>379405.194091579</v>
      </c>
      <c r="P109" s="36" t="n">
        <f aca="false">+O109</f>
        <v>379405.194091579</v>
      </c>
      <c r="Q109" s="36" t="n">
        <f aca="false">+P109</f>
        <v>379405.194091579</v>
      </c>
      <c r="R109" s="36" t="n">
        <f aca="false">+Q109</f>
        <v>379405.194091579</v>
      </c>
      <c r="S109" s="36" t="n">
        <f aca="false">+R109</f>
        <v>379405.194091579</v>
      </c>
      <c r="T109" s="36" t="n">
        <f aca="false">+S109</f>
        <v>379405.194091579</v>
      </c>
      <c r="U109" s="36" t="n">
        <f aca="false">+T109</f>
        <v>379405.194091579</v>
      </c>
      <c r="V109" s="36" t="n">
        <f aca="false">+U109</f>
        <v>379405.194091579</v>
      </c>
      <c r="W109" s="36" t="n">
        <f aca="false">+V109</f>
        <v>379405.194091579</v>
      </c>
      <c r="X109" s="36" t="n">
        <f aca="false">+W109</f>
        <v>379405.194091579</v>
      </c>
      <c r="Y109" s="36" t="n">
        <f aca="false">+X109</f>
        <v>379405.194091579</v>
      </c>
      <c r="Z109" s="36" t="n">
        <f aca="false">+Y109</f>
        <v>379405.194091579</v>
      </c>
      <c r="AA109" s="36" t="n">
        <f aca="false">+Z109</f>
        <v>379405.194091579</v>
      </c>
      <c r="AB109" s="36" t="n">
        <f aca="false">+AA109</f>
        <v>379405.194091579</v>
      </c>
      <c r="AC109" s="36" t="n">
        <f aca="false">+AB109</f>
        <v>379405.194091579</v>
      </c>
      <c r="AD109" s="36" t="n">
        <f aca="false">+AC109</f>
        <v>379405.194091579</v>
      </c>
      <c r="AE109" s="36" t="n">
        <f aca="false">+AD109</f>
        <v>379405.194091579</v>
      </c>
      <c r="AF109" s="36" t="n">
        <f aca="false">+AE109</f>
        <v>379405.194091579</v>
      </c>
      <c r="AG109" s="36" t="n">
        <f aca="false">+AF109</f>
        <v>379405.194091579</v>
      </c>
      <c r="AH109" s="36" t="n">
        <f aca="false">+AG109</f>
        <v>379405.194091579</v>
      </c>
      <c r="AI109" s="36" t="n">
        <f aca="false">+AH109</f>
        <v>379405.194091579</v>
      </c>
      <c r="AJ109" s="36" t="n">
        <f aca="false">+AI109</f>
        <v>379405.194091579</v>
      </c>
      <c r="AK109" s="36" t="n">
        <f aca="false">+AJ109</f>
        <v>379405.194091579</v>
      </c>
      <c r="AL109" s="36" t="n">
        <f aca="false">+AK109</f>
        <v>379405.194091579</v>
      </c>
      <c r="AM109" s="36" t="n">
        <f aca="false">+AL109</f>
        <v>379405.194091579</v>
      </c>
      <c r="AN109" s="36" t="n">
        <f aca="false">+AM109</f>
        <v>379405.194091579</v>
      </c>
      <c r="AO109" s="36" t="n">
        <v>0</v>
      </c>
      <c r="AQ109" s="36" t="n">
        <f aca="false">I109-SUM(K109:AP109)</f>
        <v>0</v>
      </c>
    </row>
    <row r="110" customFormat="false" ht="12.75" hidden="false" customHeight="false" outlineLevel="0" collapsed="false">
      <c r="C110" s="328" t="s">
        <v>216</v>
      </c>
      <c r="I110" s="36" t="n">
        <f aca="false">+K110*J110</f>
        <v>404620.954772341</v>
      </c>
      <c r="J110" s="36" t="n">
        <v>30</v>
      </c>
      <c r="K110" s="36" t="n">
        <f aca="false">+K123-K94</f>
        <v>13487.365159078</v>
      </c>
      <c r="L110" s="36" t="n">
        <f aca="false">+K110</f>
        <v>13487.365159078</v>
      </c>
      <c r="M110" s="36" t="n">
        <f aca="false">+L110</f>
        <v>13487.365159078</v>
      </c>
      <c r="N110" s="36" t="n">
        <f aca="false">+M110</f>
        <v>13487.365159078</v>
      </c>
      <c r="O110" s="36" t="n">
        <f aca="false">+N110</f>
        <v>13487.365159078</v>
      </c>
      <c r="P110" s="36" t="n">
        <f aca="false">+O110</f>
        <v>13487.365159078</v>
      </c>
      <c r="Q110" s="36" t="n">
        <f aca="false">+P110</f>
        <v>13487.365159078</v>
      </c>
      <c r="R110" s="36" t="n">
        <f aca="false">+Q110</f>
        <v>13487.365159078</v>
      </c>
      <c r="S110" s="36" t="n">
        <f aca="false">+R110</f>
        <v>13487.365159078</v>
      </c>
      <c r="T110" s="36" t="n">
        <f aca="false">+S110</f>
        <v>13487.365159078</v>
      </c>
      <c r="U110" s="36" t="n">
        <f aca="false">+T110</f>
        <v>13487.365159078</v>
      </c>
      <c r="V110" s="36" t="n">
        <f aca="false">+U110</f>
        <v>13487.365159078</v>
      </c>
      <c r="W110" s="36" t="n">
        <f aca="false">+V110</f>
        <v>13487.365159078</v>
      </c>
      <c r="X110" s="36" t="n">
        <f aca="false">+W110</f>
        <v>13487.365159078</v>
      </c>
      <c r="Y110" s="36" t="n">
        <f aca="false">+X110</f>
        <v>13487.365159078</v>
      </c>
      <c r="Z110" s="36" t="n">
        <f aca="false">+Y110</f>
        <v>13487.365159078</v>
      </c>
      <c r="AA110" s="36" t="n">
        <f aca="false">+Z110</f>
        <v>13487.365159078</v>
      </c>
      <c r="AB110" s="36" t="n">
        <f aca="false">+AA110</f>
        <v>13487.365159078</v>
      </c>
      <c r="AC110" s="36" t="n">
        <f aca="false">+AB110</f>
        <v>13487.365159078</v>
      </c>
      <c r="AD110" s="36" t="n">
        <f aca="false">+AC110</f>
        <v>13487.365159078</v>
      </c>
      <c r="AE110" s="36" t="n">
        <f aca="false">+AD110</f>
        <v>13487.365159078</v>
      </c>
      <c r="AF110" s="36" t="n">
        <f aca="false">+AE110</f>
        <v>13487.365159078</v>
      </c>
      <c r="AG110" s="36" t="n">
        <f aca="false">+AF110</f>
        <v>13487.365159078</v>
      </c>
      <c r="AH110" s="36" t="n">
        <f aca="false">+AG110</f>
        <v>13487.365159078</v>
      </c>
      <c r="AI110" s="36" t="n">
        <f aca="false">+AH110</f>
        <v>13487.365159078</v>
      </c>
      <c r="AJ110" s="36" t="n">
        <f aca="false">+AI110</f>
        <v>13487.365159078</v>
      </c>
      <c r="AK110" s="36" t="n">
        <f aca="false">+AJ110</f>
        <v>13487.365159078</v>
      </c>
      <c r="AL110" s="36" t="n">
        <f aca="false">+AK110</f>
        <v>13487.365159078</v>
      </c>
      <c r="AM110" s="36" t="n">
        <f aca="false">+AL110</f>
        <v>13487.365159078</v>
      </c>
      <c r="AN110" s="36" t="n">
        <f aca="false">+AM110</f>
        <v>13487.365159078</v>
      </c>
      <c r="AO110" s="36" t="n">
        <v>0</v>
      </c>
      <c r="AQ110" s="36" t="n">
        <f aca="false">I110-SUM(K110:AP110)</f>
        <v>0</v>
      </c>
    </row>
    <row r="111" customFormat="false" ht="12.75" hidden="false" customHeight="false" outlineLevel="0" collapsed="false">
      <c r="C111" s="328" t="s">
        <v>217</v>
      </c>
      <c r="I111" s="36" t="n">
        <f aca="false">+K111*J111</f>
        <v>10485974.4641256</v>
      </c>
      <c r="J111" s="36" t="n">
        <v>30</v>
      </c>
      <c r="K111" s="36" t="n">
        <f aca="false">+K124-K95</f>
        <v>349532.48213752</v>
      </c>
      <c r="L111" s="36" t="n">
        <f aca="false">+K111</f>
        <v>349532.48213752</v>
      </c>
      <c r="M111" s="36" t="n">
        <f aca="false">+L111</f>
        <v>349532.48213752</v>
      </c>
      <c r="N111" s="36" t="n">
        <f aca="false">+M111</f>
        <v>349532.48213752</v>
      </c>
      <c r="O111" s="36" t="n">
        <f aca="false">+N111</f>
        <v>349532.48213752</v>
      </c>
      <c r="P111" s="36" t="n">
        <f aca="false">+O111</f>
        <v>349532.48213752</v>
      </c>
      <c r="Q111" s="36" t="n">
        <f aca="false">+P111</f>
        <v>349532.48213752</v>
      </c>
      <c r="R111" s="36" t="n">
        <f aca="false">+Q111</f>
        <v>349532.48213752</v>
      </c>
      <c r="S111" s="36" t="n">
        <f aca="false">+R111</f>
        <v>349532.48213752</v>
      </c>
      <c r="T111" s="36" t="n">
        <f aca="false">+S111</f>
        <v>349532.48213752</v>
      </c>
      <c r="U111" s="36" t="n">
        <f aca="false">+T111</f>
        <v>349532.48213752</v>
      </c>
      <c r="V111" s="36" t="n">
        <f aca="false">+U111</f>
        <v>349532.48213752</v>
      </c>
      <c r="W111" s="36" t="n">
        <f aca="false">+V111</f>
        <v>349532.48213752</v>
      </c>
      <c r="X111" s="36" t="n">
        <f aca="false">+W111</f>
        <v>349532.48213752</v>
      </c>
      <c r="Y111" s="36" t="n">
        <f aca="false">+X111</f>
        <v>349532.48213752</v>
      </c>
      <c r="Z111" s="36" t="n">
        <f aca="false">+Y111</f>
        <v>349532.48213752</v>
      </c>
      <c r="AA111" s="36" t="n">
        <f aca="false">+Z111</f>
        <v>349532.48213752</v>
      </c>
      <c r="AB111" s="36" t="n">
        <f aca="false">+AA111</f>
        <v>349532.48213752</v>
      </c>
      <c r="AC111" s="36" t="n">
        <f aca="false">+AB111</f>
        <v>349532.48213752</v>
      </c>
      <c r="AD111" s="36" t="n">
        <f aca="false">+AC111</f>
        <v>349532.48213752</v>
      </c>
      <c r="AE111" s="36" t="n">
        <f aca="false">+AD111</f>
        <v>349532.48213752</v>
      </c>
      <c r="AF111" s="36" t="n">
        <f aca="false">+AE111</f>
        <v>349532.48213752</v>
      </c>
      <c r="AG111" s="36" t="n">
        <f aca="false">+AF111</f>
        <v>349532.48213752</v>
      </c>
      <c r="AH111" s="36" t="n">
        <f aca="false">+AG111</f>
        <v>349532.48213752</v>
      </c>
      <c r="AI111" s="36" t="n">
        <f aca="false">+AH111</f>
        <v>349532.48213752</v>
      </c>
      <c r="AJ111" s="36" t="n">
        <f aca="false">+AI111</f>
        <v>349532.48213752</v>
      </c>
      <c r="AK111" s="36" t="n">
        <f aca="false">+AJ111</f>
        <v>349532.48213752</v>
      </c>
      <c r="AL111" s="36" t="n">
        <f aca="false">+AK111</f>
        <v>349532.48213752</v>
      </c>
      <c r="AM111" s="36" t="n">
        <f aca="false">+AL111</f>
        <v>349532.48213752</v>
      </c>
      <c r="AN111" s="36" t="n">
        <f aca="false">+AM111</f>
        <v>349532.48213752</v>
      </c>
      <c r="AO111" s="36" t="n">
        <v>0</v>
      </c>
      <c r="AQ111" s="36" t="n">
        <f aca="false">I111-SUM(K111:AP111)</f>
        <v>0</v>
      </c>
    </row>
    <row r="112" customFormat="false" ht="12.75" hidden="false" customHeight="false" outlineLevel="0" collapsed="false">
      <c r="C112" s="328" t="s">
        <v>237</v>
      </c>
      <c r="I112" s="36" t="n">
        <f aca="false">+K112*J112</f>
        <v>2843200.50219089</v>
      </c>
      <c r="J112" s="36" t="n">
        <v>30</v>
      </c>
      <c r="K112" s="36" t="n">
        <f aca="false">+K125-K96</f>
        <v>94773.3500730298</v>
      </c>
      <c r="L112" s="36" t="n">
        <f aca="false">+K112</f>
        <v>94773.3500730298</v>
      </c>
      <c r="M112" s="36" t="n">
        <f aca="false">+L112</f>
        <v>94773.3500730298</v>
      </c>
      <c r="N112" s="36" t="n">
        <f aca="false">+M112</f>
        <v>94773.3500730298</v>
      </c>
      <c r="O112" s="36" t="n">
        <f aca="false">+N112</f>
        <v>94773.3500730298</v>
      </c>
      <c r="P112" s="36" t="n">
        <f aca="false">+O112</f>
        <v>94773.3500730298</v>
      </c>
      <c r="Q112" s="36" t="n">
        <f aca="false">+P112</f>
        <v>94773.3500730298</v>
      </c>
      <c r="R112" s="36" t="n">
        <f aca="false">+Q112</f>
        <v>94773.3500730298</v>
      </c>
      <c r="S112" s="36" t="n">
        <f aca="false">+R112</f>
        <v>94773.3500730298</v>
      </c>
      <c r="T112" s="36" t="n">
        <f aca="false">+S112</f>
        <v>94773.3500730298</v>
      </c>
      <c r="U112" s="36" t="n">
        <f aca="false">+T112</f>
        <v>94773.3500730298</v>
      </c>
      <c r="V112" s="36" t="n">
        <f aca="false">+U112</f>
        <v>94773.3500730298</v>
      </c>
      <c r="W112" s="36" t="n">
        <f aca="false">+V112</f>
        <v>94773.3500730298</v>
      </c>
      <c r="X112" s="36" t="n">
        <f aca="false">+W112</f>
        <v>94773.3500730298</v>
      </c>
      <c r="Y112" s="36" t="n">
        <f aca="false">+X112</f>
        <v>94773.3500730298</v>
      </c>
      <c r="Z112" s="36" t="n">
        <f aca="false">+Y112</f>
        <v>94773.3500730298</v>
      </c>
      <c r="AA112" s="36" t="n">
        <f aca="false">+Z112</f>
        <v>94773.3500730298</v>
      </c>
      <c r="AB112" s="36" t="n">
        <f aca="false">+AA112</f>
        <v>94773.3500730298</v>
      </c>
      <c r="AC112" s="36" t="n">
        <f aca="false">+AB112</f>
        <v>94773.3500730298</v>
      </c>
      <c r="AD112" s="36" t="n">
        <f aca="false">+AC112</f>
        <v>94773.3500730298</v>
      </c>
      <c r="AE112" s="36" t="n">
        <f aca="false">+AD112</f>
        <v>94773.3500730298</v>
      </c>
      <c r="AF112" s="36" t="n">
        <f aca="false">+AE112</f>
        <v>94773.3500730298</v>
      </c>
      <c r="AG112" s="36" t="n">
        <f aca="false">+AF112</f>
        <v>94773.3500730298</v>
      </c>
      <c r="AH112" s="36" t="n">
        <f aca="false">+AG112</f>
        <v>94773.3500730298</v>
      </c>
      <c r="AI112" s="36" t="n">
        <f aca="false">+AH112</f>
        <v>94773.3500730298</v>
      </c>
      <c r="AJ112" s="36" t="n">
        <f aca="false">+AI112</f>
        <v>94773.3500730298</v>
      </c>
      <c r="AK112" s="36" t="n">
        <f aca="false">+AJ112</f>
        <v>94773.3500730298</v>
      </c>
      <c r="AL112" s="36" t="n">
        <f aca="false">+AK112</f>
        <v>94773.3500730298</v>
      </c>
      <c r="AM112" s="36" t="n">
        <f aca="false">+AL112</f>
        <v>94773.3500730298</v>
      </c>
      <c r="AN112" s="36" t="n">
        <f aca="false">+AM112</f>
        <v>94773.3500730298</v>
      </c>
      <c r="AO112" s="36" t="n">
        <v>0</v>
      </c>
      <c r="AQ112" s="36" t="n">
        <f aca="false">I112-SUM(K112:AP112)</f>
        <v>0</v>
      </c>
    </row>
    <row r="113" customFormat="false" ht="12.75" hidden="false" customHeight="false" outlineLevel="0" collapsed="false">
      <c r="C113" s="328" t="s">
        <v>238</v>
      </c>
      <c r="I113" s="36" t="n">
        <f aca="false">+K113*J113</f>
        <v>10715765.5417794</v>
      </c>
      <c r="J113" s="36" t="n">
        <v>30</v>
      </c>
      <c r="K113" s="36" t="n">
        <f aca="false">+K126-K97</f>
        <v>357192.184725979</v>
      </c>
      <c r="L113" s="36" t="n">
        <f aca="false">+K113</f>
        <v>357192.184725979</v>
      </c>
      <c r="M113" s="36" t="n">
        <f aca="false">+L113</f>
        <v>357192.184725979</v>
      </c>
      <c r="N113" s="36" t="n">
        <f aca="false">+M113</f>
        <v>357192.184725979</v>
      </c>
      <c r="O113" s="36" t="n">
        <f aca="false">+N113</f>
        <v>357192.184725979</v>
      </c>
      <c r="P113" s="36" t="n">
        <f aca="false">+O113</f>
        <v>357192.184725979</v>
      </c>
      <c r="Q113" s="36" t="n">
        <f aca="false">+P113</f>
        <v>357192.184725979</v>
      </c>
      <c r="R113" s="36" t="n">
        <f aca="false">+Q113</f>
        <v>357192.184725979</v>
      </c>
      <c r="S113" s="36" t="n">
        <f aca="false">+R113</f>
        <v>357192.184725979</v>
      </c>
      <c r="T113" s="36" t="n">
        <f aca="false">+S113</f>
        <v>357192.184725979</v>
      </c>
      <c r="U113" s="36" t="n">
        <f aca="false">+T113</f>
        <v>357192.184725979</v>
      </c>
      <c r="V113" s="36" t="n">
        <f aca="false">+U113</f>
        <v>357192.184725979</v>
      </c>
      <c r="W113" s="36" t="n">
        <f aca="false">+V113</f>
        <v>357192.184725979</v>
      </c>
      <c r="X113" s="36" t="n">
        <f aca="false">+W113</f>
        <v>357192.184725979</v>
      </c>
      <c r="Y113" s="36" t="n">
        <f aca="false">+X113</f>
        <v>357192.184725979</v>
      </c>
      <c r="Z113" s="36" t="n">
        <f aca="false">+Y113</f>
        <v>357192.184725979</v>
      </c>
      <c r="AA113" s="36" t="n">
        <f aca="false">+Z113</f>
        <v>357192.184725979</v>
      </c>
      <c r="AB113" s="36" t="n">
        <f aca="false">+AA113</f>
        <v>357192.184725979</v>
      </c>
      <c r="AC113" s="36" t="n">
        <f aca="false">+AB113</f>
        <v>357192.184725979</v>
      </c>
      <c r="AD113" s="36" t="n">
        <f aca="false">+AC113</f>
        <v>357192.184725979</v>
      </c>
      <c r="AE113" s="36" t="n">
        <f aca="false">+AD113</f>
        <v>357192.184725979</v>
      </c>
      <c r="AF113" s="36" t="n">
        <f aca="false">+AE113</f>
        <v>357192.184725979</v>
      </c>
      <c r="AG113" s="36" t="n">
        <f aca="false">+AF113</f>
        <v>357192.184725979</v>
      </c>
      <c r="AH113" s="36" t="n">
        <f aca="false">+AG113</f>
        <v>357192.184725979</v>
      </c>
      <c r="AI113" s="36" t="n">
        <f aca="false">+AH113</f>
        <v>357192.184725979</v>
      </c>
      <c r="AJ113" s="36" t="n">
        <f aca="false">+AI113</f>
        <v>357192.184725979</v>
      </c>
      <c r="AK113" s="36" t="n">
        <f aca="false">+AJ113</f>
        <v>357192.184725979</v>
      </c>
      <c r="AL113" s="36" t="n">
        <f aca="false">+AK113</f>
        <v>357192.184725979</v>
      </c>
      <c r="AM113" s="36" t="n">
        <f aca="false">+AL113</f>
        <v>357192.184725979</v>
      </c>
      <c r="AN113" s="36" t="n">
        <f aca="false">+AM113</f>
        <v>357192.184725979</v>
      </c>
      <c r="AO113" s="36" t="n">
        <v>0</v>
      </c>
      <c r="AQ113" s="36" t="n">
        <f aca="false">I113-SUM(K113:AP113)</f>
        <v>0</v>
      </c>
    </row>
    <row r="114" customFormat="false" ht="12.75" hidden="false" customHeight="false" outlineLevel="0" collapsed="false">
      <c r="C114" s="328" t="s">
        <v>220</v>
      </c>
      <c r="I114" s="36" t="n">
        <f aca="false">+K114*J114</f>
        <v>6872690.38102501</v>
      </c>
      <c r="J114" s="36" t="n">
        <v>30</v>
      </c>
      <c r="K114" s="36" t="n">
        <f aca="false">+K127-K98</f>
        <v>229089.6793675</v>
      </c>
      <c r="L114" s="36" t="n">
        <f aca="false">+K114</f>
        <v>229089.6793675</v>
      </c>
      <c r="M114" s="36" t="n">
        <f aca="false">+L114</f>
        <v>229089.6793675</v>
      </c>
      <c r="N114" s="36" t="n">
        <f aca="false">+M114</f>
        <v>229089.6793675</v>
      </c>
      <c r="O114" s="36" t="n">
        <f aca="false">+N114</f>
        <v>229089.6793675</v>
      </c>
      <c r="P114" s="36" t="n">
        <f aca="false">+O114</f>
        <v>229089.6793675</v>
      </c>
      <c r="Q114" s="36" t="n">
        <f aca="false">+P114</f>
        <v>229089.6793675</v>
      </c>
      <c r="R114" s="36" t="n">
        <f aca="false">+Q114</f>
        <v>229089.6793675</v>
      </c>
      <c r="S114" s="36" t="n">
        <f aca="false">+R114</f>
        <v>229089.6793675</v>
      </c>
      <c r="T114" s="36" t="n">
        <f aca="false">+S114</f>
        <v>229089.6793675</v>
      </c>
      <c r="U114" s="36" t="n">
        <f aca="false">+T114</f>
        <v>229089.6793675</v>
      </c>
      <c r="V114" s="36" t="n">
        <f aca="false">+U114</f>
        <v>229089.6793675</v>
      </c>
      <c r="W114" s="36" t="n">
        <f aca="false">+V114</f>
        <v>229089.6793675</v>
      </c>
      <c r="X114" s="36" t="n">
        <f aca="false">+W114</f>
        <v>229089.6793675</v>
      </c>
      <c r="Y114" s="36" t="n">
        <f aca="false">+X114</f>
        <v>229089.6793675</v>
      </c>
      <c r="Z114" s="36" t="n">
        <f aca="false">+Y114</f>
        <v>229089.6793675</v>
      </c>
      <c r="AA114" s="36" t="n">
        <f aca="false">+Z114</f>
        <v>229089.6793675</v>
      </c>
      <c r="AB114" s="36" t="n">
        <f aca="false">+AA114</f>
        <v>229089.6793675</v>
      </c>
      <c r="AC114" s="36" t="n">
        <f aca="false">+AB114</f>
        <v>229089.6793675</v>
      </c>
      <c r="AD114" s="36" t="n">
        <f aca="false">+AC114</f>
        <v>229089.6793675</v>
      </c>
      <c r="AE114" s="36" t="n">
        <f aca="false">+AD114</f>
        <v>229089.6793675</v>
      </c>
      <c r="AF114" s="36" t="n">
        <f aca="false">+AE114</f>
        <v>229089.6793675</v>
      </c>
      <c r="AG114" s="36" t="n">
        <f aca="false">+AF114</f>
        <v>229089.6793675</v>
      </c>
      <c r="AH114" s="36" t="n">
        <f aca="false">+AG114</f>
        <v>229089.6793675</v>
      </c>
      <c r="AI114" s="36" t="n">
        <f aca="false">+AH114</f>
        <v>229089.6793675</v>
      </c>
      <c r="AJ114" s="36" t="n">
        <f aca="false">+AI114</f>
        <v>229089.6793675</v>
      </c>
      <c r="AK114" s="36" t="n">
        <f aca="false">+AJ114</f>
        <v>229089.6793675</v>
      </c>
      <c r="AL114" s="36" t="n">
        <f aca="false">+AK114</f>
        <v>229089.6793675</v>
      </c>
      <c r="AM114" s="36" t="n">
        <f aca="false">+AL114</f>
        <v>229089.6793675</v>
      </c>
      <c r="AN114" s="36" t="n">
        <f aca="false">+AM114</f>
        <v>229089.6793675</v>
      </c>
      <c r="AO114" s="36" t="n">
        <v>0</v>
      </c>
      <c r="AQ114" s="36" t="n">
        <f aca="false">I114-SUM(K114:AP114)</f>
        <v>0</v>
      </c>
    </row>
    <row r="115" customFormat="false" ht="12.75" hidden="false" customHeight="false" outlineLevel="0" collapsed="false">
      <c r="C115" s="328" t="s">
        <v>239</v>
      </c>
      <c r="I115" s="36" t="n">
        <f aca="false">+K115*J115</f>
        <v>46263994.7151842</v>
      </c>
      <c r="J115" s="36" t="n">
        <v>30</v>
      </c>
      <c r="K115" s="36" t="n">
        <f aca="false">+K128-K99</f>
        <v>1542133.15717281</v>
      </c>
      <c r="L115" s="36" t="n">
        <f aca="false">+K115</f>
        <v>1542133.15717281</v>
      </c>
      <c r="M115" s="36" t="n">
        <f aca="false">+L115</f>
        <v>1542133.15717281</v>
      </c>
      <c r="N115" s="36" t="n">
        <f aca="false">+M115</f>
        <v>1542133.15717281</v>
      </c>
      <c r="O115" s="36" t="n">
        <f aca="false">+N115</f>
        <v>1542133.15717281</v>
      </c>
      <c r="P115" s="36" t="n">
        <f aca="false">+O115</f>
        <v>1542133.15717281</v>
      </c>
      <c r="Q115" s="36" t="n">
        <f aca="false">+P115</f>
        <v>1542133.15717281</v>
      </c>
      <c r="R115" s="36" t="n">
        <f aca="false">+Q115</f>
        <v>1542133.15717281</v>
      </c>
      <c r="S115" s="36" t="n">
        <f aca="false">+R115</f>
        <v>1542133.15717281</v>
      </c>
      <c r="T115" s="36" t="n">
        <f aca="false">+S115</f>
        <v>1542133.15717281</v>
      </c>
      <c r="U115" s="36" t="n">
        <f aca="false">+T115</f>
        <v>1542133.15717281</v>
      </c>
      <c r="V115" s="36" t="n">
        <f aca="false">+U115</f>
        <v>1542133.15717281</v>
      </c>
      <c r="W115" s="36" t="n">
        <f aca="false">+V115</f>
        <v>1542133.15717281</v>
      </c>
      <c r="X115" s="36" t="n">
        <f aca="false">+W115</f>
        <v>1542133.15717281</v>
      </c>
      <c r="Y115" s="36" t="n">
        <f aca="false">+X115</f>
        <v>1542133.15717281</v>
      </c>
      <c r="Z115" s="36" t="n">
        <f aca="false">+Y115</f>
        <v>1542133.15717281</v>
      </c>
      <c r="AA115" s="36" t="n">
        <f aca="false">+Z115</f>
        <v>1542133.15717281</v>
      </c>
      <c r="AB115" s="36" t="n">
        <f aca="false">+AA115</f>
        <v>1542133.15717281</v>
      </c>
      <c r="AC115" s="36" t="n">
        <f aca="false">+AB115</f>
        <v>1542133.15717281</v>
      </c>
      <c r="AD115" s="36" t="n">
        <f aca="false">+AC115</f>
        <v>1542133.15717281</v>
      </c>
      <c r="AE115" s="36" t="n">
        <f aca="false">+AD115</f>
        <v>1542133.15717281</v>
      </c>
      <c r="AF115" s="36" t="n">
        <f aca="false">+AE115</f>
        <v>1542133.15717281</v>
      </c>
      <c r="AG115" s="36" t="n">
        <f aca="false">+AF115</f>
        <v>1542133.15717281</v>
      </c>
      <c r="AH115" s="36" t="n">
        <f aca="false">+AG115</f>
        <v>1542133.15717281</v>
      </c>
      <c r="AI115" s="36" t="n">
        <f aca="false">+AH115</f>
        <v>1542133.15717281</v>
      </c>
      <c r="AJ115" s="36" t="n">
        <f aca="false">+AI115</f>
        <v>1542133.15717281</v>
      </c>
      <c r="AK115" s="36" t="n">
        <f aca="false">+AJ115</f>
        <v>1542133.15717281</v>
      </c>
      <c r="AL115" s="36" t="n">
        <f aca="false">+AK115</f>
        <v>1542133.15717281</v>
      </c>
      <c r="AM115" s="36" t="n">
        <f aca="false">+AL115</f>
        <v>1542133.15717281</v>
      </c>
      <c r="AN115" s="36" t="n">
        <f aca="false">+AM115</f>
        <v>1542133.15717281</v>
      </c>
      <c r="AO115" s="36" t="n">
        <v>0</v>
      </c>
      <c r="AQ115" s="36" t="n">
        <f aca="false">I115-SUM(K115:AP115)</f>
        <v>0</v>
      </c>
    </row>
    <row r="116" customFormat="false" ht="12.75" hidden="false" customHeight="false" outlineLevel="0" collapsed="false">
      <c r="C116" s="328" t="s">
        <v>240</v>
      </c>
      <c r="I116" s="36" t="n">
        <f aca="false">+K116*J116</f>
        <v>5811137.78370399</v>
      </c>
      <c r="J116" s="36" t="n">
        <v>20</v>
      </c>
      <c r="K116" s="36" t="n">
        <f aca="false">+K129-K100</f>
        <v>290556.8891852</v>
      </c>
      <c r="L116" s="36" t="n">
        <f aca="false">+K116</f>
        <v>290556.8891852</v>
      </c>
      <c r="M116" s="36" t="n">
        <f aca="false">+L116</f>
        <v>290556.8891852</v>
      </c>
      <c r="N116" s="36" t="n">
        <f aca="false">+M116</f>
        <v>290556.8891852</v>
      </c>
      <c r="O116" s="36" t="n">
        <f aca="false">+N116</f>
        <v>290556.8891852</v>
      </c>
      <c r="P116" s="36" t="n">
        <f aca="false">+O116</f>
        <v>290556.8891852</v>
      </c>
      <c r="Q116" s="36" t="n">
        <f aca="false">+P116</f>
        <v>290556.8891852</v>
      </c>
      <c r="R116" s="36" t="n">
        <f aca="false">+Q116</f>
        <v>290556.8891852</v>
      </c>
      <c r="S116" s="36" t="n">
        <f aca="false">+R116</f>
        <v>290556.8891852</v>
      </c>
      <c r="T116" s="36" t="n">
        <f aca="false">+S116</f>
        <v>290556.8891852</v>
      </c>
      <c r="U116" s="36" t="n">
        <f aca="false">+T116</f>
        <v>290556.8891852</v>
      </c>
      <c r="V116" s="36" t="n">
        <f aca="false">+U116</f>
        <v>290556.8891852</v>
      </c>
      <c r="W116" s="36" t="n">
        <f aca="false">+V116</f>
        <v>290556.8891852</v>
      </c>
      <c r="X116" s="36" t="n">
        <f aca="false">+W116</f>
        <v>290556.8891852</v>
      </c>
      <c r="Y116" s="36" t="n">
        <f aca="false">+X116</f>
        <v>290556.8891852</v>
      </c>
      <c r="Z116" s="36" t="n">
        <f aca="false">+Y116</f>
        <v>290556.8891852</v>
      </c>
      <c r="AA116" s="36" t="n">
        <f aca="false">+Z116</f>
        <v>290556.8891852</v>
      </c>
      <c r="AB116" s="36" t="n">
        <f aca="false">+AA116</f>
        <v>290556.8891852</v>
      </c>
      <c r="AC116" s="36" t="n">
        <f aca="false">+AB116</f>
        <v>290556.8891852</v>
      </c>
      <c r="AD116" s="36" t="n">
        <f aca="false">+AC116</f>
        <v>290556.8891852</v>
      </c>
      <c r="AE116" s="36" t="n">
        <v>0</v>
      </c>
      <c r="AF116" s="36" t="n">
        <v>0</v>
      </c>
      <c r="AG116" s="36" t="n">
        <v>0</v>
      </c>
      <c r="AH116" s="36" t="n">
        <v>0</v>
      </c>
      <c r="AI116" s="36" t="n">
        <v>0</v>
      </c>
      <c r="AJ116" s="36" t="n">
        <v>0</v>
      </c>
      <c r="AK116" s="36" t="n">
        <v>0</v>
      </c>
      <c r="AL116" s="36" t="n">
        <v>0</v>
      </c>
      <c r="AM116" s="36" t="n">
        <v>0</v>
      </c>
      <c r="AN116" s="36" t="n">
        <v>0</v>
      </c>
      <c r="AO116" s="36" t="n">
        <v>0</v>
      </c>
      <c r="AQ116" s="36" t="n">
        <f aca="false">I116-SUM(K116:AP116)</f>
        <v>0</v>
      </c>
    </row>
    <row r="118" customFormat="false" ht="13.5" hidden="false" customHeight="false" outlineLevel="0" collapsed="false">
      <c r="I118" s="376" t="n">
        <f aca="false">SUM(I108:I117)</f>
        <v>108313902.408147</v>
      </c>
      <c r="K118" s="376" t="n">
        <f aca="false">SUM(K108:K117)</f>
        <v>3707315.70999996</v>
      </c>
      <c r="L118" s="376" t="n">
        <f aca="false">SUM(L108:L117)</f>
        <v>3707315.70999996</v>
      </c>
      <c r="M118" s="376" t="n">
        <f aca="false">SUM(M108:M117)</f>
        <v>3707315.70999996</v>
      </c>
      <c r="N118" s="376" t="n">
        <f aca="false">SUM(N108:N117)</f>
        <v>3707315.70999996</v>
      </c>
      <c r="O118" s="376" t="n">
        <f aca="false">SUM(O108:O117)</f>
        <v>3707315.70999996</v>
      </c>
      <c r="P118" s="376" t="n">
        <f aca="false">SUM(P108:P117)</f>
        <v>3707315.70999996</v>
      </c>
      <c r="Q118" s="376" t="n">
        <f aca="false">SUM(Q108:Q117)</f>
        <v>3707315.70999996</v>
      </c>
      <c r="R118" s="376" t="n">
        <f aca="false">SUM(R108:R117)</f>
        <v>3707315.70999996</v>
      </c>
      <c r="S118" s="376" t="n">
        <f aca="false">SUM(S108:S117)</f>
        <v>3707315.70999996</v>
      </c>
      <c r="T118" s="376" t="n">
        <f aca="false">SUM(T108:T117)</f>
        <v>3707315.70999996</v>
      </c>
      <c r="U118" s="376" t="n">
        <f aca="false">SUM(U108:U117)</f>
        <v>3707315.70999996</v>
      </c>
      <c r="V118" s="376" t="n">
        <f aca="false">SUM(V108:V117)</f>
        <v>3707315.70999996</v>
      </c>
      <c r="W118" s="376" t="n">
        <f aca="false">SUM(W108:W117)</f>
        <v>3707315.70999996</v>
      </c>
      <c r="X118" s="376" t="n">
        <f aca="false">SUM(X108:X117)</f>
        <v>3707315.70999996</v>
      </c>
      <c r="Y118" s="376" t="n">
        <f aca="false">SUM(Y108:Y117)</f>
        <v>3707315.70999996</v>
      </c>
      <c r="Z118" s="376" t="n">
        <f aca="false">SUM(Z108:Z117)</f>
        <v>3707315.70999996</v>
      </c>
      <c r="AA118" s="376" t="n">
        <f aca="false">SUM(AA108:AA117)</f>
        <v>3707315.70999996</v>
      </c>
      <c r="AB118" s="376" t="n">
        <f aca="false">SUM(AB108:AB117)</f>
        <v>3707315.70999996</v>
      </c>
      <c r="AC118" s="376" t="n">
        <f aca="false">SUM(AC108:AC117)</f>
        <v>3707315.70999996</v>
      </c>
      <c r="AD118" s="376" t="n">
        <f aca="false">SUM(AD108:AD117)</f>
        <v>3707315.70999996</v>
      </c>
      <c r="AE118" s="376" t="n">
        <f aca="false">SUM(AE108:AE117)</f>
        <v>3416758.82081476</v>
      </c>
      <c r="AF118" s="376" t="n">
        <f aca="false">SUM(AF108:AF117)</f>
        <v>3416758.82081476</v>
      </c>
      <c r="AG118" s="376" t="n">
        <f aca="false">SUM(AG108:AG117)</f>
        <v>3416758.82081476</v>
      </c>
      <c r="AH118" s="376" t="n">
        <f aca="false">SUM(AH108:AH117)</f>
        <v>3416758.82081476</v>
      </c>
      <c r="AI118" s="376" t="n">
        <f aca="false">SUM(AI108:AI117)</f>
        <v>3416758.82081476</v>
      </c>
      <c r="AJ118" s="376" t="n">
        <f aca="false">SUM(AJ108:AJ117)</f>
        <v>3416758.82081476</v>
      </c>
      <c r="AK118" s="376" t="n">
        <f aca="false">SUM(AK108:AK117)</f>
        <v>3416758.82081476</v>
      </c>
      <c r="AL118" s="376" t="n">
        <f aca="false">SUM(AL108:AL117)</f>
        <v>3416758.82081476</v>
      </c>
      <c r="AM118" s="376" t="n">
        <f aca="false">SUM(AM108:AM117)</f>
        <v>3416758.82081476</v>
      </c>
      <c r="AN118" s="376" t="n">
        <f aca="false">SUM(AN108:AN117)</f>
        <v>3416758.82081476</v>
      </c>
      <c r="AO118" s="376" t="n">
        <f aca="false">SUM(AO108:AO117)</f>
        <v>0</v>
      </c>
      <c r="AQ118" s="376" t="n">
        <f aca="false">SUM(AQ108:AQ117)</f>
        <v>0</v>
      </c>
    </row>
    <row r="119" customFormat="false" ht="13.5" hidden="false" customHeight="false" outlineLevel="0" collapsed="false"/>
    <row r="120" customFormat="false" ht="12.75" hidden="false" customHeight="false" outlineLevel="0" collapsed="false">
      <c r="C120" s="377" t="s">
        <v>247</v>
      </c>
    </row>
    <row r="121" customFormat="false" ht="12.75" hidden="false" customHeight="false" outlineLevel="0" collapsed="false">
      <c r="C121" s="36" t="s">
        <v>243</v>
      </c>
      <c r="I121" s="36" t="n">
        <f aca="false">+I92+I108</f>
        <v>100505115.122618</v>
      </c>
      <c r="K121" s="36" t="n">
        <v>11882779.9580873</v>
      </c>
      <c r="L121" s="36" t="n">
        <f aca="false">+L92+L108</f>
        <v>11882779.9580873</v>
      </c>
      <c r="M121" s="36" t="n">
        <f aca="false">+M92+M108</f>
        <v>11861159.5380873</v>
      </c>
      <c r="N121" s="36" t="n">
        <f aca="false">+N92+N108</f>
        <v>11782969.9580873</v>
      </c>
      <c r="O121" s="36" t="n">
        <f aca="false">+O92+O108</f>
        <v>11447344.3180873</v>
      </c>
      <c r="P121" s="36" t="n">
        <f aca="false">+P92+P108</f>
        <v>10483752.1180873</v>
      </c>
      <c r="Q121" s="36" t="n">
        <f aca="false">+Q92+Q108</f>
        <v>10483752.1180873</v>
      </c>
      <c r="R121" s="36" t="n">
        <f aca="false">+R92+R108</f>
        <v>5857660.02808726</v>
      </c>
      <c r="S121" s="36" t="n">
        <f aca="false">+S92+S108</f>
        <v>1837727.82808726</v>
      </c>
      <c r="T121" s="36" t="n">
        <f aca="false">+T92+T108</f>
        <v>1833683.18808726</v>
      </c>
      <c r="U121" s="36" t="n">
        <f aca="false">+U92+U108</f>
        <v>1680269.10808727</v>
      </c>
      <c r="V121" s="36" t="n">
        <f aca="false">+V92+V108</f>
        <v>524770.408087263</v>
      </c>
      <c r="W121" s="36" t="n">
        <f aca="false">+W92+W108</f>
        <v>524770.408087263</v>
      </c>
      <c r="X121" s="36" t="n">
        <f aca="false">+X92+X108</f>
        <v>524770.408087263</v>
      </c>
      <c r="Y121" s="36" t="n">
        <f aca="false">+Y92+Y108</f>
        <v>524770.408087263</v>
      </c>
      <c r="Z121" s="36" t="n">
        <f aca="false">+Z92+Z108</f>
        <v>524770.408087263</v>
      </c>
      <c r="AA121" s="36" t="n">
        <f aca="false">+AA92+AA108</f>
        <v>517491.448087263</v>
      </c>
      <c r="AB121" s="36" t="n">
        <f aca="false">+AB92+AB108</f>
        <v>497813.408087263</v>
      </c>
      <c r="AC121" s="36" t="n">
        <f aca="false">+AC92+AC108</f>
        <v>497813.408087263</v>
      </c>
      <c r="AD121" s="36" t="n">
        <f aca="false">+AD92+AD108</f>
        <v>497813.408087263</v>
      </c>
      <c r="AE121" s="36" t="n">
        <f aca="false">+AE92+AE108</f>
        <v>497813.408087263</v>
      </c>
      <c r="AF121" s="36" t="n">
        <f aca="false">+AF92+AF108</f>
        <v>497813.408087263</v>
      </c>
      <c r="AG121" s="36" t="n">
        <f aca="false">+AG92+AG108</f>
        <v>497813.408087263</v>
      </c>
      <c r="AH121" s="36" t="n">
        <f aca="false">+AH92+AH108</f>
        <v>493210.188087263</v>
      </c>
      <c r="AI121" s="36" t="n">
        <f aca="false">+AI92+AI108</f>
        <v>463929.408087263</v>
      </c>
      <c r="AJ121" s="36" t="n">
        <f aca="false">+AJ92+AJ108</f>
        <v>463929.408087263</v>
      </c>
      <c r="AK121" s="36" t="n">
        <f aca="false">+AK92+AK108</f>
        <v>463929.408087263</v>
      </c>
      <c r="AL121" s="36" t="n">
        <f aca="false">+AL92+AL108</f>
        <v>463929.408087263</v>
      </c>
      <c r="AM121" s="36" t="n">
        <f aca="false">+AM92+AM108</f>
        <v>463929.408087263</v>
      </c>
      <c r="AN121" s="36" t="n">
        <f aca="false">+AN92+AN108</f>
        <v>463929.408087263</v>
      </c>
      <c r="AO121" s="36" t="n">
        <f aca="false">+AO92+AO108</f>
        <v>12784</v>
      </c>
      <c r="AQ121" s="36" t="n">
        <f aca="false">I121-SUM(K121:AP121)</f>
        <v>53442.4299999923</v>
      </c>
    </row>
    <row r="122" customFormat="false" ht="12.75" hidden="false" customHeight="false" outlineLevel="0" collapsed="false">
      <c r="C122" s="36" t="s">
        <v>244</v>
      </c>
      <c r="I122" s="36" t="n">
        <f aca="false">+I93+I109</f>
        <v>130345831.072747</v>
      </c>
      <c r="K122" s="36" t="n">
        <v>10339982.3140916</v>
      </c>
      <c r="L122" s="36" t="n">
        <f aca="false">+L93+L109</f>
        <v>10339982.3140916</v>
      </c>
      <c r="M122" s="36" t="n">
        <f aca="false">+M93+M109</f>
        <v>10318361.8940916</v>
      </c>
      <c r="N122" s="36" t="n">
        <f aca="false">+N93+N109</f>
        <v>10240172.3140916</v>
      </c>
      <c r="O122" s="36" t="n">
        <f aca="false">+O93+O109</f>
        <v>10239083.6640916</v>
      </c>
      <c r="P122" s="36" t="n">
        <f aca="false">+P93+P109</f>
        <v>10237971.3140916</v>
      </c>
      <c r="Q122" s="36" t="n">
        <f aca="false">+Q93+Q109</f>
        <v>10237971.3140916</v>
      </c>
      <c r="R122" s="36" t="n">
        <f aca="false">+R93+R109</f>
        <v>8627356.60409156</v>
      </c>
      <c r="S122" s="36" t="n">
        <f aca="false">+S93+S109</f>
        <v>7411885.87409158</v>
      </c>
      <c r="T122" s="36" t="n">
        <f aca="false">+T93+T109</f>
        <v>6833688.65409158</v>
      </c>
      <c r="U122" s="36" t="n">
        <f aca="false">+U93+U109</f>
        <v>6783496.01409158</v>
      </c>
      <c r="V122" s="36" t="n">
        <f aca="false">+V93+V109</f>
        <v>6783496.01409158</v>
      </c>
      <c r="W122" s="36" t="n">
        <f aca="false">+W93+W109</f>
        <v>6783496.01409158</v>
      </c>
      <c r="X122" s="36" t="n">
        <f aca="false">+X93+X109</f>
        <v>5399098.85409159</v>
      </c>
      <c r="Y122" s="36" t="n">
        <f aca="false">+Y93+Y109</f>
        <v>3507584.53409158</v>
      </c>
      <c r="Z122" s="36" t="n">
        <f aca="false">+Z93+Z109</f>
        <v>632453.424091583</v>
      </c>
      <c r="AA122" s="36" t="n">
        <f aca="false">+AA93+AA109</f>
        <v>451494.724091579</v>
      </c>
      <c r="AB122" s="36" t="n">
        <f aca="false">+AB93+AB109</f>
        <v>439144.194091579</v>
      </c>
      <c r="AC122" s="36" t="n">
        <f aca="false">+AC93+AC109</f>
        <v>439144.194091579</v>
      </c>
      <c r="AD122" s="36" t="n">
        <f aca="false">+AD93+AD109</f>
        <v>428581.394091579</v>
      </c>
      <c r="AE122" s="36" t="n">
        <f aca="false">+AE93+AE109</f>
        <v>395584.984091579</v>
      </c>
      <c r="AF122" s="36" t="n">
        <f aca="false">+AF93+AF109</f>
        <v>384011.194091579</v>
      </c>
      <c r="AG122" s="36" t="n">
        <f aca="false">+AG93+AG109</f>
        <v>384011.194091579</v>
      </c>
      <c r="AH122" s="36" t="n">
        <f aca="false">+AH93+AH109</f>
        <v>384011.194091579</v>
      </c>
      <c r="AI122" s="36" t="n">
        <f aca="false">+AI93+AI109</f>
        <v>384011.194091579</v>
      </c>
      <c r="AJ122" s="36" t="n">
        <f aca="false">+AJ93+AJ109</f>
        <v>384011.194091579</v>
      </c>
      <c r="AK122" s="36" t="n">
        <f aca="false">+AK93+AK109</f>
        <v>384011.194091579</v>
      </c>
      <c r="AL122" s="36" t="n">
        <f aca="false">+AL93+AL109</f>
        <v>384011.194091579</v>
      </c>
      <c r="AM122" s="36" t="n">
        <f aca="false">+AM93+AM109</f>
        <v>384011.194091579</v>
      </c>
      <c r="AN122" s="36" t="n">
        <f aca="false">+AN93+AN109</f>
        <v>384011.194091579</v>
      </c>
      <c r="AO122" s="36" t="n">
        <f aca="false">+AO93+AO109</f>
        <v>4606</v>
      </c>
      <c r="AQ122" s="36" t="n">
        <f aca="false">I122-SUM(K122:AP122)</f>
        <v>15093.7199999839</v>
      </c>
    </row>
    <row r="123" customFormat="false" ht="12.75" hidden="false" customHeight="false" outlineLevel="0" collapsed="false">
      <c r="C123" s="328" t="s">
        <v>216</v>
      </c>
      <c r="I123" s="36" t="n">
        <f aca="false">+I94+I110</f>
        <v>6260495.58477234</v>
      </c>
      <c r="K123" s="36" t="n">
        <v>977697.085159078</v>
      </c>
      <c r="L123" s="36" t="n">
        <f aca="false">+L94+L110</f>
        <v>977697.085159078</v>
      </c>
      <c r="M123" s="36" t="n">
        <f aca="false">+M94+M110</f>
        <v>977697.085159078</v>
      </c>
      <c r="N123" s="36" t="n">
        <f aca="false">+N94+N110</f>
        <v>977697.085159078</v>
      </c>
      <c r="O123" s="36" t="n">
        <f aca="false">+O94+O110</f>
        <v>916738.855159078</v>
      </c>
      <c r="P123" s="36" t="n">
        <f aca="false">+P94+P110</f>
        <v>42073.365159078</v>
      </c>
      <c r="Q123" s="36" t="n">
        <f aca="false">+Q94+Q110</f>
        <v>42073.365159078</v>
      </c>
      <c r="R123" s="36" t="n">
        <f aca="false">+R94+R110</f>
        <v>42073.365159078</v>
      </c>
      <c r="S123" s="36" t="n">
        <f aca="false">+S94+S110</f>
        <v>42073.365159078</v>
      </c>
      <c r="T123" s="36" t="n">
        <f aca="false">+T94+T110</f>
        <v>42073.365159078</v>
      </c>
      <c r="U123" s="36" t="n">
        <f aca="false">+U94+U110</f>
        <v>42073.365159078</v>
      </c>
      <c r="V123" s="36" t="n">
        <f aca="false">+V94+V110</f>
        <v>42073.365159078</v>
      </c>
      <c r="W123" s="36" t="n">
        <f aca="false">+W94+W110</f>
        <v>42073.365159078</v>
      </c>
      <c r="X123" s="36" t="n">
        <f aca="false">+X94+X110</f>
        <v>42073.365159078</v>
      </c>
      <c r="Y123" s="36" t="n">
        <f aca="false">+Y94+Y110</f>
        <v>42073.365159078</v>
      </c>
      <c r="Z123" s="36" t="n">
        <f aca="false">+Z94+Z110</f>
        <v>42073.365159078</v>
      </c>
      <c r="AA123" s="36" t="n">
        <f aca="false">+AA94+AA110</f>
        <v>42073.365159078</v>
      </c>
      <c r="AB123" s="36" t="n">
        <f aca="false">+AB94+AB110</f>
        <v>42073.365159078</v>
      </c>
      <c r="AC123" s="36" t="n">
        <f aca="false">+AC94+AC110</f>
        <v>42073.365159078</v>
      </c>
      <c r="AD123" s="36" t="n">
        <f aca="false">+AD94+AD110</f>
        <v>42073.365159078</v>
      </c>
      <c r="AE123" s="36" t="n">
        <f aca="false">+AE94+AE110</f>
        <v>42073.365159078</v>
      </c>
      <c r="AF123" s="36" t="n">
        <f aca="false">+AF94+AF110</f>
        <v>42073.365159078</v>
      </c>
      <c r="AG123" s="36" t="n">
        <f aca="false">+AG94+AG110</f>
        <v>42073.365159078</v>
      </c>
      <c r="AH123" s="36" t="n">
        <f aca="false">+AH94+AH110</f>
        <v>42073.365159078</v>
      </c>
      <c r="AI123" s="36" t="n">
        <f aca="false">+AI94+AI110</f>
        <v>42073.365159078</v>
      </c>
      <c r="AJ123" s="36" t="n">
        <f aca="false">+AJ94+AJ110</f>
        <v>42073.365159078</v>
      </c>
      <c r="AK123" s="36" t="n">
        <f aca="false">+AK94+AK110</f>
        <v>42073.365159078</v>
      </c>
      <c r="AL123" s="36" t="n">
        <f aca="false">+AL94+AL110</f>
        <v>42073.365159078</v>
      </c>
      <c r="AM123" s="36" t="n">
        <f aca="false">+AM94+AM110</f>
        <v>42073.365159078</v>
      </c>
      <c r="AN123" s="36" t="n">
        <f aca="false">+AN94+AN110</f>
        <v>42073.365159078</v>
      </c>
      <c r="AO123" s="36" t="n">
        <f aca="false">+AO94+AO110</f>
        <v>28586</v>
      </c>
      <c r="AQ123" s="36" t="n">
        <f aca="false">I123-SUM(K123:AP123)</f>
        <v>352548.26</v>
      </c>
    </row>
    <row r="124" customFormat="false" ht="12.75" hidden="false" customHeight="false" outlineLevel="0" collapsed="false">
      <c r="C124" s="328" t="s">
        <v>217</v>
      </c>
      <c r="I124" s="36" t="n">
        <f aca="false">+I95+I111</f>
        <v>151495304.044126</v>
      </c>
      <c r="K124" s="36" t="n">
        <v>9394666.22213752</v>
      </c>
      <c r="L124" s="36" t="n">
        <f aca="false">+L95+L111</f>
        <v>9394666.22213752</v>
      </c>
      <c r="M124" s="36" t="n">
        <f aca="false">+M95+M111</f>
        <v>9394666.22213752</v>
      </c>
      <c r="N124" s="36" t="n">
        <f aca="false">+N95+N111</f>
        <v>9394666.22213752</v>
      </c>
      <c r="O124" s="36" t="n">
        <f aca="false">+O95+O111</f>
        <v>9394666.22213752</v>
      </c>
      <c r="P124" s="36" t="n">
        <f aca="false">+P95+P111</f>
        <v>9394666.22213752</v>
      </c>
      <c r="Q124" s="36" t="n">
        <f aca="false">+Q95+Q111</f>
        <v>9394666.22213752</v>
      </c>
      <c r="R124" s="36" t="n">
        <f aca="false">+R95+R111</f>
        <v>9394666.22213752</v>
      </c>
      <c r="S124" s="36" t="n">
        <f aca="false">+S95+S111</f>
        <v>9394666.22213752</v>
      </c>
      <c r="T124" s="36" t="n">
        <f aca="false">+T95+T111</f>
        <v>9394666.22213752</v>
      </c>
      <c r="U124" s="36" t="n">
        <f aca="false">+U95+U111</f>
        <v>9394666.22213752</v>
      </c>
      <c r="V124" s="36" t="n">
        <f aca="false">+V95+V111</f>
        <v>9394666.22213752</v>
      </c>
      <c r="W124" s="36" t="n">
        <f aca="false">+W95+W111</f>
        <v>9394666.22213752</v>
      </c>
      <c r="X124" s="36" t="n">
        <f aca="false">+X95+X111</f>
        <v>9394666.22213752</v>
      </c>
      <c r="Y124" s="36" t="n">
        <f aca="false">+Y95+Y111</f>
        <v>9394666.22213752</v>
      </c>
      <c r="Z124" s="36" t="n">
        <f aca="false">+Z95+Z111</f>
        <v>5677038.87213757</v>
      </c>
      <c r="AA124" s="36" t="n">
        <f aca="false">+AA95+AA111</f>
        <v>354349.57213752</v>
      </c>
      <c r="AB124" s="36" t="n">
        <f aca="false">+AB95+AB111</f>
        <v>349532.48213752</v>
      </c>
      <c r="AC124" s="36" t="n">
        <f aca="false">+AC95+AC111</f>
        <v>349532.48213752</v>
      </c>
      <c r="AD124" s="36" t="n">
        <f aca="false">+AD95+AD111</f>
        <v>349532.48213752</v>
      </c>
      <c r="AE124" s="36" t="n">
        <f aca="false">+AE95+AE111</f>
        <v>349532.48213752</v>
      </c>
      <c r="AF124" s="36" t="n">
        <f aca="false">+AF95+AF111</f>
        <v>349532.48213752</v>
      </c>
      <c r="AG124" s="36" t="n">
        <f aca="false">+AG95+AG111</f>
        <v>349532.48213752</v>
      </c>
      <c r="AH124" s="36" t="n">
        <f aca="false">+AH95+AH111</f>
        <v>349532.48213752</v>
      </c>
      <c r="AI124" s="36" t="n">
        <f aca="false">+AI95+AI111</f>
        <v>349532.48213752</v>
      </c>
      <c r="AJ124" s="36" t="n">
        <f aca="false">+AJ95+AJ111</f>
        <v>349532.48213752</v>
      </c>
      <c r="AK124" s="36" t="n">
        <f aca="false">+AK95+AK111</f>
        <v>349532.48213752</v>
      </c>
      <c r="AL124" s="36" t="n">
        <f aca="false">+AL95+AL111</f>
        <v>349532.48213752</v>
      </c>
      <c r="AM124" s="36" t="n">
        <f aca="false">+AM95+AM111</f>
        <v>349532.48213752</v>
      </c>
      <c r="AN124" s="36" t="n">
        <f aca="false">+AN95+AN111</f>
        <v>349532.48213752</v>
      </c>
      <c r="AO124" s="36" t="n">
        <f aca="false">+AO95+AO111</f>
        <v>0</v>
      </c>
      <c r="AQ124" s="36" t="n">
        <f aca="false">I124-SUM(K124:AP124)</f>
        <v>0</v>
      </c>
    </row>
    <row r="125" customFormat="false" ht="12.75" hidden="false" customHeight="false" outlineLevel="0" collapsed="false">
      <c r="C125" s="328" t="s">
        <v>237</v>
      </c>
      <c r="I125" s="36" t="n">
        <f aca="false">+I96+I112</f>
        <v>36203159.5321909</v>
      </c>
      <c r="K125" s="36" t="n">
        <v>2451554.55007303</v>
      </c>
      <c r="L125" s="36" t="n">
        <f aca="false">+L96+L112</f>
        <v>2451554.55007303</v>
      </c>
      <c r="M125" s="36" t="n">
        <f aca="false">+M96+M112</f>
        <v>2451554.55007303</v>
      </c>
      <c r="N125" s="36" t="n">
        <f aca="false">+N96+N112</f>
        <v>2451554.55007303</v>
      </c>
      <c r="O125" s="36" t="n">
        <f aca="false">+O96+O112</f>
        <v>2451554.55007303</v>
      </c>
      <c r="P125" s="36" t="n">
        <f aca="false">+P96+P112</f>
        <v>2451554.55007303</v>
      </c>
      <c r="Q125" s="36" t="n">
        <f aca="false">+Q96+Q112</f>
        <v>2451554.55007303</v>
      </c>
      <c r="R125" s="36" t="n">
        <f aca="false">+R96+R112</f>
        <v>2451554.55007303</v>
      </c>
      <c r="S125" s="36" t="n">
        <f aca="false">+S96+S112</f>
        <v>2451554.55007303</v>
      </c>
      <c r="T125" s="36" t="n">
        <f aca="false">+T96+T112</f>
        <v>2451554.55007303</v>
      </c>
      <c r="U125" s="36" t="n">
        <f aca="false">+U96+U112</f>
        <v>2451554.55007303</v>
      </c>
      <c r="V125" s="36" t="n">
        <f aca="false">+V96+V112</f>
        <v>2451554.55007303</v>
      </c>
      <c r="W125" s="36" t="n">
        <f aca="false">+W96+W112</f>
        <v>2451554.55007303</v>
      </c>
      <c r="X125" s="36" t="n">
        <f aca="false">+X96+X112</f>
        <v>2448742.82007303</v>
      </c>
      <c r="Y125" s="36" t="n">
        <f aca="false">+Y96+Y112</f>
        <v>462607.31007302</v>
      </c>
      <c r="Z125" s="36" t="n">
        <f aca="false">+Z96+Z112</f>
        <v>94773.3500730298</v>
      </c>
      <c r="AA125" s="36" t="n">
        <f aca="false">+AA96+AA112</f>
        <v>94773.3500730298</v>
      </c>
      <c r="AB125" s="36" t="n">
        <f aca="false">+AB96+AB112</f>
        <v>94773.3500730298</v>
      </c>
      <c r="AC125" s="36" t="n">
        <f aca="false">+AC96+AC112</f>
        <v>94773.3500730298</v>
      </c>
      <c r="AD125" s="36" t="n">
        <f aca="false">+AD96+AD112</f>
        <v>94773.3500730298</v>
      </c>
      <c r="AE125" s="36" t="n">
        <f aca="false">+AE96+AE112</f>
        <v>94773.3500730298</v>
      </c>
      <c r="AF125" s="36" t="n">
        <f aca="false">+AF96+AF112</f>
        <v>94773.3500730298</v>
      </c>
      <c r="AG125" s="36" t="n">
        <f aca="false">+AG96+AG112</f>
        <v>94773.3500730298</v>
      </c>
      <c r="AH125" s="36" t="n">
        <f aca="false">+AH96+AH112</f>
        <v>94773.3500730298</v>
      </c>
      <c r="AI125" s="36" t="n">
        <f aca="false">+AI96+AI112</f>
        <v>94773.3500730298</v>
      </c>
      <c r="AJ125" s="36" t="n">
        <f aca="false">+AJ96+AJ112</f>
        <v>94773.3500730298</v>
      </c>
      <c r="AK125" s="36" t="n">
        <f aca="false">+AK96+AK112</f>
        <v>94773.3500730298</v>
      </c>
      <c r="AL125" s="36" t="n">
        <f aca="false">+AL96+AL112</f>
        <v>94773.3500730298</v>
      </c>
      <c r="AM125" s="36" t="n">
        <f aca="false">+AM96+AM112</f>
        <v>94773.3500730298</v>
      </c>
      <c r="AN125" s="36" t="n">
        <f aca="false">+AN96+AN112</f>
        <v>94773.3500730298</v>
      </c>
      <c r="AO125" s="36" t="n">
        <f aca="false">+AO96+AO112</f>
        <v>0</v>
      </c>
      <c r="AQ125" s="36" t="n">
        <f aca="false">I125-SUM(K125:AP125)</f>
        <v>0</v>
      </c>
    </row>
    <row r="126" customFormat="false" ht="12.75" hidden="false" customHeight="false" outlineLevel="0" collapsed="false">
      <c r="C126" s="328" t="s">
        <v>238</v>
      </c>
      <c r="I126" s="36" t="n">
        <f aca="false">+I97+I113</f>
        <v>165335176.111779</v>
      </c>
      <c r="K126" s="36" t="n">
        <v>9609843.14472598</v>
      </c>
      <c r="L126" s="36" t="n">
        <f aca="false">+L97+L113</f>
        <v>9609843.14472598</v>
      </c>
      <c r="M126" s="36" t="n">
        <f aca="false">+M97+M113</f>
        <v>9609843.14472598</v>
      </c>
      <c r="N126" s="36" t="n">
        <f aca="false">+N97+N113</f>
        <v>9609843.14472598</v>
      </c>
      <c r="O126" s="36" t="n">
        <f aca="false">+O97+O113</f>
        <v>9609843.14472598</v>
      </c>
      <c r="P126" s="36" t="n">
        <f aca="false">+P97+P113</f>
        <v>9609843.14472598</v>
      </c>
      <c r="Q126" s="36" t="n">
        <f aca="false">+Q97+Q113</f>
        <v>9609843.14472598</v>
      </c>
      <c r="R126" s="36" t="n">
        <f aca="false">+R97+R113</f>
        <v>9609843.14472598</v>
      </c>
      <c r="S126" s="36" t="n">
        <f aca="false">+S97+S113</f>
        <v>9609843.14472598</v>
      </c>
      <c r="T126" s="36" t="n">
        <f aca="false">+T97+T113</f>
        <v>9609843.14472598</v>
      </c>
      <c r="U126" s="36" t="n">
        <f aca="false">+U97+U113</f>
        <v>9609843.14472598</v>
      </c>
      <c r="V126" s="36" t="n">
        <f aca="false">+V97+V113</f>
        <v>9609843.14472598</v>
      </c>
      <c r="W126" s="36" t="n">
        <f aca="false">+W97+W113</f>
        <v>9609843.14472598</v>
      </c>
      <c r="X126" s="36" t="n">
        <f aca="false">+X97+X113</f>
        <v>9609843.14472598</v>
      </c>
      <c r="Y126" s="36" t="n">
        <f aca="false">+Y97+Y113</f>
        <v>9609843.14472598</v>
      </c>
      <c r="Z126" s="36" t="n">
        <f aca="false">+Z97+Z113</f>
        <v>9609843.14472598</v>
      </c>
      <c r="AA126" s="36" t="n">
        <f aca="false">+AA97+AA113</f>
        <v>4978067.53472588</v>
      </c>
      <c r="AB126" s="36" t="n">
        <f aca="false">+AB97+AB113</f>
        <v>410128.184725979</v>
      </c>
      <c r="AC126" s="36" t="n">
        <f aca="false">+AC97+AC113</f>
        <v>410128.184725979</v>
      </c>
      <c r="AD126" s="36" t="n">
        <f aca="false">+AD97+AD113</f>
        <v>410128.184725979</v>
      </c>
      <c r="AE126" s="36" t="n">
        <f aca="false">+AE97+AE113</f>
        <v>410128.184725979</v>
      </c>
      <c r="AF126" s="36" t="n">
        <f aca="false">+AF97+AF113</f>
        <v>410128.184725979</v>
      </c>
      <c r="AG126" s="36" t="n">
        <f aca="false">+AG97+AG113</f>
        <v>410128.184725979</v>
      </c>
      <c r="AH126" s="36" t="n">
        <f aca="false">+AH97+AH113</f>
        <v>410128.184725979</v>
      </c>
      <c r="AI126" s="36" t="n">
        <f aca="false">+AI97+AI113</f>
        <v>410128.184725979</v>
      </c>
      <c r="AJ126" s="36" t="n">
        <f aca="false">+AJ97+AJ113</f>
        <v>410128.184725979</v>
      </c>
      <c r="AK126" s="36" t="n">
        <f aca="false">+AK97+AK113</f>
        <v>410128.184725979</v>
      </c>
      <c r="AL126" s="36" t="n">
        <f aca="false">+AL97+AL113</f>
        <v>410128.184725979</v>
      </c>
      <c r="AM126" s="36" t="n">
        <f aca="false">+AM97+AM113</f>
        <v>410128.184725979</v>
      </c>
      <c r="AN126" s="36" t="n">
        <f aca="false">+AN97+AN113</f>
        <v>410128.184725979</v>
      </c>
      <c r="AO126" s="36" t="n">
        <f aca="false">+AO97+AO113</f>
        <v>52936</v>
      </c>
      <c r="AQ126" s="36" t="n">
        <f aca="false">I126-SUM(K126:AP126)</f>
        <v>1215015.86000001</v>
      </c>
    </row>
    <row r="127" customFormat="false" ht="12.75" hidden="false" customHeight="false" outlineLevel="0" collapsed="false">
      <c r="C127" s="328" t="s">
        <v>220</v>
      </c>
      <c r="I127" s="36" t="n">
        <f aca="false">+I98+I114</f>
        <v>97537927.761025</v>
      </c>
      <c r="K127" s="36" t="n">
        <v>5371066.6793675</v>
      </c>
      <c r="L127" s="36" t="n">
        <f aca="false">+L98+L114</f>
        <v>5371066.6793675</v>
      </c>
      <c r="M127" s="36" t="n">
        <f aca="false">+M98+M114</f>
        <v>5371066.6793675</v>
      </c>
      <c r="N127" s="36" t="n">
        <f aca="false">+N98+N114</f>
        <v>5371066.6793675</v>
      </c>
      <c r="O127" s="36" t="n">
        <f aca="false">+O98+O114</f>
        <v>5371066.6793675</v>
      </c>
      <c r="P127" s="36" t="n">
        <f aca="false">+P98+P114</f>
        <v>5371066.6793675</v>
      </c>
      <c r="Q127" s="36" t="n">
        <f aca="false">+Q98+Q114</f>
        <v>5371066.6793675</v>
      </c>
      <c r="R127" s="36" t="n">
        <f aca="false">+R98+R114</f>
        <v>5371066.6793675</v>
      </c>
      <c r="S127" s="36" t="n">
        <f aca="false">+S98+S114</f>
        <v>5371066.6793675</v>
      </c>
      <c r="T127" s="36" t="n">
        <f aca="false">+T98+T114</f>
        <v>5371066.6793675</v>
      </c>
      <c r="U127" s="36" t="n">
        <f aca="false">+U98+U114</f>
        <v>5371066.6793675</v>
      </c>
      <c r="V127" s="36" t="n">
        <f aca="false">+V98+V114</f>
        <v>5371066.6793675</v>
      </c>
      <c r="W127" s="36" t="n">
        <f aca="false">+W98+W114</f>
        <v>5371066.6793675</v>
      </c>
      <c r="X127" s="36" t="n">
        <f aca="false">+X98+X114</f>
        <v>5371066.6793675</v>
      </c>
      <c r="Y127" s="36" t="n">
        <f aca="false">+Y98+Y114</f>
        <v>5371066.6793675</v>
      </c>
      <c r="Z127" s="36" t="n">
        <f aca="false">+Z98+Z114</f>
        <v>5371066.6793675</v>
      </c>
      <c r="AA127" s="36" t="n">
        <f aca="false">+AA98+AA114</f>
        <v>5371066.6793675</v>
      </c>
      <c r="AB127" s="36" t="n">
        <f aca="false">+AB98+AB114</f>
        <v>3480718.05936751</v>
      </c>
      <c r="AC127" s="36" t="n">
        <f aca="false">+AC98+AC114</f>
        <v>229089.6793675</v>
      </c>
      <c r="AD127" s="36" t="n">
        <f aca="false">+AD98+AD114</f>
        <v>229089.6793675</v>
      </c>
      <c r="AE127" s="36" t="n">
        <f aca="false">+AE98+AE114</f>
        <v>229089.6793675</v>
      </c>
      <c r="AF127" s="36" t="n">
        <f aca="false">+AF98+AF114</f>
        <v>229089.6793675</v>
      </c>
      <c r="AG127" s="36" t="n">
        <f aca="false">+AG98+AG114</f>
        <v>229089.6793675</v>
      </c>
      <c r="AH127" s="36" t="n">
        <f aca="false">+AH98+AH114</f>
        <v>229089.6793675</v>
      </c>
      <c r="AI127" s="36" t="n">
        <f aca="false">+AI98+AI114</f>
        <v>229089.6793675</v>
      </c>
      <c r="AJ127" s="36" t="n">
        <f aca="false">+AJ98+AJ114</f>
        <v>229089.6793675</v>
      </c>
      <c r="AK127" s="36" t="n">
        <f aca="false">+AK98+AK114</f>
        <v>229089.6793675</v>
      </c>
      <c r="AL127" s="36" t="n">
        <f aca="false">+AL98+AL114</f>
        <v>229089.6793675</v>
      </c>
      <c r="AM127" s="36" t="n">
        <f aca="false">+AM98+AM114</f>
        <v>229089.6793675</v>
      </c>
      <c r="AN127" s="36" t="n">
        <f aca="false">+AN98+AN114</f>
        <v>229089.6793675</v>
      </c>
      <c r="AO127" s="36" t="n">
        <f aca="false">+AO98+AO114</f>
        <v>0</v>
      </c>
      <c r="AQ127" s="36" t="n">
        <f aca="false">I127-SUM(K127:AP127)</f>
        <v>0</v>
      </c>
    </row>
    <row r="128" customFormat="false" ht="12.75" hidden="false" customHeight="false" outlineLevel="0" collapsed="false">
      <c r="C128" s="328" t="s">
        <v>239</v>
      </c>
      <c r="I128" s="36" t="n">
        <f aca="false">+I99+I115</f>
        <v>959491749.045184</v>
      </c>
      <c r="K128" s="36" t="n">
        <v>37682075.1571728</v>
      </c>
      <c r="L128" s="36" t="n">
        <f aca="false">+L99+L115</f>
        <v>37682075.1571728</v>
      </c>
      <c r="M128" s="36" t="n">
        <f aca="false">+M99+M115</f>
        <v>37682075.1571728</v>
      </c>
      <c r="N128" s="36" t="n">
        <f aca="false">+N99+N115</f>
        <v>37682075.1571728</v>
      </c>
      <c r="O128" s="36" t="n">
        <f aca="false">+O99+O115</f>
        <v>37682075.1571728</v>
      </c>
      <c r="P128" s="36" t="n">
        <f aca="false">+P99+P115</f>
        <v>37682075.1571728</v>
      </c>
      <c r="Q128" s="36" t="n">
        <f aca="false">+Q99+Q115</f>
        <v>37682075.1571728</v>
      </c>
      <c r="R128" s="36" t="n">
        <f aca="false">+R99+R115</f>
        <v>37682075.1571728</v>
      </c>
      <c r="S128" s="36" t="n">
        <f aca="false">+S99+S115</f>
        <v>37682075.1571728</v>
      </c>
      <c r="T128" s="36" t="n">
        <f aca="false">+T99+T115</f>
        <v>37682075.1571728</v>
      </c>
      <c r="U128" s="36" t="n">
        <f aca="false">+U99+U115</f>
        <v>37682075.1571728</v>
      </c>
      <c r="V128" s="36" t="n">
        <f aca="false">+V99+V115</f>
        <v>37682075.1571728</v>
      </c>
      <c r="W128" s="36" t="n">
        <f aca="false">+W99+W115</f>
        <v>37682075.1571728</v>
      </c>
      <c r="X128" s="36" t="n">
        <f aca="false">+X99+X115</f>
        <v>37682075.1571728</v>
      </c>
      <c r="Y128" s="36" t="n">
        <f aca="false">+Y99+Y115</f>
        <v>37682075.1571728</v>
      </c>
      <c r="Z128" s="36" t="n">
        <f aca="false">+Z99+Z115</f>
        <v>37682075.1571728</v>
      </c>
      <c r="AA128" s="36" t="n">
        <f aca="false">+AA99+AA115</f>
        <v>37682075.1571728</v>
      </c>
      <c r="AB128" s="36" t="n">
        <f aca="false">+AB99+AB115</f>
        <v>37682075.1571728</v>
      </c>
      <c r="AC128" s="36" t="n">
        <f aca="false">+AC99+AC115</f>
        <v>37682075.1571728</v>
      </c>
      <c r="AD128" s="36" t="n">
        <f aca="false">+AD99+AD115</f>
        <v>37682075.1571728</v>
      </c>
      <c r="AE128" s="36" t="n">
        <f aca="false">+AE99+AE115</f>
        <v>37682075.1571728</v>
      </c>
      <c r="AF128" s="36" t="n">
        <f aca="false">+AF99+AF115</f>
        <v>37682075.1571728</v>
      </c>
      <c r="AG128" s="36" t="n">
        <f aca="false">+AG99+AG115</f>
        <v>37682075.1571728</v>
      </c>
      <c r="AH128" s="36" t="n">
        <f aca="false">+AH99+AH115</f>
        <v>37682075.1571728</v>
      </c>
      <c r="AI128" s="36" t="n">
        <f aca="false">+AI99+AI115</f>
        <v>37682075.1571728</v>
      </c>
      <c r="AJ128" s="36" t="n">
        <f aca="false">+AJ99+AJ115</f>
        <v>11232327.237173</v>
      </c>
      <c r="AK128" s="36" t="n">
        <f aca="false">+AK99+AK115</f>
        <v>1581143.40717281</v>
      </c>
      <c r="AL128" s="36" t="n">
        <f aca="false">+AL99+AL115</f>
        <v>1542133.15717281</v>
      </c>
      <c r="AM128" s="36" t="n">
        <f aca="false">+AM99+AM115</f>
        <v>1542133.15717281</v>
      </c>
      <c r="AN128" s="36" t="n">
        <f aca="false">+AN99+AN115</f>
        <v>1542133.15717281</v>
      </c>
      <c r="AO128" s="36" t="n">
        <f aca="false">+AO99+AO115</f>
        <v>0</v>
      </c>
      <c r="AQ128" s="36" t="n">
        <f aca="false">I128-SUM(K128:AP128)</f>
        <v>0</v>
      </c>
    </row>
    <row r="129" customFormat="false" ht="12.75" hidden="false" customHeight="false" outlineLevel="0" collapsed="false">
      <c r="C129" s="328" t="s">
        <v>240</v>
      </c>
      <c r="I129" s="36" t="n">
        <f aca="false">+I100+I116</f>
        <v>175371994.583704</v>
      </c>
      <c r="K129" s="36" t="n">
        <v>10981334.8891852</v>
      </c>
      <c r="L129" s="36" t="n">
        <f aca="false">+L100+L116</f>
        <v>10981334.8891852</v>
      </c>
      <c r="M129" s="36" t="n">
        <f aca="false">+M100+M116</f>
        <v>10981334.8891852</v>
      </c>
      <c r="N129" s="36" t="n">
        <f aca="false">+N100+N116</f>
        <v>10981334.8891852</v>
      </c>
      <c r="O129" s="36" t="n">
        <f aca="false">+O100+O116</f>
        <v>10981334.8891852</v>
      </c>
      <c r="P129" s="36" t="n">
        <f aca="false">+P100+P116</f>
        <v>10981334.8891852</v>
      </c>
      <c r="Q129" s="36" t="n">
        <f aca="false">+Q100+Q116</f>
        <v>10981334.8891852</v>
      </c>
      <c r="R129" s="36" t="n">
        <f aca="false">+R100+R116</f>
        <v>10981334.8891852</v>
      </c>
      <c r="S129" s="36" t="n">
        <f aca="false">+S100+S116</f>
        <v>10981334.8891852</v>
      </c>
      <c r="T129" s="36" t="n">
        <f aca="false">+T100+T116</f>
        <v>10981334.8891852</v>
      </c>
      <c r="U129" s="36" t="n">
        <f aca="false">+U100+U116</f>
        <v>10981334.8891852</v>
      </c>
      <c r="V129" s="36" t="n">
        <f aca="false">+V100+V116</f>
        <v>10981334.8891852</v>
      </c>
      <c r="W129" s="36" t="n">
        <f aca="false">+W100+W116</f>
        <v>10981334.8891852</v>
      </c>
      <c r="X129" s="36" t="n">
        <f aca="false">+X100+X116</f>
        <v>10981334.8891852</v>
      </c>
      <c r="Y129" s="36" t="n">
        <f aca="false">+Y100+Y116</f>
        <v>10981334.8891852</v>
      </c>
      <c r="Z129" s="36" t="n">
        <f aca="false">+Z100+Z116</f>
        <v>2800953.10918523</v>
      </c>
      <c r="AA129" s="36" t="n">
        <f aca="false">+AA100+AA116</f>
        <v>468507.8891852</v>
      </c>
      <c r="AB129" s="36" t="n">
        <f aca="false">+AB100+AB116</f>
        <v>468507.8891852</v>
      </c>
      <c r="AC129" s="36" t="n">
        <f aca="false">+AC100+AC116</f>
        <v>468507.8891852</v>
      </c>
      <c r="AD129" s="36" t="n">
        <f aca="false">+AD100+AD116</f>
        <v>468507.8891852</v>
      </c>
      <c r="AE129" s="36" t="n">
        <f aca="false">+AE100+AE116</f>
        <v>177951</v>
      </c>
      <c r="AF129" s="36" t="n">
        <f aca="false">+AF100+AF116</f>
        <v>177951</v>
      </c>
      <c r="AG129" s="36" t="n">
        <f aca="false">+AG100+AG116</f>
        <v>177951</v>
      </c>
      <c r="AH129" s="36" t="n">
        <f aca="false">+AH100+AH116</f>
        <v>177951</v>
      </c>
      <c r="AI129" s="36" t="n">
        <f aca="false">+AI100+AI116</f>
        <v>177951</v>
      </c>
      <c r="AJ129" s="36" t="n">
        <f aca="false">+AJ100+AJ116</f>
        <v>177951</v>
      </c>
      <c r="AK129" s="36" t="n">
        <f aca="false">+AK100+AK116</f>
        <v>177951</v>
      </c>
      <c r="AL129" s="36" t="n">
        <f aca="false">+AL100+AL116</f>
        <v>177951</v>
      </c>
      <c r="AM129" s="36" t="n">
        <f aca="false">+AM100+AM116</f>
        <v>177951</v>
      </c>
      <c r="AN129" s="36" t="n">
        <f aca="false">+AN100+AN116</f>
        <v>177951</v>
      </c>
      <c r="AO129" s="36" t="n">
        <f aca="false">+AO100+AO116</f>
        <v>177951</v>
      </c>
      <c r="AQ129" s="36" t="n">
        <f aca="false">I129-SUM(K129:AP129)</f>
        <v>4019525.58000001</v>
      </c>
    </row>
    <row r="130" customFormat="false" ht="12.75" hidden="false" customHeight="false" outlineLevel="0" collapsed="false">
      <c r="C130" s="36" t="s">
        <v>248</v>
      </c>
      <c r="I130" s="36" t="n">
        <v>374900000</v>
      </c>
      <c r="K130" s="36" t="n">
        <v>10846000</v>
      </c>
      <c r="L130" s="36" t="n">
        <f aca="false">+K130</f>
        <v>10846000</v>
      </c>
      <c r="M130" s="36" t="n">
        <f aca="false">+L130</f>
        <v>10846000</v>
      </c>
      <c r="N130" s="36" t="n">
        <f aca="false">+M130</f>
        <v>10846000</v>
      </c>
      <c r="O130" s="36" t="n">
        <f aca="false">+N130</f>
        <v>10846000</v>
      </c>
      <c r="P130" s="36" t="n">
        <f aca="false">+O130</f>
        <v>10846000</v>
      </c>
      <c r="Q130" s="36" t="n">
        <f aca="false">+P130</f>
        <v>10846000</v>
      </c>
      <c r="R130" s="36" t="n">
        <f aca="false">+Q130</f>
        <v>10846000</v>
      </c>
      <c r="S130" s="36" t="n">
        <f aca="false">+R130</f>
        <v>10846000</v>
      </c>
      <c r="T130" s="36" t="n">
        <f aca="false">+S130</f>
        <v>10846000</v>
      </c>
      <c r="U130" s="36" t="n">
        <f aca="false">+T130</f>
        <v>10846000</v>
      </c>
      <c r="V130" s="36" t="n">
        <f aca="false">+U130</f>
        <v>10846000</v>
      </c>
      <c r="W130" s="36" t="n">
        <f aca="false">+V130</f>
        <v>10846000</v>
      </c>
      <c r="X130" s="36" t="n">
        <f aca="false">+W130</f>
        <v>10846000</v>
      </c>
      <c r="Y130" s="36" t="n">
        <f aca="false">+X130</f>
        <v>10846000</v>
      </c>
      <c r="Z130" s="36" t="n">
        <f aca="false">+Y130</f>
        <v>10846000</v>
      </c>
      <c r="AA130" s="36" t="n">
        <f aca="false">+Z130</f>
        <v>10846000</v>
      </c>
      <c r="AB130" s="36" t="n">
        <f aca="false">+AA130</f>
        <v>10846000</v>
      </c>
      <c r="AC130" s="36" t="n">
        <f aca="false">+AB130</f>
        <v>10846000</v>
      </c>
      <c r="AD130" s="36" t="n">
        <f aca="false">+AC130</f>
        <v>10846000</v>
      </c>
      <c r="AE130" s="36" t="n">
        <f aca="false">+AD130</f>
        <v>10846000</v>
      </c>
      <c r="AF130" s="36" t="n">
        <f aca="false">+AE130</f>
        <v>10846000</v>
      </c>
      <c r="AG130" s="36" t="n">
        <f aca="false">+AF130</f>
        <v>10846000</v>
      </c>
      <c r="AH130" s="36" t="n">
        <f aca="false">+AG130</f>
        <v>10846000</v>
      </c>
      <c r="AI130" s="36" t="n">
        <f aca="false">+AH130</f>
        <v>10846000</v>
      </c>
      <c r="AJ130" s="36" t="n">
        <f aca="false">+AI130</f>
        <v>10846000</v>
      </c>
      <c r="AK130" s="36" t="n">
        <f aca="false">+AJ130</f>
        <v>10846000</v>
      </c>
      <c r="AL130" s="36" t="n">
        <f aca="false">+AK130</f>
        <v>10846000</v>
      </c>
      <c r="AM130" s="36" t="n">
        <f aca="false">+AL130</f>
        <v>10846000</v>
      </c>
      <c r="AN130" s="36" t="n">
        <f aca="false">+AM130</f>
        <v>10846000</v>
      </c>
      <c r="AO130" s="36" t="n">
        <f aca="false">+AN130</f>
        <v>10846000</v>
      </c>
      <c r="AQ130" s="36" t="n">
        <f aca="false">I130-SUM(K130:AP130)</f>
        <v>38674000</v>
      </c>
    </row>
    <row r="131" customFormat="false" ht="13.5" hidden="false" customHeight="false" outlineLevel="0" collapsed="false">
      <c r="I131" s="376" t="n">
        <f aca="false">SUM(I121:I130)</f>
        <v>2197446752.85815</v>
      </c>
      <c r="K131" s="376" t="n">
        <f aca="false">SUM(K121:K130)</f>
        <v>109537000</v>
      </c>
      <c r="L131" s="376" t="n">
        <f aca="false">SUM(L121:L130)</f>
        <v>109537000</v>
      </c>
      <c r="M131" s="376" t="n">
        <f aca="false">SUM(M121:M130)</f>
        <v>109493759.16</v>
      </c>
      <c r="N131" s="376" t="n">
        <f aca="false">SUM(N121:N130)</f>
        <v>109337380</v>
      </c>
      <c r="O131" s="376" t="n">
        <f aca="false">SUM(O121:O130)</f>
        <v>108939707.48</v>
      </c>
      <c r="P131" s="376" t="n">
        <f aca="false">SUM(P121:P130)</f>
        <v>107100337.44</v>
      </c>
      <c r="Q131" s="376" t="n">
        <f aca="false">SUM(Q121:Q130)</f>
        <v>107100337.44</v>
      </c>
      <c r="R131" s="376" t="n">
        <f aca="false">SUM(R121:R130)</f>
        <v>100863630.64</v>
      </c>
      <c r="S131" s="376" t="n">
        <f aca="false">SUM(S121:S130)</f>
        <v>95628227.71</v>
      </c>
      <c r="T131" s="376" t="n">
        <f aca="false">SUM(T121:T130)</f>
        <v>95045985.85</v>
      </c>
      <c r="U131" s="376" t="n">
        <f aca="false">SUM(U121:U130)</f>
        <v>94842379.13</v>
      </c>
      <c r="V131" s="376" t="n">
        <f aca="false">SUM(V121:V130)</f>
        <v>93686880.43</v>
      </c>
      <c r="W131" s="376" t="n">
        <f aca="false">SUM(W121:W130)</f>
        <v>93686880.43</v>
      </c>
      <c r="X131" s="376" t="n">
        <f aca="false">SUM(X121:X130)</f>
        <v>92299671.54</v>
      </c>
      <c r="Y131" s="376" t="n">
        <f aca="false">SUM(Y121:Y130)</f>
        <v>88422021.71</v>
      </c>
      <c r="Z131" s="376" t="n">
        <f aca="false">SUM(Z121:Z130)</f>
        <v>73281047.51</v>
      </c>
      <c r="AA131" s="376" t="n">
        <f aca="false">SUM(AA121:AA130)</f>
        <v>60805899.7199999</v>
      </c>
      <c r="AB131" s="376" t="n">
        <f aca="false">SUM(AB121:AB130)</f>
        <v>54310766.09</v>
      </c>
      <c r="AC131" s="376" t="n">
        <f aca="false">SUM(AC121:AC130)</f>
        <v>51059137.71</v>
      </c>
      <c r="AD131" s="376" t="n">
        <f aca="false">SUM(AD121:AD130)</f>
        <v>51048574.91</v>
      </c>
      <c r="AE131" s="376" t="n">
        <f aca="false">SUM(AE121:AE130)</f>
        <v>50725021.6108148</v>
      </c>
      <c r="AF131" s="376" t="n">
        <f aca="false">SUM(AF121:AF130)</f>
        <v>50713447.8208148</v>
      </c>
      <c r="AG131" s="376" t="n">
        <f aca="false">SUM(AG121:AG130)</f>
        <v>50713447.8208148</v>
      </c>
      <c r="AH131" s="376" t="n">
        <f aca="false">SUM(AH121:AH130)</f>
        <v>50708844.6008148</v>
      </c>
      <c r="AI131" s="376" t="n">
        <f aca="false">SUM(AI121:AI130)</f>
        <v>50679563.8208148</v>
      </c>
      <c r="AJ131" s="376" t="n">
        <f aca="false">SUM(AJ121:AJ130)</f>
        <v>24229815.9008149</v>
      </c>
      <c r="AK131" s="376" t="n">
        <f aca="false">SUM(AK121:AK130)</f>
        <v>14578632.0708148</v>
      </c>
      <c r="AL131" s="376" t="n">
        <f aca="false">SUM(AL121:AL130)</f>
        <v>14539621.8208148</v>
      </c>
      <c r="AM131" s="376" t="n">
        <f aca="false">SUM(AM121:AM130)</f>
        <v>14539621.8208148</v>
      </c>
      <c r="AN131" s="376" t="n">
        <f aca="false">SUM(AN121:AN130)</f>
        <v>14539621.8208148</v>
      </c>
      <c r="AO131" s="376" t="n">
        <f aca="false">SUM(AO121:AO130)</f>
        <v>11122863</v>
      </c>
      <c r="AQ131" s="376" t="n">
        <f aca="false">SUM(AQ121:AQ130)</f>
        <v>44329625.85</v>
      </c>
    </row>
    <row r="132" customFormat="false" ht="13.5" hidden="false" customHeight="false" outlineLevel="0" collapsed="false">
      <c r="I132" s="36" t="n">
        <f aca="false">+I131-I130</f>
        <v>1822546752.85815</v>
      </c>
      <c r="J132" s="38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14.99"/>
    <col collapsed="false" customWidth="true" hidden="false" outlineLevel="0" max="3" min="3" style="0" width="4.99"/>
    <col collapsed="false" customWidth="true" hidden="false" outlineLevel="0" max="4" min="4" style="0" width="11.99"/>
    <col collapsed="false" customWidth="true" hidden="false" outlineLevel="0" max="21" min="5" style="0" width="13.85"/>
    <col collapsed="false" customWidth="true" hidden="false" outlineLevel="0" max="22" min="22" style="0" width="11.99"/>
  </cols>
  <sheetData>
    <row r="1" customFormat="false" ht="12.75" hidden="false" customHeight="false" outlineLevel="0" collapsed="false">
      <c r="A1" s="127" t="s">
        <v>249</v>
      </c>
      <c r="B1" s="2"/>
      <c r="C1" s="2"/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</row>
    <row r="5" customFormat="false" ht="12.75" hidden="false" customHeight="false" outlineLevel="0" collapsed="false">
      <c r="A5" s="263"/>
    </row>
    <row r="6" customFormat="false" ht="12.75" hidden="false" customHeight="false" outlineLevel="0" collapsed="false">
      <c r="A6" s="263"/>
    </row>
    <row r="7" customFormat="false" ht="12.75" hidden="false" customHeight="false" outlineLevel="0" collapsed="false">
      <c r="A7" s="263"/>
    </row>
    <row r="8" customFormat="false" ht="12.75" hidden="false" customHeight="false" outlineLevel="0" collapsed="false">
      <c r="A8" s="263"/>
    </row>
    <row r="9" customFormat="false" ht="12.75" hidden="false" customHeight="false" outlineLevel="0" collapsed="false">
      <c r="C9" s="322" t="n">
        <v>2000</v>
      </c>
      <c r="D9" s="323" t="n">
        <v>2001</v>
      </c>
      <c r="E9" s="323" t="n">
        <v>2002</v>
      </c>
      <c r="F9" s="323" t="n">
        <v>2003</v>
      </c>
      <c r="G9" s="323" t="n">
        <v>2004</v>
      </c>
      <c r="H9" s="323" t="n">
        <v>2005</v>
      </c>
      <c r="I9" s="323" t="n">
        <v>2006</v>
      </c>
      <c r="J9" s="323" t="n">
        <v>2007</v>
      </c>
      <c r="K9" s="323" t="n">
        <v>2008</v>
      </c>
      <c r="L9" s="323" t="n">
        <v>2009</v>
      </c>
      <c r="M9" s="323" t="n">
        <v>2010</v>
      </c>
      <c r="N9" s="323" t="n">
        <v>2011</v>
      </c>
      <c r="O9" s="323" t="n">
        <v>2012</v>
      </c>
      <c r="P9" s="323" t="n">
        <v>2013</v>
      </c>
      <c r="Q9" s="323" t="n">
        <v>2014</v>
      </c>
      <c r="R9" s="323" t="n">
        <v>2015</v>
      </c>
      <c r="S9" s="323" t="n">
        <v>2016</v>
      </c>
      <c r="T9" s="323" t="n">
        <v>2017</v>
      </c>
      <c r="U9" s="323" t="n">
        <v>2018</v>
      </c>
      <c r="V9" s="323" t="n">
        <v>2019</v>
      </c>
    </row>
    <row r="10" customFormat="false" ht="12.75" hidden="false" customHeight="false" outlineLevel="0" collapsed="false">
      <c r="C10" s="324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</row>
    <row r="11" customFormat="false" ht="12.75" hidden="false" customHeight="false" outlineLevel="0" collapsed="false">
      <c r="A11" s="0" t="n">
        <f aca="false">Summary!A17</f>
        <v>1</v>
      </c>
      <c r="B11" s="0" t="s">
        <v>69</v>
      </c>
      <c r="C11" s="333" t="n">
        <v>0</v>
      </c>
      <c r="D11" s="334" t="n">
        <v>1242599.9</v>
      </c>
      <c r="E11" s="334" t="n">
        <v>239999.949999999</v>
      </c>
      <c r="F11" s="334" t="n">
        <v>399999.96</v>
      </c>
      <c r="G11" s="334" t="n">
        <v>239999.88</v>
      </c>
      <c r="H11" s="334" t="n">
        <v>474999.938</v>
      </c>
      <c r="I11" s="334" t="n">
        <v>489249.93614</v>
      </c>
      <c r="J11" s="334" t="n">
        <v>503927.4342242</v>
      </c>
      <c r="K11" s="334" t="n">
        <v>519045.257250926</v>
      </c>
      <c r="L11" s="334" t="n">
        <v>534616.614968454</v>
      </c>
      <c r="M11" s="334" t="n">
        <v>550655.113417507</v>
      </c>
      <c r="N11" s="334" t="n">
        <v>567174.766820033</v>
      </c>
      <c r="O11" s="334" t="n">
        <v>584190.009824634</v>
      </c>
      <c r="P11" s="334" t="n">
        <v>601715.710119373</v>
      </c>
      <c r="Q11" s="334" t="n">
        <v>619767.181422954</v>
      </c>
      <c r="R11" s="334" t="n">
        <v>638360.196865642</v>
      </c>
      <c r="S11" s="334" t="n">
        <v>657511.002771612</v>
      </c>
      <c r="T11" s="334" t="n">
        <v>677236.33285476</v>
      </c>
      <c r="U11" s="334" t="n">
        <v>697553.422840403</v>
      </c>
      <c r="V11" s="334" t="n">
        <v>718480.025525615</v>
      </c>
    </row>
    <row r="12" customFormat="false" ht="12.75" hidden="false" customHeight="false" outlineLevel="0" collapsed="false">
      <c r="A12" s="0" t="n">
        <f aca="false">Summary!A18</f>
        <v>2</v>
      </c>
      <c r="B12" s="0" t="s">
        <v>71</v>
      </c>
      <c r="C12" s="333" t="n">
        <v>0</v>
      </c>
      <c r="D12" s="335" t="n">
        <v>6476152.92</v>
      </c>
      <c r="E12" s="335" t="n">
        <v>4148462.07</v>
      </c>
      <c r="F12" s="335" t="n">
        <v>9273526.55</v>
      </c>
      <c r="G12" s="335" t="n">
        <v>4044029</v>
      </c>
      <c r="H12" s="335" t="n">
        <v>5849494.476</v>
      </c>
      <c r="I12" s="335" t="n">
        <v>6024979.31028</v>
      </c>
      <c r="J12" s="335" t="n">
        <v>6205728.6895884</v>
      </c>
      <c r="K12" s="335" t="n">
        <v>6391900.55027605</v>
      </c>
      <c r="L12" s="335" t="n">
        <v>6583657.56678433</v>
      </c>
      <c r="M12" s="335" t="n">
        <v>6781167.29378787</v>
      </c>
      <c r="N12" s="335" t="n">
        <v>6984602.3126015</v>
      </c>
      <c r="O12" s="335" t="n">
        <v>7194140.38197955</v>
      </c>
      <c r="P12" s="335" t="n">
        <v>7409964.59343893</v>
      </c>
      <c r="Q12" s="335" t="n">
        <v>7632263.5312421</v>
      </c>
      <c r="R12" s="335" t="n">
        <v>7861231.43717936</v>
      </c>
      <c r="S12" s="335" t="n">
        <v>8097068.38029475</v>
      </c>
      <c r="T12" s="335" t="n">
        <v>8339980.43170359</v>
      </c>
      <c r="U12" s="335" t="n">
        <v>8590179.84465469</v>
      </c>
      <c r="V12" s="335" t="n">
        <v>8847885.23999434</v>
      </c>
    </row>
    <row r="13" customFormat="false" ht="12.75" hidden="false" customHeight="false" outlineLevel="0" collapsed="false">
      <c r="A13" s="0" t="n">
        <f aca="false">Summary!A19</f>
        <v>3</v>
      </c>
      <c r="B13" s="2" t="s">
        <v>72</v>
      </c>
      <c r="C13" s="333" t="n">
        <v>0</v>
      </c>
      <c r="D13" s="335" t="n">
        <v>1392192</v>
      </c>
      <c r="E13" s="335" t="n">
        <v>288695.92</v>
      </c>
      <c r="F13" s="335" t="n">
        <v>1959781.09</v>
      </c>
      <c r="G13" s="335" t="n">
        <v>716258.43</v>
      </c>
      <c r="H13" s="335" t="n">
        <v>1484360.488</v>
      </c>
      <c r="I13" s="335" t="n">
        <v>1528891.30264</v>
      </c>
      <c r="J13" s="335" t="n">
        <v>1574758.0417192</v>
      </c>
      <c r="K13" s="335" t="n">
        <v>1622000.78297078</v>
      </c>
      <c r="L13" s="335" t="n">
        <v>1670660.8064599</v>
      </c>
      <c r="M13" s="335" t="n">
        <v>1720780.6306537</v>
      </c>
      <c r="N13" s="335" t="n">
        <v>1772404.04957331</v>
      </c>
      <c r="O13" s="335" t="n">
        <v>1825576.17106051</v>
      </c>
      <c r="P13" s="335" t="n">
        <v>1880343.45619232</v>
      </c>
      <c r="Q13" s="335" t="n">
        <v>1936753.75987809</v>
      </c>
      <c r="R13" s="335" t="n">
        <v>1994856.37267443</v>
      </c>
      <c r="S13" s="335" t="n">
        <v>2054702.06385467</v>
      </c>
      <c r="T13" s="335" t="n">
        <v>2116343.12577031</v>
      </c>
      <c r="U13" s="335" t="n">
        <v>2179833.41954342</v>
      </c>
      <c r="V13" s="335" t="n">
        <v>2245228.42212972</v>
      </c>
    </row>
    <row r="14" customFormat="false" ht="12.75" hidden="false" customHeight="false" outlineLevel="0" collapsed="false">
      <c r="A14" s="0" t="n">
        <f aca="false">Summary!A20</f>
        <v>4</v>
      </c>
      <c r="B14" s="2" t="s">
        <v>73</v>
      </c>
      <c r="C14" s="333" t="n">
        <v>0</v>
      </c>
      <c r="D14" s="335" t="n">
        <v>5095192</v>
      </c>
      <c r="E14" s="335" t="n">
        <v>561695.92</v>
      </c>
      <c r="F14" s="335" t="n">
        <v>2024981.09</v>
      </c>
      <c r="G14" s="335" t="n">
        <v>213158.43</v>
      </c>
      <c r="H14" s="335" t="n">
        <v>2191980.488</v>
      </c>
      <c r="I14" s="335" t="n">
        <v>2257739.90264</v>
      </c>
      <c r="J14" s="335" t="n">
        <v>2325472.0997192</v>
      </c>
      <c r="K14" s="335" t="n">
        <v>2395236.26271078</v>
      </c>
      <c r="L14" s="335" t="n">
        <v>2467093.3505921</v>
      </c>
      <c r="M14" s="335" t="n">
        <v>2541106.15110986</v>
      </c>
      <c r="N14" s="335" t="n">
        <v>2617339.33564316</v>
      </c>
      <c r="O14" s="335" t="n">
        <v>2695859.51571245</v>
      </c>
      <c r="P14" s="335" t="n">
        <v>2776735.30118383</v>
      </c>
      <c r="Q14" s="335" t="n">
        <v>2860037.36021934</v>
      </c>
      <c r="R14" s="335" t="n">
        <v>2945838.48102592</v>
      </c>
      <c r="S14" s="335" t="n">
        <v>3034213.6354567</v>
      </c>
      <c r="T14" s="335" t="n">
        <v>3125240.0445204</v>
      </c>
      <c r="U14" s="335" t="n">
        <v>3218997.24585601</v>
      </c>
      <c r="V14" s="335" t="n">
        <v>3315567.16323169</v>
      </c>
    </row>
    <row r="15" customFormat="false" ht="12.75" hidden="false" customHeight="false" outlineLevel="0" collapsed="false">
      <c r="A15" s="0" t="n">
        <f aca="false">Summary!A21</f>
        <v>5</v>
      </c>
      <c r="B15" s="2" t="s">
        <v>74</v>
      </c>
      <c r="C15" s="333" t="n">
        <v>0</v>
      </c>
      <c r="D15" s="335" t="n">
        <v>715136</v>
      </c>
      <c r="E15" s="335" t="n">
        <v>1466295.92</v>
      </c>
      <c r="F15" s="335" t="n">
        <v>313481.09</v>
      </c>
      <c r="G15" s="335" t="n">
        <v>2812858.43</v>
      </c>
      <c r="H15" s="335" t="n">
        <v>2165429.288</v>
      </c>
      <c r="I15" s="335" t="n">
        <v>2230392.16664</v>
      </c>
      <c r="J15" s="335" t="n">
        <v>2297303.9316392</v>
      </c>
      <c r="K15" s="335" t="n">
        <v>2366223.04958838</v>
      </c>
      <c r="L15" s="335" t="n">
        <v>2437209.74107603</v>
      </c>
      <c r="M15" s="335" t="n">
        <v>2510326.03330831</v>
      </c>
      <c r="N15" s="335" t="n">
        <v>2585635.81430756</v>
      </c>
      <c r="O15" s="335" t="n">
        <v>2663204.88873678</v>
      </c>
      <c r="P15" s="335" t="n">
        <v>2743101.03539889</v>
      </c>
      <c r="Q15" s="335" t="n">
        <v>2825394.06646086</v>
      </c>
      <c r="R15" s="335" t="n">
        <v>2910155.88845468</v>
      </c>
      <c r="S15" s="335" t="n">
        <v>2997460.56510832</v>
      </c>
      <c r="T15" s="335" t="n">
        <v>3087384.38206157</v>
      </c>
      <c r="U15" s="335" t="n">
        <v>3180005.91352342</v>
      </c>
      <c r="V15" s="335" t="n">
        <v>3275406.09092912</v>
      </c>
    </row>
    <row r="16" customFormat="false" ht="12.75" hidden="false" customHeight="false" outlineLevel="0" collapsed="false">
      <c r="A16" s="0" t="n">
        <f aca="false">Summary!A22</f>
        <v>6</v>
      </c>
      <c r="B16" s="2" t="s">
        <v>75</v>
      </c>
      <c r="C16" s="333" t="n">
        <v>0</v>
      </c>
      <c r="D16" s="335" t="n">
        <v>974492</v>
      </c>
      <c r="E16" s="335" t="n">
        <v>1680395.92</v>
      </c>
      <c r="F16" s="335" t="n">
        <v>313481.09</v>
      </c>
      <c r="G16" s="335" t="n">
        <v>941658.43</v>
      </c>
      <c r="H16" s="335" t="n">
        <v>1979460.488</v>
      </c>
      <c r="I16" s="335" t="n">
        <v>2038844.30264</v>
      </c>
      <c r="J16" s="335" t="n">
        <v>2100009.6317192</v>
      </c>
      <c r="K16" s="335" t="n">
        <v>2163009.92067078</v>
      </c>
      <c r="L16" s="335" t="n">
        <v>2227900.2182909</v>
      </c>
      <c r="M16" s="335" t="n">
        <v>2294737.22483963</v>
      </c>
      <c r="N16" s="335" t="n">
        <v>2363579.34158482</v>
      </c>
      <c r="O16" s="335" t="n">
        <v>2434486.72183236</v>
      </c>
      <c r="P16" s="335" t="n">
        <v>2507521.32348733</v>
      </c>
      <c r="Q16" s="335" t="n">
        <v>2582746.96319195</v>
      </c>
      <c r="R16" s="335" t="n">
        <v>2660229.37208771</v>
      </c>
      <c r="S16" s="335" t="n">
        <v>2740036.25325034</v>
      </c>
      <c r="T16" s="335" t="n">
        <v>2822237.34084785</v>
      </c>
      <c r="U16" s="335" t="n">
        <v>2906904.46107329</v>
      </c>
      <c r="V16" s="335" t="n">
        <v>2994111.59490549</v>
      </c>
    </row>
    <row r="17" customFormat="false" ht="12.75" hidden="false" customHeight="false" outlineLevel="0" collapsed="false">
      <c r="A17" s="0" t="n">
        <f aca="false">Summary!A23</f>
        <v>7</v>
      </c>
      <c r="B17" s="0" t="s">
        <v>76</v>
      </c>
      <c r="C17" s="333" t="n">
        <v>0</v>
      </c>
      <c r="D17" s="335" t="n">
        <v>2359867.18</v>
      </c>
      <c r="E17" s="335" t="n">
        <v>51955.2000000002</v>
      </c>
      <c r="F17" s="335" t="n">
        <v>453987.6</v>
      </c>
      <c r="G17" s="335" t="n">
        <v>54796.5</v>
      </c>
      <c r="H17" s="335" t="n">
        <v>594021.296</v>
      </c>
      <c r="I17" s="335" t="n">
        <v>611841.93488</v>
      </c>
      <c r="J17" s="335" t="n">
        <v>630197.1929264</v>
      </c>
      <c r="K17" s="335" t="n">
        <v>649103.108714192</v>
      </c>
      <c r="L17" s="335" t="n">
        <v>668576.201975618</v>
      </c>
      <c r="M17" s="335" t="n">
        <v>688633.488034887</v>
      </c>
      <c r="N17" s="335" t="n">
        <v>709292.492675933</v>
      </c>
      <c r="O17" s="335" t="n">
        <v>730571.267456211</v>
      </c>
      <c r="P17" s="335" t="n">
        <v>752488.405479898</v>
      </c>
      <c r="Q17" s="335" t="n">
        <v>775063.057644295</v>
      </c>
      <c r="R17" s="335" t="n">
        <v>798314.949373624</v>
      </c>
      <c r="S17" s="335" t="n">
        <v>822264.397854832</v>
      </c>
      <c r="T17" s="335" t="n">
        <v>846932.329790477</v>
      </c>
      <c r="U17" s="335" t="n">
        <v>872340.299684192</v>
      </c>
      <c r="V17" s="335" t="n">
        <v>898510.508674717</v>
      </c>
    </row>
    <row r="18" customFormat="false" ht="12.75" hidden="false" customHeight="false" outlineLevel="0" collapsed="false">
      <c r="A18" s="0" t="n">
        <f aca="false">Summary!A24</f>
        <v>8</v>
      </c>
      <c r="B18" s="0" t="s">
        <v>77</v>
      </c>
      <c r="C18" s="333" t="n">
        <v>0</v>
      </c>
      <c r="D18" s="335" t="n">
        <v>296039.05</v>
      </c>
      <c r="E18" s="335" t="n">
        <v>1656351.77</v>
      </c>
      <c r="F18" s="335" t="n">
        <v>768259.69</v>
      </c>
      <c r="G18" s="335" t="n">
        <v>270547</v>
      </c>
      <c r="H18" s="335" t="n">
        <v>651964.08</v>
      </c>
      <c r="I18" s="335" t="n">
        <v>671523.0024</v>
      </c>
      <c r="J18" s="335" t="n">
        <v>691668.692472</v>
      </c>
      <c r="K18" s="335" t="n">
        <v>712418.75324616</v>
      </c>
      <c r="L18" s="335" t="n">
        <v>733791.315843545</v>
      </c>
      <c r="M18" s="335" t="n">
        <v>755805.055318851</v>
      </c>
      <c r="N18" s="335" t="n">
        <v>778479.206978417</v>
      </c>
      <c r="O18" s="335" t="n">
        <v>801833.583187769</v>
      </c>
      <c r="P18" s="335" t="n">
        <v>825888.590683402</v>
      </c>
      <c r="Q18" s="335" t="n">
        <v>850665.248403904</v>
      </c>
      <c r="R18" s="335" t="n">
        <v>876185.205856022</v>
      </c>
      <c r="S18" s="335" t="n">
        <v>902470.762031702</v>
      </c>
      <c r="T18" s="335" t="n">
        <v>929544.884892653</v>
      </c>
      <c r="U18" s="335" t="n">
        <v>957431.231439433</v>
      </c>
      <c r="V18" s="335" t="n">
        <v>986154.168382616</v>
      </c>
    </row>
    <row r="19" customFormat="false" ht="12.75" hidden="false" customHeight="false" outlineLevel="0" collapsed="false">
      <c r="A19" s="0" t="n">
        <f aca="false">Summary!A25</f>
        <v>9</v>
      </c>
      <c r="B19" s="0" t="s">
        <v>78</v>
      </c>
      <c r="C19" s="333" t="n">
        <v>0</v>
      </c>
      <c r="D19" s="335" t="n">
        <v>627871.68</v>
      </c>
      <c r="E19" s="335" t="n">
        <v>7085452.56</v>
      </c>
      <c r="F19" s="335" t="n">
        <v>1209378.25</v>
      </c>
      <c r="G19" s="335" t="n">
        <v>434627.63</v>
      </c>
      <c r="H19" s="335" t="n">
        <v>2222979.216</v>
      </c>
      <c r="I19" s="335" t="n">
        <v>2289668.59248</v>
      </c>
      <c r="J19" s="335" t="n">
        <v>2358358.6502544</v>
      </c>
      <c r="K19" s="335" t="n">
        <v>2429109.40976203</v>
      </c>
      <c r="L19" s="335" t="n">
        <v>2501982.69205489</v>
      </c>
      <c r="M19" s="335" t="n">
        <v>2577042.17281654</v>
      </c>
      <c r="N19" s="335" t="n">
        <v>2654353.43800104</v>
      </c>
      <c r="O19" s="335" t="n">
        <v>2733984.04114107</v>
      </c>
      <c r="P19" s="335" t="n">
        <v>2816003.5623753</v>
      </c>
      <c r="Q19" s="335" t="n">
        <v>2900483.66924656</v>
      </c>
      <c r="R19" s="335" t="n">
        <v>2987498.17932396</v>
      </c>
      <c r="S19" s="335" t="n">
        <v>3077123.12470367</v>
      </c>
      <c r="T19" s="335" t="n">
        <v>3169436.81844478</v>
      </c>
      <c r="U19" s="335" t="n">
        <v>3264519.92299813</v>
      </c>
      <c r="V19" s="335" t="n">
        <v>3362455.52068807</v>
      </c>
    </row>
    <row r="20" customFormat="false" ht="12.75" hidden="false" customHeight="false" outlineLevel="0" collapsed="false">
      <c r="A20" s="0" t="n">
        <f aca="false">Summary!A26</f>
        <v>10</v>
      </c>
      <c r="B20" s="0" t="s">
        <v>79</v>
      </c>
      <c r="C20" s="333" t="n">
        <v>0</v>
      </c>
      <c r="D20" s="335" t="n">
        <v>2140736.38</v>
      </c>
      <c r="E20" s="335" t="n">
        <v>2090891.7</v>
      </c>
      <c r="F20" s="335" t="n">
        <v>3759535.24</v>
      </c>
      <c r="G20" s="335" t="n">
        <v>1669261.97</v>
      </c>
      <c r="H20" s="335" t="n">
        <v>2255300.872</v>
      </c>
      <c r="I20" s="335" t="n">
        <v>2322959.89816</v>
      </c>
      <c r="J20" s="335" t="n">
        <v>2392648.6951048</v>
      </c>
      <c r="K20" s="335" t="n">
        <v>2464428.15595794</v>
      </c>
      <c r="L20" s="335" t="n">
        <v>2538361.00063668</v>
      </c>
      <c r="M20" s="335" t="n">
        <v>2614511.83065578</v>
      </c>
      <c r="N20" s="335" t="n">
        <v>2692947.18557546</v>
      </c>
      <c r="O20" s="335" t="n">
        <v>2773735.60114272</v>
      </c>
      <c r="P20" s="335" t="n">
        <v>2856947.669177</v>
      </c>
      <c r="Q20" s="335" t="n">
        <v>2942656.09925231</v>
      </c>
      <c r="R20" s="335" t="n">
        <v>3030935.78222988</v>
      </c>
      <c r="S20" s="335" t="n">
        <v>3121863.85569678</v>
      </c>
      <c r="T20" s="335" t="n">
        <v>3215519.77136768</v>
      </c>
      <c r="U20" s="335" t="n">
        <v>3311985.36450871</v>
      </c>
      <c r="V20" s="335" t="n">
        <v>3411344.92544397</v>
      </c>
    </row>
    <row r="21" customFormat="false" ht="12.75" hidden="false" customHeight="false" outlineLevel="0" collapsed="false">
      <c r="A21" s="0" t="n">
        <f aca="false">Summary!A27</f>
        <v>11</v>
      </c>
      <c r="B21" s="0" t="s">
        <v>80</v>
      </c>
      <c r="C21" s="333" t="n">
        <v>0</v>
      </c>
      <c r="D21" s="335" t="n">
        <v>17423162.36</v>
      </c>
      <c r="E21" s="335" t="n">
        <v>2384312.89</v>
      </c>
      <c r="F21" s="335" t="n">
        <v>3137634.37</v>
      </c>
      <c r="G21" s="335" t="n">
        <v>5659421.96</v>
      </c>
      <c r="H21" s="335" t="n">
        <v>4800000</v>
      </c>
      <c r="I21" s="335" t="n">
        <v>4944000</v>
      </c>
      <c r="J21" s="335" t="n">
        <v>5092320</v>
      </c>
      <c r="K21" s="335" t="n">
        <v>5245089.6</v>
      </c>
      <c r="L21" s="335" t="n">
        <v>5402442.288</v>
      </c>
      <c r="M21" s="335" t="n">
        <v>5564515.55664</v>
      </c>
      <c r="N21" s="335" t="n">
        <v>5731451.0233392</v>
      </c>
      <c r="O21" s="335" t="n">
        <v>5903394.55403938</v>
      </c>
      <c r="P21" s="335" t="n">
        <v>6080496.39066056</v>
      </c>
      <c r="Q21" s="335" t="n">
        <v>6262911.28238038</v>
      </c>
      <c r="R21" s="335" t="n">
        <v>6450798.62085179</v>
      </c>
      <c r="S21" s="335" t="n">
        <v>6644322.57947734</v>
      </c>
      <c r="T21" s="335" t="n">
        <v>6843652.25686166</v>
      </c>
      <c r="U21" s="335" t="n">
        <v>7048961.82456751</v>
      </c>
      <c r="V21" s="335" t="n">
        <v>7260430.67930454</v>
      </c>
    </row>
    <row r="22" customFormat="false" ht="12.75" hidden="false" customHeight="false" outlineLevel="0" collapsed="false">
      <c r="A22" s="0" t="n">
        <f aca="false">Summary!A28</f>
        <v>12</v>
      </c>
      <c r="B22" s="0" t="s">
        <v>81</v>
      </c>
      <c r="C22" s="333" t="n">
        <v>0</v>
      </c>
      <c r="D22" s="335" t="n">
        <v>5440512.71</v>
      </c>
      <c r="E22" s="335" t="n">
        <v>1207895.95</v>
      </c>
      <c r="F22" s="335" t="n">
        <v>294093.1</v>
      </c>
      <c r="G22" s="335" t="n">
        <v>776726.04</v>
      </c>
      <c r="H22" s="335" t="n">
        <v>1724501.212</v>
      </c>
      <c r="I22" s="335" t="n">
        <v>1776236.24836</v>
      </c>
      <c r="J22" s="335" t="n">
        <v>1829523.3358108</v>
      </c>
      <c r="K22" s="335" t="n">
        <v>1884409.03588512</v>
      </c>
      <c r="L22" s="335" t="n">
        <v>1940941.30696168</v>
      </c>
      <c r="M22" s="335" t="n">
        <v>1999169.54617053</v>
      </c>
      <c r="N22" s="335" t="n">
        <v>2059144.63255564</v>
      </c>
      <c r="O22" s="335" t="n">
        <v>2120918.97153231</v>
      </c>
      <c r="P22" s="335" t="n">
        <v>2184546.54067828</v>
      </c>
      <c r="Q22" s="335" t="n">
        <v>2250082.93689863</v>
      </c>
      <c r="R22" s="335" t="n">
        <v>2317585.42500559</v>
      </c>
      <c r="S22" s="335" t="n">
        <v>2387112.98775576</v>
      </c>
      <c r="T22" s="335" t="n">
        <v>2458726.37738843</v>
      </c>
      <c r="U22" s="335" t="n">
        <v>2532488.16871008</v>
      </c>
      <c r="V22" s="335" t="n">
        <v>2608462.81377139</v>
      </c>
    </row>
    <row r="23" customFormat="false" ht="12.75" hidden="false" customHeight="false" outlineLevel="0" collapsed="false">
      <c r="A23" s="0" t="n">
        <f aca="false">Summary!A29</f>
        <v>13</v>
      </c>
      <c r="B23" s="0" t="s">
        <v>82</v>
      </c>
      <c r="C23" s="333" t="n">
        <v>0</v>
      </c>
      <c r="D23" s="335" t="n">
        <v>663432.53</v>
      </c>
      <c r="E23" s="335" t="n">
        <v>5903033.89</v>
      </c>
      <c r="F23" s="335" t="n">
        <v>291631.14</v>
      </c>
      <c r="G23" s="335" t="n">
        <v>776726.04</v>
      </c>
      <c r="H23" s="335" t="n">
        <v>1704336.478</v>
      </c>
      <c r="I23" s="335" t="n">
        <v>1755466.57234</v>
      </c>
      <c r="J23" s="335" t="n">
        <v>1808130.5695102</v>
      </c>
      <c r="K23" s="335" t="n">
        <v>1862374.48659551</v>
      </c>
      <c r="L23" s="335" t="n">
        <v>1918245.72119337</v>
      </c>
      <c r="M23" s="335" t="n">
        <v>1975793.09282917</v>
      </c>
      <c r="N23" s="335" t="n">
        <v>2035066.88561405</v>
      </c>
      <c r="O23" s="335" t="n">
        <v>2096118.89218247</v>
      </c>
      <c r="P23" s="335" t="n">
        <v>2159002.45894794</v>
      </c>
      <c r="Q23" s="335" t="n">
        <v>2223772.53271638</v>
      </c>
      <c r="R23" s="335" t="n">
        <v>2290485.70869787</v>
      </c>
      <c r="S23" s="335" t="n">
        <v>2359200.27995881</v>
      </c>
      <c r="T23" s="335" t="n">
        <v>2429976.28835757</v>
      </c>
      <c r="U23" s="335" t="n">
        <v>2502875.5770083</v>
      </c>
      <c r="V23" s="335" t="n">
        <v>2577961.84431855</v>
      </c>
    </row>
    <row r="24" customFormat="false" ht="12.75" hidden="false" customHeight="false" outlineLevel="0" collapsed="false">
      <c r="A24" s="0" t="n">
        <f aca="false">Summary!A30</f>
        <v>14</v>
      </c>
      <c r="B24" s="0" t="s">
        <v>83</v>
      </c>
      <c r="C24" s="333" t="n">
        <v>0</v>
      </c>
      <c r="D24" s="335" t="n">
        <v>804291.35</v>
      </c>
      <c r="E24" s="335" t="n">
        <v>9620475.79</v>
      </c>
      <c r="F24" s="335" t="n">
        <v>604210.52</v>
      </c>
      <c r="G24" s="335" t="n">
        <v>1057868.9</v>
      </c>
      <c r="H24" s="335" t="n">
        <v>2649788.426</v>
      </c>
      <c r="I24" s="335" t="n">
        <v>2729282.07878</v>
      </c>
      <c r="J24" s="335" t="n">
        <v>2811160.5411434</v>
      </c>
      <c r="K24" s="335" t="n">
        <v>2895495.3573777</v>
      </c>
      <c r="L24" s="335" t="n">
        <v>2982360.21809903</v>
      </c>
      <c r="M24" s="335" t="n">
        <v>3071831.024642</v>
      </c>
      <c r="N24" s="335" t="n">
        <v>3163985.95538127</v>
      </c>
      <c r="O24" s="335" t="n">
        <v>3258905.5340427</v>
      </c>
      <c r="P24" s="335" t="n">
        <v>3356672.70006398</v>
      </c>
      <c r="Q24" s="335" t="n">
        <v>3457372.8810659</v>
      </c>
      <c r="R24" s="335" t="n">
        <v>3561094.06749788</v>
      </c>
      <c r="S24" s="335" t="n">
        <v>3667926.88952282</v>
      </c>
      <c r="T24" s="335" t="n">
        <v>3777964.6962085</v>
      </c>
      <c r="U24" s="335" t="n">
        <v>3891303.63709476</v>
      </c>
      <c r="V24" s="335" t="n">
        <v>4008042.7462076</v>
      </c>
    </row>
    <row r="25" customFormat="false" ht="12.75" hidden="false" customHeight="false" outlineLevel="0" collapsed="false">
      <c r="A25" s="0" t="n">
        <f aca="false">Summary!A31</f>
        <v>15</v>
      </c>
      <c r="B25" s="0" t="s">
        <v>84</v>
      </c>
      <c r="C25" s="333" t="n">
        <v>0</v>
      </c>
      <c r="D25" s="335" t="n">
        <v>1658414.77</v>
      </c>
      <c r="E25" s="335" t="n">
        <v>1457064.86</v>
      </c>
      <c r="F25" s="335" t="n">
        <v>7037610.23</v>
      </c>
      <c r="G25" s="335" t="n">
        <v>1239680.15</v>
      </c>
      <c r="H25" s="335" t="n">
        <v>2496885.342</v>
      </c>
      <c r="I25" s="335" t="n">
        <v>2571791.90226</v>
      </c>
      <c r="J25" s="335" t="n">
        <v>2648945.6593278</v>
      </c>
      <c r="K25" s="335" t="n">
        <v>2728414.02910763</v>
      </c>
      <c r="L25" s="335" t="n">
        <v>2810266.44998086</v>
      </c>
      <c r="M25" s="335" t="n">
        <v>2894574.44348029</v>
      </c>
      <c r="N25" s="335" t="n">
        <v>2981411.6767847</v>
      </c>
      <c r="O25" s="335" t="n">
        <v>3070854.02708824</v>
      </c>
      <c r="P25" s="335" t="n">
        <v>3162979.64790089</v>
      </c>
      <c r="Q25" s="335" t="n">
        <v>3257869.03733791</v>
      </c>
      <c r="R25" s="335" t="n">
        <v>3355605.10845805</v>
      </c>
      <c r="S25" s="335" t="n">
        <v>3456273.26171179</v>
      </c>
      <c r="T25" s="335" t="n">
        <v>3559961.45956315</v>
      </c>
      <c r="U25" s="335" t="n">
        <v>3666760.30335004</v>
      </c>
      <c r="V25" s="335" t="n">
        <v>3776763.11245054</v>
      </c>
    </row>
    <row r="26" customFormat="false" ht="12.75" hidden="false" customHeight="false" outlineLevel="0" collapsed="false">
      <c r="A26" s="0" t="n">
        <f aca="false">Summary!A32</f>
        <v>16</v>
      </c>
      <c r="B26" s="0" t="s">
        <v>85</v>
      </c>
      <c r="C26" s="333" t="n">
        <v>0</v>
      </c>
      <c r="D26" s="335" t="n">
        <v>3327231.63</v>
      </c>
      <c r="E26" s="335" t="n">
        <v>2131175.73</v>
      </c>
      <c r="F26" s="335" t="n">
        <v>3334634.44</v>
      </c>
      <c r="G26" s="335" t="n">
        <v>625478.58</v>
      </c>
      <c r="H26" s="335" t="n">
        <v>2269388.462</v>
      </c>
      <c r="I26" s="335" t="n">
        <v>2337470.11586</v>
      </c>
      <c r="J26" s="335" t="n">
        <v>2407594.2193358</v>
      </c>
      <c r="K26" s="335" t="n">
        <v>2479822.04591587</v>
      </c>
      <c r="L26" s="335" t="n">
        <v>2554216.70729335</v>
      </c>
      <c r="M26" s="335" t="n">
        <v>2630843.20851215</v>
      </c>
      <c r="N26" s="335" t="n">
        <v>2709768.50476752</v>
      </c>
      <c r="O26" s="335" t="n">
        <v>2791061.55991054</v>
      </c>
      <c r="P26" s="335" t="n">
        <v>2874793.40670786</v>
      </c>
      <c r="Q26" s="335" t="n">
        <v>2961037.20890909</v>
      </c>
      <c r="R26" s="335" t="n">
        <v>3049868.32517637</v>
      </c>
      <c r="S26" s="335" t="n">
        <v>3141364.37493166</v>
      </c>
      <c r="T26" s="335" t="n">
        <v>3235605.30617961</v>
      </c>
      <c r="U26" s="335" t="n">
        <v>3332673.46536499</v>
      </c>
      <c r="V26" s="335" t="n">
        <v>3432653.66932594</v>
      </c>
    </row>
    <row r="27" customFormat="false" ht="12.75" hidden="false" customHeight="false" outlineLevel="0" collapsed="false">
      <c r="A27" s="0" t="n">
        <f aca="false">Summary!A33</f>
        <v>17</v>
      </c>
      <c r="B27" s="0" t="s">
        <v>86</v>
      </c>
      <c r="C27" s="333" t="n">
        <v>0</v>
      </c>
      <c r="D27" s="335" t="n">
        <v>4505591.18</v>
      </c>
      <c r="E27" s="335" t="n">
        <v>2109515.17</v>
      </c>
      <c r="F27" s="335" t="n">
        <v>609625.87</v>
      </c>
      <c r="G27" s="335" t="n">
        <v>2352594.68</v>
      </c>
      <c r="H27" s="335" t="n">
        <v>2434176.648</v>
      </c>
      <c r="I27" s="335" t="n">
        <v>2507201.94744</v>
      </c>
      <c r="J27" s="335" t="n">
        <v>2582418.0058632</v>
      </c>
      <c r="K27" s="335" t="n">
        <v>2659890.5460391</v>
      </c>
      <c r="L27" s="335" t="n">
        <v>2739687.26242027</v>
      </c>
      <c r="M27" s="335" t="n">
        <v>2821877.88029288</v>
      </c>
      <c r="N27" s="335" t="n">
        <v>2906534.21670166</v>
      </c>
      <c r="O27" s="335" t="n">
        <v>2993730.24320271</v>
      </c>
      <c r="P27" s="335" t="n">
        <v>3083542.1504988</v>
      </c>
      <c r="Q27" s="335" t="n">
        <v>3176048.41501376</v>
      </c>
      <c r="R27" s="335" t="n">
        <v>3271329.86746417</v>
      </c>
      <c r="S27" s="335" t="n">
        <v>3369469.7634881</v>
      </c>
      <c r="T27" s="335" t="n">
        <v>3470553.85639274</v>
      </c>
      <c r="U27" s="335" t="n">
        <v>3574670.47208452</v>
      </c>
      <c r="V27" s="335" t="n">
        <v>3681910.58624706</v>
      </c>
    </row>
    <row r="28" customFormat="false" ht="12.75" hidden="false" customHeight="false" outlineLevel="0" collapsed="false">
      <c r="A28" s="0" t="n">
        <f aca="false">Summary!A34</f>
        <v>18</v>
      </c>
      <c r="B28" s="0" t="s">
        <v>87</v>
      </c>
      <c r="C28" s="333" t="n">
        <v>0</v>
      </c>
      <c r="D28" s="335" t="n">
        <v>2047591.71</v>
      </c>
      <c r="E28" s="335" t="n">
        <v>7775098.57000001</v>
      </c>
      <c r="F28" s="335" t="n">
        <v>3053459.57</v>
      </c>
      <c r="G28" s="335" t="n">
        <v>5375258.97</v>
      </c>
      <c r="H28" s="335" t="n">
        <v>6217891.388</v>
      </c>
      <c r="I28" s="335" t="n">
        <v>6404428.12964</v>
      </c>
      <c r="J28" s="335" t="n">
        <v>6596560.9735292</v>
      </c>
      <c r="K28" s="335" t="n">
        <v>6794457.80273508</v>
      </c>
      <c r="L28" s="335" t="n">
        <v>6998291.53681713</v>
      </c>
      <c r="M28" s="335" t="n">
        <v>7208240.28292165</v>
      </c>
      <c r="N28" s="335" t="n">
        <v>7424487.49140929</v>
      </c>
      <c r="O28" s="335" t="n">
        <v>7647222.11615157</v>
      </c>
      <c r="P28" s="335" t="n">
        <v>7876638.77963612</v>
      </c>
      <c r="Q28" s="335" t="n">
        <v>8112937.9430252</v>
      </c>
      <c r="R28" s="335" t="n">
        <v>8356326.08131596</v>
      </c>
      <c r="S28" s="335" t="n">
        <v>8607015.86375544</v>
      </c>
      <c r="T28" s="335" t="n">
        <v>8865226.3396681</v>
      </c>
      <c r="U28" s="335" t="n">
        <v>9131183.12985815</v>
      </c>
      <c r="V28" s="335" t="n">
        <v>9405118.62375389</v>
      </c>
    </row>
    <row r="29" customFormat="false" ht="12.75" hidden="false" customHeight="false" outlineLevel="0" collapsed="false">
      <c r="A29" s="0" t="n">
        <f aca="false">Summary!A35</f>
        <v>19</v>
      </c>
      <c r="B29" s="0" t="s">
        <v>88</v>
      </c>
      <c r="C29" s="333" t="n">
        <v>0</v>
      </c>
      <c r="D29" s="335" t="n">
        <v>2815.86</v>
      </c>
      <c r="E29" s="335" t="n">
        <v>332999.72</v>
      </c>
      <c r="F29" s="335" t="n">
        <v>3047.79</v>
      </c>
      <c r="G29" s="335" t="n">
        <v>3183.29</v>
      </c>
      <c r="H29" s="335" t="n">
        <v>69003.862</v>
      </c>
      <c r="I29" s="335" t="n">
        <v>71073.97786</v>
      </c>
      <c r="J29" s="335" t="n">
        <v>73206.1971958</v>
      </c>
      <c r="K29" s="335" t="n">
        <v>75402.383111674</v>
      </c>
      <c r="L29" s="335" t="n">
        <v>77664.4546050242</v>
      </c>
      <c r="M29" s="335" t="n">
        <v>79994.388243175</v>
      </c>
      <c r="N29" s="335" t="n">
        <v>82394.2198904702</v>
      </c>
      <c r="O29" s="335" t="n">
        <v>84866.0464871843</v>
      </c>
      <c r="P29" s="335" t="n">
        <v>87412.0278817999</v>
      </c>
      <c r="Q29" s="335" t="n">
        <v>90034.3887182539</v>
      </c>
      <c r="R29" s="335" t="n">
        <v>92735.4203798015</v>
      </c>
      <c r="S29" s="335" t="n">
        <v>95517.4829911955</v>
      </c>
      <c r="T29" s="335" t="n">
        <v>98383.0074809314</v>
      </c>
      <c r="U29" s="335" t="n">
        <v>101334.497705359</v>
      </c>
      <c r="V29" s="335" t="n">
        <v>104374.53263652</v>
      </c>
    </row>
    <row r="30" customFormat="false" ht="12.75" hidden="false" customHeight="false" outlineLevel="0" collapsed="false">
      <c r="A30" s="0" t="n">
        <f aca="false">Summary!A36</f>
        <v>20</v>
      </c>
      <c r="B30" s="0" t="s">
        <v>89</v>
      </c>
      <c r="C30" s="333" t="n">
        <v>0</v>
      </c>
      <c r="D30" s="335" t="n">
        <v>438.02</v>
      </c>
      <c r="E30" s="335" t="n">
        <v>455.7</v>
      </c>
      <c r="F30" s="335" t="n">
        <v>474.1</v>
      </c>
      <c r="G30" s="335" t="n">
        <v>495.18</v>
      </c>
      <c r="H30" s="335" t="n">
        <v>50000</v>
      </c>
      <c r="I30" s="335" t="n">
        <v>51500</v>
      </c>
      <c r="J30" s="335" t="n">
        <v>53045</v>
      </c>
      <c r="K30" s="335" t="n">
        <v>54636.35</v>
      </c>
      <c r="L30" s="335" t="n">
        <v>56275.4405</v>
      </c>
      <c r="M30" s="335" t="n">
        <v>57963.703715</v>
      </c>
      <c r="N30" s="335" t="n">
        <v>59702.61482645</v>
      </c>
      <c r="O30" s="335" t="n">
        <v>61493.6932712435</v>
      </c>
      <c r="P30" s="335" t="n">
        <v>63338.5040693808</v>
      </c>
      <c r="Q30" s="335" t="n">
        <v>65238.6591914622</v>
      </c>
      <c r="R30" s="335" t="n">
        <v>67195.8189672061</v>
      </c>
      <c r="S30" s="335" t="n">
        <v>69211.6935362223</v>
      </c>
      <c r="T30" s="335" t="n">
        <v>71288.044342309</v>
      </c>
      <c r="U30" s="335" t="n">
        <v>73426.6856725782</v>
      </c>
      <c r="V30" s="335" t="n">
        <v>75629.4862427556</v>
      </c>
    </row>
    <row r="31" customFormat="false" ht="12.75" hidden="false" customHeight="false" outlineLevel="0" collapsed="false">
      <c r="A31" s="0" t="n">
        <f aca="false">Summary!A37</f>
        <v>21</v>
      </c>
      <c r="B31" s="0" t="s">
        <v>90</v>
      </c>
      <c r="C31" s="333" t="n">
        <v>0</v>
      </c>
      <c r="D31" s="335" t="n">
        <v>907.34</v>
      </c>
      <c r="E31" s="335" t="n">
        <v>943.94</v>
      </c>
      <c r="F31" s="335" t="n">
        <v>982.06</v>
      </c>
      <c r="G31" s="335" t="n">
        <v>1025.72</v>
      </c>
      <c r="H31" s="335" t="n">
        <v>100000</v>
      </c>
      <c r="I31" s="335" t="n">
        <v>103000</v>
      </c>
      <c r="J31" s="335" t="n">
        <v>106090</v>
      </c>
      <c r="K31" s="335" t="n">
        <v>109272.7</v>
      </c>
      <c r="L31" s="335" t="n">
        <v>112550.881</v>
      </c>
      <c r="M31" s="335" t="n">
        <v>115927.40743</v>
      </c>
      <c r="N31" s="335" t="n">
        <v>119405.2296529</v>
      </c>
      <c r="O31" s="335" t="n">
        <v>122987.386542487</v>
      </c>
      <c r="P31" s="335" t="n">
        <v>126677.008138762</v>
      </c>
      <c r="Q31" s="335" t="n">
        <v>130477.318382924</v>
      </c>
      <c r="R31" s="335" t="n">
        <v>134391.637934412</v>
      </c>
      <c r="S31" s="335" t="n">
        <v>138423.387072445</v>
      </c>
      <c r="T31" s="335" t="n">
        <v>142576.088684618</v>
      </c>
      <c r="U31" s="335" t="n">
        <v>146853.371345156</v>
      </c>
      <c r="V31" s="335" t="n">
        <v>151258.972485511</v>
      </c>
    </row>
    <row r="32" customFormat="false" ht="12.75" hidden="false" customHeight="false" outlineLevel="0" collapsed="false">
      <c r="A32" s="0" t="n">
        <f aca="false">Summary!A38</f>
        <v>22</v>
      </c>
      <c r="B32" s="0" t="s">
        <v>91</v>
      </c>
      <c r="C32" s="333" t="n">
        <v>0</v>
      </c>
      <c r="D32" s="335" t="n">
        <v>1752.08</v>
      </c>
      <c r="E32" s="335" t="n">
        <v>1822.8</v>
      </c>
      <c r="F32" s="335" t="n">
        <v>1896.4</v>
      </c>
      <c r="G32" s="335" t="n">
        <v>1980.72</v>
      </c>
      <c r="H32" s="335" t="n">
        <v>200000</v>
      </c>
      <c r="I32" s="335" t="n">
        <v>206000</v>
      </c>
      <c r="J32" s="335" t="n">
        <v>212180</v>
      </c>
      <c r="K32" s="335" t="n">
        <v>218545.4</v>
      </c>
      <c r="L32" s="335" t="n">
        <v>225101.762</v>
      </c>
      <c r="M32" s="335" t="n">
        <v>231854.81486</v>
      </c>
      <c r="N32" s="335" t="n">
        <v>238810.4593058</v>
      </c>
      <c r="O32" s="335" t="n">
        <v>245974.773084974</v>
      </c>
      <c r="P32" s="335" t="n">
        <v>253354.016277523</v>
      </c>
      <c r="Q32" s="335" t="n">
        <v>260954.636765849</v>
      </c>
      <c r="R32" s="335" t="n">
        <v>268783.275868824</v>
      </c>
      <c r="S32" s="335" t="n">
        <v>276846.774144889</v>
      </c>
      <c r="T32" s="335" t="n">
        <v>285152.177369236</v>
      </c>
      <c r="U32" s="335" t="n">
        <v>293706.742690313</v>
      </c>
      <c r="V32" s="335" t="n">
        <v>302517.944971022</v>
      </c>
    </row>
    <row r="33" customFormat="false" ht="12.75" hidden="false" customHeight="false" outlineLevel="0" collapsed="false">
      <c r="A33" s="0" t="n">
        <f aca="false">Summary!A39</f>
        <v>23</v>
      </c>
      <c r="B33" s="0" t="s">
        <v>92</v>
      </c>
      <c r="C33" s="333" t="n">
        <v>0</v>
      </c>
      <c r="D33" s="335" t="n">
        <v>1423.58</v>
      </c>
      <c r="E33" s="335" t="n">
        <v>1481.02</v>
      </c>
      <c r="F33" s="335" t="n">
        <v>1540.83</v>
      </c>
      <c r="G33" s="335" t="n">
        <v>1609.33</v>
      </c>
      <c r="H33" s="335" t="n">
        <v>100000</v>
      </c>
      <c r="I33" s="335" t="n">
        <v>103000</v>
      </c>
      <c r="J33" s="335" t="n">
        <v>106090</v>
      </c>
      <c r="K33" s="335" t="n">
        <v>109272.7</v>
      </c>
      <c r="L33" s="335" t="n">
        <v>112550.881</v>
      </c>
      <c r="M33" s="335" t="n">
        <v>115927.40743</v>
      </c>
      <c r="N33" s="335" t="n">
        <v>119405.2296529</v>
      </c>
      <c r="O33" s="335" t="n">
        <v>122987.386542487</v>
      </c>
      <c r="P33" s="335" t="n">
        <v>126677.008138762</v>
      </c>
      <c r="Q33" s="335" t="n">
        <v>130477.318382924</v>
      </c>
      <c r="R33" s="335" t="n">
        <v>134391.637934412</v>
      </c>
      <c r="S33" s="335" t="n">
        <v>138423.387072445</v>
      </c>
      <c r="T33" s="335" t="n">
        <v>142576.088684618</v>
      </c>
      <c r="U33" s="335" t="n">
        <v>146853.371345156</v>
      </c>
      <c r="V33" s="335" t="n">
        <v>151258.972485511</v>
      </c>
    </row>
    <row r="34" customFormat="false" ht="12.75" hidden="false" customHeight="false" outlineLevel="0" collapsed="false">
      <c r="A34" s="0" t="n">
        <f aca="false">Summary!A40</f>
        <v>24</v>
      </c>
      <c r="B34" s="0" t="s">
        <v>93</v>
      </c>
      <c r="C34" s="333" t="n">
        <v>0</v>
      </c>
      <c r="D34" s="335" t="n">
        <v>1423.58</v>
      </c>
      <c r="E34" s="335" t="n">
        <v>1481.02</v>
      </c>
      <c r="F34" s="335" t="n">
        <v>1540.83</v>
      </c>
      <c r="G34" s="335" t="n">
        <v>1609.33</v>
      </c>
      <c r="H34" s="335" t="n">
        <v>100000</v>
      </c>
      <c r="I34" s="335" t="n">
        <v>103000</v>
      </c>
      <c r="J34" s="335" t="n">
        <v>106090</v>
      </c>
      <c r="K34" s="335" t="n">
        <v>109272.7</v>
      </c>
      <c r="L34" s="335" t="n">
        <v>112550.881</v>
      </c>
      <c r="M34" s="335" t="n">
        <v>115927.40743</v>
      </c>
      <c r="N34" s="335" t="n">
        <v>119405.2296529</v>
      </c>
      <c r="O34" s="335" t="n">
        <v>122987.386542487</v>
      </c>
      <c r="P34" s="335" t="n">
        <v>126677.008138762</v>
      </c>
      <c r="Q34" s="335" t="n">
        <v>130477.318382924</v>
      </c>
      <c r="R34" s="335" t="n">
        <v>134391.637934412</v>
      </c>
      <c r="S34" s="335" t="n">
        <v>138423.387072445</v>
      </c>
      <c r="T34" s="335" t="n">
        <v>142576.088684618</v>
      </c>
      <c r="U34" s="335" t="n">
        <v>146853.371345156</v>
      </c>
      <c r="V34" s="335" t="n">
        <v>151258.972485511</v>
      </c>
    </row>
    <row r="35" customFormat="false" ht="12.75" hidden="false" customHeight="false" outlineLevel="0" collapsed="false">
      <c r="A35" s="0" t="n">
        <f aca="false">Summary!A41</f>
        <v>25</v>
      </c>
      <c r="B35" s="0" t="s">
        <v>94</v>
      </c>
      <c r="C35" s="333" t="n">
        <v>0</v>
      </c>
      <c r="D35" s="335" t="n">
        <v>1423.58</v>
      </c>
      <c r="E35" s="335" t="n">
        <v>1481.02</v>
      </c>
      <c r="F35" s="335" t="n">
        <v>1540.83</v>
      </c>
      <c r="G35" s="335" t="n">
        <v>1609.33</v>
      </c>
      <c r="H35" s="335" t="n">
        <v>100000</v>
      </c>
      <c r="I35" s="335" t="n">
        <v>103000</v>
      </c>
      <c r="J35" s="335" t="n">
        <v>106090</v>
      </c>
      <c r="K35" s="335" t="n">
        <v>109272.7</v>
      </c>
      <c r="L35" s="335" t="n">
        <v>112550.881</v>
      </c>
      <c r="M35" s="335" t="n">
        <v>115927.40743</v>
      </c>
      <c r="N35" s="335" t="n">
        <v>119405.2296529</v>
      </c>
      <c r="O35" s="335" t="n">
        <v>122987.386542487</v>
      </c>
      <c r="P35" s="335" t="n">
        <v>126677.008138762</v>
      </c>
      <c r="Q35" s="335" t="n">
        <v>130477.318382924</v>
      </c>
      <c r="R35" s="335" t="n">
        <v>134391.637934412</v>
      </c>
      <c r="S35" s="335" t="n">
        <v>138423.387072445</v>
      </c>
      <c r="T35" s="335" t="n">
        <v>142576.088684618</v>
      </c>
      <c r="U35" s="335" t="n">
        <v>146853.371345156</v>
      </c>
      <c r="V35" s="335" t="n">
        <v>151258.972485511</v>
      </c>
    </row>
    <row r="36" customFormat="false" ht="12.75" hidden="false" customHeight="false" outlineLevel="0" collapsed="false">
      <c r="A36" s="0" t="n">
        <f aca="false">Summary!A42</f>
        <v>26</v>
      </c>
      <c r="B36" s="0" t="s">
        <v>95</v>
      </c>
      <c r="C36" s="333" t="n">
        <v>0</v>
      </c>
      <c r="D36" s="335" t="n">
        <v>1423.58</v>
      </c>
      <c r="E36" s="335" t="n">
        <v>1481.02</v>
      </c>
      <c r="F36" s="335" t="n">
        <v>1540.83</v>
      </c>
      <c r="G36" s="335" t="n">
        <v>1609.33</v>
      </c>
      <c r="H36" s="335" t="n">
        <v>100000</v>
      </c>
      <c r="I36" s="335" t="n">
        <v>103000</v>
      </c>
      <c r="J36" s="335" t="n">
        <v>106090</v>
      </c>
      <c r="K36" s="335" t="n">
        <v>109272.7</v>
      </c>
      <c r="L36" s="335" t="n">
        <v>112550.881</v>
      </c>
      <c r="M36" s="335" t="n">
        <v>115927.40743</v>
      </c>
      <c r="N36" s="335" t="n">
        <v>119405.2296529</v>
      </c>
      <c r="O36" s="335" t="n">
        <v>122987.386542487</v>
      </c>
      <c r="P36" s="335" t="n">
        <v>126677.008138762</v>
      </c>
      <c r="Q36" s="335" t="n">
        <v>130477.318382924</v>
      </c>
      <c r="R36" s="335" t="n">
        <v>134391.637934412</v>
      </c>
      <c r="S36" s="335" t="n">
        <v>138423.387072445</v>
      </c>
      <c r="T36" s="335" t="n">
        <v>142576.088684618</v>
      </c>
      <c r="U36" s="335" t="n">
        <v>146853.371345156</v>
      </c>
      <c r="V36" s="335" t="n">
        <v>151258.972485511</v>
      </c>
    </row>
    <row r="37" customFormat="false" ht="12.75" hidden="false" customHeight="false" outlineLevel="0" collapsed="false">
      <c r="A37" s="0" t="n">
        <f aca="false">Summary!A43</f>
        <v>27</v>
      </c>
      <c r="B37" s="0" t="s">
        <v>96</v>
      </c>
      <c r="C37" s="333" t="n">
        <v>0</v>
      </c>
      <c r="D37" s="335" t="n">
        <v>14278.42</v>
      </c>
      <c r="E37" s="335" t="n">
        <v>14707.35</v>
      </c>
      <c r="F37" s="335" t="n">
        <v>387074.17</v>
      </c>
      <c r="G37" s="335" t="n">
        <v>15661.04</v>
      </c>
      <c r="H37" s="335" t="n">
        <v>89337.122</v>
      </c>
      <c r="I37" s="335" t="n">
        <v>92017.23566</v>
      </c>
      <c r="J37" s="335" t="n">
        <v>94777.7527298</v>
      </c>
      <c r="K37" s="335" t="n">
        <v>97621.085311694</v>
      </c>
      <c r="L37" s="335" t="n">
        <v>100549.717871045</v>
      </c>
      <c r="M37" s="335" t="n">
        <v>103566.209407176</v>
      </c>
      <c r="N37" s="335" t="n">
        <v>106673.195689391</v>
      </c>
      <c r="O37" s="335" t="n">
        <v>109873.391560073</v>
      </c>
      <c r="P37" s="335" t="n">
        <v>113169.593306875</v>
      </c>
      <c r="Q37" s="335" t="n">
        <v>116564.681106082</v>
      </c>
      <c r="R37" s="335" t="n">
        <v>120061.621539264</v>
      </c>
      <c r="S37" s="335" t="n">
        <v>123663.470185442</v>
      </c>
      <c r="T37" s="335" t="n">
        <v>127373.374291005</v>
      </c>
      <c r="U37" s="335" t="n">
        <v>131194.575519736</v>
      </c>
      <c r="V37" s="335" t="n">
        <v>135130.412785328</v>
      </c>
    </row>
    <row r="38" customFormat="false" ht="12.75" hidden="false" customHeight="false" outlineLevel="0" collapsed="false">
      <c r="A38" s="0" t="n">
        <f aca="false">Summary!A44</f>
        <v>28</v>
      </c>
      <c r="B38" s="0" t="s">
        <v>97</v>
      </c>
      <c r="C38" s="333" t="n">
        <v>0</v>
      </c>
      <c r="D38" s="335" t="n">
        <v>14879.11</v>
      </c>
      <c r="E38" s="335" t="n">
        <v>15323.09</v>
      </c>
      <c r="F38" s="335" t="n">
        <v>384480.99</v>
      </c>
      <c r="G38" s="335" t="n">
        <v>16310.09</v>
      </c>
      <c r="H38" s="335" t="n">
        <v>89322.498</v>
      </c>
      <c r="I38" s="335" t="n">
        <v>92002.17294</v>
      </c>
      <c r="J38" s="335" t="n">
        <v>94762.2381282</v>
      </c>
      <c r="K38" s="335" t="n">
        <v>97605.105272046</v>
      </c>
      <c r="L38" s="335" t="n">
        <v>100533.258430207</v>
      </c>
      <c r="M38" s="335" t="n">
        <v>103549.256183114</v>
      </c>
      <c r="N38" s="335" t="n">
        <v>106655.733868607</v>
      </c>
      <c r="O38" s="335" t="n">
        <v>109855.405884665</v>
      </c>
      <c r="P38" s="335" t="n">
        <v>113151.068061205</v>
      </c>
      <c r="Q38" s="335" t="n">
        <v>116545.600103041</v>
      </c>
      <c r="R38" s="335" t="n">
        <v>120041.968106133</v>
      </c>
      <c r="S38" s="335" t="n">
        <v>123643.227149317</v>
      </c>
      <c r="T38" s="335" t="n">
        <v>127352.523963796</v>
      </c>
      <c r="U38" s="335" t="n">
        <v>131173.09968271</v>
      </c>
      <c r="V38" s="335" t="n">
        <v>135108.292673191</v>
      </c>
    </row>
    <row r="39" customFormat="false" ht="12.75" hidden="false" customHeight="false" outlineLevel="0" collapsed="false">
      <c r="A39" s="0" t="n">
        <f aca="false">Summary!A45</f>
        <v>29</v>
      </c>
      <c r="B39" s="0" t="s">
        <v>98</v>
      </c>
      <c r="C39" s="333" t="n">
        <v>0</v>
      </c>
      <c r="D39" s="335" t="n">
        <v>14879.11</v>
      </c>
      <c r="E39" s="335" t="n">
        <v>378160.86</v>
      </c>
      <c r="F39" s="335" t="n">
        <v>15780.83</v>
      </c>
      <c r="G39" s="335" t="n">
        <v>16310.09</v>
      </c>
      <c r="H39" s="335" t="n">
        <v>88150.02</v>
      </c>
      <c r="I39" s="335" t="n">
        <v>90794.5206</v>
      </c>
      <c r="J39" s="335" t="n">
        <v>93518.356218</v>
      </c>
      <c r="K39" s="335" t="n">
        <v>96323.90690454</v>
      </c>
      <c r="L39" s="335" t="n">
        <v>99213.6241116762</v>
      </c>
      <c r="M39" s="335" t="n">
        <v>102190.032835027</v>
      </c>
      <c r="N39" s="335" t="n">
        <v>105255.733820077</v>
      </c>
      <c r="O39" s="335" t="n">
        <v>108413.40583468</v>
      </c>
      <c r="P39" s="335" t="n">
        <v>111665.80800972</v>
      </c>
      <c r="Q39" s="335" t="n">
        <v>115015.782250012</v>
      </c>
      <c r="R39" s="335" t="n">
        <v>118466.255717512</v>
      </c>
      <c r="S39" s="335" t="n">
        <v>122020.243389037</v>
      </c>
      <c r="T39" s="335" t="n">
        <v>125680.850690708</v>
      </c>
      <c r="U39" s="335" t="n">
        <v>129451.27621143</v>
      </c>
      <c r="V39" s="335" t="n">
        <v>133334.814497773</v>
      </c>
    </row>
    <row r="40" customFormat="false" ht="12.75" hidden="false" customHeight="false" outlineLevel="0" collapsed="false">
      <c r="A40" s="0" t="n">
        <f aca="false">Summary!A46</f>
        <v>30</v>
      </c>
      <c r="B40" s="0" t="s">
        <v>99</v>
      </c>
      <c r="C40" s="333" t="n">
        <v>0</v>
      </c>
      <c r="D40" s="335" t="n">
        <v>14879.11</v>
      </c>
      <c r="E40" s="335" t="n">
        <v>378160.86</v>
      </c>
      <c r="F40" s="335" t="n">
        <v>15780.83</v>
      </c>
      <c r="G40" s="335" t="n">
        <v>16310.09</v>
      </c>
      <c r="H40" s="335" t="n">
        <v>88150.02</v>
      </c>
      <c r="I40" s="335" t="n">
        <v>90794.5206</v>
      </c>
      <c r="J40" s="335" t="n">
        <v>93518.356218</v>
      </c>
      <c r="K40" s="335" t="n">
        <v>96323.90690454</v>
      </c>
      <c r="L40" s="335" t="n">
        <v>99213.6241116762</v>
      </c>
      <c r="M40" s="335" t="n">
        <v>102190.032835027</v>
      </c>
      <c r="N40" s="335" t="n">
        <v>105255.733820077</v>
      </c>
      <c r="O40" s="335" t="n">
        <v>108413.40583468</v>
      </c>
      <c r="P40" s="335" t="n">
        <v>111665.80800972</v>
      </c>
      <c r="Q40" s="335" t="n">
        <v>115015.782250012</v>
      </c>
      <c r="R40" s="335" t="n">
        <v>118466.255717512</v>
      </c>
      <c r="S40" s="335" t="n">
        <v>122020.243389037</v>
      </c>
      <c r="T40" s="335" t="n">
        <v>125680.850690708</v>
      </c>
      <c r="U40" s="335" t="n">
        <v>129451.27621143</v>
      </c>
      <c r="V40" s="335" t="n">
        <v>133334.814497773</v>
      </c>
    </row>
    <row r="41" customFormat="false" ht="12.75" hidden="false" customHeight="false" outlineLevel="0" collapsed="false">
      <c r="A41" s="0" t="n">
        <f aca="false">Summary!A47</f>
        <v>31</v>
      </c>
      <c r="B41" s="0" t="s">
        <v>100</v>
      </c>
      <c r="C41" s="333" t="n">
        <v>0</v>
      </c>
      <c r="D41" s="335" t="n">
        <v>368862.32</v>
      </c>
      <c r="E41" s="335" t="n">
        <v>15323.09</v>
      </c>
      <c r="F41" s="335" t="n">
        <v>15780.83</v>
      </c>
      <c r="G41" s="335" t="n">
        <v>16310.09</v>
      </c>
      <c r="H41" s="335" t="n">
        <v>86379.108</v>
      </c>
      <c r="I41" s="335" t="n">
        <v>88970.48124</v>
      </c>
      <c r="J41" s="335" t="n">
        <v>91639.5956772</v>
      </c>
      <c r="K41" s="335" t="n">
        <v>94388.783547516</v>
      </c>
      <c r="L41" s="335" t="n">
        <v>97220.4470539415</v>
      </c>
      <c r="M41" s="335" t="n">
        <v>100137.06046556</v>
      </c>
      <c r="N41" s="335" t="n">
        <v>103141.172279527</v>
      </c>
      <c r="O41" s="335" t="n">
        <v>106235.407447912</v>
      </c>
      <c r="P41" s="335" t="n">
        <v>109422.46967135</v>
      </c>
      <c r="Q41" s="335" t="n">
        <v>112705.14376149</v>
      </c>
      <c r="R41" s="335" t="n">
        <v>116086.298074335</v>
      </c>
      <c r="S41" s="335" t="n">
        <v>119568.887016565</v>
      </c>
      <c r="T41" s="335" t="n">
        <v>123155.953627062</v>
      </c>
      <c r="U41" s="335" t="n">
        <v>126850.632235874</v>
      </c>
      <c r="V41" s="335" t="n">
        <v>130656.15120295</v>
      </c>
    </row>
    <row r="42" customFormat="false" ht="12.75" hidden="false" customHeight="false" outlineLevel="0" collapsed="false">
      <c r="A42" s="0" t="n">
        <f aca="false">Summary!A48</f>
        <v>32</v>
      </c>
      <c r="B42" s="0" t="s">
        <v>101</v>
      </c>
      <c r="C42" s="333" t="n">
        <v>0</v>
      </c>
      <c r="D42" s="335" t="n">
        <v>368261.63</v>
      </c>
      <c r="E42" s="335" t="n">
        <v>14707.35</v>
      </c>
      <c r="F42" s="335" t="n">
        <v>15149.69</v>
      </c>
      <c r="G42" s="335" t="n">
        <v>15661.04</v>
      </c>
      <c r="H42" s="335" t="n">
        <v>85748.868</v>
      </c>
      <c r="I42" s="335" t="n">
        <v>88321.33404</v>
      </c>
      <c r="J42" s="335" t="n">
        <v>90970.9740612</v>
      </c>
      <c r="K42" s="335" t="n">
        <v>93700.103283036</v>
      </c>
      <c r="L42" s="335" t="n">
        <v>96511.1063815271</v>
      </c>
      <c r="M42" s="335" t="n">
        <v>99406.4395729729</v>
      </c>
      <c r="N42" s="335" t="n">
        <v>102388.632760162</v>
      </c>
      <c r="O42" s="335" t="n">
        <v>105460.291742967</v>
      </c>
      <c r="P42" s="335" t="n">
        <v>108624.100495256</v>
      </c>
      <c r="Q42" s="335" t="n">
        <v>111882.823510114</v>
      </c>
      <c r="R42" s="335" t="n">
        <v>115239.308215417</v>
      </c>
      <c r="S42" s="335" t="n">
        <v>118696.48746188</v>
      </c>
      <c r="T42" s="335" t="n">
        <v>122257.382085736</v>
      </c>
      <c r="U42" s="335" t="n">
        <v>125925.103548308</v>
      </c>
      <c r="V42" s="335" t="n">
        <v>129702.856654757</v>
      </c>
    </row>
    <row r="43" customFormat="false" ht="13.5" hidden="false" customHeight="false" outlineLevel="0" collapsed="false">
      <c r="A43" s="0" t="n">
        <f aca="false">Summary!A49</f>
        <v>33</v>
      </c>
      <c r="B43" s="336" t="s">
        <v>14</v>
      </c>
      <c r="C43" s="381" t="n">
        <v>0</v>
      </c>
      <c r="D43" s="337" t="n">
        <v>0</v>
      </c>
      <c r="E43" s="337" t="n">
        <v>0</v>
      </c>
      <c r="F43" s="337" t="n">
        <v>0</v>
      </c>
      <c r="G43" s="337" t="n">
        <v>0</v>
      </c>
      <c r="H43" s="337" t="n">
        <v>0</v>
      </c>
      <c r="I43" s="337" t="n">
        <v>0</v>
      </c>
      <c r="J43" s="337" t="n">
        <v>0</v>
      </c>
      <c r="K43" s="337" t="n">
        <v>0</v>
      </c>
      <c r="L43" s="337" t="n">
        <v>0</v>
      </c>
      <c r="M43" s="337" t="n">
        <v>0</v>
      </c>
      <c r="N43" s="337" t="n">
        <v>0</v>
      </c>
      <c r="O43" s="337" t="n">
        <v>0</v>
      </c>
      <c r="P43" s="337" t="n">
        <v>0</v>
      </c>
      <c r="Q43" s="337" t="n">
        <v>0</v>
      </c>
      <c r="R43" s="337" t="n">
        <v>0</v>
      </c>
      <c r="S43" s="337" t="n">
        <v>0</v>
      </c>
      <c r="T43" s="337" t="n">
        <v>0</v>
      </c>
      <c r="U43" s="337" t="n">
        <v>0</v>
      </c>
      <c r="V43" s="337" t="n">
        <v>0</v>
      </c>
    </row>
    <row r="44" customFormat="false" ht="12" hidden="false" customHeight="false" outlineLevel="0" collapsed="false">
      <c r="A44" s="382"/>
      <c r="B44" s="382" t="s">
        <v>3</v>
      </c>
      <c r="C44" s="383" t="n">
        <f aca="false">SUM(C11:C43)</f>
        <v>0</v>
      </c>
      <c r="D44" s="383" t="n">
        <f aca="false">SUM(D11:D43)</f>
        <v>57998154.67</v>
      </c>
      <c r="E44" s="383" t="n">
        <f aca="false">SUM(E11:E43)</f>
        <v>53017298.62</v>
      </c>
      <c r="F44" s="383" t="n">
        <f aca="false">SUM(F11:F43)</f>
        <v>39685921.9</v>
      </c>
      <c r="G44" s="383" t="n">
        <f aca="false">SUM(G11:G43)</f>
        <v>29370635.69</v>
      </c>
      <c r="H44" s="383" t="n">
        <f aca="false">SUM(H11:H43)</f>
        <v>45513050.084</v>
      </c>
      <c r="I44" s="383" t="n">
        <f aca="false">SUM(I11:I43)</f>
        <v>46878441.58652</v>
      </c>
      <c r="J44" s="383" t="n">
        <f aca="false">SUM(J11:J43)</f>
        <v>48284794.8341156</v>
      </c>
      <c r="K44" s="383" t="n">
        <f aca="false">SUM(K11:K43)</f>
        <v>49733338.6791391</v>
      </c>
      <c r="L44" s="383" t="n">
        <f aca="false">SUM(L11:L43)</f>
        <v>51225338.8395133</v>
      </c>
      <c r="M44" s="383" t="n">
        <f aca="false">SUM(M11:M43)</f>
        <v>52762099.0046987</v>
      </c>
      <c r="N44" s="383" t="n">
        <f aca="false">SUM(N11:N43)</f>
        <v>54344961.9748396</v>
      </c>
      <c r="O44" s="383" t="n">
        <f aca="false">SUM(O11:O43)</f>
        <v>55975310.8340848</v>
      </c>
      <c r="P44" s="383" t="n">
        <f aca="false">SUM(P11:P43)</f>
        <v>57654570.1591073</v>
      </c>
      <c r="Q44" s="383" t="n">
        <f aca="false">SUM(Q11:Q43)</f>
        <v>59384207.2638806</v>
      </c>
      <c r="R44" s="383" t="n">
        <f aca="false">SUM(R11:R43)</f>
        <v>61165733.481797</v>
      </c>
      <c r="S44" s="383" t="n">
        <f aca="false">SUM(S11:S43)</f>
        <v>63000705.4862509</v>
      </c>
      <c r="T44" s="383" t="n">
        <f aca="false">SUM(T11:T43)</f>
        <v>64890726.6508384</v>
      </c>
      <c r="U44" s="383" t="n">
        <f aca="false">SUM(U11:U43)</f>
        <v>66837448.4503636</v>
      </c>
      <c r="V44" s="383" t="n">
        <f aca="false">SUM(V11:V43)</f>
        <v>68842571.9038745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2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4.99"/>
    <col collapsed="false" customWidth="true" hidden="false" outlineLevel="0" max="4" min="3" style="0" width="8.7"/>
    <col collapsed="false" customWidth="true" hidden="false" outlineLevel="0" max="5" min="5" style="0" width="9.7"/>
    <col collapsed="false" customWidth="true" hidden="false" outlineLevel="0" max="22" min="22" style="0" width="8.7"/>
    <col collapsed="false" customWidth="true" hidden="false" outlineLevel="0" max="23" min="23" style="0" width="13.56"/>
    <col collapsed="false" customWidth="true" hidden="false" outlineLevel="0" max="24" min="24" style="0" width="5.13"/>
  </cols>
  <sheetData>
    <row r="1" customFormat="false" ht="12.75" hidden="false" customHeight="false" outlineLevel="0" collapsed="false">
      <c r="A1" s="197" t="s">
        <v>250</v>
      </c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B3" s="5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customFormat="false" ht="12.75" hidden="false" customHeight="false" outlineLevel="0" collapsed="false">
      <c r="B4" s="51"/>
      <c r="C4" s="11"/>
      <c r="D4" s="11"/>
      <c r="E4" s="384"/>
      <c r="F4" s="11"/>
      <c r="G4" s="11"/>
      <c r="H4" s="11"/>
      <c r="I4" s="51"/>
      <c r="J4" s="11"/>
      <c r="K4" s="11"/>
      <c r="L4" s="11"/>
    </row>
    <row r="5" customFormat="false" ht="12.75" hidden="false" customHeight="false" outlineLevel="0" collapsed="false">
      <c r="B5" s="51"/>
      <c r="C5" s="11"/>
      <c r="D5" s="11"/>
      <c r="E5" s="384"/>
      <c r="F5" s="11"/>
      <c r="G5" s="11"/>
      <c r="H5" s="11"/>
      <c r="I5" s="51"/>
      <c r="J5" s="11"/>
      <c r="K5" s="11"/>
      <c r="L5" s="11"/>
    </row>
    <row r="7" customFormat="false" ht="12.75" hidden="false" customHeight="false" outlineLevel="0" collapsed="false">
      <c r="A7" s="263" t="s">
        <v>251</v>
      </c>
    </row>
    <row r="9" customFormat="false" ht="12.75" hidden="false" customHeight="false" outlineLevel="0" collapsed="false">
      <c r="C9" s="235" t="n">
        <v>2000</v>
      </c>
      <c r="D9" s="235" t="n">
        <v>2001</v>
      </c>
      <c r="E9" s="235" t="n">
        <v>2002</v>
      </c>
      <c r="F9" s="235" t="n">
        <v>2003</v>
      </c>
      <c r="G9" s="235" t="n">
        <v>2004</v>
      </c>
      <c r="H9" s="235" t="n">
        <v>2005</v>
      </c>
      <c r="I9" s="235" t="n">
        <v>2006</v>
      </c>
      <c r="J9" s="235" t="n">
        <v>2007</v>
      </c>
      <c r="K9" s="235" t="n">
        <v>2008</v>
      </c>
      <c r="L9" s="235" t="n">
        <v>2009</v>
      </c>
      <c r="M9" s="235" t="n">
        <v>2010</v>
      </c>
      <c r="N9" s="235" t="n">
        <v>2011</v>
      </c>
      <c r="O9" s="235" t="n">
        <v>2012</v>
      </c>
      <c r="P9" s="235" t="n">
        <v>2013</v>
      </c>
      <c r="Q9" s="235" t="n">
        <v>2014</v>
      </c>
      <c r="R9" s="235" t="n">
        <v>2015</v>
      </c>
      <c r="S9" s="235" t="n">
        <v>2016</v>
      </c>
      <c r="T9" s="235" t="n">
        <v>2017</v>
      </c>
      <c r="U9" s="235" t="n">
        <v>2018</v>
      </c>
      <c r="V9" s="235" t="n">
        <v>2019</v>
      </c>
    </row>
    <row r="11" customFormat="false" ht="12.75" hidden="false" customHeight="false" outlineLevel="0" collapsed="false">
      <c r="A11" s="0" t="n">
        <f aca="false">Summary!A17</f>
        <v>1</v>
      </c>
      <c r="B11" s="0" t="s">
        <v>69</v>
      </c>
      <c r="C11" s="9" t="n">
        <v>94409.16</v>
      </c>
      <c r="D11" s="9" t="n">
        <v>1471963.2</v>
      </c>
      <c r="E11" s="9" t="n">
        <v>21211947.96</v>
      </c>
      <c r="F11" s="9" t="n">
        <v>2835914.52</v>
      </c>
      <c r="G11" s="9" t="n">
        <v>0</v>
      </c>
      <c r="H11" s="9" t="n">
        <v>0</v>
      </c>
      <c r="I11" s="9" t="n">
        <v>0</v>
      </c>
      <c r="J11" s="9" t="n">
        <v>0</v>
      </c>
      <c r="K11" s="9" t="n">
        <v>0</v>
      </c>
      <c r="L11" s="9" t="n">
        <v>0</v>
      </c>
      <c r="M11" s="9" t="n">
        <v>0</v>
      </c>
      <c r="N11" s="9" t="n">
        <v>0</v>
      </c>
      <c r="O11" s="9" t="n">
        <v>0</v>
      </c>
      <c r="P11" s="9" t="n">
        <v>0</v>
      </c>
      <c r="Q11" s="9" t="n">
        <v>0</v>
      </c>
      <c r="R11" s="9" t="n">
        <v>0</v>
      </c>
      <c r="S11" s="9" t="n">
        <v>0</v>
      </c>
      <c r="T11" s="9" t="n">
        <v>0</v>
      </c>
      <c r="U11" s="9" t="n">
        <v>0</v>
      </c>
      <c r="V11" s="9" t="n">
        <v>0</v>
      </c>
    </row>
    <row r="12" customFormat="false" ht="12.75" hidden="false" customHeight="false" outlineLevel="0" collapsed="false">
      <c r="A12" s="0" t="n">
        <f aca="false">Summary!A18</f>
        <v>2</v>
      </c>
      <c r="B12" s="0" t="s">
        <v>71</v>
      </c>
      <c r="C12" s="9" t="n">
        <v>7425150.84</v>
      </c>
      <c r="D12" s="9" t="n">
        <v>18826276.36</v>
      </c>
      <c r="E12" s="9" t="n">
        <v>0</v>
      </c>
      <c r="F12" s="9" t="n">
        <v>0</v>
      </c>
      <c r="G12" s="9" t="n">
        <v>0</v>
      </c>
      <c r="H12" s="9" t="n">
        <v>0</v>
      </c>
      <c r="I12" s="9" t="n">
        <v>0</v>
      </c>
      <c r="J12" s="9" t="n">
        <v>0</v>
      </c>
      <c r="K12" s="9" t="n">
        <v>0</v>
      </c>
      <c r="L12" s="9" t="n">
        <v>0</v>
      </c>
      <c r="M12" s="9" t="n">
        <v>0</v>
      </c>
      <c r="N12" s="9" t="n">
        <v>0</v>
      </c>
      <c r="O12" s="9" t="n">
        <v>0</v>
      </c>
      <c r="P12" s="9" t="n">
        <v>0</v>
      </c>
      <c r="Q12" s="9" t="n">
        <v>0</v>
      </c>
      <c r="R12" s="9" t="n">
        <v>0</v>
      </c>
      <c r="S12" s="9" t="n">
        <v>0</v>
      </c>
      <c r="T12" s="9" t="n">
        <v>0</v>
      </c>
      <c r="U12" s="9" t="n">
        <v>0</v>
      </c>
      <c r="V12" s="9" t="n">
        <v>0</v>
      </c>
    </row>
    <row r="13" customFormat="false" ht="12.75" hidden="false" customHeight="false" outlineLevel="0" collapsed="false">
      <c r="A13" s="0" t="n">
        <f aca="false">Summary!A19</f>
        <v>3</v>
      </c>
      <c r="B13" s="2" t="s">
        <v>72</v>
      </c>
      <c r="C13" s="9" t="n">
        <v>640575</v>
      </c>
      <c r="D13" s="9" t="n">
        <v>6225024</v>
      </c>
      <c r="E13" s="9" t="n">
        <v>4058147.2</v>
      </c>
      <c r="F13" s="9" t="n">
        <v>2200091.69</v>
      </c>
      <c r="G13" s="9" t="n">
        <v>0</v>
      </c>
      <c r="H13" s="9" t="n">
        <v>0</v>
      </c>
      <c r="I13" s="9" t="n">
        <v>0</v>
      </c>
      <c r="J13" s="9" t="n">
        <v>0</v>
      </c>
      <c r="K13" s="9" t="n">
        <v>0</v>
      </c>
      <c r="L13" s="9" t="n">
        <v>0</v>
      </c>
      <c r="M13" s="9" t="n">
        <v>0</v>
      </c>
      <c r="N13" s="9" t="n">
        <v>0</v>
      </c>
      <c r="O13" s="9" t="n">
        <v>0</v>
      </c>
      <c r="P13" s="9" t="n">
        <v>0</v>
      </c>
      <c r="Q13" s="9" t="n">
        <v>0</v>
      </c>
      <c r="R13" s="9" t="n">
        <v>0</v>
      </c>
      <c r="S13" s="9" t="n">
        <v>0</v>
      </c>
      <c r="T13" s="9" t="n">
        <v>0</v>
      </c>
      <c r="U13" s="9" t="n">
        <v>0</v>
      </c>
      <c r="V13" s="9" t="n">
        <v>0</v>
      </c>
    </row>
    <row r="14" customFormat="false" ht="12.75" hidden="false" customHeight="false" outlineLevel="0" collapsed="false">
      <c r="A14" s="0" t="n">
        <f aca="false">Summary!A20</f>
        <v>4</v>
      </c>
      <c r="B14" s="2" t="s">
        <v>73</v>
      </c>
      <c r="C14" s="9" t="n">
        <v>640575</v>
      </c>
      <c r="D14" s="9" t="n">
        <v>6225024</v>
      </c>
      <c r="E14" s="9" t="n">
        <v>4058147.2</v>
      </c>
      <c r="F14" s="9" t="n">
        <v>2200091.69</v>
      </c>
      <c r="G14" s="9" t="n">
        <v>0</v>
      </c>
      <c r="H14" s="9" t="n">
        <v>0</v>
      </c>
      <c r="I14" s="9" t="n">
        <v>0</v>
      </c>
      <c r="J14" s="9" t="n">
        <v>0</v>
      </c>
      <c r="K14" s="9" t="n">
        <v>0</v>
      </c>
      <c r="L14" s="9" t="n">
        <v>0</v>
      </c>
      <c r="M14" s="9" t="n">
        <v>0</v>
      </c>
      <c r="N14" s="9" t="n">
        <v>0</v>
      </c>
      <c r="O14" s="9" t="n">
        <v>0</v>
      </c>
      <c r="P14" s="9" t="n">
        <v>0</v>
      </c>
      <c r="Q14" s="9" t="n">
        <v>0</v>
      </c>
      <c r="R14" s="9" t="n">
        <v>0</v>
      </c>
      <c r="S14" s="9" t="n">
        <v>0</v>
      </c>
      <c r="T14" s="9" t="n">
        <v>0</v>
      </c>
      <c r="U14" s="9" t="n">
        <v>0</v>
      </c>
      <c r="V14" s="9" t="n">
        <v>0</v>
      </c>
    </row>
    <row r="15" customFormat="false" ht="12.75" hidden="false" customHeight="false" outlineLevel="0" collapsed="false">
      <c r="A15" s="0" t="n">
        <f aca="false">Summary!A21</f>
        <v>5</v>
      </c>
      <c r="B15" s="2" t="s">
        <v>74</v>
      </c>
      <c r="C15" s="9" t="n">
        <v>640575</v>
      </c>
      <c r="D15" s="9" t="n">
        <v>6225024</v>
      </c>
      <c r="E15" s="9" t="n">
        <v>4058147.2</v>
      </c>
      <c r="F15" s="9" t="n">
        <v>2200091.69</v>
      </c>
      <c r="G15" s="9" t="n">
        <v>0</v>
      </c>
      <c r="H15" s="9" t="n">
        <v>0</v>
      </c>
      <c r="I15" s="9" t="n">
        <v>0</v>
      </c>
      <c r="J15" s="9" t="n">
        <v>0</v>
      </c>
      <c r="K15" s="9" t="n">
        <v>0</v>
      </c>
      <c r="L15" s="9" t="n">
        <v>0</v>
      </c>
      <c r="M15" s="9" t="n">
        <v>0</v>
      </c>
      <c r="N15" s="9" t="n">
        <v>0</v>
      </c>
      <c r="O15" s="9" t="n">
        <v>0</v>
      </c>
      <c r="P15" s="9" t="n">
        <v>0</v>
      </c>
      <c r="Q15" s="9" t="n">
        <v>0</v>
      </c>
      <c r="R15" s="9" t="n">
        <v>0</v>
      </c>
      <c r="S15" s="9" t="n">
        <v>0</v>
      </c>
      <c r="T15" s="9" t="n">
        <v>0</v>
      </c>
      <c r="U15" s="9" t="n">
        <v>0</v>
      </c>
      <c r="V15" s="9" t="n">
        <v>0</v>
      </c>
    </row>
    <row r="16" customFormat="false" ht="12.75" hidden="false" customHeight="false" outlineLevel="0" collapsed="false">
      <c r="A16" s="0" t="n">
        <f aca="false">Summary!A22</f>
        <v>6</v>
      </c>
      <c r="B16" s="2" t="s">
        <v>75</v>
      </c>
      <c r="C16" s="9" t="n">
        <v>640575</v>
      </c>
      <c r="D16" s="9" t="n">
        <v>6225024</v>
      </c>
      <c r="E16" s="9" t="n">
        <v>4058147.2</v>
      </c>
      <c r="F16" s="9" t="n">
        <v>2200091.69</v>
      </c>
      <c r="G16" s="9" t="n">
        <v>0</v>
      </c>
      <c r="H16" s="9" t="n">
        <v>0</v>
      </c>
      <c r="I16" s="9" t="n">
        <v>0</v>
      </c>
      <c r="J16" s="9" t="n">
        <v>0</v>
      </c>
      <c r="K16" s="9" t="n">
        <v>0</v>
      </c>
      <c r="L16" s="9" t="n">
        <v>0</v>
      </c>
      <c r="M16" s="9" t="n">
        <v>0</v>
      </c>
      <c r="N16" s="9" t="n">
        <v>0</v>
      </c>
      <c r="O16" s="9" t="n">
        <v>0</v>
      </c>
      <c r="P16" s="9" t="n">
        <v>0</v>
      </c>
      <c r="Q16" s="9" t="n">
        <v>0</v>
      </c>
      <c r="R16" s="9" t="n">
        <v>0</v>
      </c>
      <c r="S16" s="9" t="n">
        <v>0</v>
      </c>
      <c r="T16" s="9" t="n">
        <v>0</v>
      </c>
      <c r="U16" s="9" t="n">
        <v>0</v>
      </c>
      <c r="V16" s="9" t="n">
        <v>0</v>
      </c>
    </row>
    <row r="17" customFormat="false" ht="12.75" hidden="false" customHeight="false" outlineLevel="0" collapsed="false">
      <c r="A17" s="0" t="n">
        <f aca="false">Summary!A23</f>
        <v>7</v>
      </c>
      <c r="B17" s="0" t="s">
        <v>76</v>
      </c>
      <c r="C17" s="9" t="n">
        <v>1317400</v>
      </c>
      <c r="D17" s="9" t="n">
        <v>7279104</v>
      </c>
      <c r="E17" s="9" t="n">
        <v>1766161.92</v>
      </c>
      <c r="F17" s="9" t="n">
        <v>1476105.18</v>
      </c>
      <c r="G17" s="9" t="n">
        <v>0</v>
      </c>
      <c r="H17" s="9" t="n">
        <v>0</v>
      </c>
      <c r="I17" s="9" t="n">
        <v>0</v>
      </c>
      <c r="J17" s="9" t="n">
        <v>0</v>
      </c>
      <c r="K17" s="9" t="n">
        <v>0</v>
      </c>
      <c r="L17" s="9" t="n">
        <v>0</v>
      </c>
      <c r="M17" s="9" t="n">
        <v>0</v>
      </c>
      <c r="N17" s="9" t="n">
        <v>0</v>
      </c>
      <c r="O17" s="9" t="n">
        <v>0</v>
      </c>
      <c r="P17" s="9" t="n">
        <v>0</v>
      </c>
      <c r="Q17" s="9" t="n">
        <v>0</v>
      </c>
      <c r="R17" s="9" t="n">
        <v>0</v>
      </c>
      <c r="S17" s="9" t="n">
        <v>0</v>
      </c>
      <c r="T17" s="9" t="n">
        <v>0</v>
      </c>
      <c r="U17" s="9" t="n">
        <v>0</v>
      </c>
      <c r="V17" s="9" t="n">
        <v>0</v>
      </c>
    </row>
    <row r="18" customFormat="false" ht="12.75" hidden="false" customHeight="false" outlineLevel="0" collapsed="false">
      <c r="A18" s="0" t="n">
        <f aca="false">Summary!A24</f>
        <v>8</v>
      </c>
      <c r="B18" s="0" t="s">
        <v>77</v>
      </c>
      <c r="C18" s="9" t="n">
        <v>0</v>
      </c>
      <c r="D18" s="9" t="n">
        <v>0</v>
      </c>
      <c r="E18" s="9" t="n">
        <v>0</v>
      </c>
      <c r="F18" s="9" t="n">
        <v>0</v>
      </c>
      <c r="G18" s="9" t="n">
        <v>0</v>
      </c>
      <c r="H18" s="9" t="n">
        <v>0</v>
      </c>
      <c r="I18" s="9" t="n">
        <v>0</v>
      </c>
      <c r="J18" s="9" t="n">
        <v>0</v>
      </c>
      <c r="K18" s="9" t="n">
        <v>0</v>
      </c>
      <c r="L18" s="9" t="n">
        <v>0</v>
      </c>
      <c r="M18" s="9" t="n">
        <v>0</v>
      </c>
      <c r="N18" s="9" t="n">
        <v>0</v>
      </c>
      <c r="O18" s="9" t="n">
        <v>0</v>
      </c>
      <c r="P18" s="9" t="n">
        <v>0</v>
      </c>
      <c r="Q18" s="9" t="n">
        <v>0</v>
      </c>
      <c r="R18" s="9" t="n">
        <v>0</v>
      </c>
      <c r="S18" s="9" t="n">
        <v>0</v>
      </c>
      <c r="T18" s="9" t="n">
        <v>0</v>
      </c>
      <c r="U18" s="9" t="n">
        <v>0</v>
      </c>
      <c r="V18" s="9" t="n">
        <v>0</v>
      </c>
    </row>
    <row r="19" customFormat="false" ht="12.75" hidden="false" customHeight="false" outlineLevel="0" collapsed="false">
      <c r="A19" s="0" t="n">
        <f aca="false">Summary!A25</f>
        <v>9</v>
      </c>
      <c r="B19" s="0" t="s">
        <v>78</v>
      </c>
      <c r="C19" s="9" t="n">
        <v>0</v>
      </c>
      <c r="D19" s="9" t="n">
        <v>0</v>
      </c>
      <c r="E19" s="9" t="n">
        <v>0</v>
      </c>
      <c r="F19" s="9" t="n">
        <v>0</v>
      </c>
      <c r="G19" s="9" t="n">
        <v>0</v>
      </c>
      <c r="H19" s="9" t="n">
        <v>0</v>
      </c>
      <c r="I19" s="9" t="n">
        <v>0</v>
      </c>
      <c r="J19" s="9" t="n">
        <v>0</v>
      </c>
      <c r="K19" s="9" t="n">
        <v>0</v>
      </c>
      <c r="L19" s="9" t="n">
        <v>0</v>
      </c>
      <c r="M19" s="9" t="n">
        <v>0</v>
      </c>
      <c r="N19" s="9" t="n">
        <v>0</v>
      </c>
      <c r="O19" s="9" t="n">
        <v>0</v>
      </c>
      <c r="P19" s="9" t="n">
        <v>0</v>
      </c>
      <c r="Q19" s="9" t="n">
        <v>0</v>
      </c>
      <c r="R19" s="9" t="n">
        <v>0</v>
      </c>
      <c r="S19" s="9" t="n">
        <v>0</v>
      </c>
      <c r="T19" s="9" t="n">
        <v>0</v>
      </c>
      <c r="U19" s="9" t="n">
        <v>0</v>
      </c>
      <c r="V19" s="9" t="n">
        <v>0</v>
      </c>
    </row>
    <row r="20" customFormat="false" ht="12.75" hidden="false" customHeight="false" outlineLevel="0" collapsed="false">
      <c r="A20" s="0" t="n">
        <f aca="false">Summary!A26</f>
        <v>10</v>
      </c>
      <c r="B20" s="0" t="s">
        <v>79</v>
      </c>
      <c r="C20" s="9" t="n">
        <v>2203523.13</v>
      </c>
      <c r="D20" s="9" t="n">
        <v>27587393.21</v>
      </c>
      <c r="E20" s="9" t="n">
        <v>3755790.25</v>
      </c>
      <c r="F20" s="9" t="n">
        <v>0</v>
      </c>
      <c r="G20" s="9" t="n">
        <v>0</v>
      </c>
      <c r="H20" s="9" t="n">
        <v>0</v>
      </c>
      <c r="I20" s="9" t="n">
        <v>0</v>
      </c>
      <c r="J20" s="9" t="n">
        <v>0</v>
      </c>
      <c r="K20" s="9" t="n">
        <v>0</v>
      </c>
      <c r="L20" s="9" t="n">
        <v>0</v>
      </c>
      <c r="M20" s="9" t="n">
        <v>0</v>
      </c>
      <c r="N20" s="9" t="n">
        <v>0</v>
      </c>
      <c r="O20" s="9" t="n">
        <v>0</v>
      </c>
      <c r="P20" s="9" t="n">
        <v>0</v>
      </c>
      <c r="Q20" s="9" t="n">
        <v>0</v>
      </c>
      <c r="R20" s="9" t="n">
        <v>0</v>
      </c>
      <c r="S20" s="9" t="n">
        <v>0</v>
      </c>
      <c r="T20" s="9" t="n">
        <v>0</v>
      </c>
      <c r="U20" s="9" t="n">
        <v>0</v>
      </c>
      <c r="V20" s="9" t="n">
        <v>0</v>
      </c>
    </row>
    <row r="21" customFormat="false" ht="12.75" hidden="false" customHeight="false" outlineLevel="0" collapsed="false">
      <c r="A21" s="0" t="n">
        <f aca="false">Summary!A27</f>
        <v>11</v>
      </c>
      <c r="B21" s="0" t="s">
        <v>80</v>
      </c>
      <c r="C21" s="9" t="n">
        <v>14227709.41</v>
      </c>
      <c r="D21" s="9" t="n">
        <v>14239251.33</v>
      </c>
      <c r="E21" s="9" t="n">
        <v>71334.62</v>
      </c>
      <c r="F21" s="9" t="n">
        <v>0</v>
      </c>
      <c r="G21" s="9" t="n">
        <v>0</v>
      </c>
      <c r="H21" s="9" t="n">
        <v>0</v>
      </c>
      <c r="I21" s="9" t="n">
        <v>0</v>
      </c>
      <c r="J21" s="9" t="n">
        <v>0</v>
      </c>
      <c r="K21" s="9" t="n">
        <v>0</v>
      </c>
      <c r="L21" s="9" t="n">
        <v>0</v>
      </c>
      <c r="M21" s="9" t="n">
        <v>0</v>
      </c>
      <c r="N21" s="9" t="n">
        <v>0</v>
      </c>
      <c r="O21" s="9" t="n">
        <v>0</v>
      </c>
      <c r="P21" s="9" t="n">
        <v>0</v>
      </c>
      <c r="Q21" s="9" t="n">
        <v>0</v>
      </c>
      <c r="R21" s="9" t="n">
        <v>0</v>
      </c>
      <c r="S21" s="9" t="n">
        <v>0</v>
      </c>
      <c r="T21" s="9" t="n">
        <v>0</v>
      </c>
      <c r="U21" s="9" t="n">
        <v>0</v>
      </c>
      <c r="V21" s="9" t="n">
        <v>0</v>
      </c>
    </row>
    <row r="22" customFormat="false" ht="12.75" hidden="false" customHeight="false" outlineLevel="0" collapsed="false">
      <c r="A22" s="0" t="n">
        <f aca="false">Summary!A28</f>
        <v>12</v>
      </c>
      <c r="B22" s="0" t="s">
        <v>81</v>
      </c>
      <c r="C22" s="9" t="n">
        <v>0</v>
      </c>
      <c r="D22" s="9" t="n">
        <v>0</v>
      </c>
      <c r="E22" s="9" t="n">
        <v>0</v>
      </c>
      <c r="F22" s="9" t="n">
        <v>0</v>
      </c>
      <c r="G22" s="9" t="n">
        <v>0</v>
      </c>
      <c r="H22" s="9" t="n">
        <v>0</v>
      </c>
      <c r="I22" s="9" t="n">
        <v>0</v>
      </c>
      <c r="J22" s="9" t="n">
        <v>0</v>
      </c>
      <c r="K22" s="9" t="n">
        <v>0</v>
      </c>
      <c r="L22" s="9" t="n">
        <v>0</v>
      </c>
      <c r="M22" s="9" t="n">
        <v>0</v>
      </c>
      <c r="N22" s="9" t="n">
        <v>0</v>
      </c>
      <c r="O22" s="9" t="n">
        <v>0</v>
      </c>
      <c r="P22" s="9" t="n">
        <v>0</v>
      </c>
      <c r="Q22" s="9" t="n">
        <v>0</v>
      </c>
      <c r="R22" s="9" t="n">
        <v>0</v>
      </c>
      <c r="S22" s="9" t="n">
        <v>0</v>
      </c>
      <c r="T22" s="9" t="n">
        <v>0</v>
      </c>
      <c r="U22" s="9" t="n">
        <v>0</v>
      </c>
      <c r="V22" s="9" t="n">
        <v>0</v>
      </c>
    </row>
    <row r="23" customFormat="false" ht="12.75" hidden="false" customHeight="false" outlineLevel="0" collapsed="false">
      <c r="A23" s="0" t="n">
        <f aca="false">Summary!A29</f>
        <v>13</v>
      </c>
      <c r="B23" s="0" t="s">
        <v>82</v>
      </c>
      <c r="C23" s="9" t="n">
        <v>0</v>
      </c>
      <c r="D23" s="9" t="n">
        <v>0</v>
      </c>
      <c r="E23" s="9" t="n">
        <v>0</v>
      </c>
      <c r="F23" s="9" t="n">
        <v>0</v>
      </c>
      <c r="G23" s="9" t="n">
        <v>0</v>
      </c>
      <c r="H23" s="9" t="n">
        <v>0</v>
      </c>
      <c r="I23" s="9" t="n">
        <v>0</v>
      </c>
      <c r="J23" s="9" t="n">
        <v>0</v>
      </c>
      <c r="K23" s="9" t="n">
        <v>0</v>
      </c>
      <c r="L23" s="9" t="n">
        <v>0</v>
      </c>
      <c r="M23" s="9" t="n">
        <v>0</v>
      </c>
      <c r="N23" s="9" t="n">
        <v>0</v>
      </c>
      <c r="O23" s="9" t="n">
        <v>0</v>
      </c>
      <c r="P23" s="9" t="n">
        <v>0</v>
      </c>
      <c r="Q23" s="9" t="n">
        <v>0</v>
      </c>
      <c r="R23" s="9" t="n">
        <v>0</v>
      </c>
      <c r="S23" s="9" t="n">
        <v>0</v>
      </c>
      <c r="T23" s="9" t="n">
        <v>0</v>
      </c>
      <c r="U23" s="9" t="n">
        <v>0</v>
      </c>
      <c r="V23" s="9" t="n">
        <v>0</v>
      </c>
    </row>
    <row r="24" customFormat="false" ht="12.75" hidden="false" customHeight="false" outlineLevel="0" collapsed="false">
      <c r="A24" s="0" t="n">
        <f aca="false">Summary!A30</f>
        <v>14</v>
      </c>
      <c r="B24" s="0" t="s">
        <v>83</v>
      </c>
      <c r="C24" s="9" t="n">
        <v>0</v>
      </c>
      <c r="D24" s="9" t="n">
        <v>0</v>
      </c>
      <c r="E24" s="9" t="n">
        <v>0</v>
      </c>
      <c r="F24" s="9" t="n">
        <v>0</v>
      </c>
      <c r="G24" s="9" t="n">
        <v>0</v>
      </c>
      <c r="H24" s="9" t="n">
        <v>0</v>
      </c>
      <c r="I24" s="9" t="n">
        <v>0</v>
      </c>
      <c r="J24" s="9" t="n">
        <v>0</v>
      </c>
      <c r="K24" s="9" t="n">
        <v>0</v>
      </c>
      <c r="L24" s="9" t="n">
        <v>0</v>
      </c>
      <c r="M24" s="9" t="n">
        <v>0</v>
      </c>
      <c r="N24" s="9" t="n">
        <v>0</v>
      </c>
      <c r="O24" s="9" t="n">
        <v>0</v>
      </c>
      <c r="P24" s="9" t="n">
        <v>0</v>
      </c>
      <c r="Q24" s="9" t="n">
        <v>0</v>
      </c>
      <c r="R24" s="9" t="n">
        <v>0</v>
      </c>
      <c r="S24" s="9" t="n">
        <v>0</v>
      </c>
      <c r="T24" s="9" t="n">
        <v>0</v>
      </c>
      <c r="U24" s="9" t="n">
        <v>0</v>
      </c>
      <c r="V24" s="9" t="n">
        <v>0</v>
      </c>
    </row>
    <row r="25" customFormat="false" ht="12.75" hidden="false" customHeight="false" outlineLevel="0" collapsed="false">
      <c r="A25" s="0" t="n">
        <f aca="false">Summary!A31</f>
        <v>15</v>
      </c>
      <c r="B25" s="0" t="s">
        <v>84</v>
      </c>
      <c r="C25" s="9" t="n">
        <v>0</v>
      </c>
      <c r="D25" s="9" t="n">
        <v>0</v>
      </c>
      <c r="E25" s="9" t="n">
        <v>0</v>
      </c>
      <c r="F25" s="9" t="n">
        <v>0</v>
      </c>
      <c r="G25" s="9" t="n">
        <v>0</v>
      </c>
      <c r="H25" s="9" t="n">
        <v>0</v>
      </c>
      <c r="I25" s="9" t="n">
        <v>0</v>
      </c>
      <c r="J25" s="9" t="n">
        <v>0</v>
      </c>
      <c r="K25" s="9" t="n">
        <v>0</v>
      </c>
      <c r="L25" s="9" t="n">
        <v>0</v>
      </c>
      <c r="M25" s="9" t="n">
        <v>0</v>
      </c>
      <c r="N25" s="9" t="n">
        <v>0</v>
      </c>
      <c r="O25" s="9" t="n">
        <v>0</v>
      </c>
      <c r="P25" s="9" t="n">
        <v>0</v>
      </c>
      <c r="Q25" s="9" t="n">
        <v>0</v>
      </c>
      <c r="R25" s="9" t="n">
        <v>0</v>
      </c>
      <c r="S25" s="9" t="n">
        <v>0</v>
      </c>
      <c r="T25" s="9" t="n">
        <v>0</v>
      </c>
      <c r="U25" s="9" t="n">
        <v>0</v>
      </c>
      <c r="V25" s="9" t="n">
        <v>0</v>
      </c>
    </row>
    <row r="26" customFormat="false" ht="12.75" hidden="false" customHeight="false" outlineLevel="0" collapsed="false">
      <c r="A26" s="0" t="n">
        <f aca="false">Summary!A32</f>
        <v>16</v>
      </c>
      <c r="B26" s="0" t="s">
        <v>85</v>
      </c>
      <c r="C26" s="9" t="n">
        <v>0</v>
      </c>
      <c r="D26" s="9" t="n">
        <v>0</v>
      </c>
      <c r="E26" s="9" t="n">
        <v>0</v>
      </c>
      <c r="F26" s="9" t="n">
        <v>0</v>
      </c>
      <c r="G26" s="9" t="n">
        <v>0</v>
      </c>
      <c r="H26" s="9" t="n">
        <v>0</v>
      </c>
      <c r="I26" s="9" t="n">
        <v>0</v>
      </c>
      <c r="J26" s="9" t="n">
        <v>0</v>
      </c>
      <c r="K26" s="9" t="n">
        <v>0</v>
      </c>
      <c r="L26" s="9" t="n">
        <v>0</v>
      </c>
      <c r="M26" s="9" t="n">
        <v>0</v>
      </c>
      <c r="N26" s="9" t="n">
        <v>0</v>
      </c>
      <c r="O26" s="9" t="n">
        <v>0</v>
      </c>
      <c r="P26" s="9" t="n">
        <v>0</v>
      </c>
      <c r="Q26" s="9" t="n">
        <v>0</v>
      </c>
      <c r="R26" s="9" t="n">
        <v>0</v>
      </c>
      <c r="S26" s="9" t="n">
        <v>0</v>
      </c>
      <c r="T26" s="9" t="n">
        <v>0</v>
      </c>
      <c r="U26" s="9" t="n">
        <v>0</v>
      </c>
      <c r="V26" s="9" t="n">
        <v>0</v>
      </c>
    </row>
    <row r="27" customFormat="false" ht="12.75" hidden="false" customHeight="false" outlineLevel="0" collapsed="false">
      <c r="A27" s="0" t="n">
        <f aca="false">Summary!A33</f>
        <v>17</v>
      </c>
      <c r="B27" s="0" t="s">
        <v>86</v>
      </c>
      <c r="C27" s="9" t="n">
        <v>0</v>
      </c>
      <c r="D27" s="9" t="n">
        <v>0</v>
      </c>
      <c r="E27" s="9" t="n">
        <v>0</v>
      </c>
      <c r="F27" s="9" t="n">
        <v>0</v>
      </c>
      <c r="G27" s="9" t="n">
        <v>0</v>
      </c>
      <c r="H27" s="9" t="n">
        <v>0</v>
      </c>
      <c r="I27" s="9" t="n">
        <v>0</v>
      </c>
      <c r="J27" s="9" t="n">
        <v>0</v>
      </c>
      <c r="K27" s="9" t="n">
        <v>0</v>
      </c>
      <c r="L27" s="9" t="n">
        <v>0</v>
      </c>
      <c r="M27" s="9" t="n">
        <v>0</v>
      </c>
      <c r="N27" s="9" t="n">
        <v>0</v>
      </c>
      <c r="O27" s="9" t="n">
        <v>0</v>
      </c>
      <c r="P27" s="9" t="n">
        <v>0</v>
      </c>
      <c r="Q27" s="9" t="n">
        <v>0</v>
      </c>
      <c r="R27" s="9" t="n">
        <v>0</v>
      </c>
      <c r="S27" s="9" t="n">
        <v>0</v>
      </c>
      <c r="T27" s="9" t="n">
        <v>0</v>
      </c>
      <c r="U27" s="9" t="n">
        <v>0</v>
      </c>
      <c r="V27" s="9" t="n">
        <v>0</v>
      </c>
    </row>
    <row r="28" customFormat="false" ht="12.75" hidden="false" customHeight="false" outlineLevel="0" collapsed="false">
      <c r="A28" s="0" t="n">
        <f aca="false">Summary!A34</f>
        <v>18</v>
      </c>
      <c r="B28" s="0" t="s">
        <v>87</v>
      </c>
      <c r="C28" s="9" t="n">
        <v>1882798.82</v>
      </c>
      <c r="D28" s="9" t="n">
        <v>2705818.05</v>
      </c>
      <c r="E28" s="9" t="n">
        <v>33595797.91</v>
      </c>
      <c r="F28" s="9" t="n">
        <v>5038796.01</v>
      </c>
      <c r="G28" s="9" t="n">
        <v>0</v>
      </c>
      <c r="H28" s="9" t="n">
        <v>0</v>
      </c>
      <c r="I28" s="9" t="n">
        <v>0</v>
      </c>
      <c r="J28" s="9" t="n">
        <v>0</v>
      </c>
      <c r="K28" s="9" t="n">
        <v>0</v>
      </c>
      <c r="L28" s="9" t="n">
        <v>0</v>
      </c>
      <c r="M28" s="9" t="n">
        <v>0</v>
      </c>
      <c r="N28" s="9" t="n">
        <v>0</v>
      </c>
      <c r="O28" s="9" t="n">
        <v>0</v>
      </c>
      <c r="P28" s="9" t="n">
        <v>0</v>
      </c>
      <c r="Q28" s="9" t="n">
        <v>0</v>
      </c>
      <c r="R28" s="9" t="n">
        <v>0</v>
      </c>
      <c r="S28" s="9" t="n">
        <v>0</v>
      </c>
      <c r="T28" s="9" t="n">
        <v>0</v>
      </c>
      <c r="U28" s="9" t="n">
        <v>0</v>
      </c>
      <c r="V28" s="9" t="n">
        <v>0</v>
      </c>
    </row>
    <row r="29" customFormat="false" ht="12.75" hidden="false" customHeight="false" outlineLevel="0" collapsed="false">
      <c r="A29" s="0" t="n">
        <f aca="false">Summary!A35</f>
        <v>19</v>
      </c>
      <c r="B29" s="0" t="s">
        <v>88</v>
      </c>
      <c r="C29" s="9" t="n">
        <v>0</v>
      </c>
      <c r="D29" s="9" t="n">
        <v>0</v>
      </c>
      <c r="E29" s="9" t="n">
        <v>0</v>
      </c>
      <c r="F29" s="9" t="n">
        <v>0</v>
      </c>
      <c r="G29" s="9" t="n">
        <v>0</v>
      </c>
      <c r="H29" s="9" t="n">
        <v>0</v>
      </c>
      <c r="I29" s="9" t="n">
        <v>0</v>
      </c>
      <c r="J29" s="9" t="n">
        <v>0</v>
      </c>
      <c r="K29" s="9" t="n">
        <v>0</v>
      </c>
      <c r="L29" s="9" t="n">
        <v>0</v>
      </c>
      <c r="M29" s="9" t="n">
        <v>0</v>
      </c>
      <c r="N29" s="9" t="n">
        <v>0</v>
      </c>
      <c r="O29" s="9" t="n">
        <v>0</v>
      </c>
      <c r="P29" s="9" t="n">
        <v>0</v>
      </c>
      <c r="Q29" s="9" t="n">
        <v>0</v>
      </c>
      <c r="R29" s="9" t="n">
        <v>0</v>
      </c>
      <c r="S29" s="9" t="n">
        <v>0</v>
      </c>
      <c r="T29" s="9" t="n">
        <v>0</v>
      </c>
      <c r="U29" s="9" t="n">
        <v>0</v>
      </c>
      <c r="V29" s="9" t="n">
        <v>0</v>
      </c>
    </row>
    <row r="30" customFormat="false" ht="12.75" hidden="false" customHeight="false" outlineLevel="0" collapsed="false">
      <c r="A30" s="0" t="n">
        <f aca="false">Summary!A36</f>
        <v>20</v>
      </c>
      <c r="B30" s="0" t="s">
        <v>89</v>
      </c>
      <c r="C30" s="9" t="n">
        <v>0</v>
      </c>
      <c r="D30" s="9" t="n">
        <v>0</v>
      </c>
      <c r="E30" s="9" t="n">
        <v>0</v>
      </c>
      <c r="F30" s="9" t="n">
        <v>0</v>
      </c>
      <c r="G30" s="9" t="n">
        <v>0</v>
      </c>
      <c r="H30" s="9" t="n">
        <v>0</v>
      </c>
      <c r="I30" s="9" t="n">
        <v>0</v>
      </c>
      <c r="J30" s="9" t="n">
        <v>0</v>
      </c>
      <c r="K30" s="9" t="n">
        <v>0</v>
      </c>
      <c r="L30" s="9" t="n">
        <v>0</v>
      </c>
      <c r="M30" s="9" t="n">
        <v>0</v>
      </c>
      <c r="N30" s="9" t="n">
        <v>0</v>
      </c>
      <c r="O30" s="9" t="n">
        <v>0</v>
      </c>
      <c r="P30" s="9" t="n">
        <v>0</v>
      </c>
      <c r="Q30" s="9" t="n">
        <v>0</v>
      </c>
      <c r="R30" s="9" t="n">
        <v>0</v>
      </c>
      <c r="S30" s="9" t="n">
        <v>0</v>
      </c>
      <c r="T30" s="9" t="n">
        <v>0</v>
      </c>
      <c r="U30" s="9" t="n">
        <v>0</v>
      </c>
      <c r="V30" s="9" t="n">
        <v>0</v>
      </c>
    </row>
    <row r="31" customFormat="false" ht="12.75" hidden="false" customHeight="false" outlineLevel="0" collapsed="false">
      <c r="A31" s="0" t="n">
        <f aca="false">Summary!A37</f>
        <v>21</v>
      </c>
      <c r="B31" s="0" t="s">
        <v>90</v>
      </c>
      <c r="C31" s="9" t="n">
        <v>0</v>
      </c>
      <c r="D31" s="9" t="n">
        <v>0</v>
      </c>
      <c r="E31" s="9" t="n">
        <v>0</v>
      </c>
      <c r="F31" s="9" t="n">
        <v>0</v>
      </c>
      <c r="G31" s="9" t="n">
        <v>0</v>
      </c>
      <c r="H31" s="9" t="n">
        <v>0</v>
      </c>
      <c r="I31" s="9" t="n">
        <v>0</v>
      </c>
      <c r="J31" s="9" t="n">
        <v>0</v>
      </c>
      <c r="K31" s="9" t="n">
        <v>0</v>
      </c>
      <c r="L31" s="9" t="n">
        <v>0</v>
      </c>
      <c r="M31" s="9" t="n">
        <v>0</v>
      </c>
      <c r="N31" s="9" t="n">
        <v>0</v>
      </c>
      <c r="O31" s="9" t="n">
        <v>0</v>
      </c>
      <c r="P31" s="9" t="n">
        <v>0</v>
      </c>
      <c r="Q31" s="9" t="n">
        <v>0</v>
      </c>
      <c r="R31" s="9" t="n">
        <v>0</v>
      </c>
      <c r="S31" s="9" t="n">
        <v>0</v>
      </c>
      <c r="T31" s="9" t="n">
        <v>0</v>
      </c>
      <c r="U31" s="9" t="n">
        <v>0</v>
      </c>
      <c r="V31" s="9" t="n">
        <v>0</v>
      </c>
    </row>
    <row r="32" customFormat="false" ht="12.75" hidden="false" customHeight="false" outlineLevel="0" collapsed="false">
      <c r="A32" s="0" t="n">
        <f aca="false">Summary!A38</f>
        <v>22</v>
      </c>
      <c r="B32" s="0" t="s">
        <v>91</v>
      </c>
      <c r="C32" s="9" t="n">
        <v>0</v>
      </c>
      <c r="D32" s="9" t="n">
        <v>0</v>
      </c>
      <c r="E32" s="9" t="n">
        <v>0</v>
      </c>
      <c r="F32" s="9" t="n">
        <v>0</v>
      </c>
      <c r="G32" s="9" t="n">
        <v>0</v>
      </c>
      <c r="H32" s="9" t="n">
        <v>0</v>
      </c>
      <c r="I32" s="9" t="n">
        <v>0</v>
      </c>
      <c r="J32" s="9" t="n">
        <v>0</v>
      </c>
      <c r="K32" s="9" t="n">
        <v>0</v>
      </c>
      <c r="L32" s="9" t="n">
        <v>0</v>
      </c>
      <c r="M32" s="9" t="n">
        <v>0</v>
      </c>
      <c r="N32" s="9" t="n">
        <v>0</v>
      </c>
      <c r="O32" s="9" t="n">
        <v>0</v>
      </c>
      <c r="P32" s="9" t="n">
        <v>0</v>
      </c>
      <c r="Q32" s="9" t="n">
        <v>0</v>
      </c>
      <c r="R32" s="9" t="n">
        <v>0</v>
      </c>
      <c r="S32" s="9" t="n">
        <v>0</v>
      </c>
      <c r="T32" s="9" t="n">
        <v>0</v>
      </c>
      <c r="U32" s="9" t="n">
        <v>0</v>
      </c>
      <c r="V32" s="9" t="n">
        <v>0</v>
      </c>
    </row>
    <row r="33" customFormat="false" ht="12.75" hidden="false" customHeight="false" outlineLevel="0" collapsed="false">
      <c r="A33" s="0" t="n">
        <f aca="false">Summary!A39</f>
        <v>23</v>
      </c>
      <c r="B33" s="0" t="s">
        <v>92</v>
      </c>
      <c r="C33" s="9" t="n">
        <v>0</v>
      </c>
      <c r="D33" s="9" t="n">
        <v>0</v>
      </c>
      <c r="E33" s="9" t="n">
        <v>0</v>
      </c>
      <c r="F33" s="9" t="n">
        <v>0</v>
      </c>
      <c r="G33" s="9" t="n">
        <v>0</v>
      </c>
      <c r="H33" s="9" t="n">
        <v>0</v>
      </c>
      <c r="I33" s="9" t="n">
        <v>0</v>
      </c>
      <c r="J33" s="9" t="n">
        <v>0</v>
      </c>
      <c r="K33" s="9" t="n">
        <v>0</v>
      </c>
      <c r="L33" s="9" t="n">
        <v>0</v>
      </c>
      <c r="M33" s="9" t="n">
        <v>0</v>
      </c>
      <c r="N33" s="9" t="n">
        <v>0</v>
      </c>
      <c r="O33" s="9" t="n">
        <v>0</v>
      </c>
      <c r="P33" s="9" t="n">
        <v>0</v>
      </c>
      <c r="Q33" s="9" t="n">
        <v>0</v>
      </c>
      <c r="R33" s="9" t="n">
        <v>0</v>
      </c>
      <c r="S33" s="9" t="n">
        <v>0</v>
      </c>
      <c r="T33" s="9" t="n">
        <v>0</v>
      </c>
      <c r="U33" s="9" t="n">
        <v>0</v>
      </c>
      <c r="V33" s="9" t="n">
        <v>0</v>
      </c>
    </row>
    <row r="34" customFormat="false" ht="12.75" hidden="false" customHeight="false" outlineLevel="0" collapsed="false">
      <c r="A34" s="0" t="n">
        <f aca="false">Summary!A40</f>
        <v>24</v>
      </c>
      <c r="B34" s="0" t="s">
        <v>93</v>
      </c>
      <c r="C34" s="9" t="n">
        <v>0</v>
      </c>
      <c r="D34" s="9" t="n">
        <v>0</v>
      </c>
      <c r="E34" s="9" t="n">
        <v>0</v>
      </c>
      <c r="F34" s="9" t="n">
        <v>0</v>
      </c>
      <c r="G34" s="9" t="n">
        <v>0</v>
      </c>
      <c r="H34" s="9" t="n">
        <v>0</v>
      </c>
      <c r="I34" s="9" t="n">
        <v>0</v>
      </c>
      <c r="J34" s="9" t="n">
        <v>0</v>
      </c>
      <c r="K34" s="9" t="n">
        <v>0</v>
      </c>
      <c r="L34" s="9" t="n">
        <v>0</v>
      </c>
      <c r="M34" s="9" t="n">
        <v>0</v>
      </c>
      <c r="N34" s="9" t="n">
        <v>0</v>
      </c>
      <c r="O34" s="9" t="n">
        <v>0</v>
      </c>
      <c r="P34" s="9" t="n">
        <v>0</v>
      </c>
      <c r="Q34" s="9" t="n">
        <v>0</v>
      </c>
      <c r="R34" s="9" t="n">
        <v>0</v>
      </c>
      <c r="S34" s="9" t="n">
        <v>0</v>
      </c>
      <c r="T34" s="9" t="n">
        <v>0</v>
      </c>
      <c r="U34" s="9" t="n">
        <v>0</v>
      </c>
      <c r="V34" s="9" t="n">
        <v>0</v>
      </c>
    </row>
    <row r="35" customFormat="false" ht="12.75" hidden="false" customHeight="false" outlineLevel="0" collapsed="false">
      <c r="A35" s="0" t="n">
        <f aca="false">Summary!A41</f>
        <v>25</v>
      </c>
      <c r="B35" s="0" t="s">
        <v>94</v>
      </c>
      <c r="C35" s="9" t="n">
        <v>0</v>
      </c>
      <c r="D35" s="9" t="n">
        <v>0</v>
      </c>
      <c r="E35" s="9" t="n">
        <v>0</v>
      </c>
      <c r="F35" s="9" t="n">
        <v>0</v>
      </c>
      <c r="G35" s="9" t="n">
        <v>0</v>
      </c>
      <c r="H35" s="9" t="n">
        <v>0</v>
      </c>
      <c r="I35" s="9" t="n">
        <v>0</v>
      </c>
      <c r="J35" s="9" t="n">
        <v>0</v>
      </c>
      <c r="K35" s="9" t="n">
        <v>0</v>
      </c>
      <c r="L35" s="9" t="n">
        <v>0</v>
      </c>
      <c r="M35" s="9" t="n">
        <v>0</v>
      </c>
      <c r="N35" s="9" t="n">
        <v>0</v>
      </c>
      <c r="O35" s="9" t="n">
        <v>0</v>
      </c>
      <c r="P35" s="9" t="n">
        <v>0</v>
      </c>
      <c r="Q35" s="9" t="n">
        <v>0</v>
      </c>
      <c r="R35" s="9" t="n">
        <v>0</v>
      </c>
      <c r="S35" s="9" t="n">
        <v>0</v>
      </c>
      <c r="T35" s="9" t="n">
        <v>0</v>
      </c>
      <c r="U35" s="9" t="n">
        <v>0</v>
      </c>
      <c r="V35" s="9" t="n">
        <v>0</v>
      </c>
    </row>
    <row r="36" customFormat="false" ht="12.75" hidden="false" customHeight="false" outlineLevel="0" collapsed="false">
      <c r="A36" s="0" t="n">
        <f aca="false">Summary!A42</f>
        <v>26</v>
      </c>
      <c r="B36" s="0" t="s">
        <v>95</v>
      </c>
      <c r="C36" s="9" t="n">
        <v>0</v>
      </c>
      <c r="D36" s="9" t="n">
        <v>0</v>
      </c>
      <c r="E36" s="9" t="n">
        <v>0</v>
      </c>
      <c r="F36" s="9" t="n">
        <v>0</v>
      </c>
      <c r="G36" s="9" t="n">
        <v>0</v>
      </c>
      <c r="H36" s="9" t="n">
        <v>0</v>
      </c>
      <c r="I36" s="9" t="n">
        <v>0</v>
      </c>
      <c r="J36" s="9" t="n">
        <v>0</v>
      </c>
      <c r="K36" s="9" t="n">
        <v>0</v>
      </c>
      <c r="L36" s="9" t="n">
        <v>0</v>
      </c>
      <c r="M36" s="9" t="n">
        <v>0</v>
      </c>
      <c r="N36" s="9" t="n">
        <v>0</v>
      </c>
      <c r="O36" s="9" t="n">
        <v>0</v>
      </c>
      <c r="P36" s="9" t="n">
        <v>0</v>
      </c>
      <c r="Q36" s="9" t="n">
        <v>0</v>
      </c>
      <c r="R36" s="9" t="n">
        <v>0</v>
      </c>
      <c r="S36" s="9" t="n">
        <v>0</v>
      </c>
      <c r="T36" s="9" t="n">
        <v>0</v>
      </c>
      <c r="U36" s="9" t="n">
        <v>0</v>
      </c>
      <c r="V36" s="9" t="n">
        <v>0</v>
      </c>
    </row>
    <row r="37" customFormat="false" ht="12.75" hidden="false" customHeight="false" outlineLevel="0" collapsed="false">
      <c r="A37" s="0" t="n">
        <f aca="false">Summary!A43</f>
        <v>27</v>
      </c>
      <c r="B37" s="0" t="s">
        <v>96</v>
      </c>
      <c r="C37" s="9" t="n">
        <v>0</v>
      </c>
      <c r="D37" s="9" t="n">
        <v>0</v>
      </c>
      <c r="E37" s="9" t="n">
        <v>0</v>
      </c>
      <c r="F37" s="9" t="n">
        <v>0</v>
      </c>
      <c r="G37" s="9" t="n">
        <v>0</v>
      </c>
      <c r="H37" s="9" t="n">
        <v>0</v>
      </c>
      <c r="I37" s="9" t="n">
        <v>0</v>
      </c>
      <c r="J37" s="9" t="n">
        <v>0</v>
      </c>
      <c r="K37" s="9" t="n">
        <v>0</v>
      </c>
      <c r="L37" s="9" t="n">
        <v>0</v>
      </c>
      <c r="M37" s="9" t="n">
        <v>0</v>
      </c>
      <c r="N37" s="9" t="n">
        <v>0</v>
      </c>
      <c r="O37" s="9" t="n">
        <v>0</v>
      </c>
      <c r="P37" s="9" t="n">
        <v>0</v>
      </c>
      <c r="Q37" s="9" t="n">
        <v>0</v>
      </c>
      <c r="R37" s="9" t="n">
        <v>0</v>
      </c>
      <c r="S37" s="9" t="n">
        <v>0</v>
      </c>
      <c r="T37" s="9" t="n">
        <v>0</v>
      </c>
      <c r="U37" s="9" t="n">
        <v>0</v>
      </c>
      <c r="V37" s="9" t="n">
        <v>0</v>
      </c>
    </row>
    <row r="38" customFormat="false" ht="12.75" hidden="false" customHeight="false" outlineLevel="0" collapsed="false">
      <c r="A38" s="0" t="n">
        <f aca="false">Summary!A44</f>
        <v>28</v>
      </c>
      <c r="B38" s="0" t="s">
        <v>97</v>
      </c>
      <c r="C38" s="9" t="n">
        <v>0</v>
      </c>
      <c r="D38" s="9" t="n">
        <v>0</v>
      </c>
      <c r="E38" s="9" t="n">
        <v>0</v>
      </c>
      <c r="F38" s="9" t="n">
        <v>0</v>
      </c>
      <c r="G38" s="9" t="n">
        <v>0</v>
      </c>
      <c r="H38" s="9" t="n">
        <v>0</v>
      </c>
      <c r="I38" s="9" t="n">
        <v>0</v>
      </c>
      <c r="J38" s="9" t="n">
        <v>0</v>
      </c>
      <c r="K38" s="9" t="n">
        <v>0</v>
      </c>
      <c r="L38" s="9" t="n">
        <v>0</v>
      </c>
      <c r="M38" s="9" t="n">
        <v>0</v>
      </c>
      <c r="N38" s="9" t="n">
        <v>0</v>
      </c>
      <c r="O38" s="9" t="n">
        <v>0</v>
      </c>
      <c r="P38" s="9" t="n">
        <v>0</v>
      </c>
      <c r="Q38" s="9" t="n">
        <v>0</v>
      </c>
      <c r="R38" s="9" t="n">
        <v>0</v>
      </c>
      <c r="S38" s="9" t="n">
        <v>0</v>
      </c>
      <c r="T38" s="9" t="n">
        <v>0</v>
      </c>
      <c r="U38" s="9" t="n">
        <v>0</v>
      </c>
      <c r="V38" s="9" t="n">
        <v>0</v>
      </c>
    </row>
    <row r="39" customFormat="false" ht="12.75" hidden="false" customHeight="false" outlineLevel="0" collapsed="false">
      <c r="A39" s="0" t="n">
        <f aca="false">Summary!A45</f>
        <v>29</v>
      </c>
      <c r="B39" s="0" t="s">
        <v>98</v>
      </c>
      <c r="C39" s="9" t="n">
        <v>0</v>
      </c>
      <c r="D39" s="9" t="n">
        <v>0</v>
      </c>
      <c r="E39" s="9" t="n">
        <v>0</v>
      </c>
      <c r="F39" s="9" t="n">
        <v>0</v>
      </c>
      <c r="G39" s="9" t="n">
        <v>0</v>
      </c>
      <c r="H39" s="9" t="n">
        <v>0</v>
      </c>
      <c r="I39" s="9" t="n">
        <v>0</v>
      </c>
      <c r="J39" s="9" t="n">
        <v>0</v>
      </c>
      <c r="K39" s="9" t="n">
        <v>0</v>
      </c>
      <c r="L39" s="9" t="n">
        <v>0</v>
      </c>
      <c r="M39" s="9" t="n">
        <v>0</v>
      </c>
      <c r="N39" s="9" t="n">
        <v>0</v>
      </c>
      <c r="O39" s="9" t="n">
        <v>0</v>
      </c>
      <c r="P39" s="9" t="n">
        <v>0</v>
      </c>
      <c r="Q39" s="9" t="n">
        <v>0</v>
      </c>
      <c r="R39" s="9" t="n">
        <v>0</v>
      </c>
      <c r="S39" s="9" t="n">
        <v>0</v>
      </c>
      <c r="T39" s="9" t="n">
        <v>0</v>
      </c>
      <c r="U39" s="9" t="n">
        <v>0</v>
      </c>
      <c r="V39" s="9" t="n">
        <v>0</v>
      </c>
    </row>
    <row r="40" customFormat="false" ht="12.75" hidden="false" customHeight="false" outlineLevel="0" collapsed="false">
      <c r="A40" s="0" t="n">
        <f aca="false">Summary!A46</f>
        <v>30</v>
      </c>
      <c r="B40" s="0" t="s">
        <v>99</v>
      </c>
      <c r="C40" s="9" t="n">
        <v>0</v>
      </c>
      <c r="D40" s="9" t="n">
        <v>0</v>
      </c>
      <c r="E40" s="9" t="n">
        <v>0</v>
      </c>
      <c r="F40" s="9" t="n">
        <v>0</v>
      </c>
      <c r="G40" s="9" t="n">
        <v>0</v>
      </c>
      <c r="H40" s="9" t="n">
        <v>0</v>
      </c>
      <c r="I40" s="9" t="n">
        <v>0</v>
      </c>
      <c r="J40" s="9" t="n">
        <v>0</v>
      </c>
      <c r="K40" s="9" t="n">
        <v>0</v>
      </c>
      <c r="L40" s="9" t="n">
        <v>0</v>
      </c>
      <c r="M40" s="9" t="n">
        <v>0</v>
      </c>
      <c r="N40" s="9" t="n">
        <v>0</v>
      </c>
      <c r="O40" s="9" t="n">
        <v>0</v>
      </c>
      <c r="P40" s="9" t="n">
        <v>0</v>
      </c>
      <c r="Q40" s="9" t="n">
        <v>0</v>
      </c>
      <c r="R40" s="9" t="n">
        <v>0</v>
      </c>
      <c r="S40" s="9" t="n">
        <v>0</v>
      </c>
      <c r="T40" s="9" t="n">
        <v>0</v>
      </c>
      <c r="U40" s="9" t="n">
        <v>0</v>
      </c>
      <c r="V40" s="9" t="n">
        <v>0</v>
      </c>
    </row>
    <row r="41" customFormat="false" ht="12.75" hidden="false" customHeight="false" outlineLevel="0" collapsed="false">
      <c r="A41" s="0" t="n">
        <f aca="false">Summary!A47</f>
        <v>31</v>
      </c>
      <c r="B41" s="0" t="s">
        <v>100</v>
      </c>
      <c r="C41" s="9" t="n">
        <v>0</v>
      </c>
      <c r="D41" s="9" t="n">
        <v>0</v>
      </c>
      <c r="E41" s="9" t="n">
        <v>0</v>
      </c>
      <c r="F41" s="9" t="n">
        <v>0</v>
      </c>
      <c r="G41" s="9" t="n">
        <v>0</v>
      </c>
      <c r="H41" s="9" t="n">
        <v>0</v>
      </c>
      <c r="I41" s="9" t="n">
        <v>0</v>
      </c>
      <c r="J41" s="9" t="n">
        <v>0</v>
      </c>
      <c r="K41" s="9" t="n">
        <v>0</v>
      </c>
      <c r="L41" s="9" t="n">
        <v>0</v>
      </c>
      <c r="M41" s="9" t="n">
        <v>0</v>
      </c>
      <c r="N41" s="9" t="n">
        <v>0</v>
      </c>
      <c r="O41" s="9" t="n">
        <v>0</v>
      </c>
      <c r="P41" s="9" t="n">
        <v>0</v>
      </c>
      <c r="Q41" s="9" t="n">
        <v>0</v>
      </c>
      <c r="R41" s="9" t="n">
        <v>0</v>
      </c>
      <c r="S41" s="9" t="n">
        <v>0</v>
      </c>
      <c r="T41" s="9" t="n">
        <v>0</v>
      </c>
      <c r="U41" s="9" t="n">
        <v>0</v>
      </c>
      <c r="V41" s="9" t="n">
        <v>0</v>
      </c>
    </row>
    <row r="42" customFormat="false" ht="12.75" hidden="false" customHeight="false" outlineLevel="0" collapsed="false">
      <c r="A42" s="0" t="n">
        <f aca="false">Summary!A48</f>
        <v>32</v>
      </c>
      <c r="B42" s="0" t="s">
        <v>101</v>
      </c>
      <c r="C42" s="9" t="n">
        <v>0</v>
      </c>
      <c r="D42" s="9" t="n">
        <v>0</v>
      </c>
      <c r="E42" s="9" t="n">
        <v>0</v>
      </c>
      <c r="F42" s="9" t="n">
        <v>0</v>
      </c>
      <c r="G42" s="9" t="n">
        <v>0</v>
      </c>
      <c r="H42" s="9" t="n">
        <v>0</v>
      </c>
      <c r="I42" s="9" t="n">
        <v>0</v>
      </c>
      <c r="J42" s="9" t="n">
        <v>0</v>
      </c>
      <c r="K42" s="9" t="n">
        <v>0</v>
      </c>
      <c r="L42" s="9" t="n">
        <v>0</v>
      </c>
      <c r="M42" s="9" t="n">
        <v>0</v>
      </c>
      <c r="N42" s="9" t="n">
        <v>0</v>
      </c>
      <c r="O42" s="9" t="n">
        <v>0</v>
      </c>
      <c r="P42" s="9" t="n">
        <v>0</v>
      </c>
      <c r="Q42" s="9" t="n">
        <v>0</v>
      </c>
      <c r="R42" s="9" t="n">
        <v>0</v>
      </c>
      <c r="S42" s="9" t="n">
        <v>0</v>
      </c>
      <c r="T42" s="9" t="n">
        <v>0</v>
      </c>
      <c r="U42" s="9" t="n">
        <v>0</v>
      </c>
      <c r="V42" s="9" t="n">
        <v>0</v>
      </c>
    </row>
    <row r="43" customFormat="false" ht="12.75" hidden="false" customHeight="false" outlineLevel="0" collapsed="false">
      <c r="A43" s="0" t="n">
        <f aca="false">Summary!A49</f>
        <v>33</v>
      </c>
      <c r="B43" s="0" t="s">
        <v>14</v>
      </c>
    </row>
    <row r="44" customFormat="false" ht="12.75" hidden="false" customHeight="false" outlineLevel="0" collapsed="false">
      <c r="D44" s="9" t="n">
        <f aca="false">SUM(D11:D42)</f>
        <v>97009902.15</v>
      </c>
      <c r="E44" s="9" t="n">
        <f aca="false">SUM(E11:E42)</f>
        <v>76633621.46</v>
      </c>
      <c r="F44" s="9" t="n">
        <f aca="false">SUM(F11:F42)</f>
        <v>18151182.47</v>
      </c>
      <c r="G44" s="9" t="n">
        <f aca="false">SUM(G11:G42)</f>
        <v>0</v>
      </c>
      <c r="H44" s="9" t="n">
        <f aca="false">SUM(H11:H42)</f>
        <v>0</v>
      </c>
      <c r="I44" s="9" t="n">
        <f aca="false">SUM(I11:I42)</f>
        <v>0</v>
      </c>
      <c r="J44" s="9" t="n">
        <f aca="false">SUM(J11:J42)</f>
        <v>0</v>
      </c>
      <c r="K44" s="9" t="n">
        <f aca="false">SUM(K11:K42)</f>
        <v>0</v>
      </c>
      <c r="L44" s="9" t="n">
        <f aca="false">SUM(L11:L42)</f>
        <v>0</v>
      </c>
      <c r="M44" s="9" t="n">
        <f aca="false">SUM(M11:M42)</f>
        <v>0</v>
      </c>
      <c r="N44" s="9" t="n">
        <f aca="false">SUM(N11:N42)</f>
        <v>0</v>
      </c>
      <c r="O44" s="9" t="n">
        <f aca="false">SUM(O11:O42)</f>
        <v>0</v>
      </c>
      <c r="P44" s="9" t="n">
        <f aca="false">SUM(P11:P42)</f>
        <v>0</v>
      </c>
      <c r="Q44" s="9" t="n">
        <f aca="false">SUM(Q11:Q42)</f>
        <v>0</v>
      </c>
      <c r="R44" s="9" t="n">
        <f aca="false">SUM(R11:R42)</f>
        <v>0</v>
      </c>
      <c r="S44" s="9" t="n">
        <f aca="false">SUM(S11:S42)</f>
        <v>0</v>
      </c>
      <c r="T44" s="9" t="n">
        <f aca="false">SUM(T11:T42)</f>
        <v>0</v>
      </c>
      <c r="U44" s="9" t="n">
        <f aca="false">SUM(U11:U42)</f>
        <v>0</v>
      </c>
      <c r="V44" s="9" t="n">
        <f aca="false">SUM(V11:V42)</f>
        <v>0</v>
      </c>
    </row>
    <row r="45" customFormat="false" ht="12.75" hidden="false" customHeight="false" outlineLevel="0" collapsed="false"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customFormat="false" ht="12.75" hidden="false" customHeight="false" outlineLevel="0" collapsed="false">
      <c r="A46" s="263" t="s">
        <v>252</v>
      </c>
    </row>
    <row r="48" customFormat="false" ht="12.75" hidden="false" customHeight="false" outlineLevel="0" collapsed="false">
      <c r="C48" s="235" t="n">
        <v>2000</v>
      </c>
      <c r="D48" s="235" t="n">
        <v>2001</v>
      </c>
      <c r="E48" s="235" t="n">
        <v>2002</v>
      </c>
      <c r="F48" s="235" t="n">
        <v>2003</v>
      </c>
      <c r="G48" s="235" t="n">
        <v>2004</v>
      </c>
      <c r="H48" s="235" t="n">
        <v>2005</v>
      </c>
      <c r="I48" s="235" t="n">
        <v>2006</v>
      </c>
      <c r="J48" s="235" t="n">
        <v>2007</v>
      </c>
      <c r="K48" s="235" t="n">
        <v>2008</v>
      </c>
      <c r="L48" s="235" t="n">
        <v>2009</v>
      </c>
      <c r="M48" s="235" t="n">
        <v>2010</v>
      </c>
      <c r="N48" s="235" t="n">
        <v>2011</v>
      </c>
      <c r="O48" s="235" t="n">
        <v>2012</v>
      </c>
      <c r="P48" s="235" t="n">
        <v>2013</v>
      </c>
      <c r="Q48" s="235" t="n">
        <v>2014</v>
      </c>
      <c r="R48" s="235" t="n">
        <v>2015</v>
      </c>
      <c r="S48" s="235" t="n">
        <v>2016</v>
      </c>
      <c r="T48" s="235" t="n">
        <v>2017</v>
      </c>
      <c r="U48" s="235" t="n">
        <v>2018</v>
      </c>
      <c r="V48" s="235" t="n">
        <v>2019</v>
      </c>
    </row>
    <row r="50" customFormat="false" ht="12.75" hidden="false" customHeight="false" outlineLevel="0" collapsed="false">
      <c r="A50" s="0" t="n">
        <f aca="false">Summary!A17</f>
        <v>1</v>
      </c>
      <c r="B50" s="0" t="s">
        <v>69</v>
      </c>
      <c r="C50" s="260" t="n">
        <v>0</v>
      </c>
      <c r="D50" s="260" t="n">
        <f aca="false">C50*(1+Assumptions!$L$13)</f>
        <v>0</v>
      </c>
      <c r="E50" s="260" t="n">
        <f aca="false">D50*(1+Assumptions!$L$13)</f>
        <v>0</v>
      </c>
      <c r="F50" s="260" t="n">
        <f aca="false">E50*(1+Assumptions!$L$13)</f>
        <v>0</v>
      </c>
      <c r="G50" s="260" t="n">
        <f aca="false">F50*(1+Assumptions!$L$13)</f>
        <v>0</v>
      </c>
      <c r="H50" s="260" t="n">
        <f aca="false">G50*(1+Assumptions!$L$13)</f>
        <v>0</v>
      </c>
      <c r="I50" s="260" t="n">
        <f aca="false">H50*(1+Assumptions!$L$13)</f>
        <v>0</v>
      </c>
      <c r="J50" s="260" t="n">
        <f aca="false">I50*(1+Assumptions!$L$13)</f>
        <v>0</v>
      </c>
      <c r="K50" s="260" t="n">
        <f aca="false">J50*(1+Assumptions!$L$13)</f>
        <v>0</v>
      </c>
      <c r="L50" s="260" t="n">
        <f aca="false">K50*(1+Assumptions!$L$13)</f>
        <v>0</v>
      </c>
      <c r="M50" s="260" t="n">
        <f aca="false">L50*(1+Assumptions!$L$13)</f>
        <v>0</v>
      </c>
      <c r="N50" s="260" t="n">
        <f aca="false">M50*(1+Assumptions!$L$13)</f>
        <v>0</v>
      </c>
      <c r="O50" s="260" t="n">
        <f aca="false">N50*(1+Assumptions!$L$13)</f>
        <v>0</v>
      </c>
      <c r="P50" s="260" t="n">
        <f aca="false">O50*(1+Assumptions!$L$13)</f>
        <v>0</v>
      </c>
      <c r="Q50" s="260" t="n">
        <f aca="false">P50*(1+Assumptions!$L$13)</f>
        <v>0</v>
      </c>
      <c r="R50" s="260" t="n">
        <f aca="false">Q50*(1+Assumptions!$L$13)</f>
        <v>0</v>
      </c>
      <c r="S50" s="260" t="n">
        <f aca="false">R50*(1+Assumptions!$L$13)</f>
        <v>0</v>
      </c>
      <c r="T50" s="260" t="n">
        <f aca="false">S50*(1+Assumptions!$L$13)</f>
        <v>0</v>
      </c>
      <c r="U50" s="260" t="n">
        <f aca="false">T50*(1+Assumptions!$L$13)</f>
        <v>0</v>
      </c>
      <c r="V50" s="260" t="n">
        <f aca="false">U50*(1+Assumptions!$L$13)</f>
        <v>0</v>
      </c>
    </row>
    <row r="51" customFormat="false" ht="12.75" hidden="false" customHeight="false" outlineLevel="0" collapsed="false">
      <c r="A51" s="0" t="n">
        <f aca="false">Summary!A18</f>
        <v>2</v>
      </c>
      <c r="B51" s="0" t="s">
        <v>71</v>
      </c>
      <c r="C51" s="260" t="n">
        <v>0</v>
      </c>
      <c r="D51" s="260" t="n">
        <v>0</v>
      </c>
      <c r="E51" s="260" t="n">
        <v>0</v>
      </c>
      <c r="F51" s="260" t="n">
        <v>0.5234</v>
      </c>
      <c r="G51" s="260" t="n">
        <v>0.536485</v>
      </c>
      <c r="H51" s="260" t="n">
        <v>0.549897125</v>
      </c>
      <c r="I51" s="260" t="n">
        <v>0.563644553125</v>
      </c>
      <c r="J51" s="260" t="n">
        <v>0.577735666953125</v>
      </c>
      <c r="K51" s="260" t="n">
        <v>0.592179058626953</v>
      </c>
      <c r="L51" s="260" t="n">
        <v>0.606983535092627</v>
      </c>
      <c r="M51" s="260" t="n">
        <v>0.622158123469942</v>
      </c>
      <c r="N51" s="260" t="n">
        <v>0.637712076556691</v>
      </c>
      <c r="O51" s="260" t="n">
        <v>0.653654878470608</v>
      </c>
      <c r="P51" s="260" t="n">
        <v>0.669996250432373</v>
      </c>
      <c r="Q51" s="260" t="n">
        <v>0.686746156693182</v>
      </c>
      <c r="R51" s="260" t="n">
        <v>0.703914810610512</v>
      </c>
      <c r="S51" s="260" t="n">
        <v>0.721512680875774</v>
      </c>
      <c r="T51" s="260" t="n">
        <v>0.739550497897669</v>
      </c>
      <c r="U51" s="260" t="n">
        <v>0.75803926034511</v>
      </c>
      <c r="V51" s="260" t="n">
        <v>0.776990241853738</v>
      </c>
    </row>
    <row r="52" customFormat="false" ht="12.75" hidden="false" customHeight="false" outlineLevel="0" collapsed="false">
      <c r="A52" s="0" t="n">
        <f aca="false">Summary!A19</f>
        <v>3</v>
      </c>
      <c r="B52" s="2" t="s">
        <v>72</v>
      </c>
      <c r="C52" s="260" t="n">
        <v>0</v>
      </c>
      <c r="D52" s="260" t="n">
        <v>0</v>
      </c>
      <c r="E52" s="260" t="n">
        <v>0</v>
      </c>
      <c r="F52" s="260" t="n">
        <v>0.574</v>
      </c>
      <c r="G52" s="260" t="n">
        <v>0.58835</v>
      </c>
      <c r="H52" s="260" t="n">
        <v>0.60305875</v>
      </c>
      <c r="I52" s="260" t="n">
        <v>0.61813521875</v>
      </c>
      <c r="J52" s="260" t="n">
        <v>0.63358859921875</v>
      </c>
      <c r="K52" s="260" t="n">
        <v>0.649428314199218</v>
      </c>
      <c r="L52" s="260" t="n">
        <v>0.665664022054199</v>
      </c>
      <c r="M52" s="260" t="n">
        <v>0.682305622605554</v>
      </c>
      <c r="N52" s="260" t="n">
        <v>0.699363263170692</v>
      </c>
      <c r="O52" s="260" t="n">
        <v>0.71684734474996</v>
      </c>
      <c r="P52" s="260" t="n">
        <v>0.734768528368709</v>
      </c>
      <c r="Q52" s="260" t="n">
        <v>0.753137741577926</v>
      </c>
      <c r="R52" s="260" t="n">
        <v>0.771966185117375</v>
      </c>
      <c r="S52" s="260" t="n">
        <v>0.791265339745309</v>
      </c>
      <c r="T52" s="260" t="n">
        <v>0.811046973238941</v>
      </c>
      <c r="U52" s="260" t="n">
        <v>0.831323147569915</v>
      </c>
      <c r="V52" s="260" t="n">
        <v>0.852106226259163</v>
      </c>
    </row>
    <row r="53" customFormat="false" ht="12.75" hidden="false" customHeight="false" outlineLevel="0" collapsed="false">
      <c r="A53" s="0" t="n">
        <f aca="false">Summary!A20</f>
        <v>4</v>
      </c>
      <c r="B53" s="2" t="s">
        <v>73</v>
      </c>
      <c r="C53" s="260" t="n">
        <v>0</v>
      </c>
      <c r="D53" s="260" t="n">
        <v>0</v>
      </c>
      <c r="E53" s="260" t="n">
        <v>0</v>
      </c>
      <c r="F53" s="260" t="n">
        <v>0.574</v>
      </c>
      <c r="G53" s="260" t="n">
        <v>0.58835</v>
      </c>
      <c r="H53" s="260" t="n">
        <v>0.60305875</v>
      </c>
      <c r="I53" s="260" t="n">
        <v>0.61813521875</v>
      </c>
      <c r="J53" s="260" t="n">
        <v>0.63358859921875</v>
      </c>
      <c r="K53" s="260" t="n">
        <v>0.649428314199218</v>
      </c>
      <c r="L53" s="260" t="n">
        <v>0.665664022054199</v>
      </c>
      <c r="M53" s="260" t="n">
        <v>0.682305622605554</v>
      </c>
      <c r="N53" s="260" t="n">
        <v>0.699363263170692</v>
      </c>
      <c r="O53" s="260" t="n">
        <v>0.71684734474996</v>
      </c>
      <c r="P53" s="260" t="n">
        <v>0.734768528368709</v>
      </c>
      <c r="Q53" s="260" t="n">
        <v>0.753137741577926</v>
      </c>
      <c r="R53" s="260" t="n">
        <v>0.771966185117375</v>
      </c>
      <c r="S53" s="260" t="n">
        <v>0.791265339745309</v>
      </c>
      <c r="T53" s="260" t="n">
        <v>0.811046973238941</v>
      </c>
      <c r="U53" s="260" t="n">
        <v>0.831323147569915</v>
      </c>
      <c r="V53" s="260" t="n">
        <v>0.852106226259163</v>
      </c>
    </row>
    <row r="54" customFormat="false" ht="12.75" hidden="false" customHeight="false" outlineLevel="0" collapsed="false">
      <c r="A54" s="0" t="n">
        <f aca="false">Summary!A21</f>
        <v>5</v>
      </c>
      <c r="B54" s="2" t="s">
        <v>74</v>
      </c>
      <c r="C54" s="260" t="n">
        <v>0</v>
      </c>
      <c r="D54" s="260" t="n">
        <v>0</v>
      </c>
      <c r="E54" s="260" t="n">
        <v>0</v>
      </c>
      <c r="F54" s="260" t="n">
        <v>0.574</v>
      </c>
      <c r="G54" s="260" t="n">
        <v>0.58835</v>
      </c>
      <c r="H54" s="260" t="n">
        <v>0.60305875</v>
      </c>
      <c r="I54" s="260" t="n">
        <v>0.61813521875</v>
      </c>
      <c r="J54" s="260" t="n">
        <v>0.63358859921875</v>
      </c>
      <c r="K54" s="260" t="n">
        <v>0.649428314199218</v>
      </c>
      <c r="L54" s="260" t="n">
        <v>0.665664022054199</v>
      </c>
      <c r="M54" s="260" t="n">
        <v>0.682305622605554</v>
      </c>
      <c r="N54" s="260" t="n">
        <v>0.699363263170692</v>
      </c>
      <c r="O54" s="260" t="n">
        <v>0.71684734474996</v>
      </c>
      <c r="P54" s="260" t="n">
        <v>0.734768528368709</v>
      </c>
      <c r="Q54" s="260" t="n">
        <v>0.753137741577926</v>
      </c>
      <c r="R54" s="260" t="n">
        <v>0.771966185117375</v>
      </c>
      <c r="S54" s="260" t="n">
        <v>0.791265339745309</v>
      </c>
      <c r="T54" s="260" t="n">
        <v>0.811046973238941</v>
      </c>
      <c r="U54" s="260" t="n">
        <v>0.831323147569915</v>
      </c>
      <c r="V54" s="260" t="n">
        <v>0.852106226259163</v>
      </c>
    </row>
    <row r="55" customFormat="false" ht="12.75" hidden="false" customHeight="false" outlineLevel="0" collapsed="false">
      <c r="A55" s="0" t="n">
        <f aca="false">Summary!A22</f>
        <v>6</v>
      </c>
      <c r="B55" s="2" t="s">
        <v>75</v>
      </c>
      <c r="C55" s="260" t="n">
        <v>0</v>
      </c>
      <c r="D55" s="260" t="n">
        <v>0</v>
      </c>
      <c r="E55" s="260" t="n">
        <v>0</v>
      </c>
      <c r="F55" s="260" t="n">
        <v>0.574</v>
      </c>
      <c r="G55" s="260" t="n">
        <v>0.58835</v>
      </c>
      <c r="H55" s="260" t="n">
        <v>0.60305875</v>
      </c>
      <c r="I55" s="260" t="n">
        <v>0.61813521875</v>
      </c>
      <c r="J55" s="260" t="n">
        <v>0.63358859921875</v>
      </c>
      <c r="K55" s="260" t="n">
        <v>0.649428314199218</v>
      </c>
      <c r="L55" s="260" t="n">
        <v>0.665664022054199</v>
      </c>
      <c r="M55" s="260" t="n">
        <v>0.682305622605554</v>
      </c>
      <c r="N55" s="260" t="n">
        <v>0.699363263170692</v>
      </c>
      <c r="O55" s="260" t="n">
        <v>0.71684734474996</v>
      </c>
      <c r="P55" s="260" t="n">
        <v>0.734768528368709</v>
      </c>
      <c r="Q55" s="260" t="n">
        <v>0.753137741577926</v>
      </c>
      <c r="R55" s="260" t="n">
        <v>0.771966185117375</v>
      </c>
      <c r="S55" s="260" t="n">
        <v>0.791265339745309</v>
      </c>
      <c r="T55" s="260" t="n">
        <v>0.811046973238941</v>
      </c>
      <c r="U55" s="260" t="n">
        <v>0.831323147569915</v>
      </c>
      <c r="V55" s="260" t="n">
        <v>0.852106226259163</v>
      </c>
    </row>
    <row r="56" customFormat="false" ht="12.75" hidden="false" customHeight="false" outlineLevel="0" collapsed="false">
      <c r="A56" s="0" t="n">
        <f aca="false">Summary!A23</f>
        <v>7</v>
      </c>
      <c r="B56" s="0" t="s">
        <v>76</v>
      </c>
      <c r="C56" s="260" t="n">
        <v>0</v>
      </c>
      <c r="D56" s="260" t="n">
        <v>0</v>
      </c>
      <c r="E56" s="260" t="n">
        <v>0</v>
      </c>
      <c r="F56" s="260" t="n">
        <v>0.5324</v>
      </c>
      <c r="G56" s="260" t="n">
        <v>0.54571</v>
      </c>
      <c r="H56" s="260" t="n">
        <v>0.55935275</v>
      </c>
      <c r="I56" s="260" t="n">
        <v>0.57333656875</v>
      </c>
      <c r="J56" s="260" t="n">
        <v>0.58766998296875</v>
      </c>
      <c r="K56" s="260" t="n">
        <v>0.602361732542968</v>
      </c>
      <c r="L56" s="260" t="n">
        <v>0.617420775856543</v>
      </c>
      <c r="M56" s="260" t="n">
        <v>0.632856295252956</v>
      </c>
      <c r="N56" s="260" t="n">
        <v>0.64867770263428</v>
      </c>
      <c r="O56" s="260" t="n">
        <v>0.664894645200137</v>
      </c>
      <c r="P56" s="260" t="n">
        <v>0.68151701133014</v>
      </c>
      <c r="Q56" s="260" t="n">
        <v>0.698554936613394</v>
      </c>
      <c r="R56" s="260" t="n">
        <v>0.716018810028728</v>
      </c>
      <c r="S56" s="260" t="n">
        <v>0.733919280279447</v>
      </c>
      <c r="T56" s="260" t="n">
        <v>0.752267262286433</v>
      </c>
      <c r="U56" s="260" t="n">
        <v>0.771073943843593</v>
      </c>
      <c r="V56" s="260" t="n">
        <v>0.790350792439683</v>
      </c>
    </row>
    <row r="57" customFormat="false" ht="12.75" hidden="false" customHeight="false" outlineLevel="0" collapsed="false">
      <c r="A57" s="0" t="n">
        <f aca="false">Summary!A24</f>
        <v>8</v>
      </c>
      <c r="B57" s="0" t="s">
        <v>77</v>
      </c>
      <c r="C57" s="260" t="n">
        <v>0</v>
      </c>
      <c r="D57" s="260" t="n">
        <v>0</v>
      </c>
      <c r="E57" s="260" t="n">
        <v>0</v>
      </c>
      <c r="F57" s="260" t="n">
        <v>0</v>
      </c>
      <c r="G57" s="260" t="n">
        <v>0</v>
      </c>
      <c r="H57" s="260" t="n">
        <v>0</v>
      </c>
      <c r="I57" s="260" t="n">
        <v>0</v>
      </c>
      <c r="J57" s="260" t="n">
        <v>0</v>
      </c>
      <c r="K57" s="260" t="n">
        <v>0</v>
      </c>
      <c r="L57" s="260" t="n">
        <v>0</v>
      </c>
      <c r="M57" s="260" t="n">
        <v>0</v>
      </c>
      <c r="N57" s="260" t="n">
        <v>0</v>
      </c>
      <c r="O57" s="260" t="n">
        <v>0</v>
      </c>
      <c r="P57" s="260" t="n">
        <v>0</v>
      </c>
      <c r="Q57" s="260" t="n">
        <v>0</v>
      </c>
      <c r="R57" s="260" t="n">
        <v>0</v>
      </c>
      <c r="S57" s="260" t="n">
        <v>0</v>
      </c>
      <c r="T57" s="260" t="n">
        <v>0</v>
      </c>
      <c r="U57" s="260" t="n">
        <v>0</v>
      </c>
      <c r="V57" s="260" t="n">
        <v>0</v>
      </c>
    </row>
    <row r="58" customFormat="false" ht="12.75" hidden="false" customHeight="false" outlineLevel="0" collapsed="false">
      <c r="A58" s="0" t="n">
        <f aca="false">Summary!A25</f>
        <v>9</v>
      </c>
      <c r="B58" s="0" t="s">
        <v>78</v>
      </c>
      <c r="C58" s="260" t="n">
        <v>0</v>
      </c>
      <c r="D58" s="260" t="n">
        <v>0</v>
      </c>
      <c r="E58" s="260" t="n">
        <v>0</v>
      </c>
      <c r="F58" s="260" t="n">
        <v>0</v>
      </c>
      <c r="G58" s="260" t="n">
        <v>0</v>
      </c>
      <c r="H58" s="260" t="n">
        <v>0</v>
      </c>
      <c r="I58" s="260" t="n">
        <v>0</v>
      </c>
      <c r="J58" s="260" t="n">
        <v>0</v>
      </c>
      <c r="K58" s="260" t="n">
        <v>0</v>
      </c>
      <c r="L58" s="260" t="n">
        <v>0</v>
      </c>
      <c r="M58" s="260" t="n">
        <v>0</v>
      </c>
      <c r="N58" s="260" t="n">
        <v>0</v>
      </c>
      <c r="O58" s="260" t="n">
        <v>0</v>
      </c>
      <c r="P58" s="260" t="n">
        <v>0</v>
      </c>
      <c r="Q58" s="260" t="n">
        <v>0</v>
      </c>
      <c r="R58" s="260" t="n">
        <v>0</v>
      </c>
      <c r="S58" s="260" t="n">
        <v>0</v>
      </c>
      <c r="T58" s="260" t="n">
        <v>0</v>
      </c>
      <c r="U58" s="260" t="n">
        <v>0</v>
      </c>
      <c r="V58" s="260" t="n">
        <v>0</v>
      </c>
    </row>
    <row r="59" customFormat="false" ht="12.75" hidden="false" customHeight="false" outlineLevel="0" collapsed="false">
      <c r="A59" s="0" t="n">
        <f aca="false">Summary!A26</f>
        <v>10</v>
      </c>
      <c r="B59" s="0" t="s">
        <v>79</v>
      </c>
      <c r="C59" s="260" t="n">
        <v>0</v>
      </c>
      <c r="D59" s="260" t="n">
        <v>0</v>
      </c>
      <c r="E59" s="260" t="n">
        <v>0</v>
      </c>
      <c r="F59" s="260" t="n">
        <v>0.6128</v>
      </c>
      <c r="G59" s="260" t="n">
        <v>0.62812</v>
      </c>
      <c r="H59" s="260" t="n">
        <v>0.643823</v>
      </c>
      <c r="I59" s="260" t="n">
        <v>0.659918575</v>
      </c>
      <c r="J59" s="260" t="n">
        <v>0.676416539375</v>
      </c>
      <c r="K59" s="260" t="n">
        <v>0.693326952859375</v>
      </c>
      <c r="L59" s="260" t="n">
        <v>0.710660126680859</v>
      </c>
      <c r="M59" s="260" t="n">
        <v>0.728426629847881</v>
      </c>
      <c r="N59" s="260" t="n">
        <v>0.746637295594077</v>
      </c>
      <c r="O59" s="260" t="n">
        <v>0.765303227983929</v>
      </c>
      <c r="P59" s="260" t="n">
        <v>0.784435808683528</v>
      </c>
      <c r="Q59" s="260" t="n">
        <v>0.804046703900616</v>
      </c>
      <c r="R59" s="260" t="n">
        <v>0.824147871498131</v>
      </c>
      <c r="S59" s="260" t="n">
        <v>0.844751568285584</v>
      </c>
      <c r="T59" s="260" t="n">
        <v>0.865870357492724</v>
      </c>
      <c r="U59" s="260" t="n">
        <v>0.887517116430042</v>
      </c>
      <c r="V59" s="260" t="n">
        <v>0.909705044340793</v>
      </c>
    </row>
    <row r="60" customFormat="false" ht="12.75" hidden="false" customHeight="false" outlineLevel="0" collapsed="false">
      <c r="A60" s="0" t="n">
        <f aca="false">Summary!A27</f>
        <v>11</v>
      </c>
      <c r="B60" s="0" t="s">
        <v>80</v>
      </c>
      <c r="C60" s="260" t="n">
        <v>0</v>
      </c>
      <c r="D60" s="260" t="n">
        <v>0</v>
      </c>
      <c r="E60" s="260" t="n">
        <v>0</v>
      </c>
      <c r="F60" s="260" t="n">
        <v>0.5664</v>
      </c>
      <c r="G60" s="260" t="n">
        <v>0.58056</v>
      </c>
      <c r="H60" s="260" t="n">
        <v>0.595074</v>
      </c>
      <c r="I60" s="260" t="n">
        <v>0.60995085</v>
      </c>
      <c r="J60" s="260" t="n">
        <v>0.62519962125</v>
      </c>
      <c r="K60" s="260" t="n">
        <v>0.64082961178125</v>
      </c>
      <c r="L60" s="260" t="n">
        <v>0.656850352075781</v>
      </c>
      <c r="M60" s="260" t="n">
        <v>0.673271610877675</v>
      </c>
      <c r="N60" s="260" t="n">
        <v>0.690103401149617</v>
      </c>
      <c r="O60" s="260" t="n">
        <v>0.707355986178358</v>
      </c>
      <c r="P60" s="260" t="n">
        <v>0.725039885832816</v>
      </c>
      <c r="Q60" s="260" t="n">
        <v>0.743165882978637</v>
      </c>
      <c r="R60" s="260" t="n">
        <v>0.761745030053103</v>
      </c>
      <c r="S60" s="260" t="n">
        <v>0.78078865580443</v>
      </c>
      <c r="T60" s="260" t="n">
        <v>0.800308372199541</v>
      </c>
      <c r="U60" s="260" t="n">
        <v>0.820316081504529</v>
      </c>
      <c r="V60" s="260" t="n">
        <v>0.840823983542142</v>
      </c>
    </row>
    <row r="61" customFormat="false" ht="12.75" hidden="false" customHeight="false" outlineLevel="0" collapsed="false">
      <c r="A61" s="0" t="n">
        <f aca="false">Summary!A28</f>
        <v>12</v>
      </c>
      <c r="B61" s="0" t="s">
        <v>81</v>
      </c>
      <c r="C61" s="260" t="n">
        <v>0</v>
      </c>
      <c r="D61" s="260" t="n">
        <v>0</v>
      </c>
      <c r="E61" s="260" t="n">
        <v>0</v>
      </c>
      <c r="F61" s="260" t="n">
        <v>0</v>
      </c>
      <c r="G61" s="260" t="n">
        <v>0</v>
      </c>
      <c r="H61" s="260" t="n">
        <v>0</v>
      </c>
      <c r="I61" s="260" t="n">
        <v>0</v>
      </c>
      <c r="J61" s="260" t="n">
        <v>0</v>
      </c>
      <c r="K61" s="260" t="n">
        <v>0</v>
      </c>
      <c r="L61" s="260" t="n">
        <v>0</v>
      </c>
      <c r="M61" s="260" t="n">
        <v>0</v>
      </c>
      <c r="N61" s="260" t="n">
        <v>0</v>
      </c>
      <c r="O61" s="260" t="n">
        <v>0</v>
      </c>
      <c r="P61" s="260" t="n">
        <v>0</v>
      </c>
      <c r="Q61" s="260" t="n">
        <v>0</v>
      </c>
      <c r="R61" s="260" t="n">
        <v>0</v>
      </c>
      <c r="S61" s="260" t="n">
        <v>0</v>
      </c>
      <c r="T61" s="260" t="n">
        <v>0</v>
      </c>
      <c r="U61" s="260" t="n">
        <v>0</v>
      </c>
      <c r="V61" s="260" t="n">
        <v>0</v>
      </c>
    </row>
    <row r="62" customFormat="false" ht="12.75" hidden="false" customHeight="false" outlineLevel="0" collapsed="false">
      <c r="A62" s="0" t="n">
        <f aca="false">Summary!A29</f>
        <v>13</v>
      </c>
      <c r="B62" s="0" t="s">
        <v>82</v>
      </c>
      <c r="C62" s="260" t="n">
        <v>0</v>
      </c>
      <c r="D62" s="260" t="n">
        <v>0</v>
      </c>
      <c r="E62" s="260" t="n">
        <v>0</v>
      </c>
      <c r="F62" s="260" t="n">
        <v>0</v>
      </c>
      <c r="G62" s="260" t="n">
        <v>0</v>
      </c>
      <c r="H62" s="260" t="n">
        <v>0</v>
      </c>
      <c r="I62" s="260" t="n">
        <v>0</v>
      </c>
      <c r="J62" s="260" t="n">
        <v>0</v>
      </c>
      <c r="K62" s="260" t="n">
        <v>0</v>
      </c>
      <c r="L62" s="260" t="n">
        <v>0</v>
      </c>
      <c r="M62" s="260" t="n">
        <v>0</v>
      </c>
      <c r="N62" s="260" t="n">
        <v>0</v>
      </c>
      <c r="O62" s="260" t="n">
        <v>0</v>
      </c>
      <c r="P62" s="260" t="n">
        <v>0</v>
      </c>
      <c r="Q62" s="260" t="n">
        <v>0</v>
      </c>
      <c r="R62" s="260" t="n">
        <v>0</v>
      </c>
      <c r="S62" s="260" t="n">
        <v>0</v>
      </c>
      <c r="T62" s="260" t="n">
        <v>0</v>
      </c>
      <c r="U62" s="260" t="n">
        <v>0</v>
      </c>
      <c r="V62" s="260" t="n">
        <v>0</v>
      </c>
    </row>
    <row r="63" customFormat="false" ht="12.75" hidden="false" customHeight="false" outlineLevel="0" collapsed="false">
      <c r="A63" s="0" t="n">
        <f aca="false">Summary!A30</f>
        <v>14</v>
      </c>
      <c r="B63" s="0" t="s">
        <v>83</v>
      </c>
      <c r="C63" s="260" t="n">
        <v>0</v>
      </c>
      <c r="D63" s="260" t="n">
        <v>0</v>
      </c>
      <c r="E63" s="260" t="n">
        <v>0</v>
      </c>
      <c r="F63" s="260" t="n">
        <v>0</v>
      </c>
      <c r="G63" s="260" t="n">
        <v>0</v>
      </c>
      <c r="H63" s="260" t="n">
        <v>0</v>
      </c>
      <c r="I63" s="260" t="n">
        <v>0</v>
      </c>
      <c r="J63" s="260" t="n">
        <v>0</v>
      </c>
      <c r="K63" s="260" t="n">
        <v>0</v>
      </c>
      <c r="L63" s="260" t="n">
        <v>0</v>
      </c>
      <c r="M63" s="260" t="n">
        <v>0</v>
      </c>
      <c r="N63" s="260" t="n">
        <v>0</v>
      </c>
      <c r="O63" s="260" t="n">
        <v>0</v>
      </c>
      <c r="P63" s="260" t="n">
        <v>0</v>
      </c>
      <c r="Q63" s="260" t="n">
        <v>0</v>
      </c>
      <c r="R63" s="260" t="n">
        <v>0</v>
      </c>
      <c r="S63" s="260" t="n">
        <v>0</v>
      </c>
      <c r="T63" s="260" t="n">
        <v>0</v>
      </c>
      <c r="U63" s="260" t="n">
        <v>0</v>
      </c>
      <c r="V63" s="260" t="n">
        <v>0</v>
      </c>
    </row>
    <row r="64" customFormat="false" ht="12.75" hidden="false" customHeight="false" outlineLevel="0" collapsed="false">
      <c r="A64" s="0" t="n">
        <f aca="false">Summary!A31</f>
        <v>15</v>
      </c>
      <c r="B64" s="0" t="s">
        <v>84</v>
      </c>
      <c r="C64" s="260" t="n">
        <v>0</v>
      </c>
      <c r="D64" s="260" t="n">
        <v>0</v>
      </c>
      <c r="E64" s="260" t="n">
        <v>0</v>
      </c>
      <c r="F64" s="260" t="n">
        <v>0</v>
      </c>
      <c r="G64" s="260" t="n">
        <v>0</v>
      </c>
      <c r="H64" s="260" t="n">
        <v>0</v>
      </c>
      <c r="I64" s="260" t="n">
        <v>0</v>
      </c>
      <c r="J64" s="260" t="n">
        <v>0</v>
      </c>
      <c r="K64" s="260" t="n">
        <v>0</v>
      </c>
      <c r="L64" s="260" t="n">
        <v>0</v>
      </c>
      <c r="M64" s="260" t="n">
        <v>0</v>
      </c>
      <c r="N64" s="260" t="n">
        <v>0</v>
      </c>
      <c r="O64" s="260" t="n">
        <v>0</v>
      </c>
      <c r="P64" s="260" t="n">
        <v>0</v>
      </c>
      <c r="Q64" s="260" t="n">
        <v>0</v>
      </c>
      <c r="R64" s="260" t="n">
        <v>0</v>
      </c>
      <c r="S64" s="260" t="n">
        <v>0</v>
      </c>
      <c r="T64" s="260" t="n">
        <v>0</v>
      </c>
      <c r="U64" s="260" t="n">
        <v>0</v>
      </c>
      <c r="V64" s="260" t="n">
        <v>0</v>
      </c>
    </row>
    <row r="65" customFormat="false" ht="12.75" hidden="false" customHeight="false" outlineLevel="0" collapsed="false">
      <c r="A65" s="0" t="n">
        <f aca="false">Summary!A32</f>
        <v>16</v>
      </c>
      <c r="B65" s="0" t="s">
        <v>85</v>
      </c>
      <c r="C65" s="260" t="n">
        <v>0</v>
      </c>
      <c r="D65" s="260" t="n">
        <v>0</v>
      </c>
      <c r="E65" s="260" t="n">
        <v>0</v>
      </c>
      <c r="F65" s="260" t="n">
        <v>0</v>
      </c>
      <c r="G65" s="260" t="n">
        <v>0</v>
      </c>
      <c r="H65" s="260" t="n">
        <v>0</v>
      </c>
      <c r="I65" s="260" t="n">
        <v>0</v>
      </c>
      <c r="J65" s="260" t="n">
        <v>0</v>
      </c>
      <c r="K65" s="260" t="n">
        <v>0</v>
      </c>
      <c r="L65" s="260" t="n">
        <v>0</v>
      </c>
      <c r="M65" s="260" t="n">
        <v>0</v>
      </c>
      <c r="N65" s="260" t="n">
        <v>0</v>
      </c>
      <c r="O65" s="260" t="n">
        <v>0</v>
      </c>
      <c r="P65" s="260" t="n">
        <v>0</v>
      </c>
      <c r="Q65" s="260" t="n">
        <v>0</v>
      </c>
      <c r="R65" s="260" t="n">
        <v>0</v>
      </c>
      <c r="S65" s="260" t="n">
        <v>0</v>
      </c>
      <c r="T65" s="260" t="n">
        <v>0</v>
      </c>
      <c r="U65" s="260" t="n">
        <v>0</v>
      </c>
      <c r="V65" s="260" t="n">
        <v>0</v>
      </c>
    </row>
    <row r="66" customFormat="false" ht="12.75" hidden="false" customHeight="false" outlineLevel="0" collapsed="false">
      <c r="A66" s="0" t="n">
        <f aca="false">Summary!A33</f>
        <v>17</v>
      </c>
      <c r="B66" s="0" t="s">
        <v>86</v>
      </c>
      <c r="C66" s="260" t="n">
        <v>0</v>
      </c>
      <c r="D66" s="260" t="n">
        <v>0</v>
      </c>
      <c r="E66" s="260" t="n">
        <v>0</v>
      </c>
      <c r="F66" s="260" t="n">
        <v>0</v>
      </c>
      <c r="G66" s="260" t="n">
        <v>0</v>
      </c>
      <c r="H66" s="260" t="n">
        <v>0</v>
      </c>
      <c r="I66" s="260" t="n">
        <v>0</v>
      </c>
      <c r="J66" s="260" t="n">
        <v>0</v>
      </c>
      <c r="K66" s="260" t="n">
        <v>0</v>
      </c>
      <c r="L66" s="260" t="n">
        <v>0</v>
      </c>
      <c r="M66" s="260" t="n">
        <v>0</v>
      </c>
      <c r="N66" s="260" t="n">
        <v>0</v>
      </c>
      <c r="O66" s="260" t="n">
        <v>0</v>
      </c>
      <c r="P66" s="260" t="n">
        <v>0</v>
      </c>
      <c r="Q66" s="260" t="n">
        <v>0</v>
      </c>
      <c r="R66" s="260" t="n">
        <v>0</v>
      </c>
      <c r="S66" s="260" t="n">
        <v>0</v>
      </c>
      <c r="T66" s="260" t="n">
        <v>0</v>
      </c>
      <c r="U66" s="260" t="n">
        <v>0</v>
      </c>
      <c r="V66" s="260" t="n">
        <v>0</v>
      </c>
    </row>
    <row r="67" customFormat="false" ht="12.75" hidden="false" customHeight="false" outlineLevel="0" collapsed="false">
      <c r="A67" s="0" t="n">
        <f aca="false">Summary!A34</f>
        <v>18</v>
      </c>
      <c r="B67" s="0" t="s">
        <v>87</v>
      </c>
      <c r="C67" s="260" t="n">
        <v>0</v>
      </c>
      <c r="D67" s="260" t="n">
        <v>0</v>
      </c>
      <c r="E67" s="260" t="n">
        <v>0</v>
      </c>
      <c r="F67" s="260" t="n">
        <v>0.5278</v>
      </c>
      <c r="G67" s="260" t="n">
        <v>0.540995</v>
      </c>
      <c r="H67" s="260" t="n">
        <v>0.554519875</v>
      </c>
      <c r="I67" s="260" t="n">
        <v>0.568382871875</v>
      </c>
      <c r="J67" s="260" t="n">
        <v>0.582592443671875</v>
      </c>
      <c r="K67" s="260" t="n">
        <v>0.597157254763672</v>
      </c>
      <c r="L67" s="260" t="n">
        <v>0.612086186132764</v>
      </c>
      <c r="M67" s="260" t="n">
        <v>0.627388340786083</v>
      </c>
      <c r="N67" s="260" t="n">
        <v>0.643073049305735</v>
      </c>
      <c r="O67" s="260" t="n">
        <v>0.659149875538378</v>
      </c>
      <c r="P67" s="260" t="n">
        <v>0.675628622426837</v>
      </c>
      <c r="Q67" s="260" t="n">
        <v>0.692519337987508</v>
      </c>
      <c r="R67" s="260" t="n">
        <v>0.709832321437196</v>
      </c>
      <c r="S67" s="260" t="n">
        <v>0.727578129473126</v>
      </c>
      <c r="T67" s="260" t="n">
        <v>0.745767582709954</v>
      </c>
      <c r="U67" s="260" t="n">
        <v>0.764411772277703</v>
      </c>
      <c r="V67" s="260" t="n">
        <v>0.783522066584645</v>
      </c>
    </row>
    <row r="68" customFormat="false" ht="12.75" hidden="false" customHeight="false" outlineLevel="0" collapsed="false">
      <c r="A68" s="0" t="n">
        <f aca="false">Summary!A35</f>
        <v>19</v>
      </c>
      <c r="B68" s="0" t="s">
        <v>88</v>
      </c>
      <c r="C68" s="260" t="n">
        <v>0</v>
      </c>
      <c r="D68" s="260" t="n">
        <v>0</v>
      </c>
      <c r="E68" s="260" t="n">
        <v>0</v>
      </c>
      <c r="F68" s="260" t="n">
        <v>0</v>
      </c>
      <c r="G68" s="260" t="n">
        <v>0</v>
      </c>
      <c r="H68" s="260" t="n">
        <v>0</v>
      </c>
      <c r="I68" s="260" t="n">
        <v>0</v>
      </c>
      <c r="J68" s="260" t="n">
        <v>0</v>
      </c>
      <c r="K68" s="260" t="n">
        <v>0</v>
      </c>
      <c r="L68" s="260" t="n">
        <v>0</v>
      </c>
      <c r="M68" s="260" t="n">
        <v>0</v>
      </c>
      <c r="N68" s="260" t="n">
        <v>0</v>
      </c>
      <c r="O68" s="260" t="n">
        <v>0</v>
      </c>
      <c r="P68" s="260" t="n">
        <v>0</v>
      </c>
      <c r="Q68" s="260" t="n">
        <v>0</v>
      </c>
      <c r="R68" s="260" t="n">
        <v>0</v>
      </c>
      <c r="S68" s="260" t="n">
        <v>0</v>
      </c>
      <c r="T68" s="260" t="n">
        <v>0</v>
      </c>
      <c r="U68" s="260" t="n">
        <v>0</v>
      </c>
      <c r="V68" s="260" t="n">
        <v>0</v>
      </c>
    </row>
    <row r="69" customFormat="false" ht="12.75" hidden="false" customHeight="false" outlineLevel="0" collapsed="false">
      <c r="A69" s="0" t="n">
        <f aca="false">Summary!A36</f>
        <v>20</v>
      </c>
      <c r="B69" s="0" t="s">
        <v>89</v>
      </c>
      <c r="C69" s="260" t="n">
        <v>0</v>
      </c>
      <c r="D69" s="260" t="n">
        <v>0</v>
      </c>
      <c r="E69" s="260" t="n">
        <v>0</v>
      </c>
      <c r="F69" s="260" t="n">
        <v>0</v>
      </c>
      <c r="G69" s="260" t="n">
        <v>0</v>
      </c>
      <c r="H69" s="260" t="n">
        <v>0</v>
      </c>
      <c r="I69" s="260" t="n">
        <v>0</v>
      </c>
      <c r="J69" s="260" t="n">
        <v>0</v>
      </c>
      <c r="K69" s="260" t="n">
        <v>0</v>
      </c>
      <c r="L69" s="260" t="n">
        <v>0</v>
      </c>
      <c r="M69" s="260" t="n">
        <v>0</v>
      </c>
      <c r="N69" s="260" t="n">
        <v>0</v>
      </c>
      <c r="O69" s="260" t="n">
        <v>0</v>
      </c>
      <c r="P69" s="260" t="n">
        <v>0</v>
      </c>
      <c r="Q69" s="260" t="n">
        <v>0</v>
      </c>
      <c r="R69" s="260" t="n">
        <v>0</v>
      </c>
      <c r="S69" s="260" t="n">
        <v>0</v>
      </c>
      <c r="T69" s="260" t="n">
        <v>0</v>
      </c>
      <c r="U69" s="260" t="n">
        <v>0</v>
      </c>
      <c r="V69" s="260" t="n">
        <v>0</v>
      </c>
    </row>
    <row r="70" customFormat="false" ht="12.75" hidden="false" customHeight="false" outlineLevel="0" collapsed="false">
      <c r="A70" s="0" t="n">
        <f aca="false">Summary!A37</f>
        <v>21</v>
      </c>
      <c r="B70" s="0" t="s">
        <v>90</v>
      </c>
      <c r="C70" s="260" t="n">
        <v>0</v>
      </c>
      <c r="D70" s="260" t="n">
        <v>0</v>
      </c>
      <c r="E70" s="260" t="n">
        <v>0</v>
      </c>
      <c r="F70" s="260" t="n">
        <v>0</v>
      </c>
      <c r="G70" s="260" t="n">
        <v>0</v>
      </c>
      <c r="H70" s="260" t="n">
        <v>0</v>
      </c>
      <c r="I70" s="260" t="n">
        <v>0</v>
      </c>
      <c r="J70" s="260" t="n">
        <v>0</v>
      </c>
      <c r="K70" s="260" t="n">
        <v>0</v>
      </c>
      <c r="L70" s="260" t="n">
        <v>0</v>
      </c>
      <c r="M70" s="260" t="n">
        <v>0</v>
      </c>
      <c r="N70" s="260" t="n">
        <v>0</v>
      </c>
      <c r="O70" s="260" t="n">
        <v>0</v>
      </c>
      <c r="P70" s="260" t="n">
        <v>0</v>
      </c>
      <c r="Q70" s="260" t="n">
        <v>0</v>
      </c>
      <c r="R70" s="260" t="n">
        <v>0</v>
      </c>
      <c r="S70" s="260" t="n">
        <v>0</v>
      </c>
      <c r="T70" s="260" t="n">
        <v>0</v>
      </c>
      <c r="U70" s="260" t="n">
        <v>0</v>
      </c>
      <c r="V70" s="260" t="n">
        <v>0</v>
      </c>
    </row>
    <row r="71" customFormat="false" ht="12.75" hidden="false" customHeight="false" outlineLevel="0" collapsed="false">
      <c r="A71" s="0" t="n">
        <f aca="false">Summary!A38</f>
        <v>22</v>
      </c>
      <c r="B71" s="0" t="s">
        <v>91</v>
      </c>
      <c r="C71" s="260" t="n">
        <v>0</v>
      </c>
      <c r="D71" s="260" t="n">
        <v>0</v>
      </c>
      <c r="E71" s="260" t="n">
        <v>0</v>
      </c>
      <c r="F71" s="260" t="n">
        <v>0</v>
      </c>
      <c r="G71" s="260" t="n">
        <v>0</v>
      </c>
      <c r="H71" s="260" t="n">
        <v>0</v>
      </c>
      <c r="I71" s="260" t="n">
        <v>0</v>
      </c>
      <c r="J71" s="260" t="n">
        <v>0</v>
      </c>
      <c r="K71" s="260" t="n">
        <v>0</v>
      </c>
      <c r="L71" s="260" t="n">
        <v>0</v>
      </c>
      <c r="M71" s="260" t="n">
        <v>0</v>
      </c>
      <c r="N71" s="260" t="n">
        <v>0</v>
      </c>
      <c r="O71" s="260" t="n">
        <v>0</v>
      </c>
      <c r="P71" s="260" t="n">
        <v>0</v>
      </c>
      <c r="Q71" s="260" t="n">
        <v>0</v>
      </c>
      <c r="R71" s="260" t="n">
        <v>0</v>
      </c>
      <c r="S71" s="260" t="n">
        <v>0</v>
      </c>
      <c r="T71" s="260" t="n">
        <v>0</v>
      </c>
      <c r="U71" s="260" t="n">
        <v>0</v>
      </c>
      <c r="V71" s="260" t="n">
        <v>0</v>
      </c>
    </row>
    <row r="72" customFormat="false" ht="12.75" hidden="false" customHeight="false" outlineLevel="0" collapsed="false">
      <c r="A72" s="0" t="n">
        <f aca="false">Summary!A39</f>
        <v>23</v>
      </c>
      <c r="B72" s="0" t="s">
        <v>92</v>
      </c>
      <c r="C72" s="260" t="n">
        <v>0</v>
      </c>
      <c r="D72" s="260" t="n">
        <f aca="false">C72*(1+Assumptions!$L$13)</f>
        <v>0</v>
      </c>
      <c r="E72" s="260" t="n">
        <f aca="false">D72*(1+Assumptions!$L$13)</f>
        <v>0</v>
      </c>
      <c r="F72" s="260" t="n">
        <f aca="false">E72*(1+Assumptions!$L$13)</f>
        <v>0</v>
      </c>
      <c r="G72" s="260" t="n">
        <f aca="false">F72*(1+Assumptions!$L$13)</f>
        <v>0</v>
      </c>
      <c r="H72" s="260" t="n">
        <f aca="false">G72*(1+Assumptions!$L$13)</f>
        <v>0</v>
      </c>
      <c r="I72" s="260" t="n">
        <f aca="false">H72*(1+Assumptions!$L$13)</f>
        <v>0</v>
      </c>
      <c r="J72" s="260" t="n">
        <f aca="false">I72*(1+Assumptions!$L$13)</f>
        <v>0</v>
      </c>
      <c r="K72" s="260" t="n">
        <f aca="false">J72*(1+Assumptions!$L$13)</f>
        <v>0</v>
      </c>
      <c r="L72" s="260" t="n">
        <f aca="false">K72*(1+Assumptions!$L$13)</f>
        <v>0</v>
      </c>
      <c r="M72" s="260" t="n">
        <f aca="false">L72*(1+Assumptions!$L$13)</f>
        <v>0</v>
      </c>
      <c r="N72" s="260" t="n">
        <f aca="false">M72*(1+Assumptions!$L$13)</f>
        <v>0</v>
      </c>
      <c r="O72" s="260" t="n">
        <f aca="false">N72*(1+Assumptions!$L$13)</f>
        <v>0</v>
      </c>
      <c r="P72" s="260" t="n">
        <f aca="false">O72*(1+Assumptions!$L$13)</f>
        <v>0</v>
      </c>
      <c r="Q72" s="260" t="n">
        <f aca="false">P72*(1+Assumptions!$L$13)</f>
        <v>0</v>
      </c>
      <c r="R72" s="260" t="n">
        <f aca="false">Q72*(1+Assumptions!$L$13)</f>
        <v>0</v>
      </c>
      <c r="S72" s="260" t="n">
        <f aca="false">R72*(1+Assumptions!$L$13)</f>
        <v>0</v>
      </c>
      <c r="T72" s="260" t="n">
        <f aca="false">S72*(1+Assumptions!$L$13)</f>
        <v>0</v>
      </c>
      <c r="U72" s="260" t="n">
        <f aca="false">T72*(1+Assumptions!$L$13)</f>
        <v>0</v>
      </c>
      <c r="V72" s="260" t="n">
        <f aca="false">U72*(1+Assumptions!$L$13)</f>
        <v>0</v>
      </c>
    </row>
    <row r="73" customFormat="false" ht="12.75" hidden="false" customHeight="false" outlineLevel="0" collapsed="false">
      <c r="A73" s="0" t="n">
        <f aca="false">Summary!A40</f>
        <v>24</v>
      </c>
      <c r="B73" s="0" t="s">
        <v>93</v>
      </c>
      <c r="C73" s="260" t="n">
        <v>0</v>
      </c>
      <c r="D73" s="260" t="n">
        <f aca="false">C73*(1+Assumptions!$L$13)</f>
        <v>0</v>
      </c>
      <c r="E73" s="260" t="n">
        <f aca="false">D73*(1+Assumptions!$L$13)</f>
        <v>0</v>
      </c>
      <c r="F73" s="260" t="n">
        <f aca="false">E73*(1+Assumptions!$L$13)</f>
        <v>0</v>
      </c>
      <c r="G73" s="260" t="n">
        <f aca="false">F73*(1+Assumptions!$L$13)</f>
        <v>0</v>
      </c>
      <c r="H73" s="260" t="n">
        <f aca="false">G73*(1+Assumptions!$L$13)</f>
        <v>0</v>
      </c>
      <c r="I73" s="260" t="n">
        <f aca="false">H73*(1+Assumptions!$L$13)</f>
        <v>0</v>
      </c>
      <c r="J73" s="260" t="n">
        <f aca="false">I73*(1+Assumptions!$L$13)</f>
        <v>0</v>
      </c>
      <c r="K73" s="260" t="n">
        <f aca="false">J73*(1+Assumptions!$L$13)</f>
        <v>0</v>
      </c>
      <c r="L73" s="260" t="n">
        <f aca="false">K73*(1+Assumptions!$L$13)</f>
        <v>0</v>
      </c>
      <c r="M73" s="260" t="n">
        <f aca="false">L73*(1+Assumptions!$L$13)</f>
        <v>0</v>
      </c>
      <c r="N73" s="260" t="n">
        <f aca="false">M73*(1+Assumptions!$L$13)</f>
        <v>0</v>
      </c>
      <c r="O73" s="260" t="n">
        <f aca="false">N73*(1+Assumptions!$L$13)</f>
        <v>0</v>
      </c>
      <c r="P73" s="260" t="n">
        <f aca="false">O73*(1+Assumptions!$L$13)</f>
        <v>0</v>
      </c>
      <c r="Q73" s="260" t="n">
        <f aca="false">P73*(1+Assumptions!$L$13)</f>
        <v>0</v>
      </c>
      <c r="R73" s="260" t="n">
        <f aca="false">Q73*(1+Assumptions!$L$13)</f>
        <v>0</v>
      </c>
      <c r="S73" s="260" t="n">
        <f aca="false">R73*(1+Assumptions!$L$13)</f>
        <v>0</v>
      </c>
      <c r="T73" s="260" t="n">
        <f aca="false">S73*(1+Assumptions!$L$13)</f>
        <v>0</v>
      </c>
      <c r="U73" s="260" t="n">
        <f aca="false">T73*(1+Assumptions!$L$13)</f>
        <v>0</v>
      </c>
      <c r="V73" s="260" t="n">
        <f aca="false">U73*(1+Assumptions!$L$13)</f>
        <v>0</v>
      </c>
    </row>
    <row r="74" customFormat="false" ht="12.75" hidden="false" customHeight="false" outlineLevel="0" collapsed="false">
      <c r="A74" s="0" t="n">
        <f aca="false">Summary!A41</f>
        <v>25</v>
      </c>
      <c r="B74" s="0" t="s">
        <v>94</v>
      </c>
      <c r="C74" s="260" t="n">
        <v>0</v>
      </c>
      <c r="D74" s="260" t="n">
        <f aca="false">C74*(1+Assumptions!$L$13)</f>
        <v>0</v>
      </c>
      <c r="E74" s="260" t="n">
        <f aca="false">D74*(1+Assumptions!$L$13)</f>
        <v>0</v>
      </c>
      <c r="F74" s="260" t="n">
        <f aca="false">E74*(1+Assumptions!$L$13)</f>
        <v>0</v>
      </c>
      <c r="G74" s="260" t="n">
        <f aca="false">F74*(1+Assumptions!$L$13)</f>
        <v>0</v>
      </c>
      <c r="H74" s="260" t="n">
        <f aca="false">G74*(1+Assumptions!$L$13)</f>
        <v>0</v>
      </c>
      <c r="I74" s="260" t="n">
        <f aca="false">H74*(1+Assumptions!$L$13)</f>
        <v>0</v>
      </c>
      <c r="J74" s="260" t="n">
        <f aca="false">I74*(1+Assumptions!$L$13)</f>
        <v>0</v>
      </c>
      <c r="K74" s="260" t="n">
        <f aca="false">J74*(1+Assumptions!$L$13)</f>
        <v>0</v>
      </c>
      <c r="L74" s="260" t="n">
        <f aca="false">K74*(1+Assumptions!$L$13)</f>
        <v>0</v>
      </c>
      <c r="M74" s="260" t="n">
        <f aca="false">L74*(1+Assumptions!$L$13)</f>
        <v>0</v>
      </c>
      <c r="N74" s="260" t="n">
        <f aca="false">M74*(1+Assumptions!$L$13)</f>
        <v>0</v>
      </c>
      <c r="O74" s="260" t="n">
        <f aca="false">N74*(1+Assumptions!$L$13)</f>
        <v>0</v>
      </c>
      <c r="P74" s="260" t="n">
        <f aca="false">O74*(1+Assumptions!$L$13)</f>
        <v>0</v>
      </c>
      <c r="Q74" s="260" t="n">
        <f aca="false">P74*(1+Assumptions!$L$13)</f>
        <v>0</v>
      </c>
      <c r="R74" s="260" t="n">
        <f aca="false">Q74*(1+Assumptions!$L$13)</f>
        <v>0</v>
      </c>
      <c r="S74" s="260" t="n">
        <f aca="false">R74*(1+Assumptions!$L$13)</f>
        <v>0</v>
      </c>
      <c r="T74" s="260" t="n">
        <f aca="false">S74*(1+Assumptions!$L$13)</f>
        <v>0</v>
      </c>
      <c r="U74" s="260" t="n">
        <f aca="false">T74*(1+Assumptions!$L$13)</f>
        <v>0</v>
      </c>
      <c r="V74" s="260" t="n">
        <f aca="false">U74*(1+Assumptions!$L$13)</f>
        <v>0</v>
      </c>
    </row>
    <row r="75" customFormat="false" ht="12.75" hidden="false" customHeight="false" outlineLevel="0" collapsed="false">
      <c r="A75" s="0" t="n">
        <f aca="false">Summary!A42</f>
        <v>26</v>
      </c>
      <c r="B75" s="0" t="s">
        <v>95</v>
      </c>
      <c r="C75" s="260" t="n">
        <v>0</v>
      </c>
      <c r="D75" s="260" t="n">
        <f aca="false">C75*(1+Assumptions!$L$13)</f>
        <v>0</v>
      </c>
      <c r="E75" s="260" t="n">
        <f aca="false">D75*(1+Assumptions!$L$13)</f>
        <v>0</v>
      </c>
      <c r="F75" s="260" t="n">
        <f aca="false">E75*(1+Assumptions!$L$13)</f>
        <v>0</v>
      </c>
      <c r="G75" s="260" t="n">
        <f aca="false">F75*(1+Assumptions!$L$13)</f>
        <v>0</v>
      </c>
      <c r="H75" s="260" t="n">
        <f aca="false">G75*(1+Assumptions!$L$13)</f>
        <v>0</v>
      </c>
      <c r="I75" s="260" t="n">
        <f aca="false">H75*(1+Assumptions!$L$13)</f>
        <v>0</v>
      </c>
      <c r="J75" s="260" t="n">
        <f aca="false">I75*(1+Assumptions!$L$13)</f>
        <v>0</v>
      </c>
      <c r="K75" s="260" t="n">
        <f aca="false">J75*(1+Assumptions!$L$13)</f>
        <v>0</v>
      </c>
      <c r="L75" s="260" t="n">
        <f aca="false">K75*(1+Assumptions!$L$13)</f>
        <v>0</v>
      </c>
      <c r="M75" s="260" t="n">
        <f aca="false">L75*(1+Assumptions!$L$13)</f>
        <v>0</v>
      </c>
      <c r="N75" s="260" t="n">
        <f aca="false">M75*(1+Assumptions!$L$13)</f>
        <v>0</v>
      </c>
      <c r="O75" s="260" t="n">
        <f aca="false">N75*(1+Assumptions!$L$13)</f>
        <v>0</v>
      </c>
      <c r="P75" s="260" t="n">
        <f aca="false">O75*(1+Assumptions!$L$13)</f>
        <v>0</v>
      </c>
      <c r="Q75" s="260" t="n">
        <f aca="false">P75*(1+Assumptions!$L$13)</f>
        <v>0</v>
      </c>
      <c r="R75" s="260" t="n">
        <f aca="false">Q75*(1+Assumptions!$L$13)</f>
        <v>0</v>
      </c>
      <c r="S75" s="260" t="n">
        <f aca="false">R75*(1+Assumptions!$L$13)</f>
        <v>0</v>
      </c>
      <c r="T75" s="260" t="n">
        <f aca="false">S75*(1+Assumptions!$L$13)</f>
        <v>0</v>
      </c>
      <c r="U75" s="260" t="n">
        <f aca="false">T75*(1+Assumptions!$L$13)</f>
        <v>0</v>
      </c>
      <c r="V75" s="260" t="n">
        <f aca="false">U75*(1+Assumptions!$L$13)</f>
        <v>0</v>
      </c>
    </row>
    <row r="76" customFormat="false" ht="12.75" hidden="false" customHeight="false" outlineLevel="0" collapsed="false">
      <c r="A76" s="0" t="n">
        <f aca="false">Summary!A43</f>
        <v>27</v>
      </c>
      <c r="B76" s="0" t="s">
        <v>96</v>
      </c>
      <c r="C76" s="260" t="n">
        <v>0</v>
      </c>
      <c r="D76" s="260" t="n">
        <v>0</v>
      </c>
      <c r="E76" s="260" t="n">
        <v>0</v>
      </c>
      <c r="F76" s="260" t="n">
        <v>0</v>
      </c>
      <c r="G76" s="260" t="n">
        <v>0</v>
      </c>
      <c r="H76" s="260" t="n">
        <v>0</v>
      </c>
      <c r="I76" s="260" t="n">
        <v>0</v>
      </c>
      <c r="J76" s="260" t="n">
        <v>0</v>
      </c>
      <c r="K76" s="260" t="n">
        <v>0</v>
      </c>
      <c r="L76" s="260" t="n">
        <v>0</v>
      </c>
      <c r="M76" s="260" t="n">
        <v>0</v>
      </c>
      <c r="N76" s="260" t="n">
        <v>0</v>
      </c>
      <c r="O76" s="260" t="n">
        <v>0</v>
      </c>
      <c r="P76" s="260" t="n">
        <v>0</v>
      </c>
      <c r="Q76" s="260" t="n">
        <v>0</v>
      </c>
      <c r="R76" s="260" t="n">
        <v>0</v>
      </c>
      <c r="S76" s="260" t="n">
        <v>0</v>
      </c>
      <c r="T76" s="260" t="n">
        <v>0</v>
      </c>
      <c r="U76" s="260" t="n">
        <v>0</v>
      </c>
      <c r="V76" s="260" t="n">
        <v>0</v>
      </c>
    </row>
    <row r="77" customFormat="false" ht="12.75" hidden="false" customHeight="false" outlineLevel="0" collapsed="false">
      <c r="A77" s="0" t="n">
        <f aca="false">Summary!A44</f>
        <v>28</v>
      </c>
      <c r="B77" s="0" t="s">
        <v>97</v>
      </c>
      <c r="C77" s="260" t="n">
        <v>0</v>
      </c>
      <c r="D77" s="260" t="n">
        <v>0</v>
      </c>
      <c r="E77" s="260" t="n">
        <v>0</v>
      </c>
      <c r="F77" s="260" t="n">
        <v>0</v>
      </c>
      <c r="G77" s="260" t="n">
        <v>0</v>
      </c>
      <c r="H77" s="260" t="n">
        <v>0</v>
      </c>
      <c r="I77" s="260" t="n">
        <v>0</v>
      </c>
      <c r="J77" s="260" t="n">
        <v>0</v>
      </c>
      <c r="K77" s="260" t="n">
        <v>0</v>
      </c>
      <c r="L77" s="260" t="n">
        <v>0</v>
      </c>
      <c r="M77" s="260" t="n">
        <v>0</v>
      </c>
      <c r="N77" s="260" t="n">
        <v>0</v>
      </c>
      <c r="O77" s="260" t="n">
        <v>0</v>
      </c>
      <c r="P77" s="260" t="n">
        <v>0</v>
      </c>
      <c r="Q77" s="260" t="n">
        <v>0</v>
      </c>
      <c r="R77" s="260" t="n">
        <v>0</v>
      </c>
      <c r="S77" s="260" t="n">
        <v>0</v>
      </c>
      <c r="T77" s="260" t="n">
        <v>0</v>
      </c>
      <c r="U77" s="260" t="n">
        <v>0</v>
      </c>
      <c r="V77" s="260" t="n">
        <v>0</v>
      </c>
    </row>
    <row r="78" customFormat="false" ht="12.75" hidden="false" customHeight="false" outlineLevel="0" collapsed="false">
      <c r="A78" s="0" t="n">
        <f aca="false">Summary!A45</f>
        <v>29</v>
      </c>
      <c r="B78" s="0" t="s">
        <v>98</v>
      </c>
      <c r="C78" s="260" t="n">
        <v>0</v>
      </c>
      <c r="D78" s="260" t="n">
        <v>0</v>
      </c>
      <c r="E78" s="260" t="n">
        <v>0</v>
      </c>
      <c r="F78" s="260" t="n">
        <v>0</v>
      </c>
      <c r="G78" s="260" t="n">
        <v>0</v>
      </c>
      <c r="H78" s="260" t="n">
        <v>0</v>
      </c>
      <c r="I78" s="260" t="n">
        <v>0</v>
      </c>
      <c r="J78" s="260" t="n">
        <v>0</v>
      </c>
      <c r="K78" s="260" t="n">
        <v>0</v>
      </c>
      <c r="L78" s="260" t="n">
        <v>0</v>
      </c>
      <c r="M78" s="260" t="n">
        <v>0</v>
      </c>
      <c r="N78" s="260" t="n">
        <v>0</v>
      </c>
      <c r="O78" s="260" t="n">
        <v>0</v>
      </c>
      <c r="P78" s="260" t="n">
        <v>0</v>
      </c>
      <c r="Q78" s="260" t="n">
        <v>0</v>
      </c>
      <c r="R78" s="260" t="n">
        <v>0</v>
      </c>
      <c r="S78" s="260" t="n">
        <v>0</v>
      </c>
      <c r="T78" s="260" t="n">
        <v>0</v>
      </c>
      <c r="U78" s="260" t="n">
        <v>0</v>
      </c>
      <c r="V78" s="260" t="n">
        <v>0</v>
      </c>
    </row>
    <row r="79" customFormat="false" ht="12.75" hidden="false" customHeight="false" outlineLevel="0" collapsed="false">
      <c r="A79" s="0" t="n">
        <f aca="false">Summary!A46</f>
        <v>30</v>
      </c>
      <c r="B79" s="0" t="s">
        <v>99</v>
      </c>
      <c r="C79" s="260" t="n">
        <v>0</v>
      </c>
      <c r="D79" s="260" t="n">
        <v>0</v>
      </c>
      <c r="E79" s="260" t="n">
        <v>0</v>
      </c>
      <c r="F79" s="260" t="n">
        <v>0</v>
      </c>
      <c r="G79" s="260" t="n">
        <v>0</v>
      </c>
      <c r="H79" s="260" t="n">
        <v>0</v>
      </c>
      <c r="I79" s="260" t="n">
        <v>0</v>
      </c>
      <c r="J79" s="260" t="n">
        <v>0</v>
      </c>
      <c r="K79" s="260" t="n">
        <v>0</v>
      </c>
      <c r="L79" s="260" t="n">
        <v>0</v>
      </c>
      <c r="M79" s="260" t="n">
        <v>0</v>
      </c>
      <c r="N79" s="260" t="n">
        <v>0</v>
      </c>
      <c r="O79" s="260" t="n">
        <v>0</v>
      </c>
      <c r="P79" s="260" t="n">
        <v>0</v>
      </c>
      <c r="Q79" s="260" t="n">
        <v>0</v>
      </c>
      <c r="R79" s="260" t="n">
        <v>0</v>
      </c>
      <c r="S79" s="260" t="n">
        <v>0</v>
      </c>
      <c r="T79" s="260" t="n">
        <v>0</v>
      </c>
      <c r="U79" s="260" t="n">
        <v>0</v>
      </c>
      <c r="V79" s="260" t="n">
        <v>0</v>
      </c>
    </row>
    <row r="80" customFormat="false" ht="12.75" hidden="false" customHeight="false" outlineLevel="0" collapsed="false">
      <c r="A80" s="0" t="n">
        <f aca="false">Summary!A47</f>
        <v>31</v>
      </c>
      <c r="B80" s="0" t="s">
        <v>100</v>
      </c>
      <c r="C80" s="260" t="n">
        <v>0</v>
      </c>
      <c r="D80" s="260" t="n">
        <v>0</v>
      </c>
      <c r="E80" s="260" t="n">
        <v>0</v>
      </c>
      <c r="F80" s="260" t="n">
        <v>0</v>
      </c>
      <c r="G80" s="260" t="n">
        <v>0</v>
      </c>
      <c r="H80" s="260" t="n">
        <v>0</v>
      </c>
      <c r="I80" s="260" t="n">
        <v>0</v>
      </c>
      <c r="J80" s="260" t="n">
        <v>0</v>
      </c>
      <c r="K80" s="260" t="n">
        <v>0</v>
      </c>
      <c r="L80" s="260" t="n">
        <v>0</v>
      </c>
      <c r="M80" s="260" t="n">
        <v>0</v>
      </c>
      <c r="N80" s="260" t="n">
        <v>0</v>
      </c>
      <c r="O80" s="260" t="n">
        <v>0</v>
      </c>
      <c r="P80" s="260" t="n">
        <v>0</v>
      </c>
      <c r="Q80" s="260" t="n">
        <v>0</v>
      </c>
      <c r="R80" s="260" t="n">
        <v>0</v>
      </c>
      <c r="S80" s="260" t="n">
        <v>0</v>
      </c>
      <c r="T80" s="260" t="n">
        <v>0</v>
      </c>
      <c r="U80" s="260" t="n">
        <v>0</v>
      </c>
      <c r="V80" s="260" t="n">
        <v>0</v>
      </c>
    </row>
    <row r="81" customFormat="false" ht="12.75" hidden="false" customHeight="false" outlineLevel="0" collapsed="false">
      <c r="A81" s="0" t="n">
        <f aca="false">Summary!A48</f>
        <v>32</v>
      </c>
      <c r="B81" s="0" t="s">
        <v>101</v>
      </c>
      <c r="C81" s="260" t="n">
        <v>0</v>
      </c>
      <c r="D81" s="260" t="n">
        <v>0</v>
      </c>
      <c r="E81" s="260" t="n">
        <v>0</v>
      </c>
      <c r="F81" s="260" t="n">
        <v>0</v>
      </c>
      <c r="G81" s="260" t="n">
        <v>0</v>
      </c>
      <c r="H81" s="260" t="n">
        <v>0</v>
      </c>
      <c r="I81" s="260" t="n">
        <v>0</v>
      </c>
      <c r="J81" s="260" t="n">
        <v>0</v>
      </c>
      <c r="K81" s="260" t="n">
        <v>0</v>
      </c>
      <c r="L81" s="260" t="n">
        <v>0</v>
      </c>
      <c r="M81" s="260" t="n">
        <v>0</v>
      </c>
      <c r="N81" s="260" t="n">
        <v>0</v>
      </c>
      <c r="O81" s="260" t="n">
        <v>0</v>
      </c>
      <c r="P81" s="260" t="n">
        <v>0</v>
      </c>
      <c r="Q81" s="260" t="n">
        <v>0</v>
      </c>
      <c r="R81" s="260" t="n">
        <v>0</v>
      </c>
      <c r="S81" s="260" t="n">
        <v>0</v>
      </c>
      <c r="T81" s="260" t="n">
        <v>0</v>
      </c>
      <c r="U81" s="260" t="n">
        <v>0</v>
      </c>
      <c r="V81" s="260" t="n">
        <v>0</v>
      </c>
    </row>
    <row r="82" customFormat="false" ht="12.75" hidden="false" customHeight="false" outlineLevel="0" collapsed="false">
      <c r="A82" s="0" t="n">
        <f aca="false">Summary!A49</f>
        <v>33</v>
      </c>
      <c r="B82" s="0" t="s">
        <v>14</v>
      </c>
      <c r="C82" s="260" t="n">
        <v>0</v>
      </c>
      <c r="D82" s="260" t="n">
        <v>0</v>
      </c>
      <c r="E82" s="260" t="n">
        <v>0</v>
      </c>
      <c r="F82" s="260" t="n">
        <v>0</v>
      </c>
      <c r="G82" s="260" t="n">
        <v>0</v>
      </c>
      <c r="H82" s="260" t="n">
        <v>0</v>
      </c>
      <c r="I82" s="260" t="n">
        <v>0</v>
      </c>
      <c r="J82" s="260" t="n">
        <v>0</v>
      </c>
      <c r="K82" s="260" t="n">
        <v>0</v>
      </c>
      <c r="L82" s="260" t="n">
        <v>0</v>
      </c>
      <c r="M82" s="260" t="n">
        <v>0</v>
      </c>
      <c r="N82" s="260" t="n">
        <v>0</v>
      </c>
      <c r="O82" s="260" t="n">
        <v>0</v>
      </c>
      <c r="P82" s="260" t="n">
        <v>0</v>
      </c>
      <c r="Q82" s="260" t="n">
        <v>0</v>
      </c>
      <c r="R82" s="260" t="n">
        <v>0</v>
      </c>
      <c r="S82" s="260" t="n">
        <v>0</v>
      </c>
      <c r="T82" s="260" t="n">
        <v>0</v>
      </c>
      <c r="U82" s="260" t="n">
        <v>0</v>
      </c>
      <c r="V82" s="260" t="n">
        <v>0</v>
      </c>
    </row>
    <row r="83" customFormat="false" ht="12.75" hidden="false" customHeight="false" outlineLevel="0" collapsed="false"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customFormat="false" ht="12.75" hidden="false" customHeight="false" outlineLevel="0" collapsed="false">
      <c r="A84" s="263" t="s">
        <v>253</v>
      </c>
    </row>
    <row r="86" customFormat="false" ht="12.75" hidden="false" customHeight="false" outlineLevel="0" collapsed="false">
      <c r="C86" s="235" t="n">
        <v>2000</v>
      </c>
      <c r="D86" s="235" t="n">
        <v>2001</v>
      </c>
      <c r="E86" s="235" t="n">
        <v>2002</v>
      </c>
      <c r="F86" s="235" t="n">
        <v>2003</v>
      </c>
      <c r="G86" s="235" t="n">
        <v>2004</v>
      </c>
      <c r="H86" s="235" t="n">
        <v>2005</v>
      </c>
      <c r="I86" s="235" t="n">
        <v>2006</v>
      </c>
      <c r="J86" s="235" t="n">
        <v>2007</v>
      </c>
      <c r="K86" s="235" t="n">
        <v>2008</v>
      </c>
      <c r="L86" s="235" t="n">
        <v>2009</v>
      </c>
      <c r="M86" s="235" t="n">
        <v>2010</v>
      </c>
      <c r="N86" s="235" t="n">
        <v>2011</v>
      </c>
      <c r="O86" s="235" t="n">
        <v>2012</v>
      </c>
      <c r="P86" s="235" t="n">
        <v>2013</v>
      </c>
      <c r="Q86" s="235" t="n">
        <v>2014</v>
      </c>
      <c r="R86" s="235" t="n">
        <v>2015</v>
      </c>
      <c r="S86" s="235" t="n">
        <v>2016</v>
      </c>
      <c r="T86" s="235" t="n">
        <v>2017</v>
      </c>
      <c r="U86" s="235" t="n">
        <v>2018</v>
      </c>
      <c r="V86" s="235" t="n">
        <v>2019</v>
      </c>
    </row>
    <row r="88" customFormat="false" ht="12.75" hidden="false" customHeight="false" outlineLevel="0" collapsed="false">
      <c r="A88" s="0" t="n">
        <f aca="false">Summary!A17</f>
        <v>1</v>
      </c>
      <c r="B88" s="0" t="s">
        <v>69</v>
      </c>
      <c r="C88" s="385" t="n">
        <v>0</v>
      </c>
      <c r="D88" s="385" t="n">
        <v>0</v>
      </c>
      <c r="E88" s="385" t="n">
        <v>0</v>
      </c>
      <c r="F88" s="385" t="n">
        <v>43076</v>
      </c>
      <c r="G88" s="385" t="n">
        <v>44152.9</v>
      </c>
      <c r="H88" s="385" t="n">
        <v>45256.7225</v>
      </c>
      <c r="I88" s="385" t="n">
        <v>46388.1405625</v>
      </c>
      <c r="J88" s="385" t="n">
        <v>47547.8440765625</v>
      </c>
      <c r="K88" s="385" t="n">
        <v>48736.5401784765</v>
      </c>
      <c r="L88" s="385" t="n">
        <v>49954.9536829384</v>
      </c>
      <c r="M88" s="385" t="n">
        <v>51203.8275250119</v>
      </c>
      <c r="N88" s="385" t="n">
        <v>52483.9232131372</v>
      </c>
      <c r="O88" s="385" t="n">
        <v>53796.0212934656</v>
      </c>
      <c r="P88" s="385" t="n">
        <v>55140.9218258023</v>
      </c>
      <c r="Q88" s="385" t="n">
        <v>56519.4448714473</v>
      </c>
      <c r="R88" s="385" t="n">
        <v>57932.4309932335</v>
      </c>
      <c r="S88" s="385" t="n">
        <v>59380.7417680643</v>
      </c>
      <c r="T88" s="385" t="n">
        <v>60865.2603122659</v>
      </c>
      <c r="U88" s="385" t="n">
        <v>62386.8918200726</v>
      </c>
      <c r="V88" s="385" t="n">
        <v>63946.5641155744</v>
      </c>
    </row>
    <row r="89" customFormat="false" ht="12.75" hidden="false" customHeight="false" outlineLevel="0" collapsed="false">
      <c r="A89" s="0" t="n">
        <f aca="false">Summary!A18</f>
        <v>2</v>
      </c>
      <c r="B89" s="0" t="s">
        <v>71</v>
      </c>
      <c r="C89" s="385" t="n">
        <v>0</v>
      </c>
      <c r="D89" s="385" t="n">
        <v>0</v>
      </c>
      <c r="E89" s="385" t="n">
        <v>0</v>
      </c>
      <c r="F89" s="385" t="n">
        <v>74305</v>
      </c>
      <c r="G89" s="385" t="n">
        <v>76162.625</v>
      </c>
      <c r="H89" s="385" t="n">
        <v>78066.690625</v>
      </c>
      <c r="I89" s="385" t="n">
        <v>80018.357890625</v>
      </c>
      <c r="J89" s="385" t="n">
        <v>82018.8168378906</v>
      </c>
      <c r="K89" s="385" t="n">
        <v>84069.2872588379</v>
      </c>
      <c r="L89" s="385" t="n">
        <v>86171.0194403088</v>
      </c>
      <c r="M89" s="385" t="n">
        <v>88325.2949263165</v>
      </c>
      <c r="N89" s="385" t="n">
        <v>90533.4272994744</v>
      </c>
      <c r="O89" s="385" t="n">
        <v>92796.7629819613</v>
      </c>
      <c r="P89" s="385" t="n">
        <v>95116.6820565103</v>
      </c>
      <c r="Q89" s="385" t="n">
        <v>97494.599107923</v>
      </c>
      <c r="R89" s="385" t="n">
        <v>99931.9640856211</v>
      </c>
      <c r="S89" s="385" t="n">
        <v>102430.263187762</v>
      </c>
      <c r="T89" s="385" t="n">
        <v>104991.019767456</v>
      </c>
      <c r="U89" s="385" t="n">
        <v>107615.795261642</v>
      </c>
      <c r="V89" s="385" t="n">
        <v>110306.190143183</v>
      </c>
    </row>
    <row r="90" customFormat="false" ht="12.75" hidden="false" customHeight="false" outlineLevel="0" collapsed="false">
      <c r="A90" s="0" t="n">
        <f aca="false">Summary!A19</f>
        <v>3</v>
      </c>
      <c r="B90" s="2" t="s">
        <v>72</v>
      </c>
      <c r="C90" s="385" t="n">
        <v>0</v>
      </c>
      <c r="D90" s="385" t="n">
        <v>0</v>
      </c>
      <c r="E90" s="385" t="n">
        <v>0</v>
      </c>
      <c r="F90" s="385" t="n">
        <v>41999</v>
      </c>
      <c r="G90" s="385" t="n">
        <v>43048.975</v>
      </c>
      <c r="H90" s="385" t="n">
        <v>44125.199375</v>
      </c>
      <c r="I90" s="385" t="n">
        <v>45228.329359375</v>
      </c>
      <c r="J90" s="385" t="n">
        <v>46359.0375933594</v>
      </c>
      <c r="K90" s="385" t="n">
        <v>47518.0135331933</v>
      </c>
      <c r="L90" s="385" t="n">
        <v>48705.9638715232</v>
      </c>
      <c r="M90" s="385" t="n">
        <v>49923.6129683112</v>
      </c>
      <c r="N90" s="385" t="n">
        <v>51171.703292519</v>
      </c>
      <c r="O90" s="385" t="n">
        <v>52450.995874832</v>
      </c>
      <c r="P90" s="385" t="n">
        <v>53762.2707717028</v>
      </c>
      <c r="Q90" s="385" t="n">
        <v>55106.3275409954</v>
      </c>
      <c r="R90" s="385" t="n">
        <v>56483.9857295202</v>
      </c>
      <c r="S90" s="385" t="n">
        <v>57896.0853727582</v>
      </c>
      <c r="T90" s="385" t="n">
        <v>59343.4875070772</v>
      </c>
      <c r="U90" s="385" t="n">
        <v>60827.0746947541</v>
      </c>
      <c r="V90" s="385" t="n">
        <v>62347.751562123</v>
      </c>
    </row>
    <row r="91" customFormat="false" ht="12.75" hidden="false" customHeight="false" outlineLevel="0" collapsed="false">
      <c r="A91" s="0" t="n">
        <f aca="false">Summary!A20</f>
        <v>4</v>
      </c>
      <c r="B91" s="2" t="s">
        <v>73</v>
      </c>
      <c r="C91" s="385" t="n">
        <v>0</v>
      </c>
      <c r="D91" s="385" t="n">
        <v>0</v>
      </c>
      <c r="E91" s="385" t="n">
        <v>0</v>
      </c>
      <c r="F91" s="385" t="n">
        <v>41999</v>
      </c>
      <c r="G91" s="385" t="n">
        <v>43048.975</v>
      </c>
      <c r="H91" s="385" t="n">
        <v>44125.199375</v>
      </c>
      <c r="I91" s="385" t="n">
        <v>45228.329359375</v>
      </c>
      <c r="J91" s="385" t="n">
        <v>46359.0375933594</v>
      </c>
      <c r="K91" s="385" t="n">
        <v>47518.0135331933</v>
      </c>
      <c r="L91" s="385" t="n">
        <v>48705.9638715232</v>
      </c>
      <c r="M91" s="385" t="n">
        <v>49923.6129683112</v>
      </c>
      <c r="N91" s="385" t="n">
        <v>51171.703292519</v>
      </c>
      <c r="O91" s="385" t="n">
        <v>52450.995874832</v>
      </c>
      <c r="P91" s="385" t="n">
        <v>53762.2707717028</v>
      </c>
      <c r="Q91" s="385" t="n">
        <v>55106.3275409954</v>
      </c>
      <c r="R91" s="385" t="n">
        <v>56483.9857295202</v>
      </c>
      <c r="S91" s="385" t="n">
        <v>57896.0853727582</v>
      </c>
      <c r="T91" s="385" t="n">
        <v>59343.4875070772</v>
      </c>
      <c r="U91" s="385" t="n">
        <v>60827.0746947541</v>
      </c>
      <c r="V91" s="385" t="n">
        <v>62347.751562123</v>
      </c>
    </row>
    <row r="92" customFormat="false" ht="12.75" hidden="false" customHeight="false" outlineLevel="0" collapsed="false">
      <c r="A92" s="0" t="n">
        <f aca="false">Summary!A21</f>
        <v>5</v>
      </c>
      <c r="B92" s="2" t="s">
        <v>74</v>
      </c>
      <c r="C92" s="385" t="n">
        <v>0</v>
      </c>
      <c r="D92" s="385" t="n">
        <v>0</v>
      </c>
      <c r="E92" s="385" t="n">
        <v>0</v>
      </c>
      <c r="F92" s="385" t="n">
        <v>41999</v>
      </c>
      <c r="G92" s="385" t="n">
        <v>43048.975</v>
      </c>
      <c r="H92" s="385" t="n">
        <v>44125.199375</v>
      </c>
      <c r="I92" s="385" t="n">
        <v>45228.329359375</v>
      </c>
      <c r="J92" s="385" t="n">
        <v>46359.0375933594</v>
      </c>
      <c r="K92" s="385" t="n">
        <v>47518.0135331933</v>
      </c>
      <c r="L92" s="385" t="n">
        <v>48705.9638715232</v>
      </c>
      <c r="M92" s="385" t="n">
        <v>49923.6129683112</v>
      </c>
      <c r="N92" s="385" t="n">
        <v>51171.703292519</v>
      </c>
      <c r="O92" s="385" t="n">
        <v>52450.995874832</v>
      </c>
      <c r="P92" s="385" t="n">
        <v>53762.2707717028</v>
      </c>
      <c r="Q92" s="385" t="n">
        <v>55106.3275409954</v>
      </c>
      <c r="R92" s="385" t="n">
        <v>56483.9857295202</v>
      </c>
      <c r="S92" s="385" t="n">
        <v>57896.0853727582</v>
      </c>
      <c r="T92" s="385" t="n">
        <v>59343.4875070772</v>
      </c>
      <c r="U92" s="385" t="n">
        <v>60827.0746947541</v>
      </c>
      <c r="V92" s="385" t="n">
        <v>62347.751562123</v>
      </c>
    </row>
    <row r="93" customFormat="false" ht="12.75" hidden="false" customHeight="false" outlineLevel="0" collapsed="false">
      <c r="A93" s="0" t="n">
        <f aca="false">Summary!A22</f>
        <v>6</v>
      </c>
      <c r="B93" s="2" t="s">
        <v>75</v>
      </c>
      <c r="C93" s="385" t="n">
        <v>0</v>
      </c>
      <c r="D93" s="385" t="n">
        <v>0</v>
      </c>
      <c r="E93" s="385" t="n">
        <v>0</v>
      </c>
      <c r="F93" s="385" t="n">
        <v>41999</v>
      </c>
      <c r="G93" s="385" t="n">
        <v>43048.975</v>
      </c>
      <c r="H93" s="385" t="n">
        <v>44125.199375</v>
      </c>
      <c r="I93" s="385" t="n">
        <v>45228.329359375</v>
      </c>
      <c r="J93" s="385" t="n">
        <v>46359.0375933594</v>
      </c>
      <c r="K93" s="385" t="n">
        <v>47518.0135331933</v>
      </c>
      <c r="L93" s="385" t="n">
        <v>48705.9638715232</v>
      </c>
      <c r="M93" s="385" t="n">
        <v>49923.6129683112</v>
      </c>
      <c r="N93" s="385" t="n">
        <v>51171.703292519</v>
      </c>
      <c r="O93" s="385" t="n">
        <v>52450.995874832</v>
      </c>
      <c r="P93" s="385" t="n">
        <v>53762.2707717028</v>
      </c>
      <c r="Q93" s="385" t="n">
        <v>55106.3275409954</v>
      </c>
      <c r="R93" s="385" t="n">
        <v>56483.9857295202</v>
      </c>
      <c r="S93" s="385" t="n">
        <v>57896.0853727582</v>
      </c>
      <c r="T93" s="385" t="n">
        <v>59343.4875070772</v>
      </c>
      <c r="U93" s="385" t="n">
        <v>60827.0746947541</v>
      </c>
      <c r="V93" s="385" t="n">
        <v>62347.751562123</v>
      </c>
    </row>
    <row r="94" customFormat="false" ht="12.75" hidden="false" customHeight="false" outlineLevel="0" collapsed="false">
      <c r="A94" s="0" t="n">
        <f aca="false">Summary!A23</f>
        <v>7</v>
      </c>
      <c r="B94" s="0" t="s">
        <v>76</v>
      </c>
      <c r="C94" s="385" t="n">
        <v>0</v>
      </c>
      <c r="D94" s="385" t="n">
        <v>0</v>
      </c>
      <c r="E94" s="385" t="n">
        <v>0</v>
      </c>
      <c r="F94" s="385" t="n">
        <v>35537</v>
      </c>
      <c r="G94" s="385" t="n">
        <v>36425.425</v>
      </c>
      <c r="H94" s="385" t="n">
        <v>37336.060625</v>
      </c>
      <c r="I94" s="385" t="n">
        <v>38269.462140625</v>
      </c>
      <c r="J94" s="385" t="n">
        <v>39226.1986941406</v>
      </c>
      <c r="K94" s="385" t="n">
        <v>40206.8536614941</v>
      </c>
      <c r="L94" s="385" t="n">
        <v>41212.0250030315</v>
      </c>
      <c r="M94" s="385" t="n">
        <v>42242.3256281073</v>
      </c>
      <c r="N94" s="385" t="n">
        <v>43298.3837688099</v>
      </c>
      <c r="O94" s="385" t="n">
        <v>44380.8433630302</v>
      </c>
      <c r="P94" s="385" t="n">
        <v>45490.3644471059</v>
      </c>
      <c r="Q94" s="385" t="n">
        <v>46627.6235582836</v>
      </c>
      <c r="R94" s="385" t="n">
        <v>47793.3141472407</v>
      </c>
      <c r="S94" s="385" t="n">
        <v>48988.1470009217</v>
      </c>
      <c r="T94" s="385" t="n">
        <v>50212.8506759447</v>
      </c>
      <c r="U94" s="385" t="n">
        <v>51468.1719428433</v>
      </c>
      <c r="V94" s="385" t="n">
        <v>52754.8762414144</v>
      </c>
    </row>
    <row r="95" customFormat="false" ht="12.75" hidden="false" customHeight="false" outlineLevel="0" collapsed="false">
      <c r="A95" s="0" t="n">
        <f aca="false">Summary!A24</f>
        <v>8</v>
      </c>
      <c r="B95" s="0" t="s">
        <v>77</v>
      </c>
      <c r="C95" s="385" t="n">
        <v>0</v>
      </c>
      <c r="D95" s="385" t="n">
        <v>0</v>
      </c>
      <c r="E95" s="385" t="n">
        <v>0</v>
      </c>
      <c r="F95" s="385" t="n">
        <v>0</v>
      </c>
      <c r="G95" s="385" t="n">
        <v>0</v>
      </c>
      <c r="H95" s="385" t="n">
        <v>0</v>
      </c>
      <c r="I95" s="385" t="n">
        <v>0</v>
      </c>
      <c r="J95" s="385" t="n">
        <v>0</v>
      </c>
      <c r="K95" s="385" t="n">
        <v>0</v>
      </c>
      <c r="L95" s="385" t="n">
        <v>0</v>
      </c>
      <c r="M95" s="385" t="n">
        <v>0</v>
      </c>
      <c r="N95" s="385" t="n">
        <v>0</v>
      </c>
      <c r="O95" s="385" t="n">
        <v>0</v>
      </c>
      <c r="P95" s="385" t="n">
        <v>0</v>
      </c>
      <c r="Q95" s="385" t="n">
        <v>0</v>
      </c>
      <c r="R95" s="385" t="n">
        <v>0</v>
      </c>
      <c r="S95" s="385" t="n">
        <v>0</v>
      </c>
      <c r="T95" s="385" t="n">
        <v>0</v>
      </c>
      <c r="U95" s="385" t="n">
        <v>0</v>
      </c>
      <c r="V95" s="385" t="n">
        <v>0</v>
      </c>
    </row>
    <row r="96" customFormat="false" ht="12.75" hidden="false" customHeight="false" outlineLevel="0" collapsed="false">
      <c r="A96" s="0" t="n">
        <f aca="false">Summary!A25</f>
        <v>9</v>
      </c>
      <c r="B96" s="0" t="s">
        <v>78</v>
      </c>
      <c r="C96" s="385" t="n">
        <v>0</v>
      </c>
      <c r="D96" s="385" t="n">
        <v>0</v>
      </c>
      <c r="E96" s="385" t="n">
        <v>0</v>
      </c>
      <c r="F96" s="385" t="n">
        <v>0</v>
      </c>
      <c r="G96" s="385" t="n">
        <v>0</v>
      </c>
      <c r="H96" s="385" t="n">
        <v>0</v>
      </c>
      <c r="I96" s="385" t="n">
        <v>0</v>
      </c>
      <c r="J96" s="385" t="n">
        <v>0</v>
      </c>
      <c r="K96" s="385" t="n">
        <v>0</v>
      </c>
      <c r="L96" s="385" t="n">
        <v>0</v>
      </c>
      <c r="M96" s="385" t="n">
        <v>0</v>
      </c>
      <c r="N96" s="385" t="n">
        <v>0</v>
      </c>
      <c r="O96" s="385" t="n">
        <v>0</v>
      </c>
      <c r="P96" s="385" t="n">
        <v>0</v>
      </c>
      <c r="Q96" s="385" t="n">
        <v>0</v>
      </c>
      <c r="R96" s="385" t="n">
        <v>0</v>
      </c>
      <c r="S96" s="385" t="n">
        <v>0</v>
      </c>
      <c r="T96" s="385" t="n">
        <v>0</v>
      </c>
      <c r="U96" s="385" t="n">
        <v>0</v>
      </c>
      <c r="V96" s="385" t="n">
        <v>0</v>
      </c>
    </row>
    <row r="97" customFormat="false" ht="12.75" hidden="false" customHeight="false" outlineLevel="0" collapsed="false">
      <c r="A97" s="0" t="n">
        <f aca="false">Summary!A26</f>
        <v>10</v>
      </c>
      <c r="B97" s="0" t="s">
        <v>79</v>
      </c>
      <c r="C97" s="385" t="n">
        <v>0</v>
      </c>
      <c r="D97" s="385" t="n">
        <v>0</v>
      </c>
      <c r="E97" s="385" t="n">
        <v>0</v>
      </c>
      <c r="F97" s="385" t="n">
        <v>68921</v>
      </c>
      <c r="G97" s="385" t="n">
        <v>70644.025</v>
      </c>
      <c r="H97" s="385" t="n">
        <v>72410.125625</v>
      </c>
      <c r="I97" s="385" t="n">
        <v>74220.378765625</v>
      </c>
      <c r="J97" s="385" t="n">
        <v>76075.8882347656</v>
      </c>
      <c r="K97" s="385" t="n">
        <v>77977.7854406347</v>
      </c>
      <c r="L97" s="385" t="n">
        <v>79927.2300766506</v>
      </c>
      <c r="M97" s="385" t="n">
        <v>81925.4108285668</v>
      </c>
      <c r="N97" s="385" t="n">
        <v>83973.546099281</v>
      </c>
      <c r="O97" s="385" t="n">
        <v>86072.884751763</v>
      </c>
      <c r="P97" s="385" t="n">
        <v>88224.7068705571</v>
      </c>
      <c r="Q97" s="385" t="n">
        <v>90430.324542321</v>
      </c>
      <c r="R97" s="385" t="n">
        <v>92691.082655879</v>
      </c>
      <c r="S97" s="385" t="n">
        <v>95008.359722276</v>
      </c>
      <c r="T97" s="385" t="n">
        <v>97383.5687153329</v>
      </c>
      <c r="U97" s="385" t="n">
        <v>99818.1579332162</v>
      </c>
      <c r="V97" s="385" t="n">
        <v>102313.611881547</v>
      </c>
    </row>
    <row r="98" customFormat="false" ht="12.75" hidden="false" customHeight="false" outlineLevel="0" collapsed="false">
      <c r="A98" s="0" t="n">
        <f aca="false">Summary!A27</f>
        <v>11</v>
      </c>
      <c r="B98" s="0" t="s">
        <v>80</v>
      </c>
      <c r="C98" s="385" t="n">
        <v>0</v>
      </c>
      <c r="D98" s="385" t="n">
        <v>0</v>
      </c>
      <c r="E98" s="385" t="n">
        <v>0</v>
      </c>
      <c r="F98" s="385" t="n">
        <v>68921</v>
      </c>
      <c r="G98" s="385" t="n">
        <v>70644.025</v>
      </c>
      <c r="H98" s="385" t="n">
        <v>72410.125625</v>
      </c>
      <c r="I98" s="385" t="n">
        <v>74220.378765625</v>
      </c>
      <c r="J98" s="385" t="n">
        <v>76075.8882347656</v>
      </c>
      <c r="K98" s="385" t="n">
        <v>77977.7854406347</v>
      </c>
      <c r="L98" s="385" t="n">
        <v>79927.2300766506</v>
      </c>
      <c r="M98" s="385" t="n">
        <v>81925.4108285668</v>
      </c>
      <c r="N98" s="385" t="n">
        <v>83973.546099281</v>
      </c>
      <c r="O98" s="385" t="n">
        <v>86072.884751763</v>
      </c>
      <c r="P98" s="385" t="n">
        <v>88224.7068705571</v>
      </c>
      <c r="Q98" s="385" t="n">
        <v>90430.324542321</v>
      </c>
      <c r="R98" s="385" t="n">
        <v>92691.082655879</v>
      </c>
      <c r="S98" s="385" t="n">
        <v>95008.359722276</v>
      </c>
      <c r="T98" s="385" t="n">
        <v>97383.5687153329</v>
      </c>
      <c r="U98" s="385" t="n">
        <v>99818.1579332162</v>
      </c>
      <c r="V98" s="385" t="n">
        <v>102313.611881547</v>
      </c>
    </row>
    <row r="99" customFormat="false" ht="12.75" hidden="false" customHeight="false" outlineLevel="0" collapsed="false">
      <c r="A99" s="0" t="n">
        <f aca="false">Summary!A28</f>
        <v>12</v>
      </c>
      <c r="B99" s="0" t="s">
        <v>81</v>
      </c>
      <c r="C99" s="385" t="n">
        <v>0</v>
      </c>
      <c r="D99" s="385" t="n">
        <v>0</v>
      </c>
      <c r="E99" s="385" t="n">
        <v>0</v>
      </c>
      <c r="F99" s="385" t="n">
        <v>0</v>
      </c>
      <c r="G99" s="385" t="n">
        <v>0</v>
      </c>
      <c r="H99" s="385" t="n">
        <v>0</v>
      </c>
      <c r="I99" s="385" t="n">
        <v>0</v>
      </c>
      <c r="J99" s="385" t="n">
        <v>0</v>
      </c>
      <c r="K99" s="385" t="n">
        <v>0</v>
      </c>
      <c r="L99" s="385" t="n">
        <v>0</v>
      </c>
      <c r="M99" s="385" t="n">
        <v>0</v>
      </c>
      <c r="N99" s="385" t="n">
        <v>0</v>
      </c>
      <c r="O99" s="385" t="n">
        <v>0</v>
      </c>
      <c r="P99" s="385" t="n">
        <v>0</v>
      </c>
      <c r="Q99" s="385" t="n">
        <v>0</v>
      </c>
      <c r="R99" s="385" t="n">
        <v>0</v>
      </c>
      <c r="S99" s="385" t="n">
        <v>0</v>
      </c>
      <c r="T99" s="385" t="n">
        <v>0</v>
      </c>
      <c r="U99" s="385" t="n">
        <v>0</v>
      </c>
      <c r="V99" s="385" t="n">
        <v>0</v>
      </c>
    </row>
    <row r="100" customFormat="false" ht="12.75" hidden="false" customHeight="false" outlineLevel="0" collapsed="false">
      <c r="A100" s="0" t="n">
        <f aca="false">Summary!A29</f>
        <v>13</v>
      </c>
      <c r="B100" s="0" t="s">
        <v>82</v>
      </c>
      <c r="C100" s="385" t="n">
        <v>0</v>
      </c>
      <c r="D100" s="385" t="n">
        <v>0</v>
      </c>
      <c r="E100" s="385" t="n">
        <v>0</v>
      </c>
      <c r="F100" s="385" t="n">
        <v>0</v>
      </c>
      <c r="G100" s="385" t="n">
        <v>0</v>
      </c>
      <c r="H100" s="385" t="n">
        <v>0</v>
      </c>
      <c r="I100" s="385" t="n">
        <v>0</v>
      </c>
      <c r="J100" s="385" t="n">
        <v>0</v>
      </c>
      <c r="K100" s="385" t="n">
        <v>0</v>
      </c>
      <c r="L100" s="385" t="n">
        <v>0</v>
      </c>
      <c r="M100" s="385" t="n">
        <v>0</v>
      </c>
      <c r="N100" s="385" t="n">
        <v>0</v>
      </c>
      <c r="O100" s="385" t="n">
        <v>0</v>
      </c>
      <c r="P100" s="385" t="n">
        <v>0</v>
      </c>
      <c r="Q100" s="385" t="n">
        <v>0</v>
      </c>
      <c r="R100" s="385" t="n">
        <v>0</v>
      </c>
      <c r="S100" s="385" t="n">
        <v>0</v>
      </c>
      <c r="T100" s="385" t="n">
        <v>0</v>
      </c>
      <c r="U100" s="385" t="n">
        <v>0</v>
      </c>
      <c r="V100" s="385" t="n">
        <v>0</v>
      </c>
    </row>
    <row r="101" customFormat="false" ht="12.75" hidden="false" customHeight="false" outlineLevel="0" collapsed="false">
      <c r="A101" s="0" t="n">
        <f aca="false">Summary!A30</f>
        <v>14</v>
      </c>
      <c r="B101" s="0" t="s">
        <v>83</v>
      </c>
      <c r="C101" s="385" t="n">
        <v>0</v>
      </c>
      <c r="D101" s="385" t="n">
        <v>0</v>
      </c>
      <c r="E101" s="385" t="n">
        <v>0</v>
      </c>
      <c r="F101" s="385" t="n">
        <v>0</v>
      </c>
      <c r="G101" s="385" t="n">
        <v>0</v>
      </c>
      <c r="H101" s="385" t="n">
        <v>0</v>
      </c>
      <c r="I101" s="385" t="n">
        <v>0</v>
      </c>
      <c r="J101" s="385" t="n">
        <v>0</v>
      </c>
      <c r="K101" s="385" t="n">
        <v>0</v>
      </c>
      <c r="L101" s="385" t="n">
        <v>0</v>
      </c>
      <c r="M101" s="385" t="n">
        <v>0</v>
      </c>
      <c r="N101" s="385" t="n">
        <v>0</v>
      </c>
      <c r="O101" s="385" t="n">
        <v>0</v>
      </c>
      <c r="P101" s="385" t="n">
        <v>0</v>
      </c>
      <c r="Q101" s="385" t="n">
        <v>0</v>
      </c>
      <c r="R101" s="385" t="n">
        <v>0</v>
      </c>
      <c r="S101" s="385" t="n">
        <v>0</v>
      </c>
      <c r="T101" s="385" t="n">
        <v>0</v>
      </c>
      <c r="U101" s="385" t="n">
        <v>0</v>
      </c>
      <c r="V101" s="385" t="n">
        <v>0</v>
      </c>
    </row>
    <row r="102" customFormat="false" ht="12.75" hidden="false" customHeight="false" outlineLevel="0" collapsed="false">
      <c r="A102" s="0" t="n">
        <f aca="false">Summary!A31</f>
        <v>15</v>
      </c>
      <c r="B102" s="0" t="s">
        <v>84</v>
      </c>
      <c r="C102" s="385" t="n">
        <v>0</v>
      </c>
      <c r="D102" s="385" t="n">
        <v>0</v>
      </c>
      <c r="E102" s="385" t="n">
        <v>0</v>
      </c>
      <c r="F102" s="385" t="n">
        <v>0</v>
      </c>
      <c r="G102" s="385" t="n">
        <v>0</v>
      </c>
      <c r="H102" s="385" t="n">
        <v>0</v>
      </c>
      <c r="I102" s="385" t="n">
        <v>0</v>
      </c>
      <c r="J102" s="385" t="n">
        <v>0</v>
      </c>
      <c r="K102" s="385" t="n">
        <v>0</v>
      </c>
      <c r="L102" s="385" t="n">
        <v>0</v>
      </c>
      <c r="M102" s="385" t="n">
        <v>0</v>
      </c>
      <c r="N102" s="385" t="n">
        <v>0</v>
      </c>
      <c r="O102" s="385" t="n">
        <v>0</v>
      </c>
      <c r="P102" s="385" t="n">
        <v>0</v>
      </c>
      <c r="Q102" s="385" t="n">
        <v>0</v>
      </c>
      <c r="R102" s="385" t="n">
        <v>0</v>
      </c>
      <c r="S102" s="385" t="n">
        <v>0</v>
      </c>
      <c r="T102" s="385" t="n">
        <v>0</v>
      </c>
      <c r="U102" s="385" t="n">
        <v>0</v>
      </c>
      <c r="V102" s="385" t="n">
        <v>0</v>
      </c>
    </row>
    <row r="103" customFormat="false" ht="12.75" hidden="false" customHeight="false" outlineLevel="0" collapsed="false">
      <c r="A103" s="0" t="n">
        <f aca="false">Summary!A32</f>
        <v>16</v>
      </c>
      <c r="B103" s="0" t="s">
        <v>85</v>
      </c>
      <c r="C103" s="385" t="n">
        <v>0</v>
      </c>
      <c r="D103" s="385" t="n">
        <v>0</v>
      </c>
      <c r="E103" s="385" t="n">
        <v>0</v>
      </c>
      <c r="F103" s="385" t="n">
        <v>0</v>
      </c>
      <c r="G103" s="385" t="n">
        <v>0</v>
      </c>
      <c r="H103" s="385" t="n">
        <v>0</v>
      </c>
      <c r="I103" s="385" t="n">
        <v>0</v>
      </c>
      <c r="J103" s="385" t="n">
        <v>0</v>
      </c>
      <c r="K103" s="385" t="n">
        <v>0</v>
      </c>
      <c r="L103" s="385" t="n">
        <v>0</v>
      </c>
      <c r="M103" s="385" t="n">
        <v>0</v>
      </c>
      <c r="N103" s="385" t="n">
        <v>0</v>
      </c>
      <c r="O103" s="385" t="n">
        <v>0</v>
      </c>
      <c r="P103" s="385" t="n">
        <v>0</v>
      </c>
      <c r="Q103" s="385" t="n">
        <v>0</v>
      </c>
      <c r="R103" s="385" t="n">
        <v>0</v>
      </c>
      <c r="S103" s="385" t="n">
        <v>0</v>
      </c>
      <c r="T103" s="385" t="n">
        <v>0</v>
      </c>
      <c r="U103" s="385" t="n">
        <v>0</v>
      </c>
      <c r="V103" s="385" t="n">
        <v>0</v>
      </c>
    </row>
    <row r="104" customFormat="false" ht="12.75" hidden="false" customHeight="false" outlineLevel="0" collapsed="false">
      <c r="A104" s="0" t="n">
        <f aca="false">Summary!A33</f>
        <v>17</v>
      </c>
      <c r="B104" s="0" t="s">
        <v>86</v>
      </c>
      <c r="C104" s="385" t="n">
        <v>0</v>
      </c>
      <c r="D104" s="385" t="n">
        <v>0</v>
      </c>
      <c r="E104" s="385" t="n">
        <v>0</v>
      </c>
      <c r="F104" s="385" t="n">
        <v>0</v>
      </c>
      <c r="G104" s="385" t="n">
        <v>0</v>
      </c>
      <c r="H104" s="385" t="n">
        <v>0</v>
      </c>
      <c r="I104" s="385" t="n">
        <v>0</v>
      </c>
      <c r="J104" s="385" t="n">
        <v>0</v>
      </c>
      <c r="K104" s="385" t="n">
        <v>0</v>
      </c>
      <c r="L104" s="385" t="n">
        <v>0</v>
      </c>
      <c r="M104" s="385" t="n">
        <v>0</v>
      </c>
      <c r="N104" s="385" t="n">
        <v>0</v>
      </c>
      <c r="O104" s="385" t="n">
        <v>0</v>
      </c>
      <c r="P104" s="385" t="n">
        <v>0</v>
      </c>
      <c r="Q104" s="385" t="n">
        <v>0</v>
      </c>
      <c r="R104" s="385" t="n">
        <v>0</v>
      </c>
      <c r="S104" s="385" t="n">
        <v>0</v>
      </c>
      <c r="T104" s="385" t="n">
        <v>0</v>
      </c>
      <c r="U104" s="385" t="n">
        <v>0</v>
      </c>
      <c r="V104" s="385" t="n">
        <v>0</v>
      </c>
    </row>
    <row r="105" customFormat="false" ht="12.75" hidden="false" customHeight="false" outlineLevel="0" collapsed="false">
      <c r="A105" s="0" t="n">
        <f aca="false">Summary!A34</f>
        <v>18</v>
      </c>
      <c r="B105" s="0" t="s">
        <v>87</v>
      </c>
      <c r="C105" s="385" t="n">
        <v>0</v>
      </c>
      <c r="D105" s="385" t="n">
        <v>0</v>
      </c>
      <c r="E105" s="385" t="n">
        <v>0</v>
      </c>
      <c r="F105" s="385" t="n">
        <v>52768</v>
      </c>
      <c r="G105" s="385" t="n">
        <v>54087.2</v>
      </c>
      <c r="H105" s="385" t="n">
        <v>55439.38</v>
      </c>
      <c r="I105" s="385" t="n">
        <v>56825.3645</v>
      </c>
      <c r="J105" s="385" t="n">
        <v>58245.9986125</v>
      </c>
      <c r="K105" s="385" t="n">
        <v>59702.1485778125</v>
      </c>
      <c r="L105" s="385" t="n">
        <v>61194.7022922578</v>
      </c>
      <c r="M105" s="385" t="n">
        <v>62724.5698495642</v>
      </c>
      <c r="N105" s="385" t="n">
        <v>64292.6840958033</v>
      </c>
      <c r="O105" s="385" t="n">
        <v>65900.0011981984</v>
      </c>
      <c r="P105" s="385" t="n">
        <v>67547.5012281533</v>
      </c>
      <c r="Q105" s="385" t="n">
        <v>69236.1887588572</v>
      </c>
      <c r="R105" s="385" t="n">
        <v>70967.0934778286</v>
      </c>
      <c r="S105" s="385" t="n">
        <v>72741.2708147743</v>
      </c>
      <c r="T105" s="385" t="n">
        <v>74559.8025851437</v>
      </c>
      <c r="U105" s="385" t="n">
        <v>76423.7976497722</v>
      </c>
      <c r="V105" s="385" t="n">
        <v>78334.3925910165</v>
      </c>
    </row>
    <row r="106" customFormat="false" ht="12.75" hidden="false" customHeight="false" outlineLevel="0" collapsed="false">
      <c r="A106" s="0" t="n">
        <f aca="false">Summary!A35</f>
        <v>19</v>
      </c>
      <c r="B106" s="0" t="s">
        <v>88</v>
      </c>
      <c r="C106" s="385" t="n">
        <v>0</v>
      </c>
      <c r="D106" s="385" t="n">
        <v>0</v>
      </c>
      <c r="E106" s="385" t="n">
        <v>0</v>
      </c>
      <c r="F106" s="385" t="n">
        <v>0</v>
      </c>
      <c r="G106" s="385" t="n">
        <v>0</v>
      </c>
      <c r="H106" s="385" t="n">
        <v>0</v>
      </c>
      <c r="I106" s="385" t="n">
        <v>0</v>
      </c>
      <c r="J106" s="385" t="n">
        <v>0</v>
      </c>
      <c r="K106" s="385" t="n">
        <v>0</v>
      </c>
      <c r="L106" s="385" t="n">
        <v>0</v>
      </c>
      <c r="M106" s="385" t="n">
        <v>0</v>
      </c>
      <c r="N106" s="385" t="n">
        <v>0</v>
      </c>
      <c r="O106" s="385" t="n">
        <v>0</v>
      </c>
      <c r="P106" s="385" t="n">
        <v>0</v>
      </c>
      <c r="Q106" s="385" t="n">
        <v>0</v>
      </c>
      <c r="R106" s="385" t="n">
        <v>0</v>
      </c>
      <c r="S106" s="385" t="n">
        <v>0</v>
      </c>
      <c r="T106" s="385" t="n">
        <v>0</v>
      </c>
      <c r="U106" s="385" t="n">
        <v>0</v>
      </c>
      <c r="V106" s="385" t="n">
        <v>0</v>
      </c>
    </row>
    <row r="107" customFormat="false" ht="12.75" hidden="false" customHeight="false" outlineLevel="0" collapsed="false">
      <c r="A107" s="0" t="n">
        <f aca="false">Summary!A36</f>
        <v>20</v>
      </c>
      <c r="B107" s="0" t="s">
        <v>89</v>
      </c>
      <c r="C107" s="385" t="n">
        <v>0</v>
      </c>
      <c r="D107" s="385" t="n">
        <v>0</v>
      </c>
      <c r="E107" s="385" t="n">
        <v>0</v>
      </c>
      <c r="F107" s="385" t="n">
        <v>0</v>
      </c>
      <c r="G107" s="385" t="n">
        <v>0</v>
      </c>
      <c r="H107" s="385" t="n">
        <v>0</v>
      </c>
      <c r="I107" s="385" t="n">
        <v>0</v>
      </c>
      <c r="J107" s="385" t="n">
        <v>0</v>
      </c>
      <c r="K107" s="385" t="n">
        <v>0</v>
      </c>
      <c r="L107" s="385" t="n">
        <v>0</v>
      </c>
      <c r="M107" s="385" t="n">
        <v>0</v>
      </c>
      <c r="N107" s="385" t="n">
        <v>0</v>
      </c>
      <c r="O107" s="385" t="n">
        <v>0</v>
      </c>
      <c r="P107" s="385" t="n">
        <v>0</v>
      </c>
      <c r="Q107" s="385" t="n">
        <v>0</v>
      </c>
      <c r="R107" s="385" t="n">
        <v>0</v>
      </c>
      <c r="S107" s="385" t="n">
        <v>0</v>
      </c>
      <c r="T107" s="385" t="n">
        <v>0</v>
      </c>
      <c r="U107" s="385" t="n">
        <v>0</v>
      </c>
      <c r="V107" s="385" t="n">
        <v>0</v>
      </c>
    </row>
    <row r="108" customFormat="false" ht="12.75" hidden="false" customHeight="false" outlineLevel="0" collapsed="false">
      <c r="A108" s="0" t="n">
        <f aca="false">Summary!A37</f>
        <v>21</v>
      </c>
      <c r="B108" s="0" t="s">
        <v>90</v>
      </c>
      <c r="C108" s="385" t="n">
        <v>0</v>
      </c>
      <c r="D108" s="385" t="n">
        <v>0</v>
      </c>
      <c r="E108" s="385" t="n">
        <v>0</v>
      </c>
      <c r="F108" s="385" t="n">
        <v>0</v>
      </c>
      <c r="G108" s="385" t="n">
        <v>0</v>
      </c>
      <c r="H108" s="385" t="n">
        <v>0</v>
      </c>
      <c r="I108" s="385" t="n">
        <v>0</v>
      </c>
      <c r="J108" s="385" t="n">
        <v>0</v>
      </c>
      <c r="K108" s="385" t="n">
        <v>0</v>
      </c>
      <c r="L108" s="385" t="n">
        <v>0</v>
      </c>
      <c r="M108" s="385" t="n">
        <v>0</v>
      </c>
      <c r="N108" s="385" t="n">
        <v>0</v>
      </c>
      <c r="O108" s="385" t="n">
        <v>0</v>
      </c>
      <c r="P108" s="385" t="n">
        <v>0</v>
      </c>
      <c r="Q108" s="385" t="n">
        <v>0</v>
      </c>
      <c r="R108" s="385" t="n">
        <v>0</v>
      </c>
      <c r="S108" s="385" t="n">
        <v>0</v>
      </c>
      <c r="T108" s="385" t="n">
        <v>0</v>
      </c>
      <c r="U108" s="385" t="n">
        <v>0</v>
      </c>
      <c r="V108" s="385" t="n">
        <v>0</v>
      </c>
    </row>
    <row r="109" customFormat="false" ht="12.75" hidden="false" customHeight="false" outlineLevel="0" collapsed="false">
      <c r="A109" s="0" t="n">
        <f aca="false">Summary!A38</f>
        <v>22</v>
      </c>
      <c r="B109" s="0" t="s">
        <v>91</v>
      </c>
      <c r="C109" s="385" t="n">
        <v>0</v>
      </c>
      <c r="D109" s="385" t="n">
        <v>0</v>
      </c>
      <c r="E109" s="385" t="n">
        <v>0</v>
      </c>
      <c r="F109" s="385" t="n">
        <v>0</v>
      </c>
      <c r="G109" s="385" t="n">
        <v>0</v>
      </c>
      <c r="H109" s="385" t="n">
        <v>0</v>
      </c>
      <c r="I109" s="385" t="n">
        <v>0</v>
      </c>
      <c r="J109" s="385" t="n">
        <v>0</v>
      </c>
      <c r="K109" s="385" t="n">
        <v>0</v>
      </c>
      <c r="L109" s="385" t="n">
        <v>0</v>
      </c>
      <c r="M109" s="385" t="n">
        <v>0</v>
      </c>
      <c r="N109" s="385" t="n">
        <v>0</v>
      </c>
      <c r="O109" s="385" t="n">
        <v>0</v>
      </c>
      <c r="P109" s="385" t="n">
        <v>0</v>
      </c>
      <c r="Q109" s="385" t="n">
        <v>0</v>
      </c>
      <c r="R109" s="385" t="n">
        <v>0</v>
      </c>
      <c r="S109" s="385" t="n">
        <v>0</v>
      </c>
      <c r="T109" s="385" t="n">
        <v>0</v>
      </c>
      <c r="U109" s="385" t="n">
        <v>0</v>
      </c>
      <c r="V109" s="385" t="n">
        <v>0</v>
      </c>
    </row>
    <row r="110" customFormat="false" ht="12.75" hidden="false" customHeight="false" outlineLevel="0" collapsed="false">
      <c r="A110" s="0" t="n">
        <f aca="false">Summary!A39</f>
        <v>23</v>
      </c>
      <c r="B110" s="0" t="s">
        <v>92</v>
      </c>
      <c r="C110" s="385" t="n">
        <v>0</v>
      </c>
      <c r="D110" s="385" t="n">
        <v>0</v>
      </c>
      <c r="E110" s="385" t="n">
        <v>0</v>
      </c>
      <c r="F110" s="385" t="n">
        <v>0</v>
      </c>
      <c r="G110" s="385" t="n">
        <v>0</v>
      </c>
      <c r="H110" s="385" t="n">
        <v>0</v>
      </c>
      <c r="I110" s="385" t="n">
        <v>0</v>
      </c>
      <c r="J110" s="385" t="n">
        <v>0</v>
      </c>
      <c r="K110" s="385" t="n">
        <v>0</v>
      </c>
      <c r="L110" s="385" t="n">
        <v>0</v>
      </c>
      <c r="M110" s="385" t="n">
        <v>0</v>
      </c>
      <c r="N110" s="385" t="n">
        <v>0</v>
      </c>
      <c r="O110" s="385" t="n">
        <v>0</v>
      </c>
      <c r="P110" s="385" t="n">
        <v>0</v>
      </c>
      <c r="Q110" s="385" t="n">
        <v>0</v>
      </c>
      <c r="R110" s="385" t="n">
        <v>0</v>
      </c>
      <c r="S110" s="385" t="n">
        <v>0</v>
      </c>
      <c r="T110" s="385" t="n">
        <v>0</v>
      </c>
      <c r="U110" s="385" t="n">
        <v>0</v>
      </c>
      <c r="V110" s="385" t="n">
        <v>0</v>
      </c>
    </row>
    <row r="111" customFormat="false" ht="12.75" hidden="false" customHeight="false" outlineLevel="0" collapsed="false">
      <c r="A111" s="0" t="n">
        <f aca="false">Summary!A40</f>
        <v>24</v>
      </c>
      <c r="B111" s="0" t="s">
        <v>93</v>
      </c>
      <c r="C111" s="385" t="n">
        <v>0</v>
      </c>
      <c r="D111" s="385" t="n">
        <v>0</v>
      </c>
      <c r="E111" s="385" t="n">
        <v>0</v>
      </c>
      <c r="F111" s="385" t="n">
        <v>0</v>
      </c>
      <c r="G111" s="385" t="n">
        <v>0</v>
      </c>
      <c r="H111" s="385" t="n">
        <v>0</v>
      </c>
      <c r="I111" s="385" t="n">
        <v>0</v>
      </c>
      <c r="J111" s="385" t="n">
        <v>0</v>
      </c>
      <c r="K111" s="385" t="n">
        <v>0</v>
      </c>
      <c r="L111" s="385" t="n">
        <v>0</v>
      </c>
      <c r="M111" s="385" t="n">
        <v>0</v>
      </c>
      <c r="N111" s="385" t="n">
        <v>0</v>
      </c>
      <c r="O111" s="385" t="n">
        <v>0</v>
      </c>
      <c r="P111" s="385" t="n">
        <v>0</v>
      </c>
      <c r="Q111" s="385" t="n">
        <v>0</v>
      </c>
      <c r="R111" s="385" t="n">
        <v>0</v>
      </c>
      <c r="S111" s="385" t="n">
        <v>0</v>
      </c>
      <c r="T111" s="385" t="n">
        <v>0</v>
      </c>
      <c r="U111" s="385" t="n">
        <v>0</v>
      </c>
      <c r="V111" s="385" t="n">
        <v>0</v>
      </c>
    </row>
    <row r="112" customFormat="false" ht="12.75" hidden="false" customHeight="false" outlineLevel="0" collapsed="false">
      <c r="A112" s="0" t="n">
        <f aca="false">Summary!A41</f>
        <v>25</v>
      </c>
      <c r="B112" s="0" t="s">
        <v>94</v>
      </c>
      <c r="C112" s="385" t="n">
        <v>0</v>
      </c>
      <c r="D112" s="385" t="n">
        <v>0</v>
      </c>
      <c r="E112" s="385" t="n">
        <v>0</v>
      </c>
      <c r="F112" s="385" t="n">
        <v>0</v>
      </c>
      <c r="G112" s="385" t="n">
        <v>0</v>
      </c>
      <c r="H112" s="385" t="n">
        <v>0</v>
      </c>
      <c r="I112" s="385" t="n">
        <v>0</v>
      </c>
      <c r="J112" s="385" t="n">
        <v>0</v>
      </c>
      <c r="K112" s="385" t="n">
        <v>0</v>
      </c>
      <c r="L112" s="385" t="n">
        <v>0</v>
      </c>
      <c r="M112" s="385" t="n">
        <v>0</v>
      </c>
      <c r="N112" s="385" t="n">
        <v>0</v>
      </c>
      <c r="O112" s="385" t="n">
        <v>0</v>
      </c>
      <c r="P112" s="385" t="n">
        <v>0</v>
      </c>
      <c r="Q112" s="385" t="n">
        <v>0</v>
      </c>
      <c r="R112" s="385" t="n">
        <v>0</v>
      </c>
      <c r="S112" s="385" t="n">
        <v>0</v>
      </c>
      <c r="T112" s="385" t="n">
        <v>0</v>
      </c>
      <c r="U112" s="385" t="n">
        <v>0</v>
      </c>
      <c r="V112" s="385" t="n">
        <v>0</v>
      </c>
    </row>
    <row r="113" customFormat="false" ht="12.75" hidden="false" customHeight="false" outlineLevel="0" collapsed="false">
      <c r="A113" s="0" t="n">
        <f aca="false">Summary!A42</f>
        <v>26</v>
      </c>
      <c r="B113" s="0" t="s">
        <v>95</v>
      </c>
      <c r="C113" s="385" t="n">
        <v>0</v>
      </c>
      <c r="D113" s="385" t="n">
        <v>0</v>
      </c>
      <c r="E113" s="385" t="n">
        <v>0</v>
      </c>
      <c r="F113" s="385" t="n">
        <v>0</v>
      </c>
      <c r="G113" s="385" t="n">
        <v>0</v>
      </c>
      <c r="H113" s="385" t="n">
        <v>0</v>
      </c>
      <c r="I113" s="385" t="n">
        <v>0</v>
      </c>
      <c r="J113" s="385" t="n">
        <v>0</v>
      </c>
      <c r="K113" s="385" t="n">
        <v>0</v>
      </c>
      <c r="L113" s="385" t="n">
        <v>0</v>
      </c>
      <c r="M113" s="385" t="n">
        <v>0</v>
      </c>
      <c r="N113" s="385" t="n">
        <v>0</v>
      </c>
      <c r="O113" s="385" t="n">
        <v>0</v>
      </c>
      <c r="P113" s="385" t="n">
        <v>0</v>
      </c>
      <c r="Q113" s="385" t="n">
        <v>0</v>
      </c>
      <c r="R113" s="385" t="n">
        <v>0</v>
      </c>
      <c r="S113" s="385" t="n">
        <v>0</v>
      </c>
      <c r="T113" s="385" t="n">
        <v>0</v>
      </c>
      <c r="U113" s="385" t="n">
        <v>0</v>
      </c>
      <c r="V113" s="385" t="n">
        <v>0</v>
      </c>
    </row>
    <row r="114" customFormat="false" ht="12.75" hidden="false" customHeight="false" outlineLevel="0" collapsed="false">
      <c r="A114" s="0" t="n">
        <f aca="false">Summary!A43</f>
        <v>27</v>
      </c>
      <c r="B114" s="0" t="s">
        <v>96</v>
      </c>
      <c r="C114" s="385" t="n">
        <v>0</v>
      </c>
      <c r="D114" s="385" t="n">
        <v>0</v>
      </c>
      <c r="E114" s="385" t="n">
        <v>0</v>
      </c>
      <c r="F114" s="385" t="n">
        <v>0</v>
      </c>
      <c r="G114" s="385" t="n">
        <v>0</v>
      </c>
      <c r="H114" s="385" t="n">
        <v>0</v>
      </c>
      <c r="I114" s="385" t="n">
        <v>0</v>
      </c>
      <c r="J114" s="385" t="n">
        <v>0</v>
      </c>
      <c r="K114" s="385" t="n">
        <v>0</v>
      </c>
      <c r="L114" s="385" t="n">
        <v>0</v>
      </c>
      <c r="M114" s="385" t="n">
        <v>0</v>
      </c>
      <c r="N114" s="385" t="n">
        <v>0</v>
      </c>
      <c r="O114" s="385" t="n">
        <v>0</v>
      </c>
      <c r="P114" s="385" t="n">
        <v>0</v>
      </c>
      <c r="Q114" s="385" t="n">
        <v>0</v>
      </c>
      <c r="R114" s="385" t="n">
        <v>0</v>
      </c>
      <c r="S114" s="385" t="n">
        <v>0</v>
      </c>
      <c r="T114" s="385" t="n">
        <v>0</v>
      </c>
      <c r="U114" s="385" t="n">
        <v>0</v>
      </c>
      <c r="V114" s="385" t="n">
        <v>0</v>
      </c>
    </row>
    <row r="115" customFormat="false" ht="12.75" hidden="false" customHeight="false" outlineLevel="0" collapsed="false">
      <c r="A115" s="0" t="n">
        <f aca="false">Summary!A44</f>
        <v>28</v>
      </c>
      <c r="B115" s="0" t="s">
        <v>97</v>
      </c>
      <c r="C115" s="385" t="n">
        <v>0</v>
      </c>
      <c r="D115" s="385" t="n">
        <v>0</v>
      </c>
      <c r="E115" s="385" t="n">
        <v>0</v>
      </c>
      <c r="F115" s="385" t="n">
        <v>0</v>
      </c>
      <c r="G115" s="385" t="n">
        <v>0</v>
      </c>
      <c r="H115" s="385" t="n">
        <v>0</v>
      </c>
      <c r="I115" s="385" t="n">
        <v>0</v>
      </c>
      <c r="J115" s="385" t="n">
        <v>0</v>
      </c>
      <c r="K115" s="385" t="n">
        <v>0</v>
      </c>
      <c r="L115" s="385" t="n">
        <v>0</v>
      </c>
      <c r="M115" s="385" t="n">
        <v>0</v>
      </c>
      <c r="N115" s="385" t="n">
        <v>0</v>
      </c>
      <c r="O115" s="385" t="n">
        <v>0</v>
      </c>
      <c r="P115" s="385" t="n">
        <v>0</v>
      </c>
      <c r="Q115" s="385" t="n">
        <v>0</v>
      </c>
      <c r="R115" s="385" t="n">
        <v>0</v>
      </c>
      <c r="S115" s="385" t="n">
        <v>0</v>
      </c>
      <c r="T115" s="385" t="n">
        <v>0</v>
      </c>
      <c r="U115" s="385" t="n">
        <v>0</v>
      </c>
      <c r="V115" s="385" t="n">
        <v>0</v>
      </c>
    </row>
    <row r="116" customFormat="false" ht="12.75" hidden="false" customHeight="false" outlineLevel="0" collapsed="false">
      <c r="A116" s="0" t="n">
        <f aca="false">Summary!A45</f>
        <v>29</v>
      </c>
      <c r="B116" s="0" t="s">
        <v>98</v>
      </c>
      <c r="C116" s="385" t="n">
        <v>0</v>
      </c>
      <c r="D116" s="385" t="n">
        <v>0</v>
      </c>
      <c r="E116" s="385" t="n">
        <v>0</v>
      </c>
      <c r="F116" s="385" t="n">
        <v>0</v>
      </c>
      <c r="G116" s="385" t="n">
        <v>0</v>
      </c>
      <c r="H116" s="385" t="n">
        <v>0</v>
      </c>
      <c r="I116" s="385" t="n">
        <v>0</v>
      </c>
      <c r="J116" s="385" t="n">
        <v>0</v>
      </c>
      <c r="K116" s="385" t="n">
        <v>0</v>
      </c>
      <c r="L116" s="385" t="n">
        <v>0</v>
      </c>
      <c r="M116" s="385" t="n">
        <v>0</v>
      </c>
      <c r="N116" s="385" t="n">
        <v>0</v>
      </c>
      <c r="O116" s="385" t="n">
        <v>0</v>
      </c>
      <c r="P116" s="385" t="n">
        <v>0</v>
      </c>
      <c r="Q116" s="385" t="n">
        <v>0</v>
      </c>
      <c r="R116" s="385" t="n">
        <v>0</v>
      </c>
      <c r="S116" s="385" t="n">
        <v>0</v>
      </c>
      <c r="T116" s="385" t="n">
        <v>0</v>
      </c>
      <c r="U116" s="385" t="n">
        <v>0</v>
      </c>
      <c r="V116" s="385" t="n">
        <v>0</v>
      </c>
    </row>
    <row r="117" customFormat="false" ht="12.75" hidden="false" customHeight="false" outlineLevel="0" collapsed="false">
      <c r="A117" s="0" t="n">
        <f aca="false">Summary!A46</f>
        <v>30</v>
      </c>
      <c r="B117" s="0" t="s">
        <v>99</v>
      </c>
      <c r="C117" s="385" t="n">
        <v>0</v>
      </c>
      <c r="D117" s="385" t="n">
        <v>0</v>
      </c>
      <c r="E117" s="385" t="n">
        <v>0</v>
      </c>
      <c r="F117" s="385" t="n">
        <v>0</v>
      </c>
      <c r="G117" s="385" t="n">
        <v>0</v>
      </c>
      <c r="H117" s="385" t="n">
        <v>0</v>
      </c>
      <c r="I117" s="385" t="n">
        <v>0</v>
      </c>
      <c r="J117" s="385" t="n">
        <v>0</v>
      </c>
      <c r="K117" s="385" t="n">
        <v>0</v>
      </c>
      <c r="L117" s="385" t="n">
        <v>0</v>
      </c>
      <c r="M117" s="385" t="n">
        <v>0</v>
      </c>
      <c r="N117" s="385" t="n">
        <v>0</v>
      </c>
      <c r="O117" s="385" t="n">
        <v>0</v>
      </c>
      <c r="P117" s="385" t="n">
        <v>0</v>
      </c>
      <c r="Q117" s="385" t="n">
        <v>0</v>
      </c>
      <c r="R117" s="385" t="n">
        <v>0</v>
      </c>
      <c r="S117" s="385" t="n">
        <v>0</v>
      </c>
      <c r="T117" s="385" t="n">
        <v>0</v>
      </c>
      <c r="U117" s="385" t="n">
        <v>0</v>
      </c>
      <c r="V117" s="385" t="n">
        <v>0</v>
      </c>
    </row>
    <row r="118" customFormat="false" ht="12.75" hidden="false" customHeight="false" outlineLevel="0" collapsed="false">
      <c r="A118" s="0" t="n">
        <f aca="false">Summary!A47</f>
        <v>31</v>
      </c>
      <c r="B118" s="0" t="s">
        <v>100</v>
      </c>
      <c r="C118" s="385" t="n">
        <v>0</v>
      </c>
      <c r="D118" s="385" t="n">
        <v>0</v>
      </c>
      <c r="E118" s="385" t="n">
        <v>0</v>
      </c>
      <c r="F118" s="385" t="n">
        <v>0</v>
      </c>
      <c r="G118" s="385" t="n">
        <v>0</v>
      </c>
      <c r="H118" s="385" t="n">
        <v>0</v>
      </c>
      <c r="I118" s="385" t="n">
        <v>0</v>
      </c>
      <c r="J118" s="385" t="n">
        <v>0</v>
      </c>
      <c r="K118" s="385" t="n">
        <v>0</v>
      </c>
      <c r="L118" s="385" t="n">
        <v>0</v>
      </c>
      <c r="M118" s="385" t="n">
        <v>0</v>
      </c>
      <c r="N118" s="385" t="n">
        <v>0</v>
      </c>
      <c r="O118" s="385" t="n">
        <v>0</v>
      </c>
      <c r="P118" s="385" t="n">
        <v>0</v>
      </c>
      <c r="Q118" s="385" t="n">
        <v>0</v>
      </c>
      <c r="R118" s="385" t="n">
        <v>0</v>
      </c>
      <c r="S118" s="385" t="n">
        <v>0</v>
      </c>
      <c r="T118" s="385" t="n">
        <v>0</v>
      </c>
      <c r="U118" s="385" t="n">
        <v>0</v>
      </c>
      <c r="V118" s="385" t="n">
        <v>0</v>
      </c>
    </row>
    <row r="119" customFormat="false" ht="12.75" hidden="false" customHeight="false" outlineLevel="0" collapsed="false">
      <c r="A119" s="0" t="n">
        <f aca="false">Summary!A48</f>
        <v>32</v>
      </c>
      <c r="B119" s="0" t="s">
        <v>101</v>
      </c>
      <c r="C119" s="385" t="n">
        <v>0</v>
      </c>
      <c r="D119" s="385" t="n">
        <v>0</v>
      </c>
      <c r="E119" s="385" t="n">
        <v>0</v>
      </c>
      <c r="F119" s="385" t="n">
        <v>0</v>
      </c>
      <c r="G119" s="385" t="n">
        <v>0</v>
      </c>
      <c r="H119" s="385" t="n">
        <v>0</v>
      </c>
      <c r="I119" s="385" t="n">
        <v>0</v>
      </c>
      <c r="J119" s="385" t="n">
        <v>0</v>
      </c>
      <c r="K119" s="385" t="n">
        <v>0</v>
      </c>
      <c r="L119" s="385" t="n">
        <v>0</v>
      </c>
      <c r="M119" s="385" t="n">
        <v>0</v>
      </c>
      <c r="N119" s="385" t="n">
        <v>0</v>
      </c>
      <c r="O119" s="385" t="n">
        <v>0</v>
      </c>
      <c r="P119" s="385" t="n">
        <v>0</v>
      </c>
      <c r="Q119" s="385" t="n">
        <v>0</v>
      </c>
      <c r="R119" s="385" t="n">
        <v>0</v>
      </c>
      <c r="S119" s="385" t="n">
        <v>0</v>
      </c>
      <c r="T119" s="385" t="n">
        <v>0</v>
      </c>
      <c r="U119" s="385" t="n">
        <v>0</v>
      </c>
      <c r="V119" s="385" t="n">
        <v>0</v>
      </c>
    </row>
    <row r="120" customFormat="false" ht="12.75" hidden="false" customHeight="false" outlineLevel="0" collapsed="false">
      <c r="A120" s="0" t="n">
        <f aca="false">Summary!A49</f>
        <v>33</v>
      </c>
      <c r="B120" s="0" t="s">
        <v>14</v>
      </c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</row>
    <row r="121" customFormat="false" ht="12.75" hidden="false" customHeight="false" outlineLevel="0" collapsed="false"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customFormat="false" ht="12.75" hidden="false" customHeight="false" outlineLevel="0" collapsed="false"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customFormat="false" ht="12.75" hidden="false" customHeight="false" outlineLevel="0" collapsed="false">
      <c r="A123" s="263" t="s">
        <v>254</v>
      </c>
    </row>
    <row r="125" customFormat="false" ht="12.75" hidden="false" customHeight="false" outlineLevel="0" collapsed="false">
      <c r="C125" s="235" t="n">
        <v>2000</v>
      </c>
      <c r="D125" s="235" t="n">
        <v>2001</v>
      </c>
      <c r="E125" s="235" t="n">
        <v>2002</v>
      </c>
      <c r="F125" s="235" t="n">
        <v>2003</v>
      </c>
      <c r="G125" s="235" t="n">
        <v>2004</v>
      </c>
      <c r="H125" s="235" t="n">
        <v>2005</v>
      </c>
      <c r="I125" s="235" t="n">
        <v>2006</v>
      </c>
      <c r="J125" s="235" t="n">
        <v>2007</v>
      </c>
      <c r="K125" s="235" t="n">
        <v>2008</v>
      </c>
      <c r="L125" s="235" t="n">
        <v>2009</v>
      </c>
      <c r="M125" s="235" t="n">
        <v>2010</v>
      </c>
      <c r="N125" s="235" t="n">
        <v>2011</v>
      </c>
      <c r="O125" s="235" t="n">
        <v>2012</v>
      </c>
      <c r="P125" s="235" t="n">
        <v>2013</v>
      </c>
      <c r="Q125" s="235" t="n">
        <v>2014</v>
      </c>
      <c r="R125" s="235" t="n">
        <v>2015</v>
      </c>
      <c r="S125" s="235" t="n">
        <v>2016</v>
      </c>
      <c r="T125" s="235" t="n">
        <v>2017</v>
      </c>
      <c r="U125" s="235" t="n">
        <v>2018</v>
      </c>
      <c r="V125" s="235" t="n">
        <v>2019</v>
      </c>
    </row>
    <row r="127" customFormat="false" ht="12.75" hidden="false" customHeight="false" outlineLevel="0" collapsed="false">
      <c r="A127" s="0" t="n">
        <f aca="false">Summary!A17</f>
        <v>1</v>
      </c>
      <c r="B127" s="0" t="s">
        <v>69</v>
      </c>
      <c r="C127" s="260" t="n">
        <v>0</v>
      </c>
      <c r="D127" s="260" t="n">
        <v>0</v>
      </c>
      <c r="E127" s="260" t="n">
        <v>0</v>
      </c>
      <c r="F127" s="260" t="n">
        <v>0</v>
      </c>
      <c r="G127" s="260" t="n">
        <v>0</v>
      </c>
      <c r="H127" s="260" t="n">
        <v>0</v>
      </c>
      <c r="I127" s="260" t="n">
        <v>2.439954251</v>
      </c>
      <c r="J127" s="260" t="n">
        <v>2.439954251</v>
      </c>
      <c r="K127" s="260" t="n">
        <v>2.439954251</v>
      </c>
      <c r="L127" s="260" t="n">
        <v>2.439954251</v>
      </c>
      <c r="M127" s="260" t="n">
        <v>2.439954251</v>
      </c>
      <c r="N127" s="260" t="n">
        <v>2.439954251</v>
      </c>
      <c r="O127" s="260" t="n">
        <v>2.439954251</v>
      </c>
      <c r="P127" s="260" t="n">
        <v>2.439954251</v>
      </c>
      <c r="Q127" s="260" t="n">
        <v>2.439954251</v>
      </c>
      <c r="R127" s="260" t="n">
        <v>2.439954251</v>
      </c>
      <c r="S127" s="260" t="n">
        <v>2.439954251</v>
      </c>
      <c r="T127" s="260" t="n">
        <v>2.439954251</v>
      </c>
      <c r="U127" s="260" t="n">
        <v>2.439954251</v>
      </c>
      <c r="V127" s="260" t="n">
        <v>2.439954251</v>
      </c>
    </row>
    <row r="128" customFormat="false" ht="12.75" hidden="false" customHeight="false" outlineLevel="0" collapsed="false">
      <c r="A128" s="0" t="n">
        <f aca="false">Summary!A18</f>
        <v>2</v>
      </c>
      <c r="B128" s="0" t="s">
        <v>71</v>
      </c>
      <c r="C128" s="260" t="n">
        <v>0</v>
      </c>
      <c r="D128" s="260" t="n">
        <v>0</v>
      </c>
      <c r="E128" s="260" t="n">
        <v>0</v>
      </c>
      <c r="F128" s="260" t="n">
        <v>0</v>
      </c>
      <c r="G128" s="260" t="n">
        <v>0</v>
      </c>
      <c r="H128" s="260" t="n">
        <v>0</v>
      </c>
      <c r="I128" s="260" t="n">
        <v>0.3</v>
      </c>
      <c r="J128" s="260" t="n">
        <v>0.3</v>
      </c>
      <c r="K128" s="260" t="n">
        <v>0.3</v>
      </c>
      <c r="L128" s="260" t="n">
        <v>0.3</v>
      </c>
      <c r="M128" s="260" t="n">
        <v>0.3</v>
      </c>
      <c r="N128" s="260" t="n">
        <v>0.3</v>
      </c>
      <c r="O128" s="260" t="n">
        <v>0.3</v>
      </c>
      <c r="P128" s="260" t="n">
        <v>0.3</v>
      </c>
      <c r="Q128" s="260" t="n">
        <v>0.3</v>
      </c>
      <c r="R128" s="260" t="n">
        <v>0.3</v>
      </c>
      <c r="S128" s="260" t="n">
        <v>0.3</v>
      </c>
      <c r="T128" s="260" t="n">
        <v>0.3</v>
      </c>
      <c r="U128" s="260" t="n">
        <v>0.3</v>
      </c>
      <c r="V128" s="260" t="n">
        <v>0.3</v>
      </c>
    </row>
    <row r="129" customFormat="false" ht="12.75" hidden="false" customHeight="false" outlineLevel="0" collapsed="false">
      <c r="A129" s="0" t="n">
        <f aca="false">Summary!A19</f>
        <v>3</v>
      </c>
      <c r="B129" s="2" t="s">
        <v>72</v>
      </c>
      <c r="C129" s="260" t="n">
        <v>0</v>
      </c>
      <c r="D129" s="260" t="n">
        <v>0</v>
      </c>
      <c r="E129" s="260" t="n">
        <v>0</v>
      </c>
      <c r="F129" s="260" t="n">
        <v>0</v>
      </c>
      <c r="G129" s="260" t="n">
        <v>0</v>
      </c>
      <c r="H129" s="260" t="n">
        <v>0</v>
      </c>
      <c r="I129" s="260" t="n">
        <v>1.166666667</v>
      </c>
      <c r="J129" s="260" t="n">
        <v>1.166666667</v>
      </c>
      <c r="K129" s="260" t="n">
        <v>1.166666667</v>
      </c>
      <c r="L129" s="260" t="n">
        <v>1.166666667</v>
      </c>
      <c r="M129" s="260" t="n">
        <v>1.166666667</v>
      </c>
      <c r="N129" s="260" t="n">
        <v>1.166666667</v>
      </c>
      <c r="O129" s="260" t="n">
        <v>1.166666667</v>
      </c>
      <c r="P129" s="260" t="n">
        <v>1.166666667</v>
      </c>
      <c r="Q129" s="260" t="n">
        <v>1.166666667</v>
      </c>
      <c r="R129" s="260" t="n">
        <v>1.166666667</v>
      </c>
      <c r="S129" s="260" t="n">
        <v>1.166666667</v>
      </c>
      <c r="T129" s="260" t="n">
        <v>1.166666667</v>
      </c>
      <c r="U129" s="260" t="n">
        <v>1.166666667</v>
      </c>
      <c r="V129" s="260" t="n">
        <v>1.166666667</v>
      </c>
    </row>
    <row r="130" customFormat="false" ht="12.75" hidden="false" customHeight="false" outlineLevel="0" collapsed="false">
      <c r="A130" s="0" t="n">
        <f aca="false">Summary!A20</f>
        <v>4</v>
      </c>
      <c r="B130" s="2" t="s">
        <v>73</v>
      </c>
      <c r="C130" s="260" t="n">
        <v>0</v>
      </c>
      <c r="D130" s="260" t="n">
        <v>0</v>
      </c>
      <c r="E130" s="260" t="n">
        <v>0</v>
      </c>
      <c r="F130" s="260" t="n">
        <v>0</v>
      </c>
      <c r="G130" s="260" t="n">
        <v>0</v>
      </c>
      <c r="H130" s="260" t="n">
        <v>0</v>
      </c>
      <c r="I130" s="260" t="n">
        <v>1.166666667</v>
      </c>
      <c r="J130" s="260" t="n">
        <v>1.166666667</v>
      </c>
      <c r="K130" s="260" t="n">
        <v>1.166666667</v>
      </c>
      <c r="L130" s="260" t="n">
        <v>1.166666667</v>
      </c>
      <c r="M130" s="260" t="n">
        <v>1.166666667</v>
      </c>
      <c r="N130" s="260" t="n">
        <v>1.166666667</v>
      </c>
      <c r="O130" s="260" t="n">
        <v>1.166666667</v>
      </c>
      <c r="P130" s="260" t="n">
        <v>1.166666667</v>
      </c>
      <c r="Q130" s="260" t="n">
        <v>1.166666667</v>
      </c>
      <c r="R130" s="260" t="n">
        <v>1.166666667</v>
      </c>
      <c r="S130" s="260" t="n">
        <v>1.166666667</v>
      </c>
      <c r="T130" s="260" t="n">
        <v>1.166666667</v>
      </c>
      <c r="U130" s="260" t="n">
        <v>1.166666667</v>
      </c>
      <c r="V130" s="260" t="n">
        <v>1.166666667</v>
      </c>
    </row>
    <row r="131" customFormat="false" ht="12.75" hidden="false" customHeight="false" outlineLevel="0" collapsed="false">
      <c r="A131" s="0" t="n">
        <f aca="false">Summary!A21</f>
        <v>5</v>
      </c>
      <c r="B131" s="2" t="s">
        <v>74</v>
      </c>
      <c r="C131" s="260" t="n">
        <v>0</v>
      </c>
      <c r="D131" s="260" t="n">
        <v>0</v>
      </c>
      <c r="E131" s="260" t="n">
        <v>0</v>
      </c>
      <c r="F131" s="260" t="n">
        <v>0</v>
      </c>
      <c r="G131" s="260" t="n">
        <v>0</v>
      </c>
      <c r="H131" s="260" t="n">
        <v>0</v>
      </c>
      <c r="I131" s="260" t="n">
        <v>1.166666667</v>
      </c>
      <c r="J131" s="260" t="n">
        <v>1.166666667</v>
      </c>
      <c r="K131" s="260" t="n">
        <v>1.166666667</v>
      </c>
      <c r="L131" s="260" t="n">
        <v>1.166666667</v>
      </c>
      <c r="M131" s="260" t="n">
        <v>1.166666667</v>
      </c>
      <c r="N131" s="260" t="n">
        <v>1.166666667</v>
      </c>
      <c r="O131" s="260" t="n">
        <v>1.166666667</v>
      </c>
      <c r="P131" s="260" t="n">
        <v>1.166666667</v>
      </c>
      <c r="Q131" s="260" t="n">
        <v>1.166666667</v>
      </c>
      <c r="R131" s="260" t="n">
        <v>1.166666667</v>
      </c>
      <c r="S131" s="260" t="n">
        <v>1.166666667</v>
      </c>
      <c r="T131" s="260" t="n">
        <v>1.166666667</v>
      </c>
      <c r="U131" s="260" t="n">
        <v>1.166666667</v>
      </c>
      <c r="V131" s="260" t="n">
        <v>1.166666667</v>
      </c>
    </row>
    <row r="132" customFormat="false" ht="12.75" hidden="false" customHeight="false" outlineLevel="0" collapsed="false">
      <c r="A132" s="0" t="n">
        <f aca="false">Summary!A22</f>
        <v>6</v>
      </c>
      <c r="B132" s="2" t="s">
        <v>75</v>
      </c>
      <c r="C132" s="260" t="n">
        <v>0</v>
      </c>
      <c r="D132" s="260" t="n">
        <v>0</v>
      </c>
      <c r="E132" s="260" t="n">
        <v>0</v>
      </c>
      <c r="F132" s="260" t="n">
        <v>0</v>
      </c>
      <c r="G132" s="260" t="n">
        <v>0</v>
      </c>
      <c r="H132" s="260" t="n">
        <v>0</v>
      </c>
      <c r="I132" s="260" t="n">
        <v>1.166666667</v>
      </c>
      <c r="J132" s="260" t="n">
        <v>1.166666667</v>
      </c>
      <c r="K132" s="260" t="n">
        <v>1.166666667</v>
      </c>
      <c r="L132" s="260" t="n">
        <v>1.166666667</v>
      </c>
      <c r="M132" s="260" t="n">
        <v>1.166666667</v>
      </c>
      <c r="N132" s="260" t="n">
        <v>1.166666667</v>
      </c>
      <c r="O132" s="260" t="n">
        <v>1.166666667</v>
      </c>
      <c r="P132" s="260" t="n">
        <v>1.166666667</v>
      </c>
      <c r="Q132" s="260" t="n">
        <v>1.166666667</v>
      </c>
      <c r="R132" s="260" t="n">
        <v>1.166666667</v>
      </c>
      <c r="S132" s="260" t="n">
        <v>1.166666667</v>
      </c>
      <c r="T132" s="260" t="n">
        <v>1.166666667</v>
      </c>
      <c r="U132" s="260" t="n">
        <v>1.166666667</v>
      </c>
      <c r="V132" s="260" t="n">
        <v>1.166666667</v>
      </c>
    </row>
    <row r="133" customFormat="false" ht="12.75" hidden="false" customHeight="false" outlineLevel="0" collapsed="false">
      <c r="A133" s="0" t="n">
        <f aca="false">Summary!A23</f>
        <v>7</v>
      </c>
      <c r="B133" s="0" t="s">
        <v>76</v>
      </c>
      <c r="C133" s="260" t="n">
        <v>0</v>
      </c>
      <c r="D133" s="260" t="n">
        <v>0</v>
      </c>
      <c r="E133" s="260" t="n">
        <v>0</v>
      </c>
      <c r="F133" s="260" t="n">
        <v>0</v>
      </c>
      <c r="G133" s="260" t="n">
        <v>0</v>
      </c>
      <c r="H133" s="260" t="n">
        <v>0</v>
      </c>
      <c r="I133" s="260" t="n">
        <v>1.166666667</v>
      </c>
      <c r="J133" s="260" t="n">
        <v>1.166666667</v>
      </c>
      <c r="K133" s="260" t="n">
        <v>1.166666667</v>
      </c>
      <c r="L133" s="260" t="n">
        <v>1.166666667</v>
      </c>
      <c r="M133" s="260" t="n">
        <v>1.166666667</v>
      </c>
      <c r="N133" s="260" t="n">
        <v>1.166666667</v>
      </c>
      <c r="O133" s="260" t="n">
        <v>1.166666667</v>
      </c>
      <c r="P133" s="260" t="n">
        <v>1.166666667</v>
      </c>
      <c r="Q133" s="260" t="n">
        <v>1.166666667</v>
      </c>
      <c r="R133" s="260" t="n">
        <v>1.166666667</v>
      </c>
      <c r="S133" s="260" t="n">
        <v>1.166666667</v>
      </c>
      <c r="T133" s="260" t="n">
        <v>1.166666667</v>
      </c>
      <c r="U133" s="260" t="n">
        <v>1.166666667</v>
      </c>
      <c r="V133" s="260" t="n">
        <v>1.166666667</v>
      </c>
    </row>
    <row r="134" customFormat="false" ht="12.75" hidden="false" customHeight="false" outlineLevel="0" collapsed="false">
      <c r="A134" s="0" t="n">
        <f aca="false">Summary!A24</f>
        <v>8</v>
      </c>
      <c r="B134" s="0" t="s">
        <v>77</v>
      </c>
      <c r="C134" s="260" t="n">
        <v>0</v>
      </c>
      <c r="D134" s="260" t="n">
        <v>0</v>
      </c>
      <c r="E134" s="260" t="n">
        <v>0</v>
      </c>
      <c r="F134" s="260" t="n">
        <v>0</v>
      </c>
      <c r="G134" s="260" t="n">
        <v>0</v>
      </c>
      <c r="H134" s="260" t="n">
        <v>0</v>
      </c>
      <c r="I134" s="260" t="n">
        <v>1.166666667</v>
      </c>
      <c r="J134" s="260" t="n">
        <v>1.166666667</v>
      </c>
      <c r="K134" s="260" t="n">
        <v>1.166666667</v>
      </c>
      <c r="L134" s="260" t="n">
        <v>1.166666667</v>
      </c>
      <c r="M134" s="260" t="n">
        <v>1.166666667</v>
      </c>
      <c r="N134" s="260" t="n">
        <v>1.166666667</v>
      </c>
      <c r="O134" s="260" t="n">
        <v>1.166666667</v>
      </c>
      <c r="P134" s="260" t="n">
        <v>1.166666667</v>
      </c>
      <c r="Q134" s="260" t="n">
        <v>1.166666667</v>
      </c>
      <c r="R134" s="260" t="n">
        <v>1.166666667</v>
      </c>
      <c r="S134" s="260" t="n">
        <v>1.166666667</v>
      </c>
      <c r="T134" s="260" t="n">
        <v>1.166666667</v>
      </c>
      <c r="U134" s="260" t="n">
        <v>1.166666667</v>
      </c>
      <c r="V134" s="260" t="n">
        <v>1.166666667</v>
      </c>
    </row>
    <row r="135" customFormat="false" ht="12.75" hidden="false" customHeight="false" outlineLevel="0" collapsed="false">
      <c r="A135" s="0" t="n">
        <f aca="false">Summary!A25</f>
        <v>9</v>
      </c>
      <c r="B135" s="0" t="s">
        <v>78</v>
      </c>
      <c r="C135" s="260" t="n">
        <v>0</v>
      </c>
      <c r="D135" s="260" t="n">
        <v>0</v>
      </c>
      <c r="E135" s="260" t="n">
        <v>0</v>
      </c>
      <c r="F135" s="260" t="n">
        <v>0</v>
      </c>
      <c r="G135" s="260" t="n">
        <v>0</v>
      </c>
      <c r="H135" s="260" t="n">
        <v>0</v>
      </c>
      <c r="I135" s="260" t="n">
        <v>1.166666667</v>
      </c>
      <c r="J135" s="260" t="n">
        <v>1.166666667</v>
      </c>
      <c r="K135" s="260" t="n">
        <v>1.166666667</v>
      </c>
      <c r="L135" s="260" t="n">
        <v>1.166666667</v>
      </c>
      <c r="M135" s="260" t="n">
        <v>1.166666667</v>
      </c>
      <c r="N135" s="260" t="n">
        <v>1.166666667</v>
      </c>
      <c r="O135" s="260" t="n">
        <v>1.166666667</v>
      </c>
      <c r="P135" s="260" t="n">
        <v>1.166666667</v>
      </c>
      <c r="Q135" s="260" t="n">
        <v>1.166666667</v>
      </c>
      <c r="R135" s="260" t="n">
        <v>1.166666667</v>
      </c>
      <c r="S135" s="260" t="n">
        <v>1.166666667</v>
      </c>
      <c r="T135" s="260" t="n">
        <v>1.166666667</v>
      </c>
      <c r="U135" s="260" t="n">
        <v>1.166666667</v>
      </c>
      <c r="V135" s="260" t="n">
        <v>1.166666667</v>
      </c>
    </row>
    <row r="136" customFormat="false" ht="12.75" hidden="false" customHeight="false" outlineLevel="0" collapsed="false">
      <c r="A136" s="0" t="n">
        <f aca="false">Summary!A26</f>
        <v>10</v>
      </c>
      <c r="B136" s="0" t="s">
        <v>79</v>
      </c>
      <c r="C136" s="260" t="n">
        <v>0</v>
      </c>
      <c r="D136" s="260" t="n">
        <v>0</v>
      </c>
      <c r="E136" s="260" t="n">
        <v>0</v>
      </c>
      <c r="F136" s="260" t="n">
        <v>0</v>
      </c>
      <c r="G136" s="260" t="n">
        <v>0</v>
      </c>
      <c r="H136" s="260" t="n">
        <v>0</v>
      </c>
      <c r="I136" s="260" t="n">
        <v>1.166666667</v>
      </c>
      <c r="J136" s="260" t="n">
        <v>1.166666667</v>
      </c>
      <c r="K136" s="260" t="n">
        <v>1.166666667</v>
      </c>
      <c r="L136" s="260" t="n">
        <v>1.166666667</v>
      </c>
      <c r="M136" s="260" t="n">
        <v>1.166666667</v>
      </c>
      <c r="N136" s="260" t="n">
        <v>1.166666667</v>
      </c>
      <c r="O136" s="260" t="n">
        <v>1.166666667</v>
      </c>
      <c r="P136" s="260" t="n">
        <v>1.166666667</v>
      </c>
      <c r="Q136" s="260" t="n">
        <v>1.166666667</v>
      </c>
      <c r="R136" s="260" t="n">
        <v>1.166666667</v>
      </c>
      <c r="S136" s="260" t="n">
        <v>1.166666667</v>
      </c>
      <c r="T136" s="260" t="n">
        <v>1.166666667</v>
      </c>
      <c r="U136" s="260" t="n">
        <v>1.166666667</v>
      </c>
      <c r="V136" s="260" t="n">
        <v>1.166666667</v>
      </c>
    </row>
    <row r="137" customFormat="false" ht="12.75" hidden="false" customHeight="false" outlineLevel="0" collapsed="false">
      <c r="A137" s="0" t="n">
        <f aca="false">Summary!A27</f>
        <v>11</v>
      </c>
      <c r="B137" s="0" t="s">
        <v>80</v>
      </c>
      <c r="C137" s="260" t="n">
        <v>0</v>
      </c>
      <c r="D137" s="260" t="n">
        <v>0</v>
      </c>
      <c r="E137" s="260" t="n">
        <v>0</v>
      </c>
      <c r="F137" s="260" t="n">
        <v>0</v>
      </c>
      <c r="G137" s="260" t="n">
        <v>0</v>
      </c>
      <c r="H137" s="260" t="n">
        <v>0</v>
      </c>
      <c r="I137" s="260" t="n">
        <v>1.166666667</v>
      </c>
      <c r="J137" s="260" t="n">
        <v>1.166666667</v>
      </c>
      <c r="K137" s="260" t="n">
        <v>1.166666667</v>
      </c>
      <c r="L137" s="260" t="n">
        <v>1.166666667</v>
      </c>
      <c r="M137" s="260" t="n">
        <v>1.166666667</v>
      </c>
      <c r="N137" s="260" t="n">
        <v>1.166666667</v>
      </c>
      <c r="O137" s="260" t="n">
        <v>1.166666667</v>
      </c>
      <c r="P137" s="260" t="n">
        <v>1.166666667</v>
      </c>
      <c r="Q137" s="260" t="n">
        <v>1.166666667</v>
      </c>
      <c r="R137" s="260" t="n">
        <v>1.166666667</v>
      </c>
      <c r="S137" s="260" t="n">
        <v>1.166666667</v>
      </c>
      <c r="T137" s="260" t="n">
        <v>1.166666667</v>
      </c>
      <c r="U137" s="260" t="n">
        <v>1.166666667</v>
      </c>
      <c r="V137" s="260" t="n">
        <v>1.166666667</v>
      </c>
    </row>
    <row r="138" customFormat="false" ht="12.75" hidden="false" customHeight="false" outlineLevel="0" collapsed="false">
      <c r="A138" s="0" t="n">
        <f aca="false">Summary!A28</f>
        <v>12</v>
      </c>
      <c r="B138" s="0" t="s">
        <v>81</v>
      </c>
      <c r="C138" s="260" t="n">
        <v>0</v>
      </c>
      <c r="D138" s="260" t="n">
        <v>0</v>
      </c>
      <c r="E138" s="260" t="n">
        <v>0</v>
      </c>
      <c r="F138" s="260" t="n">
        <v>0</v>
      </c>
      <c r="G138" s="260" t="n">
        <v>0</v>
      </c>
      <c r="H138" s="260" t="n">
        <v>0</v>
      </c>
      <c r="I138" s="260" t="n">
        <v>1.166666667</v>
      </c>
      <c r="J138" s="260" t="n">
        <v>1.166666667</v>
      </c>
      <c r="K138" s="260" t="n">
        <v>1.166666667</v>
      </c>
      <c r="L138" s="260" t="n">
        <v>1.166666667</v>
      </c>
      <c r="M138" s="260" t="n">
        <v>1.166666667</v>
      </c>
      <c r="N138" s="260" t="n">
        <v>1.166666667</v>
      </c>
      <c r="O138" s="260" t="n">
        <v>1.166666667</v>
      </c>
      <c r="P138" s="260" t="n">
        <v>1.166666667</v>
      </c>
      <c r="Q138" s="260" t="n">
        <v>1.166666667</v>
      </c>
      <c r="R138" s="260" t="n">
        <v>1.166666667</v>
      </c>
      <c r="S138" s="260" t="n">
        <v>1.166666667</v>
      </c>
      <c r="T138" s="260" t="n">
        <v>1.166666667</v>
      </c>
      <c r="U138" s="260" t="n">
        <v>1.166666667</v>
      </c>
      <c r="V138" s="260" t="n">
        <v>1.166666667</v>
      </c>
    </row>
    <row r="139" customFormat="false" ht="12.75" hidden="false" customHeight="false" outlineLevel="0" collapsed="false">
      <c r="A139" s="0" t="n">
        <f aca="false">Summary!A29</f>
        <v>13</v>
      </c>
      <c r="B139" s="0" t="s">
        <v>82</v>
      </c>
      <c r="C139" s="260" t="n">
        <v>0</v>
      </c>
      <c r="D139" s="260" t="n">
        <v>0</v>
      </c>
      <c r="E139" s="260" t="n">
        <v>0</v>
      </c>
      <c r="F139" s="260" t="n">
        <v>0</v>
      </c>
      <c r="G139" s="260" t="n">
        <v>0</v>
      </c>
      <c r="H139" s="260" t="n">
        <v>0</v>
      </c>
      <c r="I139" s="260" t="n">
        <v>1.166666667</v>
      </c>
      <c r="J139" s="260" t="n">
        <v>1.166666667</v>
      </c>
      <c r="K139" s="260" t="n">
        <v>1.166666667</v>
      </c>
      <c r="L139" s="260" t="n">
        <v>1.166666667</v>
      </c>
      <c r="M139" s="260" t="n">
        <v>1.166666667</v>
      </c>
      <c r="N139" s="260" t="n">
        <v>1.166666667</v>
      </c>
      <c r="O139" s="260" t="n">
        <v>1.166666667</v>
      </c>
      <c r="P139" s="260" t="n">
        <v>1.166666667</v>
      </c>
      <c r="Q139" s="260" t="n">
        <v>1.166666667</v>
      </c>
      <c r="R139" s="260" t="n">
        <v>1.166666667</v>
      </c>
      <c r="S139" s="260" t="n">
        <v>1.166666667</v>
      </c>
      <c r="T139" s="260" t="n">
        <v>1.166666667</v>
      </c>
      <c r="U139" s="260" t="n">
        <v>1.166666667</v>
      </c>
      <c r="V139" s="260" t="n">
        <v>1.166666667</v>
      </c>
    </row>
    <row r="140" customFormat="false" ht="12.75" hidden="false" customHeight="false" outlineLevel="0" collapsed="false">
      <c r="A140" s="0" t="n">
        <f aca="false">Summary!A30</f>
        <v>14</v>
      </c>
      <c r="B140" s="0" t="s">
        <v>83</v>
      </c>
      <c r="C140" s="260" t="n">
        <v>0</v>
      </c>
      <c r="D140" s="260" t="n">
        <v>0</v>
      </c>
      <c r="E140" s="260" t="n">
        <v>0</v>
      </c>
      <c r="F140" s="260" t="n">
        <v>0</v>
      </c>
      <c r="G140" s="260" t="n">
        <v>0</v>
      </c>
      <c r="H140" s="260" t="n">
        <v>0</v>
      </c>
      <c r="I140" s="260" t="n">
        <v>1.166666667</v>
      </c>
      <c r="J140" s="260" t="n">
        <v>1.166666667</v>
      </c>
      <c r="K140" s="260" t="n">
        <v>1.166666667</v>
      </c>
      <c r="L140" s="260" t="n">
        <v>1.166666667</v>
      </c>
      <c r="M140" s="260" t="n">
        <v>1.166666667</v>
      </c>
      <c r="N140" s="260" t="n">
        <v>1.166666667</v>
      </c>
      <c r="O140" s="260" t="n">
        <v>1.166666667</v>
      </c>
      <c r="P140" s="260" t="n">
        <v>1.166666667</v>
      </c>
      <c r="Q140" s="260" t="n">
        <v>1.166666667</v>
      </c>
      <c r="R140" s="260" t="n">
        <v>1.166666667</v>
      </c>
      <c r="S140" s="260" t="n">
        <v>1.166666667</v>
      </c>
      <c r="T140" s="260" t="n">
        <v>1.166666667</v>
      </c>
      <c r="U140" s="260" t="n">
        <v>1.166666667</v>
      </c>
      <c r="V140" s="260" t="n">
        <v>1.166666667</v>
      </c>
    </row>
    <row r="141" customFormat="false" ht="12.75" hidden="false" customHeight="false" outlineLevel="0" collapsed="false">
      <c r="A141" s="0" t="n">
        <f aca="false">Summary!A31</f>
        <v>15</v>
      </c>
      <c r="B141" s="0" t="s">
        <v>84</v>
      </c>
      <c r="C141" s="260" t="n">
        <v>0</v>
      </c>
      <c r="D141" s="260" t="n">
        <v>0</v>
      </c>
      <c r="E141" s="260" t="n">
        <v>0</v>
      </c>
      <c r="F141" s="260" t="n">
        <v>0</v>
      </c>
      <c r="G141" s="260" t="n">
        <v>0</v>
      </c>
      <c r="H141" s="260" t="n">
        <v>0</v>
      </c>
      <c r="I141" s="260" t="n">
        <v>1.166666667</v>
      </c>
      <c r="J141" s="260" t="n">
        <v>1.166666667</v>
      </c>
      <c r="K141" s="260" t="n">
        <v>1.166666667</v>
      </c>
      <c r="L141" s="260" t="n">
        <v>1.166666667</v>
      </c>
      <c r="M141" s="260" t="n">
        <v>1.166666667</v>
      </c>
      <c r="N141" s="260" t="n">
        <v>1.166666667</v>
      </c>
      <c r="O141" s="260" t="n">
        <v>1.166666667</v>
      </c>
      <c r="P141" s="260" t="n">
        <v>1.166666667</v>
      </c>
      <c r="Q141" s="260" t="n">
        <v>1.166666667</v>
      </c>
      <c r="R141" s="260" t="n">
        <v>1.166666667</v>
      </c>
      <c r="S141" s="260" t="n">
        <v>1.166666667</v>
      </c>
      <c r="T141" s="260" t="n">
        <v>1.166666667</v>
      </c>
      <c r="U141" s="260" t="n">
        <v>1.166666667</v>
      </c>
      <c r="V141" s="260" t="n">
        <v>1.166666667</v>
      </c>
    </row>
    <row r="142" customFormat="false" ht="12.75" hidden="false" customHeight="false" outlineLevel="0" collapsed="false">
      <c r="A142" s="0" t="n">
        <f aca="false">Summary!A32</f>
        <v>16</v>
      </c>
      <c r="B142" s="0" t="s">
        <v>85</v>
      </c>
      <c r="C142" s="260" t="n">
        <v>0</v>
      </c>
      <c r="D142" s="260" t="n">
        <v>0</v>
      </c>
      <c r="E142" s="260" t="n">
        <v>0</v>
      </c>
      <c r="F142" s="260" t="n">
        <v>0</v>
      </c>
      <c r="G142" s="260" t="n">
        <v>0</v>
      </c>
      <c r="H142" s="260" t="n">
        <v>0</v>
      </c>
      <c r="I142" s="260" t="n">
        <v>1.166666667</v>
      </c>
      <c r="J142" s="260" t="n">
        <v>1.166666667</v>
      </c>
      <c r="K142" s="260" t="n">
        <v>1.166666667</v>
      </c>
      <c r="L142" s="260" t="n">
        <v>1.166666667</v>
      </c>
      <c r="M142" s="260" t="n">
        <v>1.166666667</v>
      </c>
      <c r="N142" s="260" t="n">
        <v>1.166666667</v>
      </c>
      <c r="O142" s="260" t="n">
        <v>1.166666667</v>
      </c>
      <c r="P142" s="260" t="n">
        <v>1.166666667</v>
      </c>
      <c r="Q142" s="260" t="n">
        <v>1.166666667</v>
      </c>
      <c r="R142" s="260" t="n">
        <v>1.166666667</v>
      </c>
      <c r="S142" s="260" t="n">
        <v>1.166666667</v>
      </c>
      <c r="T142" s="260" t="n">
        <v>1.166666667</v>
      </c>
      <c r="U142" s="260" t="n">
        <v>1.166666667</v>
      </c>
      <c r="V142" s="260" t="n">
        <v>1.166666667</v>
      </c>
    </row>
    <row r="143" customFormat="false" ht="12.75" hidden="false" customHeight="false" outlineLevel="0" collapsed="false">
      <c r="A143" s="0" t="n">
        <f aca="false">Summary!A33</f>
        <v>17</v>
      </c>
      <c r="B143" s="0" t="s">
        <v>86</v>
      </c>
      <c r="C143" s="260" t="n">
        <v>0</v>
      </c>
      <c r="D143" s="260" t="n">
        <v>0</v>
      </c>
      <c r="E143" s="260" t="n">
        <v>0</v>
      </c>
      <c r="F143" s="260" t="n">
        <v>0</v>
      </c>
      <c r="G143" s="260" t="n">
        <v>0</v>
      </c>
      <c r="H143" s="260" t="n">
        <v>0</v>
      </c>
      <c r="I143" s="260" t="n">
        <v>1.166666667</v>
      </c>
      <c r="J143" s="260" t="n">
        <v>1.166666667</v>
      </c>
      <c r="K143" s="260" t="n">
        <v>1.166666667</v>
      </c>
      <c r="L143" s="260" t="n">
        <v>1.166666667</v>
      </c>
      <c r="M143" s="260" t="n">
        <v>1.166666667</v>
      </c>
      <c r="N143" s="260" t="n">
        <v>1.166666667</v>
      </c>
      <c r="O143" s="260" t="n">
        <v>1.166666667</v>
      </c>
      <c r="P143" s="260" t="n">
        <v>1.166666667</v>
      </c>
      <c r="Q143" s="260" t="n">
        <v>1.166666667</v>
      </c>
      <c r="R143" s="260" t="n">
        <v>1.166666667</v>
      </c>
      <c r="S143" s="260" t="n">
        <v>1.166666667</v>
      </c>
      <c r="T143" s="260" t="n">
        <v>1.166666667</v>
      </c>
      <c r="U143" s="260" t="n">
        <v>1.166666667</v>
      </c>
      <c r="V143" s="260" t="n">
        <v>1.166666667</v>
      </c>
    </row>
    <row r="144" customFormat="false" ht="12.75" hidden="false" customHeight="false" outlineLevel="0" collapsed="false">
      <c r="A144" s="0" t="n">
        <f aca="false">Summary!A34</f>
        <v>18</v>
      </c>
      <c r="B144" s="0" t="s">
        <v>87</v>
      </c>
      <c r="C144" s="260" t="n">
        <v>0</v>
      </c>
      <c r="D144" s="260" t="n">
        <v>0</v>
      </c>
      <c r="E144" s="260" t="n">
        <v>0</v>
      </c>
      <c r="F144" s="260" t="n">
        <v>0</v>
      </c>
      <c r="G144" s="260" t="n">
        <v>0</v>
      </c>
      <c r="H144" s="260" t="n">
        <v>0</v>
      </c>
      <c r="I144" s="260" t="n">
        <v>0.3</v>
      </c>
      <c r="J144" s="260" t="n">
        <v>0.3</v>
      </c>
      <c r="K144" s="260" t="n">
        <v>0.3</v>
      </c>
      <c r="L144" s="260" t="n">
        <v>0.3</v>
      </c>
      <c r="M144" s="260" t="n">
        <v>0.3</v>
      </c>
      <c r="N144" s="260" t="n">
        <v>0.3</v>
      </c>
      <c r="O144" s="260" t="n">
        <v>0.3</v>
      </c>
      <c r="P144" s="260" t="n">
        <v>0.3</v>
      </c>
      <c r="Q144" s="260" t="n">
        <v>0.3</v>
      </c>
      <c r="R144" s="260" t="n">
        <v>0.3</v>
      </c>
      <c r="S144" s="260" t="n">
        <v>0.3</v>
      </c>
      <c r="T144" s="260" t="n">
        <v>0.3</v>
      </c>
      <c r="U144" s="260" t="n">
        <v>0.3</v>
      </c>
      <c r="V144" s="260" t="n">
        <v>0.3</v>
      </c>
    </row>
    <row r="145" customFormat="false" ht="12.75" hidden="false" customHeight="false" outlineLevel="0" collapsed="false">
      <c r="A145" s="0" t="n">
        <f aca="false">Summary!A35</f>
        <v>19</v>
      </c>
      <c r="B145" s="0" t="s">
        <v>88</v>
      </c>
      <c r="C145" s="260" t="n">
        <v>0</v>
      </c>
      <c r="D145" s="260" t="n">
        <v>0</v>
      </c>
      <c r="E145" s="260" t="n">
        <v>0</v>
      </c>
      <c r="F145" s="260" t="n">
        <v>0</v>
      </c>
      <c r="G145" s="260" t="n">
        <v>0</v>
      </c>
      <c r="H145" s="260" t="n">
        <v>0</v>
      </c>
      <c r="I145" s="260" t="n">
        <v>0.31</v>
      </c>
      <c r="J145" s="260" t="n">
        <v>0.31</v>
      </c>
      <c r="K145" s="260" t="n">
        <v>0.31</v>
      </c>
      <c r="L145" s="260" t="n">
        <v>0.31</v>
      </c>
      <c r="M145" s="260" t="n">
        <v>0.31</v>
      </c>
      <c r="N145" s="260" t="n">
        <v>0.31</v>
      </c>
      <c r="O145" s="260" t="n">
        <v>0.31</v>
      </c>
      <c r="P145" s="260" t="n">
        <v>0.31</v>
      </c>
      <c r="Q145" s="260" t="n">
        <v>0.31</v>
      </c>
      <c r="R145" s="260" t="n">
        <v>0.31</v>
      </c>
      <c r="S145" s="260" t="n">
        <v>0.31</v>
      </c>
      <c r="T145" s="260" t="n">
        <v>0.31</v>
      </c>
      <c r="U145" s="260" t="n">
        <v>0.31</v>
      </c>
      <c r="V145" s="260" t="n">
        <v>0.31</v>
      </c>
    </row>
    <row r="146" customFormat="false" ht="12.75" hidden="false" customHeight="false" outlineLevel="0" collapsed="false">
      <c r="A146" s="0" t="n">
        <f aca="false">Summary!A36</f>
        <v>20</v>
      </c>
      <c r="B146" s="0" t="s">
        <v>89</v>
      </c>
      <c r="C146" s="260" t="n">
        <v>0</v>
      </c>
      <c r="D146" s="260" t="n">
        <v>0</v>
      </c>
      <c r="E146" s="260" t="n">
        <v>0</v>
      </c>
      <c r="F146" s="260" t="n">
        <v>0</v>
      </c>
      <c r="G146" s="260" t="n">
        <v>0</v>
      </c>
      <c r="H146" s="260" t="n">
        <v>0</v>
      </c>
      <c r="I146" s="260" t="n">
        <v>0.31</v>
      </c>
      <c r="J146" s="260" t="n">
        <v>0.31</v>
      </c>
      <c r="K146" s="260" t="n">
        <v>0.31</v>
      </c>
      <c r="L146" s="260" t="n">
        <v>0.31</v>
      </c>
      <c r="M146" s="260" t="n">
        <v>0.31</v>
      </c>
      <c r="N146" s="260" t="n">
        <v>0.31</v>
      </c>
      <c r="O146" s="260" t="n">
        <v>0.31</v>
      </c>
      <c r="P146" s="260" t="n">
        <v>0.31</v>
      </c>
      <c r="Q146" s="260" t="n">
        <v>0.31</v>
      </c>
      <c r="R146" s="260" t="n">
        <v>0.31</v>
      </c>
      <c r="S146" s="260" t="n">
        <v>0.31</v>
      </c>
      <c r="T146" s="260" t="n">
        <v>0.31</v>
      </c>
      <c r="U146" s="260" t="n">
        <v>0.31</v>
      </c>
      <c r="V146" s="260" t="n">
        <v>0.31</v>
      </c>
    </row>
    <row r="147" customFormat="false" ht="12.75" hidden="false" customHeight="false" outlineLevel="0" collapsed="false">
      <c r="A147" s="0" t="n">
        <f aca="false">Summary!A37</f>
        <v>21</v>
      </c>
      <c r="B147" s="0" t="s">
        <v>90</v>
      </c>
      <c r="C147" s="260" t="n">
        <v>0</v>
      </c>
      <c r="D147" s="260" t="n">
        <v>0</v>
      </c>
      <c r="E147" s="260" t="n">
        <v>0</v>
      </c>
      <c r="F147" s="260" t="n">
        <v>0</v>
      </c>
      <c r="G147" s="260" t="n">
        <v>0</v>
      </c>
      <c r="H147" s="260" t="n">
        <v>0</v>
      </c>
      <c r="I147" s="260" t="n">
        <v>0.31</v>
      </c>
      <c r="J147" s="260" t="n">
        <v>0.31</v>
      </c>
      <c r="K147" s="260" t="n">
        <v>0.31</v>
      </c>
      <c r="L147" s="260" t="n">
        <v>0.31</v>
      </c>
      <c r="M147" s="260" t="n">
        <v>0.31</v>
      </c>
      <c r="N147" s="260" t="n">
        <v>0.31</v>
      </c>
      <c r="O147" s="260" t="n">
        <v>0.31</v>
      </c>
      <c r="P147" s="260" t="n">
        <v>0.31</v>
      </c>
      <c r="Q147" s="260" t="n">
        <v>0.31</v>
      </c>
      <c r="R147" s="260" t="n">
        <v>0.31</v>
      </c>
      <c r="S147" s="260" t="n">
        <v>0.31</v>
      </c>
      <c r="T147" s="260" t="n">
        <v>0.31</v>
      </c>
      <c r="U147" s="260" t="n">
        <v>0.31</v>
      </c>
      <c r="V147" s="260" t="n">
        <v>0.31</v>
      </c>
    </row>
    <row r="148" customFormat="false" ht="12.75" hidden="false" customHeight="false" outlineLevel="0" collapsed="false">
      <c r="A148" s="0" t="n">
        <f aca="false">Summary!A38</f>
        <v>22</v>
      </c>
      <c r="B148" s="0" t="s">
        <v>91</v>
      </c>
      <c r="C148" s="260" t="n">
        <v>0</v>
      </c>
      <c r="D148" s="260" t="n">
        <v>0</v>
      </c>
      <c r="E148" s="260" t="n">
        <v>0</v>
      </c>
      <c r="F148" s="260" t="n">
        <v>0</v>
      </c>
      <c r="G148" s="260" t="n">
        <v>0</v>
      </c>
      <c r="H148" s="260" t="n">
        <v>0</v>
      </c>
      <c r="I148" s="260" t="n">
        <v>0.31</v>
      </c>
      <c r="J148" s="260" t="n">
        <v>0.31</v>
      </c>
      <c r="K148" s="260" t="n">
        <v>0.31</v>
      </c>
      <c r="L148" s="260" t="n">
        <v>0.31</v>
      </c>
      <c r="M148" s="260" t="n">
        <v>0.31</v>
      </c>
      <c r="N148" s="260" t="n">
        <v>0.31</v>
      </c>
      <c r="O148" s="260" t="n">
        <v>0.31</v>
      </c>
      <c r="P148" s="260" t="n">
        <v>0.31</v>
      </c>
      <c r="Q148" s="260" t="n">
        <v>0.31</v>
      </c>
      <c r="R148" s="260" t="n">
        <v>0.31</v>
      </c>
      <c r="S148" s="260" t="n">
        <v>0.31</v>
      </c>
      <c r="T148" s="260" t="n">
        <v>0.31</v>
      </c>
      <c r="U148" s="260" t="n">
        <v>0.31</v>
      </c>
      <c r="V148" s="260" t="n">
        <v>0.31</v>
      </c>
    </row>
    <row r="149" customFormat="false" ht="12.75" hidden="false" customHeight="false" outlineLevel="0" collapsed="false">
      <c r="A149" s="0" t="n">
        <f aca="false">Summary!A39</f>
        <v>23</v>
      </c>
      <c r="B149" s="0" t="s">
        <v>92</v>
      </c>
      <c r="C149" s="260" t="n">
        <v>0</v>
      </c>
      <c r="D149" s="260" t="n">
        <v>0</v>
      </c>
      <c r="E149" s="260" t="n">
        <v>0</v>
      </c>
      <c r="F149" s="260" t="n">
        <v>0</v>
      </c>
      <c r="G149" s="260" t="n">
        <v>0</v>
      </c>
      <c r="H149" s="260" t="n">
        <v>0</v>
      </c>
      <c r="I149" s="260" t="n">
        <v>0.31</v>
      </c>
      <c r="J149" s="260" t="n">
        <v>0.31</v>
      </c>
      <c r="K149" s="260" t="n">
        <v>0.31</v>
      </c>
      <c r="L149" s="260" t="n">
        <v>0.31</v>
      </c>
      <c r="M149" s="260" t="n">
        <v>0.31</v>
      </c>
      <c r="N149" s="260" t="n">
        <v>0.31</v>
      </c>
      <c r="O149" s="260" t="n">
        <v>0.31</v>
      </c>
      <c r="P149" s="260" t="n">
        <v>0.31</v>
      </c>
      <c r="Q149" s="260" t="n">
        <v>0.31</v>
      </c>
      <c r="R149" s="260" t="n">
        <v>0.31</v>
      </c>
      <c r="S149" s="260" t="n">
        <v>0.31</v>
      </c>
      <c r="T149" s="260" t="n">
        <v>0.31</v>
      </c>
      <c r="U149" s="260" t="n">
        <v>0.31</v>
      </c>
      <c r="V149" s="260" t="n">
        <v>0.31</v>
      </c>
    </row>
    <row r="150" customFormat="false" ht="12.75" hidden="false" customHeight="false" outlineLevel="0" collapsed="false">
      <c r="A150" s="0" t="n">
        <f aca="false">Summary!A40</f>
        <v>24</v>
      </c>
      <c r="B150" s="0" t="s">
        <v>93</v>
      </c>
      <c r="C150" s="260" t="n">
        <v>0</v>
      </c>
      <c r="D150" s="260" t="n">
        <v>0</v>
      </c>
      <c r="E150" s="260" t="n">
        <v>0</v>
      </c>
      <c r="F150" s="260" t="n">
        <v>0</v>
      </c>
      <c r="G150" s="260" t="n">
        <v>0</v>
      </c>
      <c r="H150" s="260" t="n">
        <v>0</v>
      </c>
      <c r="I150" s="260" t="n">
        <v>0.31</v>
      </c>
      <c r="J150" s="260" t="n">
        <v>0.31</v>
      </c>
      <c r="K150" s="260" t="n">
        <v>0.31</v>
      </c>
      <c r="L150" s="260" t="n">
        <v>0.31</v>
      </c>
      <c r="M150" s="260" t="n">
        <v>0.31</v>
      </c>
      <c r="N150" s="260" t="n">
        <v>0.31</v>
      </c>
      <c r="O150" s="260" t="n">
        <v>0.31</v>
      </c>
      <c r="P150" s="260" t="n">
        <v>0.31</v>
      </c>
      <c r="Q150" s="260" t="n">
        <v>0.31</v>
      </c>
      <c r="R150" s="260" t="n">
        <v>0.31</v>
      </c>
      <c r="S150" s="260" t="n">
        <v>0.31</v>
      </c>
      <c r="T150" s="260" t="n">
        <v>0.31</v>
      </c>
      <c r="U150" s="260" t="n">
        <v>0.31</v>
      </c>
      <c r="V150" s="260" t="n">
        <v>0.31</v>
      </c>
    </row>
    <row r="151" customFormat="false" ht="12.75" hidden="false" customHeight="false" outlineLevel="0" collapsed="false">
      <c r="A151" s="0" t="n">
        <f aca="false">Summary!A41</f>
        <v>25</v>
      </c>
      <c r="B151" s="0" t="s">
        <v>94</v>
      </c>
      <c r="C151" s="260" t="n">
        <v>0</v>
      </c>
      <c r="D151" s="260" t="n">
        <v>0</v>
      </c>
      <c r="E151" s="260" t="n">
        <v>0</v>
      </c>
      <c r="F151" s="260" t="n">
        <v>0</v>
      </c>
      <c r="G151" s="260" t="n">
        <v>0</v>
      </c>
      <c r="H151" s="260" t="n">
        <v>0</v>
      </c>
      <c r="I151" s="260" t="n">
        <v>0.31</v>
      </c>
      <c r="J151" s="260" t="n">
        <v>0.31</v>
      </c>
      <c r="K151" s="260" t="n">
        <v>0.31</v>
      </c>
      <c r="L151" s="260" t="n">
        <v>0.31</v>
      </c>
      <c r="M151" s="260" t="n">
        <v>0.31</v>
      </c>
      <c r="N151" s="260" t="n">
        <v>0.31</v>
      </c>
      <c r="O151" s="260" t="n">
        <v>0.31</v>
      </c>
      <c r="P151" s="260" t="n">
        <v>0.31</v>
      </c>
      <c r="Q151" s="260" t="n">
        <v>0.31</v>
      </c>
      <c r="R151" s="260" t="n">
        <v>0.31</v>
      </c>
      <c r="S151" s="260" t="n">
        <v>0.31</v>
      </c>
      <c r="T151" s="260" t="n">
        <v>0.31</v>
      </c>
      <c r="U151" s="260" t="n">
        <v>0.31</v>
      </c>
      <c r="V151" s="260" t="n">
        <v>0.31</v>
      </c>
    </row>
    <row r="152" customFormat="false" ht="12.75" hidden="false" customHeight="false" outlineLevel="0" collapsed="false">
      <c r="A152" s="0" t="n">
        <f aca="false">Summary!A42</f>
        <v>26</v>
      </c>
      <c r="B152" s="0" t="s">
        <v>95</v>
      </c>
      <c r="C152" s="260" t="n">
        <v>0</v>
      </c>
      <c r="D152" s="260" t="n">
        <v>0</v>
      </c>
      <c r="E152" s="260" t="n">
        <v>0</v>
      </c>
      <c r="F152" s="260" t="n">
        <v>0</v>
      </c>
      <c r="G152" s="260" t="n">
        <v>0</v>
      </c>
      <c r="H152" s="260" t="n">
        <v>0</v>
      </c>
      <c r="I152" s="260" t="n">
        <v>0.31</v>
      </c>
      <c r="J152" s="260" t="n">
        <v>0.31</v>
      </c>
      <c r="K152" s="260" t="n">
        <v>0.31</v>
      </c>
      <c r="L152" s="260" t="n">
        <v>0.31</v>
      </c>
      <c r="M152" s="260" t="n">
        <v>0.31</v>
      </c>
      <c r="N152" s="260" t="n">
        <v>0.31</v>
      </c>
      <c r="O152" s="260" t="n">
        <v>0.31</v>
      </c>
      <c r="P152" s="260" t="n">
        <v>0.31</v>
      </c>
      <c r="Q152" s="260" t="n">
        <v>0.31</v>
      </c>
      <c r="R152" s="260" t="n">
        <v>0.31</v>
      </c>
      <c r="S152" s="260" t="n">
        <v>0.31</v>
      </c>
      <c r="T152" s="260" t="n">
        <v>0.31</v>
      </c>
      <c r="U152" s="260" t="n">
        <v>0.31</v>
      </c>
      <c r="V152" s="260" t="n">
        <v>0.31</v>
      </c>
    </row>
    <row r="153" customFormat="false" ht="12.75" hidden="false" customHeight="false" outlineLevel="0" collapsed="false">
      <c r="A153" s="0" t="n">
        <f aca="false">Summary!A43</f>
        <v>27</v>
      </c>
      <c r="B153" s="0" t="s">
        <v>96</v>
      </c>
      <c r="C153" s="260" t="n">
        <v>0</v>
      </c>
      <c r="D153" s="260" t="n">
        <v>0</v>
      </c>
      <c r="E153" s="260" t="n">
        <v>0</v>
      </c>
      <c r="F153" s="260" t="n">
        <v>0</v>
      </c>
      <c r="G153" s="260" t="n">
        <v>0</v>
      </c>
      <c r="H153" s="260" t="n">
        <v>0</v>
      </c>
      <c r="I153" s="260" t="n">
        <v>0</v>
      </c>
      <c r="J153" s="260" t="n">
        <v>0</v>
      </c>
      <c r="K153" s="260" t="n">
        <v>0</v>
      </c>
      <c r="L153" s="260" t="n">
        <v>0</v>
      </c>
      <c r="M153" s="260" t="n">
        <v>0</v>
      </c>
      <c r="N153" s="260" t="n">
        <v>0</v>
      </c>
      <c r="O153" s="260" t="n">
        <v>0</v>
      </c>
      <c r="P153" s="260" t="n">
        <v>0</v>
      </c>
      <c r="Q153" s="260" t="n">
        <v>0</v>
      </c>
      <c r="R153" s="260" t="n">
        <v>0</v>
      </c>
      <c r="S153" s="260" t="n">
        <v>0</v>
      </c>
      <c r="T153" s="260" t="n">
        <v>0</v>
      </c>
      <c r="U153" s="260" t="n">
        <v>0</v>
      </c>
      <c r="V153" s="260" t="n">
        <v>0</v>
      </c>
    </row>
    <row r="154" customFormat="false" ht="12.75" hidden="false" customHeight="false" outlineLevel="0" collapsed="false">
      <c r="A154" s="0" t="n">
        <f aca="false">Summary!A44</f>
        <v>28</v>
      </c>
      <c r="B154" s="0" t="s">
        <v>97</v>
      </c>
      <c r="C154" s="260" t="n">
        <v>0</v>
      </c>
      <c r="D154" s="260" t="n">
        <v>0</v>
      </c>
      <c r="E154" s="260" t="n">
        <v>0</v>
      </c>
      <c r="F154" s="260" t="n">
        <v>0</v>
      </c>
      <c r="G154" s="260" t="n">
        <v>0</v>
      </c>
      <c r="H154" s="260" t="n">
        <v>0</v>
      </c>
      <c r="I154" s="260" t="n">
        <v>0</v>
      </c>
      <c r="J154" s="260" t="n">
        <v>0</v>
      </c>
      <c r="K154" s="260" t="n">
        <v>0</v>
      </c>
      <c r="L154" s="260" t="n">
        <v>0</v>
      </c>
      <c r="M154" s="260" t="n">
        <v>0</v>
      </c>
      <c r="N154" s="260" t="n">
        <v>0</v>
      </c>
      <c r="O154" s="260" t="n">
        <v>0</v>
      </c>
      <c r="P154" s="260" t="n">
        <v>0</v>
      </c>
      <c r="Q154" s="260" t="n">
        <v>0</v>
      </c>
      <c r="R154" s="260" t="n">
        <v>0</v>
      </c>
      <c r="S154" s="260" t="n">
        <v>0</v>
      </c>
      <c r="T154" s="260" t="n">
        <v>0</v>
      </c>
      <c r="U154" s="260" t="n">
        <v>0</v>
      </c>
      <c r="V154" s="260" t="n">
        <v>0</v>
      </c>
    </row>
    <row r="155" customFormat="false" ht="12.75" hidden="false" customHeight="false" outlineLevel="0" collapsed="false">
      <c r="A155" s="0" t="n">
        <f aca="false">Summary!A45</f>
        <v>29</v>
      </c>
      <c r="B155" s="0" t="s">
        <v>98</v>
      </c>
      <c r="C155" s="260" t="n">
        <v>0</v>
      </c>
      <c r="D155" s="260" t="n">
        <v>0</v>
      </c>
      <c r="E155" s="260" t="n">
        <v>0</v>
      </c>
      <c r="F155" s="260" t="n">
        <v>0</v>
      </c>
      <c r="G155" s="260" t="n">
        <v>0</v>
      </c>
      <c r="H155" s="260" t="n">
        <v>0</v>
      </c>
      <c r="I155" s="260" t="n">
        <v>0</v>
      </c>
      <c r="J155" s="260" t="n">
        <v>0</v>
      </c>
      <c r="K155" s="260" t="n">
        <v>0</v>
      </c>
      <c r="L155" s="260" t="n">
        <v>0</v>
      </c>
      <c r="M155" s="260" t="n">
        <v>0</v>
      </c>
      <c r="N155" s="260" t="n">
        <v>0</v>
      </c>
      <c r="O155" s="260" t="n">
        <v>0</v>
      </c>
      <c r="P155" s="260" t="n">
        <v>0</v>
      </c>
      <c r="Q155" s="260" t="n">
        <v>0</v>
      </c>
      <c r="R155" s="260" t="n">
        <v>0</v>
      </c>
      <c r="S155" s="260" t="n">
        <v>0</v>
      </c>
      <c r="T155" s="260" t="n">
        <v>0</v>
      </c>
      <c r="U155" s="260" t="n">
        <v>0</v>
      </c>
      <c r="V155" s="260" t="n">
        <v>0</v>
      </c>
    </row>
    <row r="156" customFormat="false" ht="12.75" hidden="false" customHeight="false" outlineLevel="0" collapsed="false">
      <c r="A156" s="0" t="n">
        <f aca="false">Summary!A46</f>
        <v>30</v>
      </c>
      <c r="B156" s="0" t="s">
        <v>99</v>
      </c>
      <c r="C156" s="260" t="n">
        <v>0</v>
      </c>
      <c r="D156" s="260" t="n">
        <v>0</v>
      </c>
      <c r="E156" s="260" t="n">
        <v>0</v>
      </c>
      <c r="F156" s="260" t="n">
        <v>0</v>
      </c>
      <c r="G156" s="260" t="n">
        <v>0</v>
      </c>
      <c r="H156" s="260" t="n">
        <v>0</v>
      </c>
      <c r="I156" s="260" t="n">
        <v>0</v>
      </c>
      <c r="J156" s="260" t="n">
        <v>0</v>
      </c>
      <c r="K156" s="260" t="n">
        <v>0</v>
      </c>
      <c r="L156" s="260" t="n">
        <v>0</v>
      </c>
      <c r="M156" s="260" t="n">
        <v>0</v>
      </c>
      <c r="N156" s="260" t="n">
        <v>0</v>
      </c>
      <c r="O156" s="260" t="n">
        <v>0</v>
      </c>
      <c r="P156" s="260" t="n">
        <v>0</v>
      </c>
      <c r="Q156" s="260" t="n">
        <v>0</v>
      </c>
      <c r="R156" s="260" t="n">
        <v>0</v>
      </c>
      <c r="S156" s="260" t="n">
        <v>0</v>
      </c>
      <c r="T156" s="260" t="n">
        <v>0</v>
      </c>
      <c r="U156" s="260" t="n">
        <v>0</v>
      </c>
      <c r="V156" s="260" t="n">
        <v>0</v>
      </c>
    </row>
    <row r="157" customFormat="false" ht="12.75" hidden="false" customHeight="false" outlineLevel="0" collapsed="false">
      <c r="A157" s="0" t="n">
        <f aca="false">Summary!A47</f>
        <v>31</v>
      </c>
      <c r="B157" s="0" t="s">
        <v>100</v>
      </c>
      <c r="C157" s="260" t="n">
        <v>0</v>
      </c>
      <c r="D157" s="260" t="n">
        <v>0</v>
      </c>
      <c r="E157" s="260" t="n">
        <v>0</v>
      </c>
      <c r="F157" s="260" t="n">
        <v>0</v>
      </c>
      <c r="G157" s="260" t="n">
        <v>0</v>
      </c>
      <c r="H157" s="260" t="n">
        <v>0</v>
      </c>
      <c r="I157" s="260" t="n">
        <v>0</v>
      </c>
      <c r="J157" s="260" t="n">
        <v>0</v>
      </c>
      <c r="K157" s="260" t="n">
        <v>0</v>
      </c>
      <c r="L157" s="260" t="n">
        <v>0</v>
      </c>
      <c r="M157" s="260" t="n">
        <v>0</v>
      </c>
      <c r="N157" s="260" t="n">
        <v>0</v>
      </c>
      <c r="O157" s="260" t="n">
        <v>0</v>
      </c>
      <c r="P157" s="260" t="n">
        <v>0</v>
      </c>
      <c r="Q157" s="260" t="n">
        <v>0</v>
      </c>
      <c r="R157" s="260" t="n">
        <v>0</v>
      </c>
      <c r="S157" s="260" t="n">
        <v>0</v>
      </c>
      <c r="T157" s="260" t="n">
        <v>0</v>
      </c>
      <c r="U157" s="260" t="n">
        <v>0</v>
      </c>
      <c r="V157" s="260" t="n">
        <v>0</v>
      </c>
    </row>
    <row r="158" customFormat="false" ht="12.75" hidden="false" customHeight="false" outlineLevel="0" collapsed="false">
      <c r="A158" s="0" t="n">
        <f aca="false">Summary!A48</f>
        <v>32</v>
      </c>
      <c r="B158" s="0" t="s">
        <v>101</v>
      </c>
      <c r="C158" s="260" t="n">
        <v>0</v>
      </c>
      <c r="D158" s="260" t="n">
        <v>0</v>
      </c>
      <c r="E158" s="260" t="n">
        <v>0</v>
      </c>
      <c r="F158" s="260" t="n">
        <v>0</v>
      </c>
      <c r="G158" s="260" t="n">
        <v>0</v>
      </c>
      <c r="H158" s="260" t="n">
        <v>0</v>
      </c>
      <c r="I158" s="260" t="n">
        <v>0</v>
      </c>
      <c r="J158" s="260" t="n">
        <v>0</v>
      </c>
      <c r="K158" s="260" t="n">
        <v>0</v>
      </c>
      <c r="L158" s="260" t="n">
        <v>0</v>
      </c>
      <c r="M158" s="260" t="n">
        <v>0</v>
      </c>
      <c r="N158" s="260" t="n">
        <v>0</v>
      </c>
      <c r="O158" s="260" t="n">
        <v>0</v>
      </c>
      <c r="P158" s="260" t="n">
        <v>0</v>
      </c>
      <c r="Q158" s="260" t="n">
        <v>0</v>
      </c>
      <c r="R158" s="260" t="n">
        <v>0</v>
      </c>
      <c r="S158" s="260" t="n">
        <v>0</v>
      </c>
      <c r="T158" s="260" t="n">
        <v>0</v>
      </c>
      <c r="U158" s="260" t="n">
        <v>0</v>
      </c>
      <c r="V158" s="260" t="n">
        <v>0</v>
      </c>
    </row>
    <row r="159" customFormat="false" ht="12.75" hidden="false" customHeight="false" outlineLevel="0" collapsed="false">
      <c r="A159" s="0" t="n">
        <f aca="false">Summary!A49</f>
        <v>33</v>
      </c>
      <c r="B159" s="0" t="s">
        <v>14</v>
      </c>
      <c r="C159" s="260" t="n">
        <v>0</v>
      </c>
      <c r="D159" s="260" t="n">
        <v>0</v>
      </c>
      <c r="E159" s="260" t="n">
        <v>0</v>
      </c>
      <c r="F159" s="260" t="n">
        <v>0</v>
      </c>
      <c r="G159" s="260" t="n">
        <v>0</v>
      </c>
      <c r="H159" s="260" t="n">
        <v>0</v>
      </c>
      <c r="I159" s="260" t="n">
        <f aca="false">H159</f>
        <v>0</v>
      </c>
      <c r="J159" s="260" t="n">
        <f aca="false">I159</f>
        <v>0</v>
      </c>
      <c r="K159" s="260" t="n">
        <f aca="false">J159</f>
        <v>0</v>
      </c>
      <c r="L159" s="260" t="n">
        <f aca="false">K159</f>
        <v>0</v>
      </c>
      <c r="M159" s="260" t="n">
        <f aca="false">L159</f>
        <v>0</v>
      </c>
      <c r="N159" s="260" t="n">
        <f aca="false">M159</f>
        <v>0</v>
      </c>
      <c r="O159" s="260" t="n">
        <f aca="false">N159</f>
        <v>0</v>
      </c>
      <c r="P159" s="260" t="n">
        <f aca="false">O159</f>
        <v>0</v>
      </c>
      <c r="Q159" s="260" t="n">
        <f aca="false">P159</f>
        <v>0</v>
      </c>
      <c r="R159" s="260" t="n">
        <f aca="false">Q159</f>
        <v>0</v>
      </c>
      <c r="S159" s="260" t="n">
        <f aca="false">R159</f>
        <v>0</v>
      </c>
      <c r="T159" s="260" t="n">
        <f aca="false">S159</f>
        <v>0</v>
      </c>
      <c r="U159" s="260" t="n">
        <f aca="false">T159</f>
        <v>0</v>
      </c>
      <c r="V159" s="260" t="n">
        <f aca="false">U159</f>
        <v>0</v>
      </c>
    </row>
    <row r="162" customFormat="false" ht="12.75" hidden="false" customHeight="false" outlineLevel="0" collapsed="false">
      <c r="A162" s="263" t="s">
        <v>255</v>
      </c>
    </row>
    <row r="163" customFormat="false" ht="12.75" hidden="false" customHeight="false" outlineLevel="0" collapsed="false">
      <c r="A163" s="263"/>
      <c r="W163" s="263" t="s">
        <v>256</v>
      </c>
    </row>
    <row r="164" customFormat="false" ht="12.75" hidden="false" customHeight="false" outlineLevel="0" collapsed="false">
      <c r="C164" s="235" t="n">
        <v>2000</v>
      </c>
      <c r="D164" s="235" t="n">
        <v>2001</v>
      </c>
      <c r="E164" s="235" t="n">
        <v>2002</v>
      </c>
      <c r="F164" s="235" t="n">
        <v>2003</v>
      </c>
      <c r="G164" s="235" t="n">
        <v>2004</v>
      </c>
      <c r="H164" s="235" t="n">
        <v>2005</v>
      </c>
      <c r="I164" s="235" t="n">
        <v>2006</v>
      </c>
      <c r="J164" s="235" t="n">
        <v>2007</v>
      </c>
      <c r="K164" s="235" t="n">
        <v>2008</v>
      </c>
      <c r="L164" s="235" t="n">
        <v>2009</v>
      </c>
      <c r="M164" s="235" t="n">
        <v>2010</v>
      </c>
      <c r="N164" s="235" t="n">
        <v>2011</v>
      </c>
      <c r="O164" s="235" t="n">
        <v>2012</v>
      </c>
      <c r="P164" s="235" t="n">
        <v>2013</v>
      </c>
      <c r="Q164" s="235" t="n">
        <v>2014</v>
      </c>
      <c r="R164" s="235" t="n">
        <v>2015</v>
      </c>
      <c r="S164" s="235" t="n">
        <v>2016</v>
      </c>
      <c r="T164" s="235" t="n">
        <v>2017</v>
      </c>
      <c r="U164" s="235" t="n">
        <v>2018</v>
      </c>
      <c r="V164" s="235" t="n">
        <v>2019</v>
      </c>
      <c r="W164" s="235" t="s">
        <v>130</v>
      </c>
      <c r="X164" s="235" t="s">
        <v>257</v>
      </c>
    </row>
    <row r="166" customFormat="false" ht="12.75" hidden="false" customHeight="false" outlineLevel="0" collapsed="false">
      <c r="A166" s="0" t="n">
        <f aca="false">Summary!A17</f>
        <v>1</v>
      </c>
      <c r="B166" s="0" t="s">
        <v>69</v>
      </c>
      <c r="C166" s="260" t="n">
        <v>0.48</v>
      </c>
      <c r="D166" s="260" t="n">
        <v>0.48</v>
      </c>
      <c r="E166" s="260" t="n">
        <v>0.48</v>
      </c>
      <c r="F166" s="260" t="n">
        <f aca="false">E166*(1-X166)</f>
        <v>0.072</v>
      </c>
      <c r="G166" s="260" t="n">
        <f aca="false">F166</f>
        <v>0.072</v>
      </c>
      <c r="H166" s="260" t="n">
        <f aca="false">G166</f>
        <v>0.072</v>
      </c>
      <c r="I166" s="260" t="n">
        <f aca="false">H166</f>
        <v>0.072</v>
      </c>
      <c r="J166" s="260" t="n">
        <f aca="false">I166</f>
        <v>0.072</v>
      </c>
      <c r="K166" s="260" t="n">
        <f aca="false">J166</f>
        <v>0.072</v>
      </c>
      <c r="L166" s="260" t="n">
        <f aca="false">K166</f>
        <v>0.072</v>
      </c>
      <c r="M166" s="260" t="n">
        <f aca="false">L166</f>
        <v>0.072</v>
      </c>
      <c r="N166" s="260" t="n">
        <f aca="false">M166</f>
        <v>0.072</v>
      </c>
      <c r="O166" s="260" t="n">
        <f aca="false">N166</f>
        <v>0.072</v>
      </c>
      <c r="P166" s="260" t="n">
        <f aca="false">O166</f>
        <v>0.072</v>
      </c>
      <c r="Q166" s="260" t="n">
        <f aca="false">P166</f>
        <v>0.072</v>
      </c>
      <c r="R166" s="260" t="n">
        <f aca="false">Q166</f>
        <v>0.072</v>
      </c>
      <c r="S166" s="260" t="n">
        <f aca="false">R166</f>
        <v>0.072</v>
      </c>
      <c r="T166" s="260" t="n">
        <f aca="false">S166</f>
        <v>0.072</v>
      </c>
      <c r="U166" s="260" t="n">
        <f aca="false">T166</f>
        <v>0.072</v>
      </c>
      <c r="V166" s="260" t="n">
        <f aca="false">U166</f>
        <v>0.072</v>
      </c>
      <c r="W166" s="386" t="s">
        <v>258</v>
      </c>
      <c r="X166" s="387" t="n">
        <v>0.85</v>
      </c>
    </row>
    <row r="167" customFormat="false" ht="12.75" hidden="false" customHeight="false" outlineLevel="0" collapsed="false">
      <c r="A167" s="0" t="n">
        <f aca="false">Summary!A18</f>
        <v>2</v>
      </c>
      <c r="B167" s="0" t="s">
        <v>71</v>
      </c>
      <c r="C167" s="260" t="n">
        <v>0.36</v>
      </c>
      <c r="D167" s="260" t="n">
        <v>0.36</v>
      </c>
      <c r="E167" s="260" t="n">
        <v>0.36</v>
      </c>
      <c r="F167" s="260" t="n">
        <f aca="false">E167*(1-X167)</f>
        <v>0.054</v>
      </c>
      <c r="G167" s="260" t="n">
        <f aca="false">F167</f>
        <v>0.054</v>
      </c>
      <c r="H167" s="260" t="n">
        <f aca="false">G167</f>
        <v>0.054</v>
      </c>
      <c r="I167" s="260" t="n">
        <f aca="false">H167</f>
        <v>0.054</v>
      </c>
      <c r="J167" s="260" t="n">
        <f aca="false">I167</f>
        <v>0.054</v>
      </c>
      <c r="K167" s="260" t="n">
        <f aca="false">J167</f>
        <v>0.054</v>
      </c>
      <c r="L167" s="260" t="n">
        <f aca="false">K167</f>
        <v>0.054</v>
      </c>
      <c r="M167" s="260" t="n">
        <f aca="false">L167</f>
        <v>0.054</v>
      </c>
      <c r="N167" s="260" t="n">
        <f aca="false">M167</f>
        <v>0.054</v>
      </c>
      <c r="O167" s="260" t="n">
        <f aca="false">N167</f>
        <v>0.054</v>
      </c>
      <c r="P167" s="260" t="n">
        <f aca="false">O167</f>
        <v>0.054</v>
      </c>
      <c r="Q167" s="260" t="n">
        <f aca="false">P167</f>
        <v>0.054</v>
      </c>
      <c r="R167" s="260" t="n">
        <f aca="false">Q167</f>
        <v>0.054</v>
      </c>
      <c r="S167" s="260" t="n">
        <f aca="false">R167</f>
        <v>0.054</v>
      </c>
      <c r="T167" s="260" t="n">
        <f aca="false">S167</f>
        <v>0.054</v>
      </c>
      <c r="U167" s="260" t="n">
        <f aca="false">T167</f>
        <v>0.054</v>
      </c>
      <c r="V167" s="260" t="n">
        <f aca="false">U167</f>
        <v>0.054</v>
      </c>
      <c r="W167" s="386" t="s">
        <v>259</v>
      </c>
      <c r="X167" s="387" t="n">
        <v>0.85</v>
      </c>
    </row>
    <row r="168" customFormat="false" ht="12.75" hidden="false" customHeight="false" outlineLevel="0" collapsed="false">
      <c r="A168" s="0" t="n">
        <f aca="false">Summary!A19</f>
        <v>3</v>
      </c>
      <c r="B168" s="2" t="s">
        <v>72</v>
      </c>
      <c r="C168" s="260" t="n">
        <v>0.68</v>
      </c>
      <c r="D168" s="260" t="n">
        <v>0.68</v>
      </c>
      <c r="E168" s="260" t="n">
        <v>0.68</v>
      </c>
      <c r="F168" s="260" t="n">
        <f aca="false">E168*(1-X168)</f>
        <v>0.102</v>
      </c>
      <c r="G168" s="260" t="n">
        <f aca="false">F168</f>
        <v>0.102</v>
      </c>
      <c r="H168" s="260" t="n">
        <f aca="false">G168</f>
        <v>0.102</v>
      </c>
      <c r="I168" s="260" t="n">
        <f aca="false">H168</f>
        <v>0.102</v>
      </c>
      <c r="J168" s="260" t="n">
        <f aca="false">I168</f>
        <v>0.102</v>
      </c>
      <c r="K168" s="260" t="n">
        <f aca="false">J168</f>
        <v>0.102</v>
      </c>
      <c r="L168" s="260" t="n">
        <f aca="false">K168</f>
        <v>0.102</v>
      </c>
      <c r="M168" s="260" t="n">
        <f aca="false">L168</f>
        <v>0.102</v>
      </c>
      <c r="N168" s="260" t="n">
        <f aca="false">M168</f>
        <v>0.102</v>
      </c>
      <c r="O168" s="260" t="n">
        <f aca="false">N168</f>
        <v>0.102</v>
      </c>
      <c r="P168" s="260" t="n">
        <f aca="false">O168</f>
        <v>0.102</v>
      </c>
      <c r="Q168" s="260" t="n">
        <f aca="false">P168</f>
        <v>0.102</v>
      </c>
      <c r="R168" s="260" t="n">
        <f aca="false">Q168</f>
        <v>0.102</v>
      </c>
      <c r="S168" s="260" t="n">
        <f aca="false">R168</f>
        <v>0.102</v>
      </c>
      <c r="T168" s="260" t="n">
        <f aca="false">S168</f>
        <v>0.102</v>
      </c>
      <c r="U168" s="260" t="n">
        <f aca="false">T168</f>
        <v>0.102</v>
      </c>
      <c r="V168" s="260" t="n">
        <f aca="false">U168</f>
        <v>0.102</v>
      </c>
      <c r="W168" s="386" t="s">
        <v>258</v>
      </c>
      <c r="X168" s="387" t="n">
        <v>0.85</v>
      </c>
    </row>
    <row r="169" customFormat="false" ht="12.75" hidden="false" customHeight="false" outlineLevel="0" collapsed="false">
      <c r="A169" s="0" t="n">
        <f aca="false">Summary!A20</f>
        <v>4</v>
      </c>
      <c r="B169" s="2" t="s">
        <v>73</v>
      </c>
      <c r="C169" s="260" t="n">
        <v>0.68</v>
      </c>
      <c r="D169" s="260" t="n">
        <v>0.68</v>
      </c>
      <c r="E169" s="260" t="n">
        <v>0.68</v>
      </c>
      <c r="F169" s="260" t="n">
        <f aca="false">E169*(1-X169)</f>
        <v>0.102</v>
      </c>
      <c r="G169" s="260" t="n">
        <f aca="false">F169</f>
        <v>0.102</v>
      </c>
      <c r="H169" s="260" t="n">
        <f aca="false">G169</f>
        <v>0.102</v>
      </c>
      <c r="I169" s="260" t="n">
        <f aca="false">H169</f>
        <v>0.102</v>
      </c>
      <c r="J169" s="260" t="n">
        <f aca="false">I169</f>
        <v>0.102</v>
      </c>
      <c r="K169" s="260" t="n">
        <f aca="false">J169</f>
        <v>0.102</v>
      </c>
      <c r="L169" s="260" t="n">
        <f aca="false">K169</f>
        <v>0.102</v>
      </c>
      <c r="M169" s="260" t="n">
        <f aca="false">L169</f>
        <v>0.102</v>
      </c>
      <c r="N169" s="260" t="n">
        <f aca="false">M169</f>
        <v>0.102</v>
      </c>
      <c r="O169" s="260" t="n">
        <f aca="false">N169</f>
        <v>0.102</v>
      </c>
      <c r="P169" s="260" t="n">
        <f aca="false">O169</f>
        <v>0.102</v>
      </c>
      <c r="Q169" s="260" t="n">
        <f aca="false">P169</f>
        <v>0.102</v>
      </c>
      <c r="R169" s="260" t="n">
        <f aca="false">Q169</f>
        <v>0.102</v>
      </c>
      <c r="S169" s="260" t="n">
        <f aca="false">R169</f>
        <v>0.102</v>
      </c>
      <c r="T169" s="260" t="n">
        <f aca="false">S169</f>
        <v>0.102</v>
      </c>
      <c r="U169" s="260" t="n">
        <f aca="false">T169</f>
        <v>0.102</v>
      </c>
      <c r="V169" s="260" t="n">
        <f aca="false">U169</f>
        <v>0.102</v>
      </c>
      <c r="W169" s="386" t="s">
        <v>258</v>
      </c>
      <c r="X169" s="387" t="n">
        <v>0.85</v>
      </c>
    </row>
    <row r="170" customFormat="false" ht="12.75" hidden="false" customHeight="false" outlineLevel="0" collapsed="false">
      <c r="A170" s="0" t="n">
        <f aca="false">Summary!A21</f>
        <v>5</v>
      </c>
      <c r="B170" s="2" t="s">
        <v>74</v>
      </c>
      <c r="C170" s="260" t="n">
        <v>0.68</v>
      </c>
      <c r="D170" s="260" t="n">
        <v>0.68</v>
      </c>
      <c r="E170" s="260" t="n">
        <v>0.68</v>
      </c>
      <c r="F170" s="260" t="n">
        <f aca="false">E170*(1-X170)</f>
        <v>0.102</v>
      </c>
      <c r="G170" s="260" t="n">
        <f aca="false">F170</f>
        <v>0.102</v>
      </c>
      <c r="H170" s="260" t="n">
        <f aca="false">G170</f>
        <v>0.102</v>
      </c>
      <c r="I170" s="260" t="n">
        <f aca="false">H170</f>
        <v>0.102</v>
      </c>
      <c r="J170" s="260" t="n">
        <f aca="false">I170</f>
        <v>0.102</v>
      </c>
      <c r="K170" s="260" t="n">
        <f aca="false">J170</f>
        <v>0.102</v>
      </c>
      <c r="L170" s="260" t="n">
        <f aca="false">K170</f>
        <v>0.102</v>
      </c>
      <c r="M170" s="260" t="n">
        <f aca="false">L170</f>
        <v>0.102</v>
      </c>
      <c r="N170" s="260" t="n">
        <f aca="false">M170</f>
        <v>0.102</v>
      </c>
      <c r="O170" s="260" t="n">
        <f aca="false">N170</f>
        <v>0.102</v>
      </c>
      <c r="P170" s="260" t="n">
        <f aca="false">O170</f>
        <v>0.102</v>
      </c>
      <c r="Q170" s="260" t="n">
        <f aca="false">P170</f>
        <v>0.102</v>
      </c>
      <c r="R170" s="260" t="n">
        <f aca="false">Q170</f>
        <v>0.102</v>
      </c>
      <c r="S170" s="260" t="n">
        <f aca="false">R170</f>
        <v>0.102</v>
      </c>
      <c r="T170" s="260" t="n">
        <f aca="false">S170</f>
        <v>0.102</v>
      </c>
      <c r="U170" s="260" t="n">
        <f aca="false">T170</f>
        <v>0.102</v>
      </c>
      <c r="V170" s="260" t="n">
        <f aca="false">U170</f>
        <v>0.102</v>
      </c>
      <c r="W170" s="386" t="s">
        <v>258</v>
      </c>
      <c r="X170" s="387" t="n">
        <v>0.85</v>
      </c>
    </row>
    <row r="171" customFormat="false" ht="12.75" hidden="false" customHeight="false" outlineLevel="0" collapsed="false">
      <c r="A171" s="0" t="n">
        <f aca="false">Summary!A22</f>
        <v>6</v>
      </c>
      <c r="B171" s="2" t="s">
        <v>75</v>
      </c>
      <c r="C171" s="260" t="n">
        <v>0.68</v>
      </c>
      <c r="D171" s="260" t="n">
        <v>0.68</v>
      </c>
      <c r="E171" s="260" t="n">
        <v>0.68</v>
      </c>
      <c r="F171" s="260" t="n">
        <f aca="false">E171*(1-X171)</f>
        <v>0.102</v>
      </c>
      <c r="G171" s="260" t="n">
        <f aca="false">F171</f>
        <v>0.102</v>
      </c>
      <c r="H171" s="260" t="n">
        <f aca="false">G171</f>
        <v>0.102</v>
      </c>
      <c r="I171" s="260" t="n">
        <f aca="false">H171</f>
        <v>0.102</v>
      </c>
      <c r="J171" s="260" t="n">
        <f aca="false">I171</f>
        <v>0.102</v>
      </c>
      <c r="K171" s="260" t="n">
        <f aca="false">J171</f>
        <v>0.102</v>
      </c>
      <c r="L171" s="260" t="n">
        <f aca="false">K171</f>
        <v>0.102</v>
      </c>
      <c r="M171" s="260" t="n">
        <f aca="false">L171</f>
        <v>0.102</v>
      </c>
      <c r="N171" s="260" t="n">
        <f aca="false">M171</f>
        <v>0.102</v>
      </c>
      <c r="O171" s="260" t="n">
        <f aca="false">N171</f>
        <v>0.102</v>
      </c>
      <c r="P171" s="260" t="n">
        <f aca="false">O171</f>
        <v>0.102</v>
      </c>
      <c r="Q171" s="260" t="n">
        <f aca="false">P171</f>
        <v>0.102</v>
      </c>
      <c r="R171" s="260" t="n">
        <f aca="false">Q171</f>
        <v>0.102</v>
      </c>
      <c r="S171" s="260" t="n">
        <f aca="false">R171</f>
        <v>0.102</v>
      </c>
      <c r="T171" s="260" t="n">
        <f aca="false">S171</f>
        <v>0.102</v>
      </c>
      <c r="U171" s="260" t="n">
        <f aca="false">T171</f>
        <v>0.102</v>
      </c>
      <c r="V171" s="260" t="n">
        <f aca="false">U171</f>
        <v>0.102</v>
      </c>
      <c r="W171" s="386" t="s">
        <v>258</v>
      </c>
      <c r="X171" s="387" t="n">
        <v>0.85</v>
      </c>
    </row>
    <row r="172" customFormat="false" ht="12.75" hidden="false" customHeight="false" outlineLevel="0" collapsed="false">
      <c r="A172" s="0" t="n">
        <f aca="false">Summary!A23</f>
        <v>7</v>
      </c>
      <c r="B172" s="0" t="s">
        <v>76</v>
      </c>
      <c r="C172" s="260" t="n">
        <v>0.46</v>
      </c>
      <c r="D172" s="260" t="n">
        <v>0.46</v>
      </c>
      <c r="E172" s="260" t="n">
        <v>0.46</v>
      </c>
      <c r="F172" s="260" t="n">
        <f aca="false">E172*(1-X172)</f>
        <v>0.069</v>
      </c>
      <c r="G172" s="260" t="n">
        <f aca="false">F172</f>
        <v>0.069</v>
      </c>
      <c r="H172" s="260" t="n">
        <f aca="false">G172</f>
        <v>0.069</v>
      </c>
      <c r="I172" s="260" t="n">
        <f aca="false">H172</f>
        <v>0.069</v>
      </c>
      <c r="J172" s="260" t="n">
        <f aca="false">I172</f>
        <v>0.069</v>
      </c>
      <c r="K172" s="260" t="n">
        <f aca="false">J172</f>
        <v>0.069</v>
      </c>
      <c r="L172" s="260" t="n">
        <f aca="false">K172</f>
        <v>0.069</v>
      </c>
      <c r="M172" s="260" t="n">
        <f aca="false">L172</f>
        <v>0.069</v>
      </c>
      <c r="N172" s="260" t="n">
        <f aca="false">M172</f>
        <v>0.069</v>
      </c>
      <c r="O172" s="260" t="n">
        <f aca="false">N172</f>
        <v>0.069</v>
      </c>
      <c r="P172" s="260" t="n">
        <f aca="false">O172</f>
        <v>0.069</v>
      </c>
      <c r="Q172" s="260" t="n">
        <f aca="false">P172</f>
        <v>0.069</v>
      </c>
      <c r="R172" s="260" t="n">
        <f aca="false">Q172</f>
        <v>0.069</v>
      </c>
      <c r="S172" s="260" t="n">
        <f aca="false">R172</f>
        <v>0.069</v>
      </c>
      <c r="T172" s="260" t="n">
        <f aca="false">S172</f>
        <v>0.069</v>
      </c>
      <c r="U172" s="260" t="n">
        <f aca="false">T172</f>
        <v>0.069</v>
      </c>
      <c r="V172" s="260" t="n">
        <f aca="false">U172</f>
        <v>0.069</v>
      </c>
      <c r="W172" s="386" t="s">
        <v>258</v>
      </c>
      <c r="X172" s="387" t="n">
        <v>0.85</v>
      </c>
    </row>
    <row r="173" customFormat="false" ht="12.75" hidden="false" customHeight="false" outlineLevel="0" collapsed="false">
      <c r="A173" s="0" t="n">
        <f aca="false">Summary!A24</f>
        <v>8</v>
      </c>
      <c r="B173" s="0" t="s">
        <v>77</v>
      </c>
      <c r="C173" s="260" t="n">
        <v>0.9</v>
      </c>
      <c r="D173" s="260" t="n">
        <v>0.9</v>
      </c>
      <c r="E173" s="260" t="n">
        <v>0.9</v>
      </c>
      <c r="F173" s="260" t="n">
        <f aca="false">E173*(1-X173)</f>
        <v>0.9</v>
      </c>
      <c r="G173" s="260" t="n">
        <f aca="false">F173</f>
        <v>0.9</v>
      </c>
      <c r="H173" s="260" t="n">
        <f aca="false">G173</f>
        <v>0.9</v>
      </c>
      <c r="I173" s="260" t="n">
        <f aca="false">H173</f>
        <v>0.9</v>
      </c>
      <c r="J173" s="260" t="n">
        <f aca="false">I173</f>
        <v>0.9</v>
      </c>
      <c r="K173" s="260" t="n">
        <f aca="false">J173</f>
        <v>0.9</v>
      </c>
      <c r="L173" s="260" t="n">
        <f aca="false">K173</f>
        <v>0.9</v>
      </c>
      <c r="M173" s="260" t="n">
        <f aca="false">L173</f>
        <v>0.9</v>
      </c>
      <c r="N173" s="260" t="n">
        <f aca="false">M173</f>
        <v>0.9</v>
      </c>
      <c r="O173" s="260" t="n">
        <f aca="false">N173</f>
        <v>0.9</v>
      </c>
      <c r="P173" s="260" t="n">
        <f aca="false">O173</f>
        <v>0.9</v>
      </c>
      <c r="Q173" s="260" t="n">
        <f aca="false">P173</f>
        <v>0.9</v>
      </c>
      <c r="R173" s="260" t="n">
        <f aca="false">Q173</f>
        <v>0.9</v>
      </c>
      <c r="S173" s="260" t="n">
        <f aca="false">R173</f>
        <v>0.9</v>
      </c>
      <c r="T173" s="260" t="n">
        <f aca="false">S173</f>
        <v>0.9</v>
      </c>
      <c r="U173" s="260" t="n">
        <f aca="false">T173</f>
        <v>0.9</v>
      </c>
      <c r="V173" s="260" t="n">
        <f aca="false">U173</f>
        <v>0.9</v>
      </c>
      <c r="W173" s="386"/>
      <c r="X173" s="387"/>
    </row>
    <row r="174" customFormat="false" ht="12.75" hidden="false" customHeight="false" outlineLevel="0" collapsed="false">
      <c r="A174" s="0" t="n">
        <f aca="false">Summary!A25</f>
        <v>9</v>
      </c>
      <c r="B174" s="0" t="s">
        <v>78</v>
      </c>
      <c r="C174" s="260" t="n">
        <v>0.32</v>
      </c>
      <c r="D174" s="260" t="n">
        <v>0.32</v>
      </c>
      <c r="E174" s="260" t="n">
        <v>0.32</v>
      </c>
      <c r="F174" s="260" t="n">
        <f aca="false">E174*(1-X174)</f>
        <v>0.08</v>
      </c>
      <c r="G174" s="260" t="n">
        <f aca="false">F174</f>
        <v>0.08</v>
      </c>
      <c r="H174" s="260" t="n">
        <f aca="false">G174</f>
        <v>0.08</v>
      </c>
      <c r="I174" s="260" t="n">
        <f aca="false">H174</f>
        <v>0.08</v>
      </c>
      <c r="J174" s="260" t="n">
        <f aca="false">I174</f>
        <v>0.08</v>
      </c>
      <c r="K174" s="260" t="n">
        <f aca="false">J174</f>
        <v>0.08</v>
      </c>
      <c r="L174" s="260" t="n">
        <f aca="false">K174</f>
        <v>0.08</v>
      </c>
      <c r="M174" s="260" t="n">
        <f aca="false">L174</f>
        <v>0.08</v>
      </c>
      <c r="N174" s="260" t="n">
        <f aca="false">M174</f>
        <v>0.08</v>
      </c>
      <c r="O174" s="260" t="n">
        <f aca="false">N174</f>
        <v>0.08</v>
      </c>
      <c r="P174" s="260" t="n">
        <f aca="false">O174</f>
        <v>0.08</v>
      </c>
      <c r="Q174" s="260" t="n">
        <f aca="false">P174</f>
        <v>0.08</v>
      </c>
      <c r="R174" s="260" t="n">
        <f aca="false">Q174</f>
        <v>0.08</v>
      </c>
      <c r="S174" s="260" t="n">
        <f aca="false">R174</f>
        <v>0.08</v>
      </c>
      <c r="T174" s="260" t="n">
        <f aca="false">S174</f>
        <v>0.08</v>
      </c>
      <c r="U174" s="260" t="n">
        <f aca="false">T174</f>
        <v>0.08</v>
      </c>
      <c r="V174" s="260" t="n">
        <f aca="false">U174</f>
        <v>0.08</v>
      </c>
      <c r="W174" s="386" t="s">
        <v>260</v>
      </c>
      <c r="X174" s="387" t="n">
        <v>0.75</v>
      </c>
    </row>
    <row r="175" customFormat="false" ht="12.75" hidden="false" customHeight="false" outlineLevel="0" collapsed="false">
      <c r="A175" s="0" t="n">
        <f aca="false">Summary!A26</f>
        <v>10</v>
      </c>
      <c r="B175" s="0" t="s">
        <v>79</v>
      </c>
      <c r="C175" s="260" t="n">
        <v>0.5</v>
      </c>
      <c r="D175" s="260" t="n">
        <v>0.5</v>
      </c>
      <c r="E175" s="260" t="n">
        <v>0.5</v>
      </c>
      <c r="F175" s="260" t="n">
        <f aca="false">E175*(1-X175)</f>
        <v>0.075</v>
      </c>
      <c r="G175" s="260" t="n">
        <f aca="false">F175</f>
        <v>0.075</v>
      </c>
      <c r="H175" s="260" t="n">
        <f aca="false">G175</f>
        <v>0.075</v>
      </c>
      <c r="I175" s="260" t="n">
        <f aca="false">H175</f>
        <v>0.075</v>
      </c>
      <c r="J175" s="260" t="n">
        <f aca="false">I175</f>
        <v>0.075</v>
      </c>
      <c r="K175" s="260" t="n">
        <f aca="false">J175</f>
        <v>0.075</v>
      </c>
      <c r="L175" s="260" t="n">
        <f aca="false">K175</f>
        <v>0.075</v>
      </c>
      <c r="M175" s="260" t="n">
        <f aca="false">L175</f>
        <v>0.075</v>
      </c>
      <c r="N175" s="260" t="n">
        <f aca="false">M175</f>
        <v>0.075</v>
      </c>
      <c r="O175" s="260" t="n">
        <f aca="false">N175</f>
        <v>0.075</v>
      </c>
      <c r="P175" s="260" t="n">
        <f aca="false">O175</f>
        <v>0.075</v>
      </c>
      <c r="Q175" s="260" t="n">
        <f aca="false">P175</f>
        <v>0.075</v>
      </c>
      <c r="R175" s="260" t="n">
        <f aca="false">Q175</f>
        <v>0.075</v>
      </c>
      <c r="S175" s="260" t="n">
        <f aca="false">R175</f>
        <v>0.075</v>
      </c>
      <c r="T175" s="260" t="n">
        <f aca="false">S175</f>
        <v>0.075</v>
      </c>
      <c r="U175" s="260" t="n">
        <f aca="false">T175</f>
        <v>0.075</v>
      </c>
      <c r="V175" s="260" t="n">
        <f aca="false">U175</f>
        <v>0.075</v>
      </c>
      <c r="W175" s="386" t="s">
        <v>259</v>
      </c>
      <c r="X175" s="387" t="n">
        <v>0.85</v>
      </c>
    </row>
    <row r="176" customFormat="false" ht="12.75" hidden="false" customHeight="false" outlineLevel="0" collapsed="false">
      <c r="A176" s="0" t="n">
        <f aca="false">Summary!A27</f>
        <v>11</v>
      </c>
      <c r="B176" s="0" t="s">
        <v>80</v>
      </c>
      <c r="C176" s="260" t="n">
        <v>0.49</v>
      </c>
      <c r="D176" s="260" t="n">
        <v>0.49</v>
      </c>
      <c r="E176" s="260" t="n">
        <v>0.49</v>
      </c>
      <c r="F176" s="260" t="n">
        <f aca="false">E176*(1-X176)</f>
        <v>0.0735</v>
      </c>
      <c r="G176" s="260" t="n">
        <f aca="false">F176</f>
        <v>0.0735</v>
      </c>
      <c r="H176" s="260" t="n">
        <f aca="false">G176</f>
        <v>0.0735</v>
      </c>
      <c r="I176" s="260" t="n">
        <f aca="false">H176</f>
        <v>0.0735</v>
      </c>
      <c r="J176" s="260" t="n">
        <f aca="false">I176</f>
        <v>0.0735</v>
      </c>
      <c r="K176" s="260" t="n">
        <f aca="false">J176</f>
        <v>0.0735</v>
      </c>
      <c r="L176" s="260" t="n">
        <f aca="false">K176</f>
        <v>0.0735</v>
      </c>
      <c r="M176" s="260" t="n">
        <f aca="false">L176</f>
        <v>0.0735</v>
      </c>
      <c r="N176" s="260" t="n">
        <f aca="false">M176</f>
        <v>0.0735</v>
      </c>
      <c r="O176" s="260" t="n">
        <f aca="false">N176</f>
        <v>0.0735</v>
      </c>
      <c r="P176" s="260" t="n">
        <f aca="false">O176</f>
        <v>0.0735</v>
      </c>
      <c r="Q176" s="260" t="n">
        <f aca="false">P176</f>
        <v>0.0735</v>
      </c>
      <c r="R176" s="260" t="n">
        <f aca="false">Q176</f>
        <v>0.0735</v>
      </c>
      <c r="S176" s="260" t="n">
        <f aca="false">R176</f>
        <v>0.0735</v>
      </c>
      <c r="T176" s="260" t="n">
        <f aca="false">S176</f>
        <v>0.0735</v>
      </c>
      <c r="U176" s="260" t="n">
        <f aca="false">T176</f>
        <v>0.0735</v>
      </c>
      <c r="V176" s="260" t="n">
        <f aca="false">U176</f>
        <v>0.0735</v>
      </c>
      <c r="W176" s="386" t="s">
        <v>259</v>
      </c>
      <c r="X176" s="387" t="n">
        <v>0.85</v>
      </c>
    </row>
    <row r="177" customFormat="false" ht="12.75" hidden="false" customHeight="false" outlineLevel="0" collapsed="false">
      <c r="A177" s="0" t="n">
        <f aca="false">Summary!A28</f>
        <v>12</v>
      </c>
      <c r="B177" s="0" t="s">
        <v>81</v>
      </c>
      <c r="C177" s="260" t="n">
        <v>0.32</v>
      </c>
      <c r="D177" s="260" t="n">
        <v>0.32</v>
      </c>
      <c r="E177" s="260" t="n">
        <v>0.32</v>
      </c>
      <c r="F177" s="260" t="n">
        <f aca="false">E177*(1-X177)</f>
        <v>0.32</v>
      </c>
      <c r="G177" s="260" t="n">
        <f aca="false">F177</f>
        <v>0.32</v>
      </c>
      <c r="H177" s="260" t="n">
        <f aca="false">G177</f>
        <v>0.32</v>
      </c>
      <c r="I177" s="260" t="n">
        <f aca="false">H177</f>
        <v>0.32</v>
      </c>
      <c r="J177" s="260" t="n">
        <f aca="false">I177</f>
        <v>0.32</v>
      </c>
      <c r="K177" s="260" t="n">
        <f aca="false">J177</f>
        <v>0.32</v>
      </c>
      <c r="L177" s="260" t="n">
        <f aca="false">K177</f>
        <v>0.32</v>
      </c>
      <c r="M177" s="260" t="n">
        <f aca="false">L177</f>
        <v>0.32</v>
      </c>
      <c r="N177" s="260" t="n">
        <f aca="false">M177</f>
        <v>0.32</v>
      </c>
      <c r="O177" s="260" t="n">
        <f aca="false">N177</f>
        <v>0.32</v>
      </c>
      <c r="P177" s="260" t="n">
        <f aca="false">O177</f>
        <v>0.32</v>
      </c>
      <c r="Q177" s="260" t="n">
        <f aca="false">P177</f>
        <v>0.32</v>
      </c>
      <c r="R177" s="260" t="n">
        <f aca="false">Q177</f>
        <v>0.32</v>
      </c>
      <c r="S177" s="260" t="n">
        <f aca="false">R177</f>
        <v>0.32</v>
      </c>
      <c r="T177" s="260" t="n">
        <f aca="false">S177</f>
        <v>0.32</v>
      </c>
      <c r="U177" s="260" t="n">
        <f aca="false">T177</f>
        <v>0.32</v>
      </c>
      <c r="V177" s="260" t="n">
        <f aca="false">U177</f>
        <v>0.32</v>
      </c>
      <c r="W177" s="386"/>
      <c r="X177" s="387"/>
    </row>
    <row r="178" customFormat="false" ht="12.75" hidden="false" customHeight="false" outlineLevel="0" collapsed="false">
      <c r="A178" s="0" t="n">
        <f aca="false">Summary!A29</f>
        <v>13</v>
      </c>
      <c r="B178" s="0" t="s">
        <v>82</v>
      </c>
      <c r="C178" s="260" t="n">
        <v>0.32</v>
      </c>
      <c r="D178" s="260" t="n">
        <v>0.32</v>
      </c>
      <c r="E178" s="260" t="n">
        <v>0.32</v>
      </c>
      <c r="F178" s="260" t="n">
        <f aca="false">E178*(1-X178)</f>
        <v>0.32</v>
      </c>
      <c r="G178" s="260" t="n">
        <f aca="false">F178</f>
        <v>0.32</v>
      </c>
      <c r="H178" s="260" t="n">
        <f aca="false">G178</f>
        <v>0.32</v>
      </c>
      <c r="I178" s="260" t="n">
        <f aca="false">H178</f>
        <v>0.32</v>
      </c>
      <c r="J178" s="260" t="n">
        <f aca="false">I178</f>
        <v>0.32</v>
      </c>
      <c r="K178" s="260" t="n">
        <f aca="false">J178</f>
        <v>0.32</v>
      </c>
      <c r="L178" s="260" t="n">
        <f aca="false">K178</f>
        <v>0.32</v>
      </c>
      <c r="M178" s="260" t="n">
        <f aca="false">L178</f>
        <v>0.32</v>
      </c>
      <c r="N178" s="260" t="n">
        <f aca="false">M178</f>
        <v>0.32</v>
      </c>
      <c r="O178" s="260" t="n">
        <f aca="false">N178</f>
        <v>0.32</v>
      </c>
      <c r="P178" s="260" t="n">
        <f aca="false">O178</f>
        <v>0.32</v>
      </c>
      <c r="Q178" s="260" t="n">
        <f aca="false">P178</f>
        <v>0.32</v>
      </c>
      <c r="R178" s="260" t="n">
        <f aca="false">Q178</f>
        <v>0.32</v>
      </c>
      <c r="S178" s="260" t="n">
        <f aca="false">R178</f>
        <v>0.32</v>
      </c>
      <c r="T178" s="260" t="n">
        <f aca="false">S178</f>
        <v>0.32</v>
      </c>
      <c r="U178" s="260" t="n">
        <f aca="false">T178</f>
        <v>0.32</v>
      </c>
      <c r="V178" s="260" t="n">
        <f aca="false">U178</f>
        <v>0.32</v>
      </c>
      <c r="W178" s="386"/>
      <c r="X178" s="387"/>
    </row>
    <row r="179" customFormat="false" ht="12.75" hidden="false" customHeight="false" outlineLevel="0" collapsed="false">
      <c r="A179" s="0" t="n">
        <f aca="false">Summary!A30</f>
        <v>14</v>
      </c>
      <c r="B179" s="0" t="s">
        <v>83</v>
      </c>
      <c r="C179" s="260" t="n">
        <v>0.32</v>
      </c>
      <c r="D179" s="260" t="n">
        <v>0.32</v>
      </c>
      <c r="E179" s="260" t="n">
        <v>0.32</v>
      </c>
      <c r="F179" s="260" t="n">
        <f aca="false">E179*(1-X179)</f>
        <v>0.288</v>
      </c>
      <c r="G179" s="260" t="n">
        <f aca="false">F179</f>
        <v>0.288</v>
      </c>
      <c r="H179" s="260" t="n">
        <f aca="false">G179</f>
        <v>0.288</v>
      </c>
      <c r="I179" s="260" t="n">
        <f aca="false">H179</f>
        <v>0.288</v>
      </c>
      <c r="J179" s="260" t="n">
        <f aca="false">I179</f>
        <v>0.288</v>
      </c>
      <c r="K179" s="260" t="n">
        <f aca="false">J179</f>
        <v>0.288</v>
      </c>
      <c r="L179" s="260" t="n">
        <f aca="false">K179</f>
        <v>0.288</v>
      </c>
      <c r="M179" s="260" t="n">
        <f aca="false">L179</f>
        <v>0.288</v>
      </c>
      <c r="N179" s="260" t="n">
        <f aca="false">M179</f>
        <v>0.288</v>
      </c>
      <c r="O179" s="260" t="n">
        <f aca="false">N179</f>
        <v>0.288</v>
      </c>
      <c r="P179" s="260" t="n">
        <f aca="false">O179</f>
        <v>0.288</v>
      </c>
      <c r="Q179" s="260" t="n">
        <f aca="false">P179</f>
        <v>0.288</v>
      </c>
      <c r="R179" s="260" t="n">
        <f aca="false">Q179</f>
        <v>0.288</v>
      </c>
      <c r="S179" s="260" t="n">
        <f aca="false">R179</f>
        <v>0.288</v>
      </c>
      <c r="T179" s="260" t="n">
        <f aca="false">S179</f>
        <v>0.288</v>
      </c>
      <c r="U179" s="260" t="n">
        <f aca="false">T179</f>
        <v>0.288</v>
      </c>
      <c r="V179" s="260" t="n">
        <f aca="false">U179</f>
        <v>0.288</v>
      </c>
      <c r="W179" s="386" t="s">
        <v>261</v>
      </c>
      <c r="X179" s="387" t="n">
        <v>0.1</v>
      </c>
    </row>
    <row r="180" customFormat="false" ht="12.75" hidden="false" customHeight="false" outlineLevel="0" collapsed="false">
      <c r="A180" s="0" t="n">
        <f aca="false">Summary!A31</f>
        <v>15</v>
      </c>
      <c r="B180" s="0" t="s">
        <v>84</v>
      </c>
      <c r="C180" s="260" t="n">
        <v>0.32</v>
      </c>
      <c r="D180" s="260" t="n">
        <v>0.32</v>
      </c>
      <c r="E180" s="260" t="n">
        <v>0.32</v>
      </c>
      <c r="F180" s="260" t="n">
        <f aca="false">E180*(1-X180)</f>
        <v>0.1664</v>
      </c>
      <c r="G180" s="260" t="n">
        <f aca="false">F180</f>
        <v>0.1664</v>
      </c>
      <c r="H180" s="260" t="n">
        <f aca="false">G180</f>
        <v>0.1664</v>
      </c>
      <c r="I180" s="260" t="n">
        <f aca="false">H180</f>
        <v>0.1664</v>
      </c>
      <c r="J180" s="260" t="n">
        <f aca="false">I180</f>
        <v>0.1664</v>
      </c>
      <c r="K180" s="260" t="n">
        <f aca="false">J180</f>
        <v>0.1664</v>
      </c>
      <c r="L180" s="260" t="n">
        <f aca="false">K180</f>
        <v>0.1664</v>
      </c>
      <c r="M180" s="260" t="n">
        <f aca="false">L180</f>
        <v>0.1664</v>
      </c>
      <c r="N180" s="260" t="n">
        <f aca="false">M180</f>
        <v>0.1664</v>
      </c>
      <c r="O180" s="260" t="n">
        <f aca="false">N180</f>
        <v>0.1664</v>
      </c>
      <c r="P180" s="260" t="n">
        <f aca="false">O180</f>
        <v>0.1664</v>
      </c>
      <c r="Q180" s="260" t="n">
        <f aca="false">P180</f>
        <v>0.1664</v>
      </c>
      <c r="R180" s="260" t="n">
        <f aca="false">Q180</f>
        <v>0.1664</v>
      </c>
      <c r="S180" s="260" t="n">
        <f aca="false">R180</f>
        <v>0.1664</v>
      </c>
      <c r="T180" s="260" t="n">
        <f aca="false">S180</f>
        <v>0.1664</v>
      </c>
      <c r="U180" s="260" t="n">
        <f aca="false">T180</f>
        <v>0.1664</v>
      </c>
      <c r="V180" s="260" t="n">
        <f aca="false">U180</f>
        <v>0.1664</v>
      </c>
      <c r="W180" s="386" t="s">
        <v>262</v>
      </c>
      <c r="X180" s="387" t="n">
        <v>0.48</v>
      </c>
    </row>
    <row r="181" customFormat="false" ht="12.75" hidden="false" customHeight="false" outlineLevel="0" collapsed="false">
      <c r="A181" s="0" t="n">
        <f aca="false">Summary!A32</f>
        <v>16</v>
      </c>
      <c r="B181" s="0" t="s">
        <v>85</v>
      </c>
      <c r="C181" s="260" t="n">
        <v>0.4</v>
      </c>
      <c r="D181" s="260" t="n">
        <v>0.4</v>
      </c>
      <c r="E181" s="260" t="n">
        <v>0.4</v>
      </c>
      <c r="F181" s="260" t="n">
        <f aca="false">E181*(1-X181)</f>
        <v>0.36</v>
      </c>
      <c r="G181" s="260" t="n">
        <f aca="false">F181</f>
        <v>0.36</v>
      </c>
      <c r="H181" s="260" t="n">
        <f aca="false">G181</f>
        <v>0.36</v>
      </c>
      <c r="I181" s="260" t="n">
        <f aca="false">H181</f>
        <v>0.36</v>
      </c>
      <c r="J181" s="260" t="n">
        <f aca="false">I181</f>
        <v>0.36</v>
      </c>
      <c r="K181" s="260" t="n">
        <f aca="false">J181</f>
        <v>0.36</v>
      </c>
      <c r="L181" s="260" t="n">
        <f aca="false">K181</f>
        <v>0.36</v>
      </c>
      <c r="M181" s="260" t="n">
        <f aca="false">L181</f>
        <v>0.36</v>
      </c>
      <c r="N181" s="260" t="n">
        <f aca="false">M181</f>
        <v>0.36</v>
      </c>
      <c r="O181" s="260" t="n">
        <f aca="false">N181</f>
        <v>0.36</v>
      </c>
      <c r="P181" s="260" t="n">
        <f aca="false">O181</f>
        <v>0.36</v>
      </c>
      <c r="Q181" s="260" t="n">
        <f aca="false">P181</f>
        <v>0.36</v>
      </c>
      <c r="R181" s="260" t="n">
        <f aca="false">Q181</f>
        <v>0.36</v>
      </c>
      <c r="S181" s="260" t="n">
        <f aca="false">R181</f>
        <v>0.36</v>
      </c>
      <c r="T181" s="260" t="n">
        <f aca="false">S181</f>
        <v>0.36</v>
      </c>
      <c r="U181" s="260" t="n">
        <f aca="false">T181</f>
        <v>0.36</v>
      </c>
      <c r="V181" s="260" t="n">
        <f aca="false">U181</f>
        <v>0.36</v>
      </c>
      <c r="W181" s="386" t="s">
        <v>261</v>
      </c>
      <c r="X181" s="387" t="n">
        <v>0.1</v>
      </c>
    </row>
    <row r="182" customFormat="false" ht="12.75" hidden="false" customHeight="false" outlineLevel="0" collapsed="false">
      <c r="A182" s="0" t="n">
        <f aca="false">Summary!A33</f>
        <v>17</v>
      </c>
      <c r="B182" s="0" t="s">
        <v>86</v>
      </c>
      <c r="C182" s="260" t="n">
        <v>0.38</v>
      </c>
      <c r="D182" s="260" t="n">
        <v>0.38</v>
      </c>
      <c r="E182" s="260" t="n">
        <v>0.38</v>
      </c>
      <c r="F182" s="260" t="n">
        <f aca="false">E182*(1-X182)</f>
        <v>0.342</v>
      </c>
      <c r="G182" s="260" t="n">
        <f aca="false">F182</f>
        <v>0.342</v>
      </c>
      <c r="H182" s="260" t="n">
        <f aca="false">G182</f>
        <v>0.342</v>
      </c>
      <c r="I182" s="260" t="n">
        <f aca="false">H182</f>
        <v>0.342</v>
      </c>
      <c r="J182" s="260" t="n">
        <f aca="false">I182</f>
        <v>0.342</v>
      </c>
      <c r="K182" s="260" t="n">
        <f aca="false">J182</f>
        <v>0.342</v>
      </c>
      <c r="L182" s="260" t="n">
        <f aca="false">K182</f>
        <v>0.342</v>
      </c>
      <c r="M182" s="260" t="n">
        <f aca="false">L182</f>
        <v>0.342</v>
      </c>
      <c r="N182" s="260" t="n">
        <f aca="false">M182</f>
        <v>0.342</v>
      </c>
      <c r="O182" s="260" t="n">
        <f aca="false">N182</f>
        <v>0.342</v>
      </c>
      <c r="P182" s="260" t="n">
        <f aca="false">O182</f>
        <v>0.342</v>
      </c>
      <c r="Q182" s="260" t="n">
        <f aca="false">P182</f>
        <v>0.342</v>
      </c>
      <c r="R182" s="260" t="n">
        <f aca="false">Q182</f>
        <v>0.342</v>
      </c>
      <c r="S182" s="260" t="n">
        <f aca="false">R182</f>
        <v>0.342</v>
      </c>
      <c r="T182" s="260" t="n">
        <f aca="false">S182</f>
        <v>0.342</v>
      </c>
      <c r="U182" s="260" t="n">
        <f aca="false">T182</f>
        <v>0.342</v>
      </c>
      <c r="V182" s="260" t="n">
        <f aca="false">U182</f>
        <v>0.342</v>
      </c>
      <c r="W182" s="386" t="s">
        <v>261</v>
      </c>
      <c r="X182" s="387" t="n">
        <v>0.1</v>
      </c>
    </row>
    <row r="183" customFormat="false" ht="12.75" hidden="false" customHeight="false" outlineLevel="0" collapsed="false">
      <c r="A183" s="0" t="n">
        <f aca="false">Summary!A34</f>
        <v>18</v>
      </c>
      <c r="B183" s="0" t="s">
        <v>87</v>
      </c>
      <c r="C183" s="260" t="n">
        <v>0.43</v>
      </c>
      <c r="D183" s="260" t="n">
        <v>0.43</v>
      </c>
      <c r="E183" s="260" t="n">
        <v>0.43</v>
      </c>
      <c r="F183" s="260" t="n">
        <f aca="false">E183*(1-X183)</f>
        <v>0.0645</v>
      </c>
      <c r="G183" s="260" t="n">
        <f aca="false">F183</f>
        <v>0.0645</v>
      </c>
      <c r="H183" s="260" t="n">
        <f aca="false">G183</f>
        <v>0.0645</v>
      </c>
      <c r="I183" s="260" t="n">
        <f aca="false">H183</f>
        <v>0.0645</v>
      </c>
      <c r="J183" s="260" t="n">
        <f aca="false">I183</f>
        <v>0.0645</v>
      </c>
      <c r="K183" s="260" t="n">
        <f aca="false">J183</f>
        <v>0.0645</v>
      </c>
      <c r="L183" s="260" t="n">
        <f aca="false">K183</f>
        <v>0.0645</v>
      </c>
      <c r="M183" s="260" t="n">
        <f aca="false">L183</f>
        <v>0.0645</v>
      </c>
      <c r="N183" s="260" t="n">
        <f aca="false">M183</f>
        <v>0.0645</v>
      </c>
      <c r="O183" s="260" t="n">
        <f aca="false">N183</f>
        <v>0.0645</v>
      </c>
      <c r="P183" s="260" t="n">
        <f aca="false">O183</f>
        <v>0.0645</v>
      </c>
      <c r="Q183" s="260" t="n">
        <f aca="false">P183</f>
        <v>0.0645</v>
      </c>
      <c r="R183" s="260" t="n">
        <f aca="false">Q183</f>
        <v>0.0645</v>
      </c>
      <c r="S183" s="260" t="n">
        <f aca="false">R183</f>
        <v>0.0645</v>
      </c>
      <c r="T183" s="260" t="n">
        <f aca="false">S183</f>
        <v>0.0645</v>
      </c>
      <c r="U183" s="260" t="n">
        <f aca="false">T183</f>
        <v>0.0645</v>
      </c>
      <c r="V183" s="260" t="n">
        <f aca="false">U183</f>
        <v>0.0645</v>
      </c>
      <c r="W183" s="386" t="s">
        <v>259</v>
      </c>
      <c r="X183" s="387" t="n">
        <v>0.85</v>
      </c>
    </row>
    <row r="184" customFormat="false" ht="12.75" hidden="false" customHeight="false" outlineLevel="0" collapsed="false">
      <c r="A184" s="0" t="n">
        <f aca="false">Summary!A35</f>
        <v>19</v>
      </c>
      <c r="B184" s="0" t="s">
        <v>88</v>
      </c>
      <c r="C184" s="260" t="n">
        <v>0.44</v>
      </c>
      <c r="D184" s="260" t="n">
        <v>0.44</v>
      </c>
      <c r="E184" s="260" t="n">
        <v>0.44</v>
      </c>
      <c r="F184" s="260" t="n">
        <f aca="false">E184*(1-X184)</f>
        <v>0.44</v>
      </c>
      <c r="G184" s="260" t="n">
        <f aca="false">F184</f>
        <v>0.44</v>
      </c>
      <c r="H184" s="260" t="n">
        <f aca="false">G184</f>
        <v>0.44</v>
      </c>
      <c r="I184" s="260" t="n">
        <f aca="false">H184</f>
        <v>0.44</v>
      </c>
      <c r="J184" s="260" t="n">
        <f aca="false">I184</f>
        <v>0.44</v>
      </c>
      <c r="K184" s="260" t="n">
        <f aca="false">J184</f>
        <v>0.44</v>
      </c>
      <c r="L184" s="260" t="n">
        <f aca="false">K184</f>
        <v>0.44</v>
      </c>
      <c r="M184" s="260" t="n">
        <f aca="false">L184</f>
        <v>0.44</v>
      </c>
      <c r="N184" s="260" t="n">
        <f aca="false">M184</f>
        <v>0.44</v>
      </c>
      <c r="O184" s="260" t="n">
        <f aca="false">N184</f>
        <v>0.44</v>
      </c>
      <c r="P184" s="260" t="n">
        <f aca="false">O184</f>
        <v>0.44</v>
      </c>
      <c r="Q184" s="260" t="n">
        <f aca="false">P184</f>
        <v>0.44</v>
      </c>
      <c r="R184" s="260" t="n">
        <f aca="false">Q184</f>
        <v>0.44</v>
      </c>
      <c r="S184" s="260" t="n">
        <f aca="false">R184</f>
        <v>0.44</v>
      </c>
      <c r="T184" s="260" t="n">
        <f aca="false">S184</f>
        <v>0.44</v>
      </c>
      <c r="U184" s="260" t="n">
        <f aca="false">T184</f>
        <v>0.44</v>
      </c>
      <c r="V184" s="260" t="n">
        <f aca="false">U184</f>
        <v>0.44</v>
      </c>
      <c r="W184" s="388"/>
      <c r="X184" s="388"/>
    </row>
    <row r="185" customFormat="false" ht="12.75" hidden="false" customHeight="false" outlineLevel="0" collapsed="false">
      <c r="A185" s="0" t="n">
        <f aca="false">Summary!A36</f>
        <v>20</v>
      </c>
      <c r="B185" s="0" t="s">
        <v>89</v>
      </c>
      <c r="C185" s="260" t="n">
        <v>0.44</v>
      </c>
      <c r="D185" s="260" t="n">
        <v>0.44</v>
      </c>
      <c r="E185" s="260" t="n">
        <v>0.44</v>
      </c>
      <c r="F185" s="260" t="n">
        <f aca="false">E185*(1-X185)</f>
        <v>0.44</v>
      </c>
      <c r="G185" s="260" t="n">
        <f aca="false">F185</f>
        <v>0.44</v>
      </c>
      <c r="H185" s="260" t="n">
        <f aca="false">G185</f>
        <v>0.44</v>
      </c>
      <c r="I185" s="260" t="n">
        <f aca="false">H185</f>
        <v>0.44</v>
      </c>
      <c r="J185" s="260" t="n">
        <f aca="false">I185</f>
        <v>0.44</v>
      </c>
      <c r="K185" s="260" t="n">
        <f aca="false">J185</f>
        <v>0.44</v>
      </c>
      <c r="L185" s="260" t="n">
        <f aca="false">K185</f>
        <v>0.44</v>
      </c>
      <c r="M185" s="260" t="n">
        <f aca="false">L185</f>
        <v>0.44</v>
      </c>
      <c r="N185" s="260" t="n">
        <f aca="false">M185</f>
        <v>0.44</v>
      </c>
      <c r="O185" s="260" t="n">
        <f aca="false">N185</f>
        <v>0.44</v>
      </c>
      <c r="P185" s="260" t="n">
        <f aca="false">O185</f>
        <v>0.44</v>
      </c>
      <c r="Q185" s="260" t="n">
        <f aca="false">P185</f>
        <v>0.44</v>
      </c>
      <c r="R185" s="260" t="n">
        <f aca="false">Q185</f>
        <v>0.44</v>
      </c>
      <c r="S185" s="260" t="n">
        <f aca="false">R185</f>
        <v>0.44</v>
      </c>
      <c r="T185" s="260" t="n">
        <f aca="false">S185</f>
        <v>0.44</v>
      </c>
      <c r="U185" s="260" t="n">
        <f aca="false">T185</f>
        <v>0.44</v>
      </c>
      <c r="V185" s="260" t="n">
        <f aca="false">U185</f>
        <v>0.44</v>
      </c>
      <c r="W185" s="388"/>
      <c r="X185" s="388"/>
    </row>
    <row r="186" customFormat="false" ht="12.75" hidden="false" customHeight="false" outlineLevel="0" collapsed="false">
      <c r="A186" s="0" t="n">
        <f aca="false">Summary!A37</f>
        <v>21</v>
      </c>
      <c r="B186" s="0" t="s">
        <v>90</v>
      </c>
      <c r="C186" s="260" t="n">
        <v>0.7</v>
      </c>
      <c r="D186" s="260" t="n">
        <v>0.7</v>
      </c>
      <c r="E186" s="260" t="n">
        <v>0.7</v>
      </c>
      <c r="F186" s="260" t="n">
        <f aca="false">E186*(1-X186)</f>
        <v>0.7</v>
      </c>
      <c r="G186" s="260" t="n">
        <f aca="false">F186</f>
        <v>0.7</v>
      </c>
      <c r="H186" s="260" t="n">
        <f aca="false">G186</f>
        <v>0.7</v>
      </c>
      <c r="I186" s="260" t="n">
        <f aca="false">H186</f>
        <v>0.7</v>
      </c>
      <c r="J186" s="260" t="n">
        <f aca="false">I186</f>
        <v>0.7</v>
      </c>
      <c r="K186" s="260" t="n">
        <f aca="false">J186</f>
        <v>0.7</v>
      </c>
      <c r="L186" s="260" t="n">
        <f aca="false">K186</f>
        <v>0.7</v>
      </c>
      <c r="M186" s="260" t="n">
        <f aca="false">L186</f>
        <v>0.7</v>
      </c>
      <c r="N186" s="260" t="n">
        <f aca="false">M186</f>
        <v>0.7</v>
      </c>
      <c r="O186" s="260" t="n">
        <f aca="false">N186</f>
        <v>0.7</v>
      </c>
      <c r="P186" s="260" t="n">
        <f aca="false">O186</f>
        <v>0.7</v>
      </c>
      <c r="Q186" s="260" t="n">
        <f aca="false">P186</f>
        <v>0.7</v>
      </c>
      <c r="R186" s="260" t="n">
        <f aca="false">Q186</f>
        <v>0.7</v>
      </c>
      <c r="S186" s="260" t="n">
        <f aca="false">R186</f>
        <v>0.7</v>
      </c>
      <c r="T186" s="260" t="n">
        <f aca="false">S186</f>
        <v>0.7</v>
      </c>
      <c r="U186" s="260" t="n">
        <f aca="false">T186</f>
        <v>0.7</v>
      </c>
      <c r="V186" s="260" t="n">
        <f aca="false">U186</f>
        <v>0.7</v>
      </c>
      <c r="W186" s="388"/>
      <c r="X186" s="388"/>
    </row>
    <row r="187" customFormat="false" ht="12.75" hidden="false" customHeight="false" outlineLevel="0" collapsed="false">
      <c r="A187" s="0" t="n">
        <f aca="false">Summary!A38</f>
        <v>22</v>
      </c>
      <c r="B187" s="0" t="s">
        <v>91</v>
      </c>
      <c r="C187" s="260" t="n">
        <v>0.7</v>
      </c>
      <c r="D187" s="260" t="n">
        <v>0.7</v>
      </c>
      <c r="E187" s="260" t="n">
        <v>0.7</v>
      </c>
      <c r="F187" s="260" t="n">
        <f aca="false">E187*(1-X187)</f>
        <v>0.7</v>
      </c>
      <c r="G187" s="260" t="n">
        <f aca="false">F187</f>
        <v>0.7</v>
      </c>
      <c r="H187" s="260" t="n">
        <f aca="false">G187</f>
        <v>0.7</v>
      </c>
      <c r="I187" s="260" t="n">
        <f aca="false">H187</f>
        <v>0.7</v>
      </c>
      <c r="J187" s="260" t="n">
        <f aca="false">I187</f>
        <v>0.7</v>
      </c>
      <c r="K187" s="260" t="n">
        <f aca="false">J187</f>
        <v>0.7</v>
      </c>
      <c r="L187" s="260" t="n">
        <f aca="false">K187</f>
        <v>0.7</v>
      </c>
      <c r="M187" s="260" t="n">
        <f aca="false">L187</f>
        <v>0.7</v>
      </c>
      <c r="N187" s="260" t="n">
        <f aca="false">M187</f>
        <v>0.7</v>
      </c>
      <c r="O187" s="260" t="n">
        <f aca="false">N187</f>
        <v>0.7</v>
      </c>
      <c r="P187" s="260" t="n">
        <f aca="false">O187</f>
        <v>0.7</v>
      </c>
      <c r="Q187" s="260" t="n">
        <f aca="false">P187</f>
        <v>0.7</v>
      </c>
      <c r="R187" s="260" t="n">
        <f aca="false">Q187</f>
        <v>0.7</v>
      </c>
      <c r="S187" s="260" t="n">
        <f aca="false">R187</f>
        <v>0.7</v>
      </c>
      <c r="T187" s="260" t="n">
        <f aca="false">S187</f>
        <v>0.7</v>
      </c>
      <c r="U187" s="260" t="n">
        <f aca="false">T187</f>
        <v>0.7</v>
      </c>
      <c r="V187" s="260" t="n">
        <f aca="false">U187</f>
        <v>0.7</v>
      </c>
      <c r="W187" s="388"/>
      <c r="X187" s="388"/>
    </row>
    <row r="188" customFormat="false" ht="12.75" hidden="false" customHeight="false" outlineLevel="0" collapsed="false">
      <c r="A188" s="0" t="n">
        <f aca="false">Summary!A39</f>
        <v>23</v>
      </c>
      <c r="B188" s="0" t="s">
        <v>92</v>
      </c>
      <c r="C188" s="260" t="n">
        <v>0.7</v>
      </c>
      <c r="D188" s="260" t="n">
        <v>0.7</v>
      </c>
      <c r="E188" s="260" t="n">
        <v>0.7</v>
      </c>
      <c r="F188" s="260" t="n">
        <f aca="false">E188*(1-X188)</f>
        <v>0.7</v>
      </c>
      <c r="G188" s="260" t="n">
        <f aca="false">F188</f>
        <v>0.7</v>
      </c>
      <c r="H188" s="260" t="n">
        <f aca="false">G188</f>
        <v>0.7</v>
      </c>
      <c r="I188" s="260" t="n">
        <f aca="false">H188</f>
        <v>0.7</v>
      </c>
      <c r="J188" s="260" t="n">
        <f aca="false">I188</f>
        <v>0.7</v>
      </c>
      <c r="K188" s="260" t="n">
        <f aca="false">J188</f>
        <v>0.7</v>
      </c>
      <c r="L188" s="260" t="n">
        <f aca="false">K188</f>
        <v>0.7</v>
      </c>
      <c r="M188" s="260" t="n">
        <f aca="false">L188</f>
        <v>0.7</v>
      </c>
      <c r="N188" s="260" t="n">
        <f aca="false">M188</f>
        <v>0.7</v>
      </c>
      <c r="O188" s="260" t="n">
        <f aca="false">N188</f>
        <v>0.7</v>
      </c>
      <c r="P188" s="260" t="n">
        <f aca="false">O188</f>
        <v>0.7</v>
      </c>
      <c r="Q188" s="260" t="n">
        <f aca="false">P188</f>
        <v>0.7</v>
      </c>
      <c r="R188" s="260" t="n">
        <f aca="false">Q188</f>
        <v>0.7</v>
      </c>
      <c r="S188" s="260" t="n">
        <f aca="false">R188</f>
        <v>0.7</v>
      </c>
      <c r="T188" s="260" t="n">
        <f aca="false">S188</f>
        <v>0.7</v>
      </c>
      <c r="U188" s="260" t="n">
        <f aca="false">T188</f>
        <v>0.7</v>
      </c>
      <c r="V188" s="260" t="n">
        <f aca="false">U188</f>
        <v>0.7</v>
      </c>
      <c r="W188" s="388"/>
      <c r="X188" s="388"/>
    </row>
    <row r="189" customFormat="false" ht="12.75" hidden="false" customHeight="false" outlineLevel="0" collapsed="false">
      <c r="A189" s="0" t="n">
        <f aca="false">Summary!A40</f>
        <v>24</v>
      </c>
      <c r="B189" s="0" t="s">
        <v>93</v>
      </c>
      <c r="C189" s="260" t="n">
        <v>0.7</v>
      </c>
      <c r="D189" s="260" t="n">
        <v>0.7</v>
      </c>
      <c r="E189" s="260" t="n">
        <v>0.7</v>
      </c>
      <c r="F189" s="260" t="n">
        <f aca="false">E189*(1-X189)</f>
        <v>0.7</v>
      </c>
      <c r="G189" s="260" t="n">
        <f aca="false">F189</f>
        <v>0.7</v>
      </c>
      <c r="H189" s="260" t="n">
        <f aca="false">G189</f>
        <v>0.7</v>
      </c>
      <c r="I189" s="260" t="n">
        <f aca="false">H189</f>
        <v>0.7</v>
      </c>
      <c r="J189" s="260" t="n">
        <f aca="false">I189</f>
        <v>0.7</v>
      </c>
      <c r="K189" s="260" t="n">
        <f aca="false">J189</f>
        <v>0.7</v>
      </c>
      <c r="L189" s="260" t="n">
        <f aca="false">K189</f>
        <v>0.7</v>
      </c>
      <c r="M189" s="260" t="n">
        <f aca="false">L189</f>
        <v>0.7</v>
      </c>
      <c r="N189" s="260" t="n">
        <f aca="false">M189</f>
        <v>0.7</v>
      </c>
      <c r="O189" s="260" t="n">
        <f aca="false">N189</f>
        <v>0.7</v>
      </c>
      <c r="P189" s="260" t="n">
        <f aca="false">O189</f>
        <v>0.7</v>
      </c>
      <c r="Q189" s="260" t="n">
        <f aca="false">P189</f>
        <v>0.7</v>
      </c>
      <c r="R189" s="260" t="n">
        <f aca="false">Q189</f>
        <v>0.7</v>
      </c>
      <c r="S189" s="260" t="n">
        <f aca="false">R189</f>
        <v>0.7</v>
      </c>
      <c r="T189" s="260" t="n">
        <f aca="false">S189</f>
        <v>0.7</v>
      </c>
      <c r="U189" s="260" t="n">
        <f aca="false">T189</f>
        <v>0.7</v>
      </c>
      <c r="V189" s="260" t="n">
        <f aca="false">U189</f>
        <v>0.7</v>
      </c>
      <c r="W189" s="388"/>
      <c r="X189" s="388"/>
    </row>
    <row r="190" customFormat="false" ht="12.75" hidden="false" customHeight="false" outlineLevel="0" collapsed="false">
      <c r="A190" s="0" t="n">
        <f aca="false">Summary!A41</f>
        <v>25</v>
      </c>
      <c r="B190" s="0" t="s">
        <v>94</v>
      </c>
      <c r="C190" s="260" t="n">
        <v>0.7</v>
      </c>
      <c r="D190" s="260" t="n">
        <v>0.7</v>
      </c>
      <c r="E190" s="260" t="n">
        <v>0.7</v>
      </c>
      <c r="F190" s="260" t="n">
        <f aca="false">E190*(1-X190)</f>
        <v>0.7</v>
      </c>
      <c r="G190" s="260" t="n">
        <f aca="false">F190</f>
        <v>0.7</v>
      </c>
      <c r="H190" s="260" t="n">
        <f aca="false">G190</f>
        <v>0.7</v>
      </c>
      <c r="I190" s="260" t="n">
        <f aca="false">H190</f>
        <v>0.7</v>
      </c>
      <c r="J190" s="260" t="n">
        <f aca="false">I190</f>
        <v>0.7</v>
      </c>
      <c r="K190" s="260" t="n">
        <f aca="false">J190</f>
        <v>0.7</v>
      </c>
      <c r="L190" s="260" t="n">
        <f aca="false">K190</f>
        <v>0.7</v>
      </c>
      <c r="M190" s="260" t="n">
        <f aca="false">L190</f>
        <v>0.7</v>
      </c>
      <c r="N190" s="260" t="n">
        <f aca="false">M190</f>
        <v>0.7</v>
      </c>
      <c r="O190" s="260" t="n">
        <f aca="false">N190</f>
        <v>0.7</v>
      </c>
      <c r="P190" s="260" t="n">
        <f aca="false">O190</f>
        <v>0.7</v>
      </c>
      <c r="Q190" s="260" t="n">
        <f aca="false">P190</f>
        <v>0.7</v>
      </c>
      <c r="R190" s="260" t="n">
        <f aca="false">Q190</f>
        <v>0.7</v>
      </c>
      <c r="S190" s="260" t="n">
        <f aca="false">R190</f>
        <v>0.7</v>
      </c>
      <c r="T190" s="260" t="n">
        <f aca="false">S190</f>
        <v>0.7</v>
      </c>
      <c r="U190" s="260" t="n">
        <f aca="false">T190</f>
        <v>0.7</v>
      </c>
      <c r="V190" s="260" t="n">
        <f aca="false">U190</f>
        <v>0.7</v>
      </c>
      <c r="W190" s="388"/>
      <c r="X190" s="388"/>
    </row>
    <row r="191" customFormat="false" ht="12.75" hidden="false" customHeight="false" outlineLevel="0" collapsed="false">
      <c r="A191" s="0" t="n">
        <f aca="false">Summary!A42</f>
        <v>26</v>
      </c>
      <c r="B191" s="0" t="s">
        <v>95</v>
      </c>
      <c r="C191" s="260" t="n">
        <v>0.7</v>
      </c>
      <c r="D191" s="260" t="n">
        <v>0.7</v>
      </c>
      <c r="E191" s="260" t="n">
        <v>0.7</v>
      </c>
      <c r="F191" s="260" t="n">
        <f aca="false">E191*(1-X191)</f>
        <v>0.7</v>
      </c>
      <c r="G191" s="260" t="n">
        <f aca="false">F191</f>
        <v>0.7</v>
      </c>
      <c r="H191" s="260" t="n">
        <f aca="false">G191</f>
        <v>0.7</v>
      </c>
      <c r="I191" s="260" t="n">
        <f aca="false">H191</f>
        <v>0.7</v>
      </c>
      <c r="J191" s="260" t="n">
        <f aca="false">I191</f>
        <v>0.7</v>
      </c>
      <c r="K191" s="260" t="n">
        <f aca="false">J191</f>
        <v>0.7</v>
      </c>
      <c r="L191" s="260" t="n">
        <f aca="false">K191</f>
        <v>0.7</v>
      </c>
      <c r="M191" s="260" t="n">
        <f aca="false">L191</f>
        <v>0.7</v>
      </c>
      <c r="N191" s="260" t="n">
        <f aca="false">M191</f>
        <v>0.7</v>
      </c>
      <c r="O191" s="260" t="n">
        <f aca="false">N191</f>
        <v>0.7</v>
      </c>
      <c r="P191" s="260" t="n">
        <f aca="false">O191</f>
        <v>0.7</v>
      </c>
      <c r="Q191" s="260" t="n">
        <f aca="false">P191</f>
        <v>0.7</v>
      </c>
      <c r="R191" s="260" t="n">
        <f aca="false">Q191</f>
        <v>0.7</v>
      </c>
      <c r="S191" s="260" t="n">
        <f aca="false">R191</f>
        <v>0.7</v>
      </c>
      <c r="T191" s="260" t="n">
        <f aca="false">S191</f>
        <v>0.7</v>
      </c>
      <c r="U191" s="260" t="n">
        <f aca="false">T191</f>
        <v>0.7</v>
      </c>
      <c r="V191" s="260" t="n">
        <f aca="false">U191</f>
        <v>0.7</v>
      </c>
      <c r="W191" s="388"/>
      <c r="X191" s="388"/>
    </row>
    <row r="192" customFormat="false" ht="12.75" hidden="false" customHeight="false" outlineLevel="0" collapsed="false">
      <c r="A192" s="0" t="n">
        <f aca="false">Summary!A43</f>
        <v>27</v>
      </c>
      <c r="B192" s="0" t="s">
        <v>96</v>
      </c>
      <c r="C192" s="260" t="n">
        <v>0.15</v>
      </c>
      <c r="D192" s="260" t="n">
        <v>0.15</v>
      </c>
      <c r="E192" s="260" t="n">
        <v>0.15</v>
      </c>
      <c r="F192" s="260" t="n">
        <f aca="false">E192*(1-X192)</f>
        <v>0.15</v>
      </c>
      <c r="G192" s="260" t="n">
        <f aca="false">F192</f>
        <v>0.15</v>
      </c>
      <c r="H192" s="260" t="n">
        <f aca="false">G192</f>
        <v>0.15</v>
      </c>
      <c r="I192" s="260" t="n">
        <f aca="false">H192</f>
        <v>0.15</v>
      </c>
      <c r="J192" s="260" t="n">
        <f aca="false">I192</f>
        <v>0.15</v>
      </c>
      <c r="K192" s="260" t="n">
        <f aca="false">J192</f>
        <v>0.15</v>
      </c>
      <c r="L192" s="260" t="n">
        <f aca="false">K192</f>
        <v>0.15</v>
      </c>
      <c r="M192" s="260" t="n">
        <f aca="false">L192</f>
        <v>0.15</v>
      </c>
      <c r="N192" s="260" t="n">
        <f aca="false">M192</f>
        <v>0.15</v>
      </c>
      <c r="O192" s="260" t="n">
        <f aca="false">N192</f>
        <v>0.15</v>
      </c>
      <c r="P192" s="260" t="n">
        <f aca="false">O192</f>
        <v>0.15</v>
      </c>
      <c r="Q192" s="260" t="n">
        <f aca="false">P192</f>
        <v>0.15</v>
      </c>
      <c r="R192" s="260" t="n">
        <f aca="false">Q192</f>
        <v>0.15</v>
      </c>
      <c r="S192" s="260" t="n">
        <f aca="false">R192</f>
        <v>0.15</v>
      </c>
      <c r="T192" s="260" t="n">
        <f aca="false">S192</f>
        <v>0.15</v>
      </c>
      <c r="U192" s="260" t="n">
        <f aca="false">T192</f>
        <v>0.15</v>
      </c>
      <c r="V192" s="260" t="n">
        <f aca="false">U192</f>
        <v>0.15</v>
      </c>
      <c r="W192" s="388"/>
      <c r="X192" s="388"/>
    </row>
    <row r="193" customFormat="false" ht="12.75" hidden="false" customHeight="false" outlineLevel="0" collapsed="false">
      <c r="A193" s="0" t="n">
        <f aca="false">Summary!A44</f>
        <v>28</v>
      </c>
      <c r="B193" s="0" t="s">
        <v>97</v>
      </c>
      <c r="C193" s="260" t="n">
        <v>0.15</v>
      </c>
      <c r="D193" s="260" t="n">
        <v>0.15</v>
      </c>
      <c r="E193" s="260" t="n">
        <v>0.15</v>
      </c>
      <c r="F193" s="260" t="n">
        <f aca="false">E193*(1-X193)</f>
        <v>0.15</v>
      </c>
      <c r="G193" s="260" t="n">
        <f aca="false">F193</f>
        <v>0.15</v>
      </c>
      <c r="H193" s="260" t="n">
        <f aca="false">G193</f>
        <v>0.15</v>
      </c>
      <c r="I193" s="260" t="n">
        <f aca="false">H193</f>
        <v>0.15</v>
      </c>
      <c r="J193" s="260" t="n">
        <f aca="false">I193</f>
        <v>0.15</v>
      </c>
      <c r="K193" s="260" t="n">
        <f aca="false">J193</f>
        <v>0.15</v>
      </c>
      <c r="L193" s="260" t="n">
        <f aca="false">K193</f>
        <v>0.15</v>
      </c>
      <c r="M193" s="260" t="n">
        <f aca="false">L193</f>
        <v>0.15</v>
      </c>
      <c r="N193" s="260" t="n">
        <f aca="false">M193</f>
        <v>0.15</v>
      </c>
      <c r="O193" s="260" t="n">
        <f aca="false">N193</f>
        <v>0.15</v>
      </c>
      <c r="P193" s="260" t="n">
        <f aca="false">O193</f>
        <v>0.15</v>
      </c>
      <c r="Q193" s="260" t="n">
        <f aca="false">P193</f>
        <v>0.15</v>
      </c>
      <c r="R193" s="260" t="n">
        <f aca="false">Q193</f>
        <v>0.15</v>
      </c>
      <c r="S193" s="260" t="n">
        <f aca="false">R193</f>
        <v>0.15</v>
      </c>
      <c r="T193" s="260" t="n">
        <f aca="false">S193</f>
        <v>0.15</v>
      </c>
      <c r="U193" s="260" t="n">
        <f aca="false">T193</f>
        <v>0.15</v>
      </c>
      <c r="V193" s="260" t="n">
        <f aca="false">U193</f>
        <v>0.15</v>
      </c>
      <c r="W193" s="388"/>
      <c r="X193" s="388"/>
    </row>
    <row r="194" customFormat="false" ht="12.75" hidden="false" customHeight="false" outlineLevel="0" collapsed="false">
      <c r="A194" s="0" t="n">
        <f aca="false">Summary!A45</f>
        <v>29</v>
      </c>
      <c r="B194" s="0" t="s">
        <v>98</v>
      </c>
      <c r="C194" s="260" t="n">
        <v>0.15</v>
      </c>
      <c r="D194" s="260" t="n">
        <v>0.15</v>
      </c>
      <c r="E194" s="260" t="n">
        <v>0.15</v>
      </c>
      <c r="F194" s="260" t="n">
        <f aca="false">E194*(1-X194)</f>
        <v>0.15</v>
      </c>
      <c r="G194" s="260" t="n">
        <f aca="false">F194</f>
        <v>0.15</v>
      </c>
      <c r="H194" s="260" t="n">
        <f aca="false">G194</f>
        <v>0.15</v>
      </c>
      <c r="I194" s="260" t="n">
        <f aca="false">H194</f>
        <v>0.15</v>
      </c>
      <c r="J194" s="260" t="n">
        <f aca="false">I194</f>
        <v>0.15</v>
      </c>
      <c r="K194" s="260" t="n">
        <f aca="false">J194</f>
        <v>0.15</v>
      </c>
      <c r="L194" s="260" t="n">
        <f aca="false">K194</f>
        <v>0.15</v>
      </c>
      <c r="M194" s="260" t="n">
        <f aca="false">L194</f>
        <v>0.15</v>
      </c>
      <c r="N194" s="260" t="n">
        <f aca="false">M194</f>
        <v>0.15</v>
      </c>
      <c r="O194" s="260" t="n">
        <f aca="false">N194</f>
        <v>0.15</v>
      </c>
      <c r="P194" s="260" t="n">
        <f aca="false">O194</f>
        <v>0.15</v>
      </c>
      <c r="Q194" s="260" t="n">
        <f aca="false">P194</f>
        <v>0.15</v>
      </c>
      <c r="R194" s="260" t="n">
        <f aca="false">Q194</f>
        <v>0.15</v>
      </c>
      <c r="S194" s="260" t="n">
        <f aca="false">R194</f>
        <v>0.15</v>
      </c>
      <c r="T194" s="260" t="n">
        <f aca="false">S194</f>
        <v>0.15</v>
      </c>
      <c r="U194" s="260" t="n">
        <f aca="false">T194</f>
        <v>0.15</v>
      </c>
      <c r="V194" s="260" t="n">
        <f aca="false">U194</f>
        <v>0.15</v>
      </c>
      <c r="W194" s="388"/>
      <c r="X194" s="388"/>
    </row>
    <row r="195" customFormat="false" ht="12.75" hidden="false" customHeight="false" outlineLevel="0" collapsed="false">
      <c r="A195" s="0" t="n">
        <f aca="false">Summary!A46</f>
        <v>30</v>
      </c>
      <c r="B195" s="0" t="s">
        <v>99</v>
      </c>
      <c r="C195" s="260" t="n">
        <v>0.15</v>
      </c>
      <c r="D195" s="260" t="n">
        <v>0.15</v>
      </c>
      <c r="E195" s="260" t="n">
        <v>0.15</v>
      </c>
      <c r="F195" s="260" t="n">
        <f aca="false">E195*(1-X195)</f>
        <v>0.15</v>
      </c>
      <c r="G195" s="260" t="n">
        <f aca="false">F195</f>
        <v>0.15</v>
      </c>
      <c r="H195" s="260" t="n">
        <f aca="false">G195</f>
        <v>0.15</v>
      </c>
      <c r="I195" s="260" t="n">
        <f aca="false">H195</f>
        <v>0.15</v>
      </c>
      <c r="J195" s="260" t="n">
        <f aca="false">I195</f>
        <v>0.15</v>
      </c>
      <c r="K195" s="260" t="n">
        <f aca="false">J195</f>
        <v>0.15</v>
      </c>
      <c r="L195" s="260" t="n">
        <f aca="false">K195</f>
        <v>0.15</v>
      </c>
      <c r="M195" s="260" t="n">
        <f aca="false">L195</f>
        <v>0.15</v>
      </c>
      <c r="N195" s="260" t="n">
        <f aca="false">M195</f>
        <v>0.15</v>
      </c>
      <c r="O195" s="260" t="n">
        <f aca="false">N195</f>
        <v>0.15</v>
      </c>
      <c r="P195" s="260" t="n">
        <f aca="false">O195</f>
        <v>0.15</v>
      </c>
      <c r="Q195" s="260" t="n">
        <f aca="false">P195</f>
        <v>0.15</v>
      </c>
      <c r="R195" s="260" t="n">
        <f aca="false">Q195</f>
        <v>0.15</v>
      </c>
      <c r="S195" s="260" t="n">
        <f aca="false">R195</f>
        <v>0.15</v>
      </c>
      <c r="T195" s="260" t="n">
        <f aca="false">S195</f>
        <v>0.15</v>
      </c>
      <c r="U195" s="260" t="n">
        <f aca="false">T195</f>
        <v>0.15</v>
      </c>
      <c r="V195" s="260" t="n">
        <f aca="false">U195</f>
        <v>0.15</v>
      </c>
      <c r="W195" s="388"/>
      <c r="X195" s="388"/>
    </row>
    <row r="196" customFormat="false" ht="12.75" hidden="false" customHeight="false" outlineLevel="0" collapsed="false">
      <c r="A196" s="0" t="n">
        <f aca="false">Summary!A47</f>
        <v>31</v>
      </c>
      <c r="B196" s="0" t="s">
        <v>100</v>
      </c>
      <c r="C196" s="260" t="n">
        <v>0.15</v>
      </c>
      <c r="D196" s="260" t="n">
        <v>0.15</v>
      </c>
      <c r="E196" s="260" t="n">
        <v>0.15</v>
      </c>
      <c r="F196" s="260" t="n">
        <f aca="false">E196*(1-X196)</f>
        <v>0.15</v>
      </c>
      <c r="G196" s="260" t="n">
        <f aca="false">F196</f>
        <v>0.15</v>
      </c>
      <c r="H196" s="260" t="n">
        <f aca="false">G196</f>
        <v>0.15</v>
      </c>
      <c r="I196" s="260" t="n">
        <f aca="false">H196</f>
        <v>0.15</v>
      </c>
      <c r="J196" s="260" t="n">
        <f aca="false">I196</f>
        <v>0.15</v>
      </c>
      <c r="K196" s="260" t="n">
        <f aca="false">J196</f>
        <v>0.15</v>
      </c>
      <c r="L196" s="260" t="n">
        <f aca="false">K196</f>
        <v>0.15</v>
      </c>
      <c r="M196" s="260" t="n">
        <f aca="false">L196</f>
        <v>0.15</v>
      </c>
      <c r="N196" s="260" t="n">
        <f aca="false">M196</f>
        <v>0.15</v>
      </c>
      <c r="O196" s="260" t="n">
        <f aca="false">N196</f>
        <v>0.15</v>
      </c>
      <c r="P196" s="260" t="n">
        <f aca="false">O196</f>
        <v>0.15</v>
      </c>
      <c r="Q196" s="260" t="n">
        <f aca="false">P196</f>
        <v>0.15</v>
      </c>
      <c r="R196" s="260" t="n">
        <f aca="false">Q196</f>
        <v>0.15</v>
      </c>
      <c r="S196" s="260" t="n">
        <f aca="false">R196</f>
        <v>0.15</v>
      </c>
      <c r="T196" s="260" t="n">
        <f aca="false">S196</f>
        <v>0.15</v>
      </c>
      <c r="U196" s="260" t="n">
        <f aca="false">T196</f>
        <v>0.15</v>
      </c>
      <c r="V196" s="260" t="n">
        <f aca="false">U196</f>
        <v>0.15</v>
      </c>
      <c r="W196" s="388"/>
      <c r="X196" s="388"/>
    </row>
    <row r="197" customFormat="false" ht="12.75" hidden="false" customHeight="false" outlineLevel="0" collapsed="false">
      <c r="A197" s="0" t="n">
        <f aca="false">Summary!A48</f>
        <v>32</v>
      </c>
      <c r="B197" s="0" t="s">
        <v>101</v>
      </c>
      <c r="C197" s="260" t="n">
        <v>0.15</v>
      </c>
      <c r="D197" s="260" t="n">
        <v>0.15</v>
      </c>
      <c r="E197" s="260" t="n">
        <v>0.15</v>
      </c>
      <c r="F197" s="260" t="n">
        <f aca="false">E197*(1-X197)</f>
        <v>0.15</v>
      </c>
      <c r="G197" s="260" t="n">
        <f aca="false">F197</f>
        <v>0.15</v>
      </c>
      <c r="H197" s="260" t="n">
        <f aca="false">G197</f>
        <v>0.15</v>
      </c>
      <c r="I197" s="260" t="n">
        <f aca="false">H197</f>
        <v>0.15</v>
      </c>
      <c r="J197" s="260" t="n">
        <f aca="false">I197</f>
        <v>0.15</v>
      </c>
      <c r="K197" s="260" t="n">
        <f aca="false">J197</f>
        <v>0.15</v>
      </c>
      <c r="L197" s="260" t="n">
        <f aca="false">K197</f>
        <v>0.15</v>
      </c>
      <c r="M197" s="260" t="n">
        <f aca="false">L197</f>
        <v>0.15</v>
      </c>
      <c r="N197" s="260" t="n">
        <f aca="false">M197</f>
        <v>0.15</v>
      </c>
      <c r="O197" s="260" t="n">
        <f aca="false">N197</f>
        <v>0.15</v>
      </c>
      <c r="P197" s="260" t="n">
        <f aca="false">O197</f>
        <v>0.15</v>
      </c>
      <c r="Q197" s="260" t="n">
        <f aca="false">P197</f>
        <v>0.15</v>
      </c>
      <c r="R197" s="260" t="n">
        <f aca="false">Q197</f>
        <v>0.15</v>
      </c>
      <c r="S197" s="260" t="n">
        <f aca="false">R197</f>
        <v>0.15</v>
      </c>
      <c r="T197" s="260" t="n">
        <f aca="false">S197</f>
        <v>0.15</v>
      </c>
      <c r="U197" s="260" t="n">
        <f aca="false">T197</f>
        <v>0.15</v>
      </c>
      <c r="V197" s="260" t="n">
        <f aca="false">U197</f>
        <v>0.15</v>
      </c>
      <c r="W197" s="388"/>
      <c r="X197" s="388"/>
    </row>
    <row r="198" customFormat="false" ht="12.75" hidden="false" customHeight="false" outlineLevel="0" collapsed="false">
      <c r="A198" s="0" t="n">
        <f aca="false">Summary!A49</f>
        <v>33</v>
      </c>
      <c r="B198" s="0" t="s">
        <v>14</v>
      </c>
      <c r="C198" s="260" t="n">
        <v>0</v>
      </c>
      <c r="D198" s="260" t="n">
        <f aca="false">C198</f>
        <v>0</v>
      </c>
      <c r="E198" s="260" t="n">
        <f aca="false">D198</f>
        <v>0</v>
      </c>
      <c r="F198" s="260" t="n">
        <f aca="false">E198*(1-X198)</f>
        <v>0</v>
      </c>
      <c r="G198" s="260" t="n">
        <f aca="false">F198</f>
        <v>0</v>
      </c>
      <c r="H198" s="260" t="n">
        <f aca="false">G198</f>
        <v>0</v>
      </c>
      <c r="I198" s="260" t="n">
        <f aca="false">H198</f>
        <v>0</v>
      </c>
      <c r="J198" s="260" t="n">
        <f aca="false">I198</f>
        <v>0</v>
      </c>
      <c r="K198" s="260" t="n">
        <f aca="false">J198</f>
        <v>0</v>
      </c>
      <c r="L198" s="260" t="n">
        <f aca="false">K198</f>
        <v>0</v>
      </c>
      <c r="M198" s="260" t="n">
        <f aca="false">L198</f>
        <v>0</v>
      </c>
      <c r="N198" s="260" t="n">
        <f aca="false">M198</f>
        <v>0</v>
      </c>
      <c r="O198" s="260" t="n">
        <f aca="false">N198</f>
        <v>0</v>
      </c>
      <c r="P198" s="260" t="n">
        <f aca="false">O198</f>
        <v>0</v>
      </c>
      <c r="Q198" s="260" t="n">
        <f aca="false">P198</f>
        <v>0</v>
      </c>
      <c r="R198" s="260" t="n">
        <f aca="false">Q198</f>
        <v>0</v>
      </c>
      <c r="S198" s="260" t="n">
        <f aca="false">R198</f>
        <v>0</v>
      </c>
      <c r="T198" s="260" t="n">
        <f aca="false">S198</f>
        <v>0</v>
      </c>
      <c r="U198" s="260" t="n">
        <f aca="false">T198</f>
        <v>0</v>
      </c>
      <c r="V198" s="260" t="n">
        <f aca="false">U198</f>
        <v>0</v>
      </c>
      <c r="W198" s="388"/>
      <c r="X198" s="388"/>
    </row>
    <row r="201" customFormat="false" ht="12.75" hidden="false" customHeight="false" outlineLevel="0" collapsed="false">
      <c r="A201" s="48" t="s">
        <v>263</v>
      </c>
    </row>
    <row r="202" customFormat="false" ht="12.75" hidden="false" customHeight="false" outlineLevel="0" collapsed="false">
      <c r="C202" s="235" t="n">
        <v>2000</v>
      </c>
      <c r="D202" s="235" t="n">
        <v>2001</v>
      </c>
      <c r="E202" s="235" t="n">
        <v>2002</v>
      </c>
      <c r="F202" s="235" t="n">
        <v>2003</v>
      </c>
      <c r="G202" s="235" t="n">
        <v>2004</v>
      </c>
      <c r="H202" s="235" t="n">
        <v>2005</v>
      </c>
      <c r="I202" s="235" t="n">
        <v>2006</v>
      </c>
      <c r="J202" s="235" t="n">
        <v>2007</v>
      </c>
      <c r="K202" s="235" t="n">
        <v>2008</v>
      </c>
      <c r="L202" s="235" t="n">
        <v>2009</v>
      </c>
      <c r="M202" s="235" t="n">
        <v>2010</v>
      </c>
      <c r="N202" s="235" t="n">
        <v>2011</v>
      </c>
      <c r="O202" s="235" t="n">
        <v>2012</v>
      </c>
      <c r="P202" s="235" t="n">
        <v>2013</v>
      </c>
      <c r="Q202" s="235" t="n">
        <v>2014</v>
      </c>
      <c r="R202" s="235" t="n">
        <v>2015</v>
      </c>
      <c r="S202" s="235" t="n">
        <v>2016</v>
      </c>
      <c r="T202" s="235" t="n">
        <v>2017</v>
      </c>
      <c r="U202" s="235" t="n">
        <v>2018</v>
      </c>
      <c r="V202" s="235" t="n">
        <v>2019</v>
      </c>
    </row>
    <row r="204" customFormat="false" ht="12.75" hidden="false" customHeight="false" outlineLevel="0" collapsed="false">
      <c r="A204" s="0" t="n">
        <f aca="false">Summary!A17</f>
        <v>1</v>
      </c>
      <c r="B204" s="0" t="s">
        <v>69</v>
      </c>
      <c r="C204" s="9" t="n">
        <v>8326</v>
      </c>
      <c r="D204" s="9" t="n">
        <v>8326</v>
      </c>
      <c r="E204" s="9" t="n">
        <v>8326</v>
      </c>
      <c r="F204" s="9" t="n">
        <v>8326</v>
      </c>
      <c r="G204" s="9" t="n">
        <v>8326</v>
      </c>
      <c r="H204" s="9" t="n">
        <v>8326</v>
      </c>
      <c r="I204" s="9" t="n">
        <v>8326</v>
      </c>
      <c r="J204" s="9" t="n">
        <v>8326</v>
      </c>
      <c r="K204" s="9" t="n">
        <v>8326</v>
      </c>
      <c r="L204" s="9" t="n">
        <v>8326</v>
      </c>
      <c r="M204" s="9" t="n">
        <v>8326</v>
      </c>
      <c r="N204" s="9" t="n">
        <v>8326</v>
      </c>
      <c r="O204" s="9" t="n">
        <v>8326</v>
      </c>
      <c r="P204" s="9" t="n">
        <v>8326</v>
      </c>
      <c r="Q204" s="9" t="n">
        <v>8326</v>
      </c>
      <c r="R204" s="9" t="n">
        <v>8326</v>
      </c>
      <c r="S204" s="9" t="n">
        <v>8326</v>
      </c>
      <c r="T204" s="9" t="n">
        <v>8326</v>
      </c>
      <c r="U204" s="9" t="n">
        <v>8326</v>
      </c>
      <c r="V204" s="9" t="n">
        <v>8326</v>
      </c>
    </row>
    <row r="205" customFormat="false" ht="12.75" hidden="false" customHeight="false" outlineLevel="0" collapsed="false">
      <c r="A205" s="0" t="n">
        <f aca="false">Summary!A18</f>
        <v>2</v>
      </c>
      <c r="B205" s="0" t="s">
        <v>71</v>
      </c>
      <c r="C205" s="9" t="n">
        <v>12783</v>
      </c>
      <c r="D205" s="9" t="n">
        <v>12783</v>
      </c>
      <c r="E205" s="9" t="n">
        <v>12783</v>
      </c>
      <c r="F205" s="9" t="n">
        <v>12783</v>
      </c>
      <c r="G205" s="9" t="n">
        <v>12783</v>
      </c>
      <c r="H205" s="9" t="n">
        <v>12783</v>
      </c>
      <c r="I205" s="9" t="n">
        <v>12783</v>
      </c>
      <c r="J205" s="9" t="n">
        <v>12783</v>
      </c>
      <c r="K205" s="9" t="n">
        <v>12783</v>
      </c>
      <c r="L205" s="9" t="n">
        <v>12783</v>
      </c>
      <c r="M205" s="9" t="n">
        <v>12783</v>
      </c>
      <c r="N205" s="9" t="n">
        <v>12783</v>
      </c>
      <c r="O205" s="9" t="n">
        <v>12783</v>
      </c>
      <c r="P205" s="9" t="n">
        <v>12783</v>
      </c>
      <c r="Q205" s="9" t="n">
        <v>12783</v>
      </c>
      <c r="R205" s="9" t="n">
        <v>12783</v>
      </c>
      <c r="S205" s="9" t="n">
        <v>12783</v>
      </c>
      <c r="T205" s="9" t="n">
        <v>12783</v>
      </c>
      <c r="U205" s="9" t="n">
        <v>12783</v>
      </c>
      <c r="V205" s="9" t="n">
        <v>12783</v>
      </c>
    </row>
    <row r="206" customFormat="false" ht="12.75" hidden="false" customHeight="false" outlineLevel="0" collapsed="false">
      <c r="A206" s="0" t="n">
        <f aca="false">Summary!A19</f>
        <v>3</v>
      </c>
      <c r="B206" s="2" t="s">
        <v>72</v>
      </c>
      <c r="C206" s="9" t="n">
        <v>7785</v>
      </c>
      <c r="D206" s="9" t="n">
        <v>7785</v>
      </c>
      <c r="E206" s="9" t="n">
        <v>7785</v>
      </c>
      <c r="F206" s="9" t="n">
        <v>7785</v>
      </c>
      <c r="G206" s="9" t="n">
        <v>7785</v>
      </c>
      <c r="H206" s="9" t="n">
        <v>7785</v>
      </c>
      <c r="I206" s="9" t="n">
        <v>7785</v>
      </c>
      <c r="J206" s="9" t="n">
        <v>7785</v>
      </c>
      <c r="K206" s="9" t="n">
        <v>7785</v>
      </c>
      <c r="L206" s="9" t="n">
        <v>7785</v>
      </c>
      <c r="M206" s="9" t="n">
        <v>7785</v>
      </c>
      <c r="N206" s="9" t="n">
        <v>7785</v>
      </c>
      <c r="O206" s="9" t="n">
        <v>7785</v>
      </c>
      <c r="P206" s="9" t="n">
        <v>7785</v>
      </c>
      <c r="Q206" s="9" t="n">
        <v>7785</v>
      </c>
      <c r="R206" s="9" t="n">
        <v>7785</v>
      </c>
      <c r="S206" s="9" t="n">
        <v>7785</v>
      </c>
      <c r="T206" s="9" t="n">
        <v>7785</v>
      </c>
      <c r="U206" s="9" t="n">
        <v>7785</v>
      </c>
      <c r="V206" s="9" t="n">
        <v>7785</v>
      </c>
    </row>
    <row r="207" customFormat="false" ht="12.75" hidden="false" customHeight="false" outlineLevel="0" collapsed="false">
      <c r="A207" s="0" t="n">
        <f aca="false">Summary!A20</f>
        <v>4</v>
      </c>
      <c r="B207" s="2" t="s">
        <v>73</v>
      </c>
      <c r="C207" s="9" t="n">
        <v>7384</v>
      </c>
      <c r="D207" s="9" t="n">
        <v>7384</v>
      </c>
      <c r="E207" s="9" t="n">
        <v>7384</v>
      </c>
      <c r="F207" s="9" t="n">
        <v>7384</v>
      </c>
      <c r="G207" s="9" t="n">
        <v>7384</v>
      </c>
      <c r="H207" s="9" t="n">
        <v>7384</v>
      </c>
      <c r="I207" s="9" t="n">
        <v>7384</v>
      </c>
      <c r="J207" s="9" t="n">
        <v>7384</v>
      </c>
      <c r="K207" s="9" t="n">
        <v>7384</v>
      </c>
      <c r="L207" s="9" t="n">
        <v>7384</v>
      </c>
      <c r="M207" s="9" t="n">
        <v>7384</v>
      </c>
      <c r="N207" s="9" t="n">
        <v>7384</v>
      </c>
      <c r="O207" s="9" t="n">
        <v>7384</v>
      </c>
      <c r="P207" s="9" t="n">
        <v>7384</v>
      </c>
      <c r="Q207" s="9" t="n">
        <v>7384</v>
      </c>
      <c r="R207" s="9" t="n">
        <v>7384</v>
      </c>
      <c r="S207" s="9" t="n">
        <v>7384</v>
      </c>
      <c r="T207" s="9" t="n">
        <v>7384</v>
      </c>
      <c r="U207" s="9" t="n">
        <v>7384</v>
      </c>
      <c r="V207" s="9" t="n">
        <v>7384</v>
      </c>
    </row>
    <row r="208" customFormat="false" ht="12.75" hidden="false" customHeight="false" outlineLevel="0" collapsed="false">
      <c r="A208" s="0" t="n">
        <f aca="false">Summary!A21</f>
        <v>5</v>
      </c>
      <c r="B208" s="2" t="s">
        <v>74</v>
      </c>
      <c r="C208" s="9" t="n">
        <v>7194</v>
      </c>
      <c r="D208" s="9" t="n">
        <v>7194</v>
      </c>
      <c r="E208" s="9" t="n">
        <v>7194</v>
      </c>
      <c r="F208" s="9" t="n">
        <v>7194</v>
      </c>
      <c r="G208" s="9" t="n">
        <v>7194</v>
      </c>
      <c r="H208" s="9" t="n">
        <v>7194</v>
      </c>
      <c r="I208" s="9" t="n">
        <v>7194</v>
      </c>
      <c r="J208" s="9" t="n">
        <v>7194</v>
      </c>
      <c r="K208" s="9" t="n">
        <v>7194</v>
      </c>
      <c r="L208" s="9" t="n">
        <v>7194</v>
      </c>
      <c r="M208" s="9" t="n">
        <v>7194</v>
      </c>
      <c r="N208" s="9" t="n">
        <v>7194</v>
      </c>
      <c r="O208" s="9" t="n">
        <v>7194</v>
      </c>
      <c r="P208" s="9" t="n">
        <v>7194</v>
      </c>
      <c r="Q208" s="9" t="n">
        <v>7194</v>
      </c>
      <c r="R208" s="9" t="n">
        <v>7194</v>
      </c>
      <c r="S208" s="9" t="n">
        <v>7194</v>
      </c>
      <c r="T208" s="9" t="n">
        <v>7194</v>
      </c>
      <c r="U208" s="9" t="n">
        <v>7194</v>
      </c>
      <c r="V208" s="9" t="n">
        <v>7194</v>
      </c>
    </row>
    <row r="209" customFormat="false" ht="12.75" hidden="false" customHeight="false" outlineLevel="0" collapsed="false">
      <c r="A209" s="0" t="n">
        <f aca="false">Summary!A22</f>
        <v>6</v>
      </c>
      <c r="B209" s="2" t="s">
        <v>75</v>
      </c>
      <c r="C209" s="9" t="n">
        <v>7853</v>
      </c>
      <c r="D209" s="9" t="n">
        <v>7853</v>
      </c>
      <c r="E209" s="9" t="n">
        <v>7853</v>
      </c>
      <c r="F209" s="9" t="n">
        <v>7853</v>
      </c>
      <c r="G209" s="9" t="n">
        <v>7853</v>
      </c>
      <c r="H209" s="9" t="n">
        <v>7853</v>
      </c>
      <c r="I209" s="9" t="n">
        <v>7853</v>
      </c>
      <c r="J209" s="9" t="n">
        <v>7853</v>
      </c>
      <c r="K209" s="9" t="n">
        <v>7853</v>
      </c>
      <c r="L209" s="9" t="n">
        <v>7853</v>
      </c>
      <c r="M209" s="9" t="n">
        <v>7853</v>
      </c>
      <c r="N209" s="9" t="n">
        <v>7853</v>
      </c>
      <c r="O209" s="9" t="n">
        <v>7853</v>
      </c>
      <c r="P209" s="9" t="n">
        <v>7853</v>
      </c>
      <c r="Q209" s="9" t="n">
        <v>7853</v>
      </c>
      <c r="R209" s="9" t="n">
        <v>7853</v>
      </c>
      <c r="S209" s="9" t="n">
        <v>7853</v>
      </c>
      <c r="T209" s="9" t="n">
        <v>7853</v>
      </c>
      <c r="U209" s="9" t="n">
        <v>7853</v>
      </c>
      <c r="V209" s="9" t="n">
        <v>7853</v>
      </c>
    </row>
    <row r="210" customFormat="false" ht="12.75" hidden="false" customHeight="false" outlineLevel="0" collapsed="false">
      <c r="A210" s="0" t="n">
        <f aca="false">Summary!A23</f>
        <v>7</v>
      </c>
      <c r="B210" s="0" t="s">
        <v>76</v>
      </c>
      <c r="C210" s="9" t="n">
        <v>4757</v>
      </c>
      <c r="D210" s="9" t="n">
        <v>4757</v>
      </c>
      <c r="E210" s="9" t="n">
        <v>4757</v>
      </c>
      <c r="F210" s="9" t="n">
        <v>4757</v>
      </c>
      <c r="G210" s="9" t="n">
        <v>4757</v>
      </c>
      <c r="H210" s="9" t="n">
        <v>4757</v>
      </c>
      <c r="I210" s="9" t="n">
        <v>4757</v>
      </c>
      <c r="J210" s="9" t="n">
        <v>4757</v>
      </c>
      <c r="K210" s="9" t="n">
        <v>4757</v>
      </c>
      <c r="L210" s="9" t="n">
        <v>4757</v>
      </c>
      <c r="M210" s="9" t="n">
        <v>4757</v>
      </c>
      <c r="N210" s="9" t="n">
        <v>4757</v>
      </c>
      <c r="O210" s="9" t="n">
        <v>4757</v>
      </c>
      <c r="P210" s="9" t="n">
        <v>4757</v>
      </c>
      <c r="Q210" s="9" t="n">
        <v>4757</v>
      </c>
      <c r="R210" s="9" t="n">
        <v>4757</v>
      </c>
      <c r="S210" s="9" t="n">
        <v>4757</v>
      </c>
      <c r="T210" s="9" t="n">
        <v>4757</v>
      </c>
      <c r="U210" s="9" t="n">
        <v>4757</v>
      </c>
      <c r="V210" s="9" t="n">
        <v>4757</v>
      </c>
    </row>
    <row r="211" customFormat="false" ht="12.75" hidden="false" customHeight="false" outlineLevel="0" collapsed="false">
      <c r="A211" s="0" t="n">
        <f aca="false">Summary!A24</f>
        <v>8</v>
      </c>
      <c r="B211" s="0" t="s">
        <v>77</v>
      </c>
      <c r="C211" s="9" t="n">
        <v>284</v>
      </c>
      <c r="D211" s="9" t="n">
        <v>284</v>
      </c>
      <c r="E211" s="9" t="n">
        <v>284</v>
      </c>
      <c r="F211" s="9" t="n">
        <v>284</v>
      </c>
      <c r="G211" s="9" t="n">
        <v>284</v>
      </c>
      <c r="H211" s="9" t="n">
        <v>284</v>
      </c>
      <c r="I211" s="9" t="n">
        <v>284</v>
      </c>
      <c r="J211" s="9" t="n">
        <v>284</v>
      </c>
      <c r="K211" s="9" t="n">
        <v>284</v>
      </c>
      <c r="L211" s="9" t="n">
        <v>284</v>
      </c>
      <c r="M211" s="9" t="n">
        <v>284</v>
      </c>
      <c r="N211" s="9" t="n">
        <v>284</v>
      </c>
      <c r="O211" s="9" t="n">
        <v>284</v>
      </c>
      <c r="P211" s="9" t="n">
        <v>284</v>
      </c>
      <c r="Q211" s="9" t="n">
        <v>284</v>
      </c>
      <c r="R211" s="9" t="n">
        <v>284</v>
      </c>
      <c r="S211" s="9" t="n">
        <v>284</v>
      </c>
      <c r="T211" s="9" t="n">
        <v>284</v>
      </c>
      <c r="U211" s="9" t="n">
        <v>284</v>
      </c>
      <c r="V211" s="9" t="n">
        <v>284</v>
      </c>
    </row>
    <row r="212" customFormat="false" ht="12.75" hidden="false" customHeight="false" outlineLevel="0" collapsed="false">
      <c r="A212" s="0" t="n">
        <f aca="false">Summary!A25</f>
        <v>9</v>
      </c>
      <c r="B212" s="0" t="s">
        <v>78</v>
      </c>
      <c r="C212" s="9" t="n">
        <v>4868</v>
      </c>
      <c r="D212" s="9" t="n">
        <v>4868</v>
      </c>
      <c r="E212" s="9" t="n">
        <v>4868</v>
      </c>
      <c r="F212" s="9" t="n">
        <v>4868</v>
      </c>
      <c r="G212" s="9" t="n">
        <v>4868</v>
      </c>
      <c r="H212" s="9" t="n">
        <v>4868</v>
      </c>
      <c r="I212" s="9" t="n">
        <v>4868</v>
      </c>
      <c r="J212" s="9" t="n">
        <v>4868</v>
      </c>
      <c r="K212" s="9" t="n">
        <v>4868</v>
      </c>
      <c r="L212" s="9" t="n">
        <v>4868</v>
      </c>
      <c r="M212" s="9" t="n">
        <v>4868</v>
      </c>
      <c r="N212" s="9" t="n">
        <v>4868</v>
      </c>
      <c r="O212" s="9" t="n">
        <v>4868</v>
      </c>
      <c r="P212" s="9" t="n">
        <v>4868</v>
      </c>
      <c r="Q212" s="9" t="n">
        <v>4868</v>
      </c>
      <c r="R212" s="9" t="n">
        <v>4868</v>
      </c>
      <c r="S212" s="9" t="n">
        <v>4868</v>
      </c>
      <c r="T212" s="9" t="n">
        <v>4868</v>
      </c>
      <c r="U212" s="9" t="n">
        <v>4868</v>
      </c>
      <c r="V212" s="9" t="n">
        <v>4868</v>
      </c>
    </row>
    <row r="213" customFormat="false" ht="12.75" hidden="false" customHeight="false" outlineLevel="0" collapsed="false">
      <c r="A213" s="0" t="n">
        <f aca="false">Summary!A26</f>
        <v>10</v>
      </c>
      <c r="B213" s="0" t="s">
        <v>79</v>
      </c>
      <c r="C213" s="9" t="n">
        <v>10552</v>
      </c>
      <c r="D213" s="9" t="n">
        <v>10552</v>
      </c>
      <c r="E213" s="9" t="n">
        <v>10552</v>
      </c>
      <c r="F213" s="9" t="n">
        <v>10552</v>
      </c>
      <c r="G213" s="9" t="n">
        <v>10552</v>
      </c>
      <c r="H213" s="9" t="n">
        <v>10552</v>
      </c>
      <c r="I213" s="9" t="n">
        <v>10552</v>
      </c>
      <c r="J213" s="9" t="n">
        <v>10552</v>
      </c>
      <c r="K213" s="9" t="n">
        <v>10552</v>
      </c>
      <c r="L213" s="9" t="n">
        <v>10552</v>
      </c>
      <c r="M213" s="9" t="n">
        <v>10552</v>
      </c>
      <c r="N213" s="9" t="n">
        <v>10552</v>
      </c>
      <c r="O213" s="9" t="n">
        <v>10552</v>
      </c>
      <c r="P213" s="9" t="n">
        <v>10552</v>
      </c>
      <c r="Q213" s="9" t="n">
        <v>10552</v>
      </c>
      <c r="R213" s="9" t="n">
        <v>10552</v>
      </c>
      <c r="S213" s="9" t="n">
        <v>10552</v>
      </c>
      <c r="T213" s="9" t="n">
        <v>10552</v>
      </c>
      <c r="U213" s="9" t="n">
        <v>10552</v>
      </c>
      <c r="V213" s="9" t="n">
        <v>10552</v>
      </c>
    </row>
    <row r="214" customFormat="false" ht="12.75" hidden="false" customHeight="false" outlineLevel="0" collapsed="false">
      <c r="A214" s="0" t="n">
        <f aca="false">Summary!A27</f>
        <v>11</v>
      </c>
      <c r="B214" s="0" t="s">
        <v>80</v>
      </c>
      <c r="C214" s="9" t="n">
        <v>11529</v>
      </c>
      <c r="D214" s="9" t="n">
        <v>11529</v>
      </c>
      <c r="E214" s="9" t="n">
        <v>11529</v>
      </c>
      <c r="F214" s="9" t="n">
        <v>11529</v>
      </c>
      <c r="G214" s="9" t="n">
        <v>11529</v>
      </c>
      <c r="H214" s="9" t="n">
        <v>11529</v>
      </c>
      <c r="I214" s="9" t="n">
        <v>11529</v>
      </c>
      <c r="J214" s="9" t="n">
        <v>11529</v>
      </c>
      <c r="K214" s="9" t="n">
        <v>11529</v>
      </c>
      <c r="L214" s="9" t="n">
        <v>11529</v>
      </c>
      <c r="M214" s="9" t="n">
        <v>11529</v>
      </c>
      <c r="N214" s="9" t="n">
        <v>11529</v>
      </c>
      <c r="O214" s="9" t="n">
        <v>11529</v>
      </c>
      <c r="P214" s="9" t="n">
        <v>11529</v>
      </c>
      <c r="Q214" s="9" t="n">
        <v>11529</v>
      </c>
      <c r="R214" s="9" t="n">
        <v>11529</v>
      </c>
      <c r="S214" s="9" t="n">
        <v>11529</v>
      </c>
      <c r="T214" s="9" t="n">
        <v>11529</v>
      </c>
      <c r="U214" s="9" t="n">
        <v>11529</v>
      </c>
      <c r="V214" s="9" t="n">
        <v>11529</v>
      </c>
    </row>
    <row r="215" customFormat="false" ht="12.75" hidden="false" customHeight="false" outlineLevel="0" collapsed="false">
      <c r="A215" s="0" t="n">
        <f aca="false">Summary!A28</f>
        <v>12</v>
      </c>
      <c r="B215" s="0" t="s">
        <v>81</v>
      </c>
      <c r="C215" s="9" t="n">
        <v>1830</v>
      </c>
      <c r="D215" s="9" t="n">
        <v>1830</v>
      </c>
      <c r="E215" s="9" t="n">
        <v>1830</v>
      </c>
      <c r="F215" s="9" t="n">
        <v>1830</v>
      </c>
      <c r="G215" s="9" t="n">
        <v>1830</v>
      </c>
      <c r="H215" s="9" t="n">
        <v>1830</v>
      </c>
      <c r="I215" s="9" t="n">
        <v>1830</v>
      </c>
      <c r="J215" s="9" t="n">
        <v>1830</v>
      </c>
      <c r="K215" s="9" t="n">
        <v>1830</v>
      </c>
      <c r="L215" s="9" t="n">
        <v>1830</v>
      </c>
      <c r="M215" s="9" t="n">
        <v>1830</v>
      </c>
      <c r="N215" s="9" t="n">
        <v>1830</v>
      </c>
      <c r="O215" s="9" t="n">
        <v>1830</v>
      </c>
      <c r="P215" s="9" t="n">
        <v>1830</v>
      </c>
      <c r="Q215" s="9" t="n">
        <v>1830</v>
      </c>
      <c r="R215" s="9" t="n">
        <v>1830</v>
      </c>
      <c r="S215" s="9" t="n">
        <v>1830</v>
      </c>
      <c r="T215" s="9" t="n">
        <v>1830</v>
      </c>
      <c r="U215" s="9" t="n">
        <v>1830</v>
      </c>
      <c r="V215" s="9" t="n">
        <v>1830</v>
      </c>
    </row>
    <row r="216" customFormat="false" ht="12.75" hidden="false" customHeight="false" outlineLevel="0" collapsed="false">
      <c r="A216" s="0" t="n">
        <f aca="false">Summary!A29</f>
        <v>13</v>
      </c>
      <c r="B216" s="0" t="s">
        <v>82</v>
      </c>
      <c r="C216" s="9" t="n">
        <v>1853</v>
      </c>
      <c r="D216" s="9" t="n">
        <v>1853</v>
      </c>
      <c r="E216" s="9" t="n">
        <v>1853</v>
      </c>
      <c r="F216" s="9" t="n">
        <v>1853</v>
      </c>
      <c r="G216" s="9" t="n">
        <v>1853</v>
      </c>
      <c r="H216" s="9" t="n">
        <v>1853</v>
      </c>
      <c r="I216" s="9" t="n">
        <v>1853</v>
      </c>
      <c r="J216" s="9" t="n">
        <v>1853</v>
      </c>
      <c r="K216" s="9" t="n">
        <v>1853</v>
      </c>
      <c r="L216" s="9" t="n">
        <v>1853</v>
      </c>
      <c r="M216" s="9" t="n">
        <v>1853</v>
      </c>
      <c r="N216" s="9" t="n">
        <v>1853</v>
      </c>
      <c r="O216" s="9" t="n">
        <v>1853</v>
      </c>
      <c r="P216" s="9" t="n">
        <v>1853</v>
      </c>
      <c r="Q216" s="9" t="n">
        <v>1853</v>
      </c>
      <c r="R216" s="9" t="n">
        <v>1853</v>
      </c>
      <c r="S216" s="9" t="n">
        <v>1853</v>
      </c>
      <c r="T216" s="9" t="n">
        <v>1853</v>
      </c>
      <c r="U216" s="9" t="n">
        <v>1853</v>
      </c>
      <c r="V216" s="9" t="n">
        <v>1853</v>
      </c>
    </row>
    <row r="217" customFormat="false" ht="12.75" hidden="false" customHeight="false" outlineLevel="0" collapsed="false">
      <c r="A217" s="0" t="n">
        <f aca="false">Summary!A30</f>
        <v>14</v>
      </c>
      <c r="B217" s="0" t="s">
        <v>83</v>
      </c>
      <c r="C217" s="9" t="n">
        <v>2521</v>
      </c>
      <c r="D217" s="9" t="n">
        <v>2521</v>
      </c>
      <c r="E217" s="9" t="n">
        <v>2521</v>
      </c>
      <c r="F217" s="9" t="n">
        <v>2521</v>
      </c>
      <c r="G217" s="9" t="n">
        <v>2521</v>
      </c>
      <c r="H217" s="9" t="n">
        <v>2521</v>
      </c>
      <c r="I217" s="9" t="n">
        <v>2521</v>
      </c>
      <c r="J217" s="9" t="n">
        <v>2521</v>
      </c>
      <c r="K217" s="9" t="n">
        <v>2521</v>
      </c>
      <c r="L217" s="9" t="n">
        <v>2521</v>
      </c>
      <c r="M217" s="9" t="n">
        <v>2521</v>
      </c>
      <c r="N217" s="9" t="n">
        <v>2521</v>
      </c>
      <c r="O217" s="9" t="n">
        <v>2521</v>
      </c>
      <c r="P217" s="9" t="n">
        <v>2521</v>
      </c>
      <c r="Q217" s="9" t="n">
        <v>2521</v>
      </c>
      <c r="R217" s="9" t="n">
        <v>2521</v>
      </c>
      <c r="S217" s="9" t="n">
        <v>2521</v>
      </c>
      <c r="T217" s="9" t="n">
        <v>2521</v>
      </c>
      <c r="U217" s="9" t="n">
        <v>2521</v>
      </c>
      <c r="V217" s="9" t="n">
        <v>2521</v>
      </c>
    </row>
    <row r="218" customFormat="false" ht="12.75" hidden="false" customHeight="false" outlineLevel="0" collapsed="false">
      <c r="A218" s="0" t="n">
        <f aca="false">Summary!A31</f>
        <v>15</v>
      </c>
      <c r="B218" s="0" t="s">
        <v>84</v>
      </c>
      <c r="C218" s="9" t="n">
        <v>3245</v>
      </c>
      <c r="D218" s="9" t="n">
        <v>3245</v>
      </c>
      <c r="E218" s="9" t="n">
        <v>3245</v>
      </c>
      <c r="F218" s="9" t="n">
        <v>3245</v>
      </c>
      <c r="G218" s="9" t="n">
        <v>3245</v>
      </c>
      <c r="H218" s="9" t="n">
        <v>3245</v>
      </c>
      <c r="I218" s="9" t="n">
        <v>3245</v>
      </c>
      <c r="J218" s="9" t="n">
        <v>3245</v>
      </c>
      <c r="K218" s="9" t="n">
        <v>3245</v>
      </c>
      <c r="L218" s="9" t="n">
        <v>3245</v>
      </c>
      <c r="M218" s="9" t="n">
        <v>3245</v>
      </c>
      <c r="N218" s="9" t="n">
        <v>3245</v>
      </c>
      <c r="O218" s="9" t="n">
        <v>3245</v>
      </c>
      <c r="P218" s="9" t="n">
        <v>3245</v>
      </c>
      <c r="Q218" s="9" t="n">
        <v>3245</v>
      </c>
      <c r="R218" s="9" t="n">
        <v>3245</v>
      </c>
      <c r="S218" s="9" t="n">
        <v>3245</v>
      </c>
      <c r="T218" s="9" t="n">
        <v>3245</v>
      </c>
      <c r="U218" s="9" t="n">
        <v>3245</v>
      </c>
      <c r="V218" s="9" t="n">
        <v>3245</v>
      </c>
    </row>
    <row r="219" customFormat="false" ht="12.75" hidden="false" customHeight="false" outlineLevel="0" collapsed="false">
      <c r="A219" s="0" t="n">
        <f aca="false">Summary!A32</f>
        <v>16</v>
      </c>
      <c r="B219" s="0" t="s">
        <v>85</v>
      </c>
      <c r="C219" s="9" t="n">
        <v>5059</v>
      </c>
      <c r="D219" s="9" t="n">
        <v>5059</v>
      </c>
      <c r="E219" s="9" t="n">
        <v>5059</v>
      </c>
      <c r="F219" s="9" t="n">
        <v>5059</v>
      </c>
      <c r="G219" s="9" t="n">
        <v>5059</v>
      </c>
      <c r="H219" s="9" t="n">
        <v>5059</v>
      </c>
      <c r="I219" s="9" t="n">
        <v>5059</v>
      </c>
      <c r="J219" s="9" t="n">
        <v>5059</v>
      </c>
      <c r="K219" s="9" t="n">
        <v>5059</v>
      </c>
      <c r="L219" s="9" t="n">
        <v>5059</v>
      </c>
      <c r="M219" s="9" t="n">
        <v>5059</v>
      </c>
      <c r="N219" s="9" t="n">
        <v>5059</v>
      </c>
      <c r="O219" s="9" t="n">
        <v>5059</v>
      </c>
      <c r="P219" s="9" t="n">
        <v>5059</v>
      </c>
      <c r="Q219" s="9" t="n">
        <v>5059</v>
      </c>
      <c r="R219" s="9" t="n">
        <v>5059</v>
      </c>
      <c r="S219" s="9" t="n">
        <v>5059</v>
      </c>
      <c r="T219" s="9" t="n">
        <v>5059</v>
      </c>
      <c r="U219" s="9" t="n">
        <v>5059</v>
      </c>
      <c r="V219" s="9" t="n">
        <v>5059</v>
      </c>
    </row>
    <row r="220" customFormat="false" ht="12.75" hidden="false" customHeight="false" outlineLevel="0" collapsed="false">
      <c r="A220" s="0" t="n">
        <f aca="false">Summary!A33</f>
        <v>17</v>
      </c>
      <c r="B220" s="0" t="s">
        <v>86</v>
      </c>
      <c r="C220" s="9" t="n">
        <v>3603</v>
      </c>
      <c r="D220" s="9" t="n">
        <v>3603</v>
      </c>
      <c r="E220" s="9" t="n">
        <v>3603</v>
      </c>
      <c r="F220" s="9" t="n">
        <v>3603</v>
      </c>
      <c r="G220" s="9" t="n">
        <v>3603</v>
      </c>
      <c r="H220" s="9" t="n">
        <v>3603</v>
      </c>
      <c r="I220" s="9" t="n">
        <v>3603</v>
      </c>
      <c r="J220" s="9" t="n">
        <v>3603</v>
      </c>
      <c r="K220" s="9" t="n">
        <v>3603</v>
      </c>
      <c r="L220" s="9" t="n">
        <v>3603</v>
      </c>
      <c r="M220" s="9" t="n">
        <v>3603</v>
      </c>
      <c r="N220" s="9" t="n">
        <v>3603</v>
      </c>
      <c r="O220" s="9" t="n">
        <v>3603</v>
      </c>
      <c r="P220" s="9" t="n">
        <v>3603</v>
      </c>
      <c r="Q220" s="9" t="n">
        <v>3603</v>
      </c>
      <c r="R220" s="9" t="n">
        <v>3603</v>
      </c>
      <c r="S220" s="9" t="n">
        <v>3603</v>
      </c>
      <c r="T220" s="9" t="n">
        <v>3603</v>
      </c>
      <c r="U220" s="9" t="n">
        <v>3603</v>
      </c>
      <c r="V220" s="9" t="n">
        <v>3603</v>
      </c>
    </row>
    <row r="221" customFormat="false" ht="12.75" hidden="false" customHeight="false" outlineLevel="0" collapsed="false">
      <c r="A221" s="0" t="n">
        <f aca="false">Summary!A34</f>
        <v>18</v>
      </c>
      <c r="B221" s="0" t="s">
        <v>87</v>
      </c>
      <c r="C221" s="9" t="n">
        <v>7448</v>
      </c>
      <c r="D221" s="9" t="n">
        <v>7448</v>
      </c>
      <c r="E221" s="9" t="n">
        <v>7448</v>
      </c>
      <c r="F221" s="9" t="n">
        <v>7448</v>
      </c>
      <c r="G221" s="9" t="n">
        <v>7448</v>
      </c>
      <c r="H221" s="9" t="n">
        <v>7448</v>
      </c>
      <c r="I221" s="9" t="n">
        <v>7448</v>
      </c>
      <c r="J221" s="9" t="n">
        <v>7448</v>
      </c>
      <c r="K221" s="9" t="n">
        <v>7448</v>
      </c>
      <c r="L221" s="9" t="n">
        <v>7448</v>
      </c>
      <c r="M221" s="9" t="n">
        <v>7448</v>
      </c>
      <c r="N221" s="9" t="n">
        <v>7448</v>
      </c>
      <c r="O221" s="9" t="n">
        <v>7448</v>
      </c>
      <c r="P221" s="9" t="n">
        <v>7448</v>
      </c>
      <c r="Q221" s="9" t="n">
        <v>7448</v>
      </c>
      <c r="R221" s="9" t="n">
        <v>7448</v>
      </c>
      <c r="S221" s="9" t="n">
        <v>7448</v>
      </c>
      <c r="T221" s="9" t="n">
        <v>7448</v>
      </c>
      <c r="U221" s="9" t="n">
        <v>7448</v>
      </c>
      <c r="V221" s="9" t="n">
        <v>7448</v>
      </c>
    </row>
    <row r="222" customFormat="false" ht="12.75" hidden="false" customHeight="false" outlineLevel="0" collapsed="false">
      <c r="A222" s="0" t="n">
        <f aca="false">Summary!A35</f>
        <v>19</v>
      </c>
      <c r="B222" s="0" t="s">
        <v>88</v>
      </c>
      <c r="C222" s="9" t="n">
        <v>0</v>
      </c>
      <c r="D222" s="9" t="n">
        <v>0</v>
      </c>
      <c r="E222" s="9" t="n">
        <v>0</v>
      </c>
      <c r="F222" s="9" t="n">
        <v>0</v>
      </c>
      <c r="G222" s="9" t="n">
        <v>0</v>
      </c>
      <c r="H222" s="9" t="n">
        <v>0</v>
      </c>
      <c r="I222" s="9" t="n">
        <v>0</v>
      </c>
      <c r="J222" s="9" t="n">
        <v>0</v>
      </c>
      <c r="K222" s="9" t="n">
        <v>0</v>
      </c>
      <c r="L222" s="9" t="n">
        <v>0</v>
      </c>
      <c r="M222" s="9" t="n">
        <v>0</v>
      </c>
      <c r="N222" s="9" t="n">
        <v>0</v>
      </c>
      <c r="O222" s="9" t="n">
        <v>0</v>
      </c>
      <c r="P222" s="9" t="n">
        <v>0</v>
      </c>
      <c r="Q222" s="9" t="n">
        <v>0</v>
      </c>
      <c r="R222" s="9" t="n">
        <v>0</v>
      </c>
      <c r="S222" s="9" t="n">
        <v>0</v>
      </c>
      <c r="T222" s="9" t="n">
        <v>0</v>
      </c>
      <c r="U222" s="9" t="n">
        <v>0</v>
      </c>
      <c r="V222" s="9" t="n">
        <v>0</v>
      </c>
    </row>
    <row r="223" customFormat="false" ht="12.75" hidden="false" customHeight="false" outlineLevel="0" collapsed="false">
      <c r="A223" s="0" t="n">
        <f aca="false">Summary!A36</f>
        <v>20</v>
      </c>
      <c r="B223" s="0" t="s">
        <v>89</v>
      </c>
      <c r="C223" s="9" t="n">
        <v>0</v>
      </c>
      <c r="D223" s="9" t="n">
        <v>0</v>
      </c>
      <c r="E223" s="9" t="n">
        <v>0</v>
      </c>
      <c r="F223" s="9" t="n">
        <v>0</v>
      </c>
      <c r="G223" s="9" t="n">
        <v>0</v>
      </c>
      <c r="H223" s="9" t="n">
        <v>0</v>
      </c>
      <c r="I223" s="9" t="n">
        <v>0</v>
      </c>
      <c r="J223" s="9" t="n">
        <v>0</v>
      </c>
      <c r="K223" s="9" t="n">
        <v>0</v>
      </c>
      <c r="L223" s="9" t="n">
        <v>0</v>
      </c>
      <c r="M223" s="9" t="n">
        <v>0</v>
      </c>
      <c r="N223" s="9" t="n">
        <v>0</v>
      </c>
      <c r="O223" s="9" t="n">
        <v>0</v>
      </c>
      <c r="P223" s="9" t="n">
        <v>0</v>
      </c>
      <c r="Q223" s="9" t="n">
        <v>0</v>
      </c>
      <c r="R223" s="9" t="n">
        <v>0</v>
      </c>
      <c r="S223" s="9" t="n">
        <v>0</v>
      </c>
      <c r="T223" s="9" t="n">
        <v>0</v>
      </c>
      <c r="U223" s="9" t="n">
        <v>0</v>
      </c>
      <c r="V223" s="9" t="n">
        <v>0</v>
      </c>
    </row>
    <row r="224" customFormat="false" ht="12.75" hidden="false" customHeight="false" outlineLevel="0" collapsed="false">
      <c r="A224" s="0" t="n">
        <f aca="false">Summary!A37</f>
        <v>21</v>
      </c>
      <c r="B224" s="0" t="s">
        <v>90</v>
      </c>
      <c r="C224" s="9" t="n">
        <v>0</v>
      </c>
      <c r="D224" s="9" t="n">
        <v>0</v>
      </c>
      <c r="E224" s="9" t="n">
        <v>0</v>
      </c>
      <c r="F224" s="9" t="n">
        <v>0</v>
      </c>
      <c r="G224" s="9" t="n">
        <v>0</v>
      </c>
      <c r="H224" s="9" t="n">
        <v>0</v>
      </c>
      <c r="I224" s="9" t="n">
        <v>0</v>
      </c>
      <c r="J224" s="9" t="n">
        <v>0</v>
      </c>
      <c r="K224" s="9" t="n">
        <v>0</v>
      </c>
      <c r="L224" s="9" t="n">
        <v>0</v>
      </c>
      <c r="M224" s="9" t="n">
        <v>0</v>
      </c>
      <c r="N224" s="9" t="n">
        <v>0</v>
      </c>
      <c r="O224" s="9" t="n">
        <v>0</v>
      </c>
      <c r="P224" s="9" t="n">
        <v>0</v>
      </c>
      <c r="Q224" s="9" t="n">
        <v>0</v>
      </c>
      <c r="R224" s="9" t="n">
        <v>0</v>
      </c>
      <c r="S224" s="9" t="n">
        <v>0</v>
      </c>
      <c r="T224" s="9" t="n">
        <v>0</v>
      </c>
      <c r="U224" s="9" t="n">
        <v>0</v>
      </c>
      <c r="V224" s="9" t="n">
        <v>0</v>
      </c>
    </row>
    <row r="225" customFormat="false" ht="12.75" hidden="false" customHeight="false" outlineLevel="0" collapsed="false">
      <c r="A225" s="0" t="n">
        <f aca="false">Summary!A38</f>
        <v>22</v>
      </c>
      <c r="B225" s="0" t="s">
        <v>91</v>
      </c>
      <c r="C225" s="9" t="n">
        <v>0</v>
      </c>
      <c r="D225" s="9" t="n">
        <v>0</v>
      </c>
      <c r="E225" s="9" t="n">
        <v>0</v>
      </c>
      <c r="F225" s="9" t="n">
        <v>0</v>
      </c>
      <c r="G225" s="9" t="n">
        <v>0</v>
      </c>
      <c r="H225" s="9" t="n">
        <v>0</v>
      </c>
      <c r="I225" s="9" t="n">
        <v>0</v>
      </c>
      <c r="J225" s="9" t="n">
        <v>0</v>
      </c>
      <c r="K225" s="9" t="n">
        <v>0</v>
      </c>
      <c r="L225" s="9" t="n">
        <v>0</v>
      </c>
      <c r="M225" s="9" t="n">
        <v>0</v>
      </c>
      <c r="N225" s="9" t="n">
        <v>0</v>
      </c>
      <c r="O225" s="9" t="n">
        <v>0</v>
      </c>
      <c r="P225" s="9" t="n">
        <v>0</v>
      </c>
      <c r="Q225" s="9" t="n">
        <v>0</v>
      </c>
      <c r="R225" s="9" t="n">
        <v>0</v>
      </c>
      <c r="S225" s="9" t="n">
        <v>0</v>
      </c>
      <c r="T225" s="9" t="n">
        <v>0</v>
      </c>
      <c r="U225" s="9" t="n">
        <v>0</v>
      </c>
      <c r="V225" s="9" t="n">
        <v>0</v>
      </c>
    </row>
    <row r="226" customFormat="false" ht="12.75" hidden="false" customHeight="false" outlineLevel="0" collapsed="false">
      <c r="A226" s="0" t="n">
        <f aca="false">Summary!A39</f>
        <v>23</v>
      </c>
      <c r="B226" s="0" t="s">
        <v>92</v>
      </c>
      <c r="C226" s="9" t="n">
        <v>0</v>
      </c>
      <c r="D226" s="9" t="n">
        <v>0</v>
      </c>
      <c r="E226" s="9" t="n">
        <v>0</v>
      </c>
      <c r="F226" s="9" t="n">
        <v>0</v>
      </c>
      <c r="G226" s="9" t="n">
        <v>0</v>
      </c>
      <c r="H226" s="9" t="n">
        <v>0</v>
      </c>
      <c r="I226" s="9" t="n">
        <v>0</v>
      </c>
      <c r="J226" s="9" t="n">
        <v>0</v>
      </c>
      <c r="K226" s="9" t="n">
        <v>0</v>
      </c>
      <c r="L226" s="9" t="n">
        <v>0</v>
      </c>
      <c r="M226" s="9" t="n">
        <v>0</v>
      </c>
      <c r="N226" s="9" t="n">
        <v>0</v>
      </c>
      <c r="O226" s="9" t="n">
        <v>0</v>
      </c>
      <c r="P226" s="9" t="n">
        <v>0</v>
      </c>
      <c r="Q226" s="9" t="n">
        <v>0</v>
      </c>
      <c r="R226" s="9" t="n">
        <v>0</v>
      </c>
      <c r="S226" s="9" t="n">
        <v>0</v>
      </c>
      <c r="T226" s="9" t="n">
        <v>0</v>
      </c>
      <c r="U226" s="9" t="n">
        <v>0</v>
      </c>
      <c r="V226" s="9" t="n">
        <v>0</v>
      </c>
    </row>
    <row r="227" customFormat="false" ht="12.75" hidden="false" customHeight="false" outlineLevel="0" collapsed="false">
      <c r="A227" s="0" t="n">
        <f aca="false">Summary!A40</f>
        <v>24</v>
      </c>
      <c r="B227" s="0" t="s">
        <v>93</v>
      </c>
      <c r="C227" s="9" t="n">
        <v>0</v>
      </c>
      <c r="D227" s="9" t="n">
        <v>0</v>
      </c>
      <c r="E227" s="9" t="n">
        <v>0</v>
      </c>
      <c r="F227" s="9" t="n">
        <v>0</v>
      </c>
      <c r="G227" s="9" t="n">
        <v>0</v>
      </c>
      <c r="H227" s="9" t="n">
        <v>0</v>
      </c>
      <c r="I227" s="9" t="n">
        <v>0</v>
      </c>
      <c r="J227" s="9" t="n">
        <v>0</v>
      </c>
      <c r="K227" s="9" t="n">
        <v>0</v>
      </c>
      <c r="L227" s="9" t="n">
        <v>0</v>
      </c>
      <c r="M227" s="9" t="n">
        <v>0</v>
      </c>
      <c r="N227" s="9" t="n">
        <v>0</v>
      </c>
      <c r="O227" s="9" t="n">
        <v>0</v>
      </c>
      <c r="P227" s="9" t="n">
        <v>0</v>
      </c>
      <c r="Q227" s="9" t="n">
        <v>0</v>
      </c>
      <c r="R227" s="9" t="n">
        <v>0</v>
      </c>
      <c r="S227" s="9" t="n">
        <v>0</v>
      </c>
      <c r="T227" s="9" t="n">
        <v>0</v>
      </c>
      <c r="U227" s="9" t="n">
        <v>0</v>
      </c>
      <c r="V227" s="9" t="n">
        <v>0</v>
      </c>
    </row>
    <row r="228" customFormat="false" ht="12.75" hidden="false" customHeight="false" outlineLevel="0" collapsed="false">
      <c r="A228" s="0" t="n">
        <f aca="false">Summary!A41</f>
        <v>25</v>
      </c>
      <c r="B228" s="0" t="s">
        <v>94</v>
      </c>
      <c r="C228" s="9" t="n">
        <v>0</v>
      </c>
      <c r="D228" s="9" t="n">
        <v>0</v>
      </c>
      <c r="E228" s="9" t="n">
        <v>0</v>
      </c>
      <c r="F228" s="9" t="n">
        <v>0</v>
      </c>
      <c r="G228" s="9" t="n">
        <v>0</v>
      </c>
      <c r="H228" s="9" t="n">
        <v>0</v>
      </c>
      <c r="I228" s="9" t="n">
        <v>0</v>
      </c>
      <c r="J228" s="9" t="n">
        <v>0</v>
      </c>
      <c r="K228" s="9" t="n">
        <v>0</v>
      </c>
      <c r="L228" s="9" t="n">
        <v>0</v>
      </c>
      <c r="M228" s="9" t="n">
        <v>0</v>
      </c>
      <c r="N228" s="9" t="n">
        <v>0</v>
      </c>
      <c r="O228" s="9" t="n">
        <v>0</v>
      </c>
      <c r="P228" s="9" t="n">
        <v>0</v>
      </c>
      <c r="Q228" s="9" t="n">
        <v>0</v>
      </c>
      <c r="R228" s="9" t="n">
        <v>0</v>
      </c>
      <c r="S228" s="9" t="n">
        <v>0</v>
      </c>
      <c r="T228" s="9" t="n">
        <v>0</v>
      </c>
      <c r="U228" s="9" t="n">
        <v>0</v>
      </c>
      <c r="V228" s="9" t="n">
        <v>0</v>
      </c>
    </row>
    <row r="229" customFormat="false" ht="12.75" hidden="false" customHeight="false" outlineLevel="0" collapsed="false">
      <c r="A229" s="0" t="n">
        <f aca="false">Summary!A42</f>
        <v>26</v>
      </c>
      <c r="B229" s="0" t="s">
        <v>95</v>
      </c>
      <c r="C229" s="9" t="n">
        <v>0</v>
      </c>
      <c r="D229" s="9" t="n">
        <v>0</v>
      </c>
      <c r="E229" s="9" t="n">
        <v>0</v>
      </c>
      <c r="F229" s="9" t="n">
        <v>0</v>
      </c>
      <c r="G229" s="9" t="n">
        <v>0</v>
      </c>
      <c r="H229" s="9" t="n">
        <v>0</v>
      </c>
      <c r="I229" s="9" t="n">
        <v>0</v>
      </c>
      <c r="J229" s="9" t="n">
        <v>0</v>
      </c>
      <c r="K229" s="9" t="n">
        <v>0</v>
      </c>
      <c r="L229" s="9" t="n">
        <v>0</v>
      </c>
      <c r="M229" s="9" t="n">
        <v>0</v>
      </c>
      <c r="N229" s="9" t="n">
        <v>0</v>
      </c>
      <c r="O229" s="9" t="n">
        <v>0</v>
      </c>
      <c r="P229" s="9" t="n">
        <v>0</v>
      </c>
      <c r="Q229" s="9" t="n">
        <v>0</v>
      </c>
      <c r="R229" s="9" t="n">
        <v>0</v>
      </c>
      <c r="S229" s="9" t="n">
        <v>0</v>
      </c>
      <c r="T229" s="9" t="n">
        <v>0</v>
      </c>
      <c r="U229" s="9" t="n">
        <v>0</v>
      </c>
      <c r="V229" s="9" t="n">
        <v>0</v>
      </c>
    </row>
    <row r="230" customFormat="false" ht="12.75" hidden="false" customHeight="false" outlineLevel="0" collapsed="false">
      <c r="A230" s="0" t="n">
        <f aca="false">Summary!A43</f>
        <v>27</v>
      </c>
      <c r="B230" s="0" t="s">
        <v>96</v>
      </c>
      <c r="C230" s="9" t="n">
        <v>292</v>
      </c>
      <c r="D230" s="9" t="n">
        <v>292</v>
      </c>
      <c r="E230" s="9" t="n">
        <v>292</v>
      </c>
      <c r="F230" s="9" t="n">
        <v>292</v>
      </c>
      <c r="G230" s="9" t="n">
        <v>292</v>
      </c>
      <c r="H230" s="9" t="n">
        <v>292</v>
      </c>
      <c r="I230" s="9" t="n">
        <v>292</v>
      </c>
      <c r="J230" s="9" t="n">
        <v>292</v>
      </c>
      <c r="K230" s="9" t="n">
        <v>292</v>
      </c>
      <c r="L230" s="9" t="n">
        <v>292</v>
      </c>
      <c r="M230" s="9" t="n">
        <v>292</v>
      </c>
      <c r="N230" s="9" t="n">
        <v>292</v>
      </c>
      <c r="O230" s="9" t="n">
        <v>292</v>
      </c>
      <c r="P230" s="9" t="n">
        <v>292</v>
      </c>
      <c r="Q230" s="9" t="n">
        <v>292</v>
      </c>
      <c r="R230" s="9" t="n">
        <v>292</v>
      </c>
      <c r="S230" s="9" t="n">
        <v>292</v>
      </c>
      <c r="T230" s="9" t="n">
        <v>292</v>
      </c>
      <c r="U230" s="9" t="n">
        <v>292</v>
      </c>
      <c r="V230" s="9" t="n">
        <v>292</v>
      </c>
    </row>
    <row r="231" customFormat="false" ht="12.75" hidden="false" customHeight="false" outlineLevel="0" collapsed="false">
      <c r="A231" s="0" t="n">
        <f aca="false">Summary!A44</f>
        <v>28</v>
      </c>
      <c r="B231" s="0" t="s">
        <v>97</v>
      </c>
      <c r="C231" s="9" t="n">
        <v>292</v>
      </c>
      <c r="D231" s="9" t="n">
        <v>292</v>
      </c>
      <c r="E231" s="9" t="n">
        <v>292</v>
      </c>
      <c r="F231" s="9" t="n">
        <v>292</v>
      </c>
      <c r="G231" s="9" t="n">
        <v>292</v>
      </c>
      <c r="H231" s="9" t="n">
        <v>292</v>
      </c>
      <c r="I231" s="9" t="n">
        <v>292</v>
      </c>
      <c r="J231" s="9" t="n">
        <v>292</v>
      </c>
      <c r="K231" s="9" t="n">
        <v>292</v>
      </c>
      <c r="L231" s="9" t="n">
        <v>292</v>
      </c>
      <c r="M231" s="9" t="n">
        <v>292</v>
      </c>
      <c r="N231" s="9" t="n">
        <v>292</v>
      </c>
      <c r="O231" s="9" t="n">
        <v>292</v>
      </c>
      <c r="P231" s="9" t="n">
        <v>292</v>
      </c>
      <c r="Q231" s="9" t="n">
        <v>292</v>
      </c>
      <c r="R231" s="9" t="n">
        <v>292</v>
      </c>
      <c r="S231" s="9" t="n">
        <v>292</v>
      </c>
      <c r="T231" s="9" t="n">
        <v>292</v>
      </c>
      <c r="U231" s="9" t="n">
        <v>292</v>
      </c>
      <c r="V231" s="9" t="n">
        <v>292</v>
      </c>
    </row>
    <row r="232" customFormat="false" ht="12.75" hidden="false" customHeight="false" outlineLevel="0" collapsed="false">
      <c r="A232" s="0" t="n">
        <f aca="false">Summary!A45</f>
        <v>29</v>
      </c>
      <c r="B232" s="0" t="s">
        <v>98</v>
      </c>
      <c r="C232" s="9" t="n">
        <v>292</v>
      </c>
      <c r="D232" s="9" t="n">
        <v>292</v>
      </c>
      <c r="E232" s="9" t="n">
        <v>292</v>
      </c>
      <c r="F232" s="9" t="n">
        <v>292</v>
      </c>
      <c r="G232" s="9" t="n">
        <v>292</v>
      </c>
      <c r="H232" s="9" t="n">
        <v>292</v>
      </c>
      <c r="I232" s="9" t="n">
        <v>292</v>
      </c>
      <c r="J232" s="9" t="n">
        <v>292</v>
      </c>
      <c r="K232" s="9" t="n">
        <v>292</v>
      </c>
      <c r="L232" s="9" t="n">
        <v>292</v>
      </c>
      <c r="M232" s="9" t="n">
        <v>292</v>
      </c>
      <c r="N232" s="9" t="n">
        <v>292</v>
      </c>
      <c r="O232" s="9" t="n">
        <v>292</v>
      </c>
      <c r="P232" s="9" t="n">
        <v>292</v>
      </c>
      <c r="Q232" s="9" t="n">
        <v>292</v>
      </c>
      <c r="R232" s="9" t="n">
        <v>292</v>
      </c>
      <c r="S232" s="9" t="n">
        <v>292</v>
      </c>
      <c r="T232" s="9" t="n">
        <v>292</v>
      </c>
      <c r="U232" s="9" t="n">
        <v>292</v>
      </c>
      <c r="V232" s="9" t="n">
        <v>292</v>
      </c>
    </row>
    <row r="233" customFormat="false" ht="12.75" hidden="false" customHeight="false" outlineLevel="0" collapsed="false">
      <c r="A233" s="0" t="n">
        <f aca="false">Summary!A46</f>
        <v>30</v>
      </c>
      <c r="B233" s="0" t="s">
        <v>99</v>
      </c>
      <c r="C233" s="9" t="n">
        <v>292</v>
      </c>
      <c r="D233" s="9" t="n">
        <v>292</v>
      </c>
      <c r="E233" s="9" t="n">
        <v>292</v>
      </c>
      <c r="F233" s="9" t="n">
        <v>292</v>
      </c>
      <c r="G233" s="9" t="n">
        <v>292</v>
      </c>
      <c r="H233" s="9" t="n">
        <v>292</v>
      </c>
      <c r="I233" s="9" t="n">
        <v>292</v>
      </c>
      <c r="J233" s="9" t="n">
        <v>292</v>
      </c>
      <c r="K233" s="9" t="n">
        <v>292</v>
      </c>
      <c r="L233" s="9" t="n">
        <v>292</v>
      </c>
      <c r="M233" s="9" t="n">
        <v>292</v>
      </c>
      <c r="N233" s="9" t="n">
        <v>292</v>
      </c>
      <c r="O233" s="9" t="n">
        <v>292</v>
      </c>
      <c r="P233" s="9" t="n">
        <v>292</v>
      </c>
      <c r="Q233" s="9" t="n">
        <v>292</v>
      </c>
      <c r="R233" s="9" t="n">
        <v>292</v>
      </c>
      <c r="S233" s="9" t="n">
        <v>292</v>
      </c>
      <c r="T233" s="9" t="n">
        <v>292</v>
      </c>
      <c r="U233" s="9" t="n">
        <v>292</v>
      </c>
      <c r="V233" s="9" t="n">
        <v>292</v>
      </c>
    </row>
    <row r="234" customFormat="false" ht="12.75" hidden="false" customHeight="false" outlineLevel="0" collapsed="false">
      <c r="A234" s="0" t="n">
        <f aca="false">Summary!A47</f>
        <v>31</v>
      </c>
      <c r="B234" s="0" t="s">
        <v>100</v>
      </c>
      <c r="C234" s="9" t="n">
        <v>292</v>
      </c>
      <c r="D234" s="9" t="n">
        <v>292</v>
      </c>
      <c r="E234" s="9" t="n">
        <v>292</v>
      </c>
      <c r="F234" s="9" t="n">
        <v>292</v>
      </c>
      <c r="G234" s="9" t="n">
        <v>292</v>
      </c>
      <c r="H234" s="9" t="n">
        <v>292</v>
      </c>
      <c r="I234" s="9" t="n">
        <v>292</v>
      </c>
      <c r="J234" s="9" t="n">
        <v>292</v>
      </c>
      <c r="K234" s="9" t="n">
        <v>292</v>
      </c>
      <c r="L234" s="9" t="n">
        <v>292</v>
      </c>
      <c r="M234" s="9" t="n">
        <v>292</v>
      </c>
      <c r="N234" s="9" t="n">
        <v>292</v>
      </c>
      <c r="O234" s="9" t="n">
        <v>292</v>
      </c>
      <c r="P234" s="9" t="n">
        <v>292</v>
      </c>
      <c r="Q234" s="9" t="n">
        <v>292</v>
      </c>
      <c r="R234" s="9" t="n">
        <v>292</v>
      </c>
      <c r="S234" s="9" t="n">
        <v>292</v>
      </c>
      <c r="T234" s="9" t="n">
        <v>292</v>
      </c>
      <c r="U234" s="9" t="n">
        <v>292</v>
      </c>
      <c r="V234" s="9" t="n">
        <v>292</v>
      </c>
    </row>
    <row r="235" customFormat="false" ht="12.75" hidden="false" customHeight="false" outlineLevel="0" collapsed="false">
      <c r="A235" s="0" t="n">
        <f aca="false">Summary!A48</f>
        <v>32</v>
      </c>
      <c r="B235" s="0" t="s">
        <v>101</v>
      </c>
      <c r="C235" s="9" t="n">
        <v>292</v>
      </c>
      <c r="D235" s="9" t="n">
        <v>292</v>
      </c>
      <c r="E235" s="9" t="n">
        <v>292</v>
      </c>
      <c r="F235" s="9" t="n">
        <v>292</v>
      </c>
      <c r="G235" s="9" t="n">
        <v>292</v>
      </c>
      <c r="H235" s="9" t="n">
        <v>292</v>
      </c>
      <c r="I235" s="9" t="n">
        <v>292</v>
      </c>
      <c r="J235" s="9" t="n">
        <v>292</v>
      </c>
      <c r="K235" s="9" t="n">
        <v>292</v>
      </c>
      <c r="L235" s="9" t="n">
        <v>292</v>
      </c>
      <c r="M235" s="9" t="n">
        <v>292</v>
      </c>
      <c r="N235" s="9" t="n">
        <v>292</v>
      </c>
      <c r="O235" s="9" t="n">
        <v>292</v>
      </c>
      <c r="P235" s="9" t="n">
        <v>292</v>
      </c>
      <c r="Q235" s="9" t="n">
        <v>292</v>
      </c>
      <c r="R235" s="9" t="n">
        <v>292</v>
      </c>
      <c r="S235" s="9" t="n">
        <v>292</v>
      </c>
      <c r="T235" s="9" t="n">
        <v>292</v>
      </c>
      <c r="U235" s="9" t="n">
        <v>292</v>
      </c>
      <c r="V235" s="9" t="n">
        <v>292</v>
      </c>
    </row>
    <row r="236" customFormat="false" ht="12.75" hidden="false" customHeight="false" outlineLevel="0" collapsed="false">
      <c r="A236" s="0" t="n">
        <f aca="false">Summary!A49</f>
        <v>33</v>
      </c>
      <c r="B236" s="0" t="s">
        <v>14</v>
      </c>
      <c r="C236" s="9" t="n">
        <v>0</v>
      </c>
      <c r="D236" s="9" t="n">
        <v>0</v>
      </c>
      <c r="E236" s="9" t="n">
        <v>0</v>
      </c>
      <c r="F236" s="9" t="n">
        <v>0</v>
      </c>
      <c r="G236" s="9" t="n">
        <v>0</v>
      </c>
      <c r="H236" s="9" t="n">
        <v>0</v>
      </c>
      <c r="I236" s="9" t="n">
        <v>0</v>
      </c>
      <c r="J236" s="9" t="n">
        <v>0</v>
      </c>
      <c r="K236" s="9" t="n">
        <v>0</v>
      </c>
      <c r="L236" s="9" t="n">
        <v>0</v>
      </c>
      <c r="M236" s="9" t="n">
        <v>0</v>
      </c>
      <c r="N236" s="9" t="n">
        <v>0</v>
      </c>
      <c r="O236" s="9" t="n">
        <v>0</v>
      </c>
      <c r="P236" s="9" t="n">
        <v>0</v>
      </c>
      <c r="Q236" s="9" t="n">
        <v>0</v>
      </c>
      <c r="R236" s="9" t="n">
        <v>0</v>
      </c>
      <c r="S236" s="9" t="n">
        <v>0</v>
      </c>
      <c r="T236" s="9" t="n">
        <v>0</v>
      </c>
      <c r="U236" s="9" t="n">
        <v>0</v>
      </c>
      <c r="V236" s="9" t="n">
        <v>0</v>
      </c>
    </row>
    <row r="238" customFormat="false" ht="12.75" hidden="false" customHeight="false" outlineLevel="0" collapsed="false">
      <c r="C238" s="9" t="n">
        <f aca="false">SUM(C204:C236)</f>
        <v>110626</v>
      </c>
      <c r="D238" s="9" t="n">
        <f aca="false">SUM(D204:D236)</f>
        <v>110626</v>
      </c>
      <c r="E238" s="9" t="n">
        <f aca="false">SUM(E204:E236)</f>
        <v>110626</v>
      </c>
      <c r="F238" s="9" t="n">
        <f aca="false">SUM(F204:F236)</f>
        <v>110626</v>
      </c>
      <c r="G238" s="9" t="n">
        <f aca="false">SUM(G204:G236)</f>
        <v>110626</v>
      </c>
      <c r="H238" s="9" t="n">
        <f aca="false">SUM(H204:H236)</f>
        <v>110626</v>
      </c>
      <c r="I238" s="9" t="n">
        <f aca="false">SUM(I204:I236)</f>
        <v>110626</v>
      </c>
      <c r="J238" s="9" t="n">
        <f aca="false">SUM(J204:J236)</f>
        <v>110626</v>
      </c>
      <c r="K238" s="9" t="n">
        <f aca="false">SUM(K204:K236)</f>
        <v>110626</v>
      </c>
      <c r="L238" s="9" t="n">
        <f aca="false">SUM(L204:L236)</f>
        <v>110626</v>
      </c>
      <c r="M238" s="9" t="n">
        <f aca="false">SUM(M204:M236)</f>
        <v>110626</v>
      </c>
      <c r="N238" s="9" t="n">
        <f aca="false">SUM(N204:N236)</f>
        <v>110626</v>
      </c>
      <c r="O238" s="9" t="n">
        <f aca="false">SUM(O204:O236)</f>
        <v>110626</v>
      </c>
      <c r="P238" s="9" t="n">
        <f aca="false">SUM(P204:P236)</f>
        <v>110626</v>
      </c>
      <c r="Q238" s="9" t="n">
        <f aca="false">SUM(Q204:Q236)</f>
        <v>110626</v>
      </c>
      <c r="R238" s="9" t="n">
        <f aca="false">SUM(R204:R236)</f>
        <v>110626</v>
      </c>
      <c r="S238" s="9" t="n">
        <f aca="false">SUM(S204:S236)</f>
        <v>110626</v>
      </c>
      <c r="T238" s="9" t="n">
        <f aca="false">SUM(T204:T236)</f>
        <v>110626</v>
      </c>
      <c r="U238" s="9" t="n">
        <f aca="false">SUM(U204:U236)</f>
        <v>110626</v>
      </c>
      <c r="V238" s="9" t="n">
        <f aca="false">SUM(V204:V236)</f>
        <v>110626</v>
      </c>
    </row>
    <row r="241" customFormat="false" ht="12.75" hidden="false" customHeight="false" outlineLevel="0" collapsed="false">
      <c r="A241" s="51" t="s">
        <v>264</v>
      </c>
    </row>
    <row r="242" customFormat="false" ht="12.75" hidden="false" customHeight="false" outlineLevel="0" collapsed="false">
      <c r="C242" s="235" t="n">
        <v>2000</v>
      </c>
      <c r="D242" s="235" t="n">
        <v>2001</v>
      </c>
      <c r="E242" s="235" t="n">
        <v>2002</v>
      </c>
      <c r="F242" s="235" t="n">
        <v>2003</v>
      </c>
      <c r="G242" s="235" t="n">
        <v>2004</v>
      </c>
      <c r="H242" s="235" t="n">
        <v>2005</v>
      </c>
      <c r="I242" s="235" t="n">
        <v>2006</v>
      </c>
      <c r="J242" s="235" t="n">
        <v>2007</v>
      </c>
      <c r="K242" s="235" t="n">
        <v>2008</v>
      </c>
      <c r="L242" s="235" t="n">
        <v>2009</v>
      </c>
      <c r="M242" s="235" t="n">
        <v>2010</v>
      </c>
      <c r="N242" s="235" t="n">
        <v>2011</v>
      </c>
      <c r="O242" s="235" t="n">
        <v>2012</v>
      </c>
      <c r="P242" s="235" t="n">
        <v>2013</v>
      </c>
      <c r="Q242" s="235" t="n">
        <v>2014</v>
      </c>
      <c r="R242" s="235" t="n">
        <v>2015</v>
      </c>
      <c r="S242" s="235" t="n">
        <v>2016</v>
      </c>
      <c r="T242" s="235" t="n">
        <v>2017</v>
      </c>
      <c r="U242" s="235" t="n">
        <v>2018</v>
      </c>
      <c r="V242" s="235" t="n">
        <v>2019</v>
      </c>
      <c r="W242" s="235" t="s">
        <v>41</v>
      </c>
    </row>
    <row r="243" customFormat="false" ht="12.75" hidden="false" customHeight="false" outlineLevel="0" collapsed="false">
      <c r="A243" s="389" t="n">
        <v>2</v>
      </c>
      <c r="C243" s="390" t="n">
        <f aca="false">Assumptions!B12</f>
        <v>181.155995101763</v>
      </c>
      <c r="D243" s="390" t="n">
        <f aca="false">Assumptions!B13</f>
        <v>198.925208663874</v>
      </c>
      <c r="E243" s="390" t="n">
        <f aca="false">Assumptions!B14</f>
        <v>218.802581025907</v>
      </c>
      <c r="F243" s="390" t="n">
        <f aca="false">Assumptions!B15</f>
        <v>240.408053917863</v>
      </c>
      <c r="G243" s="390" t="n">
        <f aca="false">Assumptions!B16</f>
        <v>264.146595696653</v>
      </c>
      <c r="H243" s="390" t="n">
        <f aca="false">Assumptions!B17</f>
        <v>290.220969288313</v>
      </c>
      <c r="I243" s="390" t="n">
        <f aca="false">Assumptions!B18</f>
        <v>319.924737421536</v>
      </c>
      <c r="J243" s="390" t="n">
        <f aca="false">Assumptions!B19</f>
        <v>354.611014578236</v>
      </c>
      <c r="K243" s="390" t="n">
        <f aca="false">Assumptions!B20</f>
        <v>391.298518710194</v>
      </c>
      <c r="L243" s="390" t="n">
        <f aca="false">Assumptions!B21</f>
        <v>429.779581218291</v>
      </c>
      <c r="M243" s="390" t="n">
        <f aca="false">Assumptions!B22</f>
        <v>477.980973134443</v>
      </c>
      <c r="N243" s="390" t="n">
        <f aca="false">Assumptions!B23</f>
        <v>526.532188626439</v>
      </c>
      <c r="O243" s="390" t="n">
        <f aca="false">Assumptions!B24</f>
        <v>583.381879085728</v>
      </c>
      <c r="P243" s="390" t="n">
        <f aca="false">Assumptions!B25</f>
        <v>654.124550733522</v>
      </c>
      <c r="Q243" s="390" t="n">
        <f aca="false">Assumptions!B26</f>
        <v>728.142699152122</v>
      </c>
      <c r="R243" s="390" t="n">
        <f aca="false">Assumptions!B27</f>
        <v>806.55967593313</v>
      </c>
      <c r="S243" s="390" t="n">
        <f aca="false">Assumptions!B28</f>
        <v>885.601532299286</v>
      </c>
      <c r="T243" s="390" t="n">
        <f aca="false">Assumptions!B29</f>
        <v>870.060330328103</v>
      </c>
      <c r="U243" s="390" t="n">
        <f aca="false">Assumptions!B30</f>
        <v>744.383671998014</v>
      </c>
      <c r="V243" s="390" t="n">
        <f aca="false">Assumptions!B31</f>
        <v>771.788531652048</v>
      </c>
    </row>
    <row r="245" customFormat="false" ht="12.75" hidden="false" customHeight="false" outlineLevel="0" collapsed="false">
      <c r="A245" s="0" t="n">
        <f aca="false">Summary!A17</f>
        <v>1</v>
      </c>
      <c r="B245" s="0" t="s">
        <v>69</v>
      </c>
      <c r="C245" s="9" t="n">
        <f aca="false">C204*C$243</f>
        <v>1508304.81521728</v>
      </c>
      <c r="D245" s="9" t="n">
        <f aca="false">D204*D$243</f>
        <v>1656251.28733542</v>
      </c>
      <c r="E245" s="9" t="n">
        <f aca="false">E204*E$243</f>
        <v>1821750.2896217</v>
      </c>
      <c r="F245" s="9" t="n">
        <f aca="false">F204*F$243</f>
        <v>2001637.45692012</v>
      </c>
      <c r="G245" s="9" t="n">
        <f aca="false">G204*G$243</f>
        <v>2199284.55577034</v>
      </c>
      <c r="H245" s="9" t="n">
        <f aca="false">H204*H$243</f>
        <v>2416379.79029449</v>
      </c>
      <c r="I245" s="9" t="n">
        <f aca="false">I204*I$243</f>
        <v>2663693.36377171</v>
      </c>
      <c r="J245" s="9" t="n">
        <f aca="false">J204*J$243</f>
        <v>2952491.3073784</v>
      </c>
      <c r="K245" s="9" t="n">
        <f aca="false">K204*K$243</f>
        <v>3257951.46678107</v>
      </c>
      <c r="L245" s="9" t="n">
        <f aca="false">L204*L$243</f>
        <v>3578344.79322349</v>
      </c>
      <c r="M245" s="9" t="n">
        <f aca="false">M204*M$243</f>
        <v>3979669.58231737</v>
      </c>
      <c r="N245" s="9" t="n">
        <f aca="false">N204*N$243</f>
        <v>4383907.00250373</v>
      </c>
      <c r="O245" s="9" t="n">
        <f aca="false">O204*O$243</f>
        <v>4857237.52526777</v>
      </c>
      <c r="P245" s="9" t="n">
        <f aca="false">P204*P$243</f>
        <v>5446241.0094073</v>
      </c>
      <c r="Q245" s="9" t="n">
        <f aca="false">Q204*Q$243</f>
        <v>6062516.11314057</v>
      </c>
      <c r="R245" s="9" t="n">
        <f aca="false">R204*R$243</f>
        <v>6715415.86181924</v>
      </c>
      <c r="S245" s="9" t="n">
        <f aca="false">S204*S$243</f>
        <v>7373518.35792386</v>
      </c>
      <c r="T245" s="9" t="n">
        <f aca="false">T204*T$243</f>
        <v>7244122.31031179</v>
      </c>
      <c r="U245" s="9" t="n">
        <f aca="false">U204*U$243</f>
        <v>6197738.45305547</v>
      </c>
      <c r="V245" s="9" t="n">
        <f aca="false">V204*V$243</f>
        <v>6425911.31453495</v>
      </c>
      <c r="W245" s="9" t="n">
        <f aca="false">NPV(Assumptions!$L$16,C245:V245)</f>
        <v>26986860.5624778</v>
      </c>
    </row>
    <row r="246" customFormat="false" ht="12.75" hidden="false" customHeight="false" outlineLevel="0" collapsed="false">
      <c r="A246" s="0" t="n">
        <f aca="false">Summary!A18</f>
        <v>2</v>
      </c>
      <c r="B246" s="0" t="s">
        <v>71</v>
      </c>
      <c r="C246" s="9" t="n">
        <f aca="false">C205*C$243</f>
        <v>2315717.08538584</v>
      </c>
      <c r="D246" s="9" t="n">
        <f aca="false">D205*D$243</f>
        <v>2542860.9423503</v>
      </c>
      <c r="E246" s="9" t="n">
        <f aca="false">E205*E$243</f>
        <v>2796953.39325417</v>
      </c>
      <c r="F246" s="9" t="n">
        <f aca="false">F205*F$243</f>
        <v>3073136.15323204</v>
      </c>
      <c r="G246" s="9" t="n">
        <f aca="false">G205*G$243</f>
        <v>3376585.93279032</v>
      </c>
      <c r="H246" s="9" t="n">
        <f aca="false">H205*H$243</f>
        <v>3709894.6504125</v>
      </c>
      <c r="I246" s="9" t="n">
        <f aca="false">I205*I$243</f>
        <v>4089597.91845949</v>
      </c>
      <c r="J246" s="9" t="n">
        <f aca="false">J205*J$243</f>
        <v>4532992.5993536</v>
      </c>
      <c r="K246" s="9" t="n">
        <f aca="false">K205*K$243</f>
        <v>5001968.96467241</v>
      </c>
      <c r="L246" s="9" t="n">
        <f aca="false">L205*L$243</f>
        <v>5493872.38671341</v>
      </c>
      <c r="M246" s="9" t="n">
        <f aca="false">M205*M$243</f>
        <v>6110030.77957758</v>
      </c>
      <c r="N246" s="9" t="n">
        <f aca="false">N205*N$243</f>
        <v>6730660.96721177</v>
      </c>
      <c r="O246" s="9" t="n">
        <f aca="false">O205*O$243</f>
        <v>7457370.56035286</v>
      </c>
      <c r="P246" s="9" t="n">
        <f aca="false">P205*P$243</f>
        <v>8361674.1320266</v>
      </c>
      <c r="Q246" s="9" t="n">
        <f aca="false">Q205*Q$243</f>
        <v>9307848.12326157</v>
      </c>
      <c r="R246" s="9" t="n">
        <f aca="false">R205*R$243</f>
        <v>10310252.3374532</v>
      </c>
      <c r="S246" s="9" t="n">
        <f aca="false">S205*S$243</f>
        <v>11320644.3873818</v>
      </c>
      <c r="T246" s="9" t="n">
        <f aca="false">T205*T$243</f>
        <v>11121981.2025841</v>
      </c>
      <c r="U246" s="9" t="n">
        <f aca="false">U205*U$243</f>
        <v>9515456.47915062</v>
      </c>
      <c r="V246" s="9" t="n">
        <f aca="false">V205*V$243</f>
        <v>9865772.80010813</v>
      </c>
      <c r="W246" s="9" t="n">
        <f aca="false">NPV(Assumptions!$L$16,C246:V246)</f>
        <v>41433225.8671816</v>
      </c>
    </row>
    <row r="247" customFormat="false" ht="12.75" hidden="false" customHeight="false" outlineLevel="0" collapsed="false">
      <c r="A247" s="0" t="n">
        <f aca="false">Summary!A19</f>
        <v>3</v>
      </c>
      <c r="B247" s="2" t="s">
        <v>72</v>
      </c>
      <c r="C247" s="9" t="n">
        <f aca="false">C206*C$243</f>
        <v>1410299.42186723</v>
      </c>
      <c r="D247" s="9" t="n">
        <f aca="false">D206*D$243</f>
        <v>1548632.74944826</v>
      </c>
      <c r="E247" s="9" t="n">
        <f aca="false">E206*E$243</f>
        <v>1703378.09328669</v>
      </c>
      <c r="F247" s="9" t="n">
        <f aca="false">F206*F$243</f>
        <v>1871576.69975056</v>
      </c>
      <c r="G247" s="9" t="n">
        <f aca="false">G206*G$243</f>
        <v>2056381.24749845</v>
      </c>
      <c r="H247" s="9" t="n">
        <f aca="false">H206*H$243</f>
        <v>2259370.24590952</v>
      </c>
      <c r="I247" s="9" t="n">
        <f aca="false">I206*I$243</f>
        <v>2490614.08082665</v>
      </c>
      <c r="J247" s="9" t="n">
        <f aca="false">J206*J$243</f>
        <v>2760646.74849157</v>
      </c>
      <c r="K247" s="9" t="n">
        <f aca="false">K206*K$243</f>
        <v>3046258.96815886</v>
      </c>
      <c r="L247" s="9" t="n">
        <f aca="false">L206*L$243</f>
        <v>3345834.0397844</v>
      </c>
      <c r="M247" s="9" t="n">
        <f aca="false">M206*M$243</f>
        <v>3721081.87585164</v>
      </c>
      <c r="N247" s="9" t="n">
        <f aca="false">N206*N$243</f>
        <v>4099053.08845683</v>
      </c>
      <c r="O247" s="9" t="n">
        <f aca="false">O206*O$243</f>
        <v>4541627.92868239</v>
      </c>
      <c r="P247" s="9" t="n">
        <f aca="false">P206*P$243</f>
        <v>5092359.62746047</v>
      </c>
      <c r="Q247" s="9" t="n">
        <f aca="false">Q206*Q$243</f>
        <v>5668590.91289927</v>
      </c>
      <c r="R247" s="9" t="n">
        <f aca="false">R206*R$243</f>
        <v>6279067.07713942</v>
      </c>
      <c r="S247" s="9" t="n">
        <f aca="false">S206*S$243</f>
        <v>6894407.92894994</v>
      </c>
      <c r="T247" s="9" t="n">
        <f aca="false">T206*T$243</f>
        <v>6773419.67160428</v>
      </c>
      <c r="U247" s="9" t="n">
        <f aca="false">U206*U$243</f>
        <v>5795026.88650454</v>
      </c>
      <c r="V247" s="9" t="n">
        <f aca="false">V206*V$243</f>
        <v>6008373.7189112</v>
      </c>
      <c r="W247" s="9" t="n">
        <f aca="false">NPV(Assumptions!$L$16,C247:V247)</f>
        <v>25233330.4682789</v>
      </c>
    </row>
    <row r="248" customFormat="false" ht="12.75" hidden="false" customHeight="false" outlineLevel="0" collapsed="false">
      <c r="A248" s="0" t="n">
        <f aca="false">Summary!A20</f>
        <v>4</v>
      </c>
      <c r="B248" s="2" t="s">
        <v>73</v>
      </c>
      <c r="C248" s="9" t="n">
        <f aca="false">C207*C$243</f>
        <v>1337655.86783142</v>
      </c>
      <c r="D248" s="9" t="n">
        <f aca="false">D207*D$243</f>
        <v>1468863.74077405</v>
      </c>
      <c r="E248" s="9" t="n">
        <f aca="false">E207*E$243</f>
        <v>1615638.2582953</v>
      </c>
      <c r="F248" s="9" t="n">
        <f aca="false">F207*F$243</f>
        <v>1775173.0701295</v>
      </c>
      <c r="G248" s="9" t="n">
        <f aca="false">G207*G$243</f>
        <v>1950458.46262409</v>
      </c>
      <c r="H248" s="9" t="n">
        <f aca="false">H207*H$243</f>
        <v>2142991.6372249</v>
      </c>
      <c r="I248" s="9" t="n">
        <f aca="false">I207*I$243</f>
        <v>2362324.26112062</v>
      </c>
      <c r="J248" s="9" t="n">
        <f aca="false">J207*J$243</f>
        <v>2618447.7316457</v>
      </c>
      <c r="K248" s="9" t="n">
        <f aca="false">K207*K$243</f>
        <v>2889348.26215607</v>
      </c>
      <c r="L248" s="9" t="n">
        <f aca="false">L207*L$243</f>
        <v>3173492.42771586</v>
      </c>
      <c r="M248" s="9" t="n">
        <f aca="false">M207*M$243</f>
        <v>3529411.50562472</v>
      </c>
      <c r="N248" s="9" t="n">
        <f aca="false">N207*N$243</f>
        <v>3887913.68081763</v>
      </c>
      <c r="O248" s="9" t="n">
        <f aca="false">O207*O$243</f>
        <v>4307691.79516901</v>
      </c>
      <c r="P248" s="9" t="n">
        <f aca="false">P207*P$243</f>
        <v>4830055.68261632</v>
      </c>
      <c r="Q248" s="9" t="n">
        <f aca="false">Q207*Q$243</f>
        <v>5376605.69053927</v>
      </c>
      <c r="R248" s="9" t="n">
        <f aca="false">R207*R$243</f>
        <v>5955636.64709023</v>
      </c>
      <c r="S248" s="9" t="n">
        <f aca="false">S207*S$243</f>
        <v>6539281.71449793</v>
      </c>
      <c r="T248" s="9" t="n">
        <f aca="false">T207*T$243</f>
        <v>6424525.47914272</v>
      </c>
      <c r="U248" s="9" t="n">
        <f aca="false">U207*U$243</f>
        <v>5496529.03403334</v>
      </c>
      <c r="V248" s="9" t="n">
        <f aca="false">V207*V$243</f>
        <v>5698886.51771872</v>
      </c>
      <c r="W248" s="9" t="n">
        <f aca="false">NPV(Assumptions!$L$16,C248:V248)</f>
        <v>23933578.9566822</v>
      </c>
    </row>
    <row r="249" customFormat="false" ht="12.75" hidden="false" customHeight="false" outlineLevel="0" collapsed="false">
      <c r="A249" s="0" t="n">
        <f aca="false">Summary!A21</f>
        <v>5</v>
      </c>
      <c r="B249" s="2" t="s">
        <v>74</v>
      </c>
      <c r="C249" s="9" t="n">
        <f aca="false">C208*C$243</f>
        <v>1303236.22876209</v>
      </c>
      <c r="D249" s="9" t="n">
        <f aca="false">D208*D$243</f>
        <v>1431067.95112791</v>
      </c>
      <c r="E249" s="9" t="n">
        <f aca="false">E208*E$243</f>
        <v>1574065.76790038</v>
      </c>
      <c r="F249" s="9" t="n">
        <f aca="false">F208*F$243</f>
        <v>1729495.5398851</v>
      </c>
      <c r="G249" s="9" t="n">
        <f aca="false">G208*G$243</f>
        <v>1900270.60944172</v>
      </c>
      <c r="H249" s="9" t="n">
        <f aca="false">H208*H$243</f>
        <v>2087849.65306012</v>
      </c>
      <c r="I249" s="9" t="n">
        <f aca="false">I208*I$243</f>
        <v>2301538.56101053</v>
      </c>
      <c r="J249" s="9" t="n">
        <f aca="false">J208*J$243</f>
        <v>2551071.63887583</v>
      </c>
      <c r="K249" s="9" t="n">
        <f aca="false">K208*K$243</f>
        <v>2815001.54360113</v>
      </c>
      <c r="L249" s="9" t="n">
        <f aca="false">L208*L$243</f>
        <v>3091834.30728439</v>
      </c>
      <c r="M249" s="9" t="n">
        <f aca="false">M208*M$243</f>
        <v>3438595.12072918</v>
      </c>
      <c r="N249" s="9" t="n">
        <f aca="false">N208*N$243</f>
        <v>3787872.5649786</v>
      </c>
      <c r="O249" s="9" t="n">
        <f aca="false">O208*O$243</f>
        <v>4196849.23814273</v>
      </c>
      <c r="P249" s="9" t="n">
        <f aca="false">P208*P$243</f>
        <v>4705772.01797695</v>
      </c>
      <c r="Q249" s="9" t="n">
        <f aca="false">Q208*Q$243</f>
        <v>5238258.57770036</v>
      </c>
      <c r="R249" s="9" t="n">
        <f aca="false">R208*R$243</f>
        <v>5802390.30866294</v>
      </c>
      <c r="S249" s="9" t="n">
        <f aca="false">S208*S$243</f>
        <v>6371017.42336106</v>
      </c>
      <c r="T249" s="9" t="n">
        <f aca="false">T208*T$243</f>
        <v>6259214.01638038</v>
      </c>
      <c r="U249" s="9" t="n">
        <f aca="false">U208*U$243</f>
        <v>5355096.13635372</v>
      </c>
      <c r="V249" s="9" t="n">
        <f aca="false">V208*V$243</f>
        <v>5552246.69670484</v>
      </c>
      <c r="W249" s="9" t="n">
        <f aca="false">NPV(Assumptions!$L$16,C249:V249)</f>
        <v>23317736.5945791</v>
      </c>
    </row>
    <row r="250" customFormat="false" ht="12.75" hidden="false" customHeight="false" outlineLevel="0" collapsed="false">
      <c r="A250" s="0" t="n">
        <f aca="false">Summary!A22</f>
        <v>6</v>
      </c>
      <c r="B250" s="2" t="s">
        <v>75</v>
      </c>
      <c r="C250" s="9" t="n">
        <f aca="false">C209*C$243</f>
        <v>1422618.02953415</v>
      </c>
      <c r="D250" s="9" t="n">
        <f aca="false">D209*D$243</f>
        <v>1562159.6636374</v>
      </c>
      <c r="E250" s="9" t="n">
        <f aca="false">E209*E$243</f>
        <v>1718256.66879645</v>
      </c>
      <c r="F250" s="9" t="n">
        <f aca="false">F209*F$243</f>
        <v>1887924.44741698</v>
      </c>
      <c r="G250" s="9" t="n">
        <f aca="false">G209*G$243</f>
        <v>2074343.21600582</v>
      </c>
      <c r="H250" s="9" t="n">
        <f aca="false">H209*H$243</f>
        <v>2279105.27182112</v>
      </c>
      <c r="I250" s="9" t="n">
        <f aca="false">I209*I$243</f>
        <v>2512368.96297132</v>
      </c>
      <c r="J250" s="9" t="n">
        <f aca="false">J209*J$243</f>
        <v>2784760.29748289</v>
      </c>
      <c r="K250" s="9" t="n">
        <f aca="false">K209*K$243</f>
        <v>3072867.26743115</v>
      </c>
      <c r="L250" s="9" t="n">
        <f aca="false">L209*L$243</f>
        <v>3375059.05130724</v>
      </c>
      <c r="M250" s="9" t="n">
        <f aca="false">M209*M$243</f>
        <v>3753584.58202478</v>
      </c>
      <c r="N250" s="9" t="n">
        <f aca="false">N209*N$243</f>
        <v>4134857.27728343</v>
      </c>
      <c r="O250" s="9" t="n">
        <f aca="false">O209*O$243</f>
        <v>4581297.89646022</v>
      </c>
      <c r="P250" s="9" t="n">
        <f aca="false">P209*P$243</f>
        <v>5136840.09691034</v>
      </c>
      <c r="Q250" s="9" t="n">
        <f aca="false">Q209*Q$243</f>
        <v>5718104.61644161</v>
      </c>
      <c r="R250" s="9" t="n">
        <f aca="false">R209*R$243</f>
        <v>6333913.13510287</v>
      </c>
      <c r="S250" s="9" t="n">
        <f aca="false">S209*S$243</f>
        <v>6954628.83314629</v>
      </c>
      <c r="T250" s="9" t="n">
        <f aca="false">T209*T$243</f>
        <v>6832583.7740666</v>
      </c>
      <c r="U250" s="9" t="n">
        <f aca="false">U209*U$243</f>
        <v>5845644.97620041</v>
      </c>
      <c r="V250" s="9" t="n">
        <f aca="false">V209*V$243</f>
        <v>6060855.33906353</v>
      </c>
      <c r="W250" s="9" t="n">
        <f aca="false">NPV(Assumptions!$L$16,C250:V250)</f>
        <v>25453737.2084</v>
      </c>
    </row>
    <row r="251" customFormat="false" ht="12.75" hidden="false" customHeight="false" outlineLevel="0" collapsed="false">
      <c r="A251" s="0" t="n">
        <f aca="false">Summary!A23</f>
        <v>7</v>
      </c>
      <c r="B251" s="0" t="s">
        <v>76</v>
      </c>
      <c r="C251" s="9" t="n">
        <f aca="false">C210*C$243</f>
        <v>861759.068699089</v>
      </c>
      <c r="D251" s="9" t="n">
        <f aca="false">D210*D$243</f>
        <v>946287.21761405</v>
      </c>
      <c r="E251" s="9" t="n">
        <f aca="false">E210*E$243</f>
        <v>1040843.87794024</v>
      </c>
      <c r="F251" s="9" t="n">
        <f aca="false">F210*F$243</f>
        <v>1143621.11248727</v>
      </c>
      <c r="G251" s="9" t="n">
        <f aca="false">G210*G$243</f>
        <v>1256545.35572898</v>
      </c>
      <c r="H251" s="9" t="n">
        <f aca="false">H210*H$243</f>
        <v>1380581.1509045</v>
      </c>
      <c r="I251" s="9" t="n">
        <f aca="false">I210*I$243</f>
        <v>1521881.97591424</v>
      </c>
      <c r="J251" s="9" t="n">
        <f aca="false">J210*J$243</f>
        <v>1686884.59634867</v>
      </c>
      <c r="K251" s="9" t="n">
        <f aca="false">K210*K$243</f>
        <v>1861407.05350439</v>
      </c>
      <c r="L251" s="9" t="n">
        <f aca="false">L210*L$243</f>
        <v>2044461.46785541</v>
      </c>
      <c r="M251" s="9" t="n">
        <f aca="false">M210*M$243</f>
        <v>2273755.48920054</v>
      </c>
      <c r="N251" s="9" t="n">
        <f aca="false">N210*N$243</f>
        <v>2504713.62129597</v>
      </c>
      <c r="O251" s="9" t="n">
        <f aca="false">O210*O$243</f>
        <v>2775147.59881081</v>
      </c>
      <c r="P251" s="9" t="n">
        <f aca="false">P210*P$243</f>
        <v>3111670.48783936</v>
      </c>
      <c r="Q251" s="9" t="n">
        <f aca="false">Q210*Q$243</f>
        <v>3463774.81986664</v>
      </c>
      <c r="R251" s="9" t="n">
        <f aca="false">R210*R$243</f>
        <v>3836804.3784139</v>
      </c>
      <c r="S251" s="9" t="n">
        <f aca="false">S210*S$243</f>
        <v>4212806.4891477</v>
      </c>
      <c r="T251" s="9" t="n">
        <f aca="false">T210*T$243</f>
        <v>4138876.99137079</v>
      </c>
      <c r="U251" s="9" t="n">
        <f aca="false">U210*U$243</f>
        <v>3541033.12769455</v>
      </c>
      <c r="V251" s="9" t="n">
        <f aca="false">V210*V$243</f>
        <v>3671398.04506879</v>
      </c>
      <c r="W251" s="9" t="n">
        <f aca="false">NPV(Assumptions!$L$16,C251:V251)</f>
        <v>15418747.9817087</v>
      </c>
    </row>
    <row r="252" customFormat="false" ht="12.75" hidden="false" customHeight="false" outlineLevel="0" collapsed="false">
      <c r="A252" s="0" t="n">
        <f aca="false">Summary!A24</f>
        <v>8</v>
      </c>
      <c r="B252" s="0" t="s">
        <v>77</v>
      </c>
      <c r="C252" s="9" t="n">
        <f aca="false">C211*C$243</f>
        <v>51448.3026089008</v>
      </c>
      <c r="D252" s="9" t="n">
        <f aca="false">D211*D$243</f>
        <v>56494.7592605403</v>
      </c>
      <c r="E252" s="9" t="n">
        <f aca="false">E211*E$243</f>
        <v>62139.9330113577</v>
      </c>
      <c r="F252" s="9" t="n">
        <f aca="false">F211*F$243</f>
        <v>68275.887312673</v>
      </c>
      <c r="G252" s="9" t="n">
        <f aca="false">G211*G$243</f>
        <v>75017.6331778496</v>
      </c>
      <c r="H252" s="9" t="n">
        <f aca="false">H211*H$243</f>
        <v>82422.7552778808</v>
      </c>
      <c r="I252" s="9" t="n">
        <f aca="false">I211*I$243</f>
        <v>90858.6254277161</v>
      </c>
      <c r="J252" s="9" t="n">
        <f aca="false">J211*J$243</f>
        <v>100709.528140219</v>
      </c>
      <c r="K252" s="9" t="n">
        <f aca="false">K211*K$243</f>
        <v>111128.779313695</v>
      </c>
      <c r="L252" s="9" t="n">
        <f aca="false">L211*L$243</f>
        <v>122057.401065995</v>
      </c>
      <c r="M252" s="9" t="n">
        <f aca="false">M211*M$243</f>
        <v>135746.596370182</v>
      </c>
      <c r="N252" s="9" t="n">
        <f aca="false">N211*N$243</f>
        <v>149535.141569909</v>
      </c>
      <c r="O252" s="9" t="n">
        <f aca="false">O211*O$243</f>
        <v>165680.453660347</v>
      </c>
      <c r="P252" s="9" t="n">
        <f aca="false">P211*P$243</f>
        <v>185771.37240832</v>
      </c>
      <c r="Q252" s="9" t="n">
        <f aca="false">Q211*Q$243</f>
        <v>206792.526559203</v>
      </c>
      <c r="R252" s="9" t="n">
        <f aca="false">R211*R$243</f>
        <v>229062.947965009</v>
      </c>
      <c r="S252" s="9" t="n">
        <f aca="false">S211*S$243</f>
        <v>251510.835172997</v>
      </c>
      <c r="T252" s="9" t="n">
        <f aca="false">T211*T$243</f>
        <v>247097.133813181</v>
      </c>
      <c r="U252" s="9" t="n">
        <f aca="false">U211*U$243</f>
        <v>211404.962847436</v>
      </c>
      <c r="V252" s="9" t="n">
        <f aca="false">V211*V$243</f>
        <v>219187.942989182</v>
      </c>
      <c r="W252" s="9" t="n">
        <f aca="false">NPV(Assumptions!$L$16,C252:V252)</f>
        <v>920522.267564701</v>
      </c>
    </row>
    <row r="253" customFormat="false" ht="12.75" hidden="false" customHeight="false" outlineLevel="0" collapsed="false">
      <c r="A253" s="0" t="n">
        <f aca="false">Summary!A25</f>
        <v>9</v>
      </c>
      <c r="B253" s="0" t="s">
        <v>78</v>
      </c>
      <c r="C253" s="9" t="n">
        <f aca="false">C212*C$243</f>
        <v>881867.384155385</v>
      </c>
      <c r="D253" s="9" t="n">
        <f aca="false">D212*D$243</f>
        <v>968367.91577574</v>
      </c>
      <c r="E253" s="9" t="n">
        <f aca="false">E212*E$243</f>
        <v>1065130.96443412</v>
      </c>
      <c r="F253" s="9" t="n">
        <f aca="false">F212*F$243</f>
        <v>1170306.40647216</v>
      </c>
      <c r="G253" s="9" t="n">
        <f aca="false">G212*G$243</f>
        <v>1285865.62785131</v>
      </c>
      <c r="H253" s="9" t="n">
        <f aca="false">H212*H$243</f>
        <v>1412795.67849551</v>
      </c>
      <c r="I253" s="9" t="n">
        <f aca="false">I212*I$243</f>
        <v>1557393.62176804</v>
      </c>
      <c r="J253" s="9" t="n">
        <f aca="false">J212*J$243</f>
        <v>1726246.41896685</v>
      </c>
      <c r="K253" s="9" t="n">
        <f aca="false">K212*K$243</f>
        <v>1904841.18908122</v>
      </c>
      <c r="L253" s="9" t="n">
        <f aca="false">L212*L$243</f>
        <v>2092167.00137064</v>
      </c>
      <c r="M253" s="9" t="n">
        <f aca="false">M212*M$243</f>
        <v>2326811.37721847</v>
      </c>
      <c r="N253" s="9" t="n">
        <f aca="false">N212*N$243</f>
        <v>2563158.6942335</v>
      </c>
      <c r="O253" s="9" t="n">
        <f aca="false">O212*O$243</f>
        <v>2839902.98738932</v>
      </c>
      <c r="P253" s="9" t="n">
        <f aca="false">P212*P$243</f>
        <v>3184278.31297078</v>
      </c>
      <c r="Q253" s="9" t="n">
        <f aca="false">Q212*Q$243</f>
        <v>3544598.65947253</v>
      </c>
      <c r="R253" s="9" t="n">
        <f aca="false">R212*R$243</f>
        <v>3926332.50244248</v>
      </c>
      <c r="S253" s="9" t="n">
        <f aca="false">S212*S$243</f>
        <v>4311108.25923292</v>
      </c>
      <c r="T253" s="9" t="n">
        <f aca="false">T212*T$243</f>
        <v>4235453.68803721</v>
      </c>
      <c r="U253" s="9" t="n">
        <f aca="false">U212*U$243</f>
        <v>3623659.71528633</v>
      </c>
      <c r="V253" s="9" t="n">
        <f aca="false">V212*V$243</f>
        <v>3757066.57208217</v>
      </c>
      <c r="W253" s="9" t="n">
        <f aca="false">NPV(Assumptions!$L$16,C253:V253)</f>
        <v>15778529.5722006</v>
      </c>
    </row>
    <row r="254" customFormat="false" ht="12.75" hidden="false" customHeight="false" outlineLevel="0" collapsed="false">
      <c r="A254" s="0" t="n">
        <f aca="false">Summary!A26</f>
        <v>10</v>
      </c>
      <c r="B254" s="0" t="s">
        <v>79</v>
      </c>
      <c r="C254" s="9" t="n">
        <f aca="false">C213*C$243</f>
        <v>1911558.06031381</v>
      </c>
      <c r="D254" s="9" t="n">
        <f aca="false">D213*D$243</f>
        <v>2099058.8018212</v>
      </c>
      <c r="E254" s="9" t="n">
        <f aca="false">E213*E$243</f>
        <v>2308804.83498537</v>
      </c>
      <c r="F254" s="9" t="n">
        <f aca="false">F213*F$243</f>
        <v>2536785.78494129</v>
      </c>
      <c r="G254" s="9" t="n">
        <f aca="false">G213*G$243</f>
        <v>2787274.87779109</v>
      </c>
      <c r="H254" s="9" t="n">
        <f aca="false">H213*H$243</f>
        <v>3062411.66793028</v>
      </c>
      <c r="I254" s="9" t="n">
        <f aca="false">I213*I$243</f>
        <v>3375845.82927204</v>
      </c>
      <c r="J254" s="9" t="n">
        <f aca="false">J213*J$243</f>
        <v>3741855.42582955</v>
      </c>
      <c r="K254" s="9" t="n">
        <f aca="false">K213*K$243</f>
        <v>4128981.96942996</v>
      </c>
      <c r="L254" s="9" t="n">
        <f aca="false">L213*L$243</f>
        <v>4535034.14101541</v>
      </c>
      <c r="M254" s="9" t="n">
        <f aca="false">M213*M$243</f>
        <v>5043655.22851464</v>
      </c>
      <c r="N254" s="9" t="n">
        <f aca="false">N213*N$243</f>
        <v>5555967.65438618</v>
      </c>
      <c r="O254" s="9" t="n">
        <f aca="false">O213*O$243</f>
        <v>6155845.5881126</v>
      </c>
      <c r="P254" s="9" t="n">
        <f aca="false">P213*P$243</f>
        <v>6902322.25934012</v>
      </c>
      <c r="Q254" s="9" t="n">
        <f aca="false">Q213*Q$243</f>
        <v>7683361.76145319</v>
      </c>
      <c r="R254" s="9" t="n">
        <f aca="false">R213*R$243</f>
        <v>8510817.70044639</v>
      </c>
      <c r="S254" s="9" t="n">
        <f aca="false">S213*S$243</f>
        <v>9344867.36882207</v>
      </c>
      <c r="T254" s="9" t="n">
        <f aca="false">T213*T$243</f>
        <v>9180876.60562215</v>
      </c>
      <c r="U254" s="9" t="n">
        <f aca="false">U213*U$243</f>
        <v>7854736.50692305</v>
      </c>
      <c r="V254" s="9" t="n">
        <f aca="false">V213*V$243</f>
        <v>8143912.58599241</v>
      </c>
      <c r="W254" s="9" t="n">
        <f aca="false">NPV(Assumptions!$L$16,C254:V254)</f>
        <v>34201940.0258547</v>
      </c>
    </row>
    <row r="255" customFormat="false" ht="12.75" hidden="false" customHeight="false" outlineLevel="0" collapsed="false">
      <c r="A255" s="0" t="n">
        <f aca="false">Summary!A27</f>
        <v>11</v>
      </c>
      <c r="B255" s="0" t="s">
        <v>80</v>
      </c>
      <c r="C255" s="9" t="n">
        <f aca="false">C214*C$243</f>
        <v>2088547.46752823</v>
      </c>
      <c r="D255" s="9" t="n">
        <f aca="false">D214*D$243</f>
        <v>2293408.73068581</v>
      </c>
      <c r="E255" s="9" t="n">
        <f aca="false">E214*E$243</f>
        <v>2522574.95664769</v>
      </c>
      <c r="F255" s="9" t="n">
        <f aca="false">F214*F$243</f>
        <v>2771664.45361904</v>
      </c>
      <c r="G255" s="9" t="n">
        <f aca="false">G214*G$243</f>
        <v>3045346.10178672</v>
      </c>
      <c r="H255" s="9" t="n">
        <f aca="false">H214*H$243</f>
        <v>3345957.55492496</v>
      </c>
      <c r="I255" s="9" t="n">
        <f aca="false">I214*I$243</f>
        <v>3688412.29773288</v>
      </c>
      <c r="J255" s="9" t="n">
        <f aca="false">J214*J$243</f>
        <v>4088310.38707249</v>
      </c>
      <c r="K255" s="9" t="n">
        <f aca="false">K214*K$243</f>
        <v>4511280.62220982</v>
      </c>
      <c r="L255" s="9" t="n">
        <f aca="false">L214*L$243</f>
        <v>4954928.79186568</v>
      </c>
      <c r="M255" s="9" t="n">
        <f aca="false">M214*M$243</f>
        <v>5510642.63926699</v>
      </c>
      <c r="N255" s="9" t="n">
        <f aca="false">N214*N$243</f>
        <v>6070389.60267421</v>
      </c>
      <c r="O255" s="9" t="n">
        <f aca="false">O214*O$243</f>
        <v>6725809.68397936</v>
      </c>
      <c r="P255" s="9" t="n">
        <f aca="false">P214*P$243</f>
        <v>7541401.94540677</v>
      </c>
      <c r="Q255" s="9" t="n">
        <f aca="false">Q214*Q$243</f>
        <v>8394757.17852481</v>
      </c>
      <c r="R255" s="9" t="n">
        <f aca="false">R214*R$243</f>
        <v>9298826.50383306</v>
      </c>
      <c r="S255" s="9" t="n">
        <f aca="false">S214*S$243</f>
        <v>10210100.0658785</v>
      </c>
      <c r="T255" s="9" t="n">
        <f aca="false">T214*T$243</f>
        <v>10030925.5483527</v>
      </c>
      <c r="U255" s="9" t="n">
        <f aca="false">U214*U$243</f>
        <v>8581999.35446511</v>
      </c>
      <c r="V255" s="9" t="n">
        <f aca="false">V214*V$243</f>
        <v>8897949.98141646</v>
      </c>
      <c r="W255" s="9" t="n">
        <f aca="false">NPV(Assumptions!$L$16,C255:V255)</f>
        <v>37368666.2773009</v>
      </c>
    </row>
    <row r="256" customFormat="false" ht="12.75" hidden="false" customHeight="false" outlineLevel="0" collapsed="false">
      <c r="A256" s="0" t="n">
        <f aca="false">Summary!A28</f>
        <v>12</v>
      </c>
      <c r="B256" s="0" t="s">
        <v>81</v>
      </c>
      <c r="C256" s="9" t="n">
        <f aca="false">C215*C$243</f>
        <v>331515.471036227</v>
      </c>
      <c r="D256" s="9" t="n">
        <f aca="false">D215*D$243</f>
        <v>364033.13185489</v>
      </c>
      <c r="E256" s="9" t="n">
        <f aca="false">E215*E$243</f>
        <v>400408.723277411</v>
      </c>
      <c r="F256" s="9" t="n">
        <f aca="false">F215*F$243</f>
        <v>439946.738669689</v>
      </c>
      <c r="G256" s="9" t="n">
        <f aca="false">G215*G$243</f>
        <v>483388.270124876</v>
      </c>
      <c r="H256" s="9" t="n">
        <f aca="false">H215*H$243</f>
        <v>531104.373797612</v>
      </c>
      <c r="I256" s="9" t="n">
        <f aca="false">I215*I$243</f>
        <v>585462.26948141</v>
      </c>
      <c r="J256" s="9" t="n">
        <f aca="false">J215*J$243</f>
        <v>648938.156678172</v>
      </c>
      <c r="K256" s="9" t="n">
        <f aca="false">K215*K$243</f>
        <v>716076.289239655</v>
      </c>
      <c r="L256" s="9" t="n">
        <f aca="false">L215*L$243</f>
        <v>786496.633629473</v>
      </c>
      <c r="M256" s="9" t="n">
        <f aca="false">M215*M$243</f>
        <v>874705.18083603</v>
      </c>
      <c r="N256" s="9" t="n">
        <f aca="false">N215*N$243</f>
        <v>963553.905186383</v>
      </c>
      <c r="O256" s="9" t="n">
        <f aca="false">O215*O$243</f>
        <v>1067588.83872688</v>
      </c>
      <c r="P256" s="9" t="n">
        <f aca="false">P215*P$243</f>
        <v>1197047.92784234</v>
      </c>
      <c r="Q256" s="9" t="n">
        <f aca="false">Q215*Q$243</f>
        <v>1332501.13944838</v>
      </c>
      <c r="R256" s="9" t="n">
        <f aca="false">R215*R$243</f>
        <v>1476004.20695763</v>
      </c>
      <c r="S256" s="9" t="n">
        <f aca="false">S215*S$243</f>
        <v>1620650.80410769</v>
      </c>
      <c r="T256" s="9" t="n">
        <f aca="false">T215*T$243</f>
        <v>1592210.40450043</v>
      </c>
      <c r="U256" s="9" t="n">
        <f aca="false">U215*U$243</f>
        <v>1362222.11975637</v>
      </c>
      <c r="V256" s="9" t="n">
        <f aca="false">V215*V$243</f>
        <v>1412373.01292325</v>
      </c>
      <c r="W256" s="9" t="n">
        <f aca="false">NPV(Assumptions!$L$16,C256:V256)</f>
        <v>5931534.3297303</v>
      </c>
    </row>
    <row r="257" customFormat="false" ht="12.75" hidden="false" customHeight="false" outlineLevel="0" collapsed="false">
      <c r="A257" s="0" t="n">
        <f aca="false">Summary!A29</f>
        <v>13</v>
      </c>
      <c r="B257" s="0" t="s">
        <v>82</v>
      </c>
      <c r="C257" s="9" t="n">
        <f aca="false">C216*C$243</f>
        <v>335682.058923568</v>
      </c>
      <c r="D257" s="9" t="n">
        <f aca="false">D216*D$243</f>
        <v>368608.411654159</v>
      </c>
      <c r="E257" s="9" t="n">
        <f aca="false">E216*E$243</f>
        <v>405441.182641006</v>
      </c>
      <c r="F257" s="9" t="n">
        <f aca="false">F216*F$243</f>
        <v>445476.1239098</v>
      </c>
      <c r="G257" s="9" t="n">
        <f aca="false">G216*G$243</f>
        <v>489463.641825899</v>
      </c>
      <c r="H257" s="9" t="n">
        <f aca="false">H216*H$243</f>
        <v>537779.456091244</v>
      </c>
      <c r="I257" s="9" t="n">
        <f aca="false">I216*I$243</f>
        <v>592820.538442105</v>
      </c>
      <c r="J257" s="9" t="n">
        <f aca="false">J216*J$243</f>
        <v>657094.210013472</v>
      </c>
      <c r="K257" s="9" t="n">
        <f aca="false">K216*K$243</f>
        <v>725076.155169989</v>
      </c>
      <c r="L257" s="9" t="n">
        <f aca="false">L216*L$243</f>
        <v>796381.563997493</v>
      </c>
      <c r="M257" s="9" t="n">
        <f aca="false">M216*M$243</f>
        <v>885698.743218122</v>
      </c>
      <c r="N257" s="9" t="n">
        <f aca="false">N216*N$243</f>
        <v>975664.145524791</v>
      </c>
      <c r="O257" s="9" t="n">
        <f aca="false">O216*O$243</f>
        <v>1081006.62194585</v>
      </c>
      <c r="P257" s="9" t="n">
        <f aca="false">P216*P$243</f>
        <v>1212092.79250922</v>
      </c>
      <c r="Q257" s="9" t="n">
        <f aca="false">Q216*Q$243</f>
        <v>1349248.42152888</v>
      </c>
      <c r="R257" s="9" t="n">
        <f aca="false">R216*R$243</f>
        <v>1494555.07950409</v>
      </c>
      <c r="S257" s="9" t="n">
        <f aca="false">S216*S$243</f>
        <v>1641019.63935058</v>
      </c>
      <c r="T257" s="9" t="n">
        <f aca="false">T216*T$243</f>
        <v>1612221.79209798</v>
      </c>
      <c r="U257" s="9" t="n">
        <f aca="false">U216*U$243</f>
        <v>1379342.94421232</v>
      </c>
      <c r="V257" s="9" t="n">
        <f aca="false">V216*V$243</f>
        <v>1430124.14915125</v>
      </c>
      <c r="W257" s="9" t="n">
        <f aca="false">NPV(Assumptions!$L$16,C257:V257)</f>
        <v>6006083.66830068</v>
      </c>
    </row>
    <row r="258" customFormat="false" ht="12.75" hidden="false" customHeight="false" outlineLevel="0" collapsed="false">
      <c r="A258" s="0" t="n">
        <f aca="false">Summary!A30</f>
        <v>14</v>
      </c>
      <c r="B258" s="0" t="s">
        <v>83</v>
      </c>
      <c r="C258" s="9" t="n">
        <f aca="false">C217*C$243</f>
        <v>456694.263651546</v>
      </c>
      <c r="D258" s="9" t="n">
        <f aca="false">D217*D$243</f>
        <v>501490.451041627</v>
      </c>
      <c r="E258" s="9" t="n">
        <f aca="false">E217*E$243</f>
        <v>551601.306766313</v>
      </c>
      <c r="F258" s="9" t="n">
        <f aca="false">F217*F$243</f>
        <v>606068.703926932</v>
      </c>
      <c r="G258" s="9" t="n">
        <f aca="false">G217*G$243</f>
        <v>665913.567751263</v>
      </c>
      <c r="H258" s="9" t="n">
        <f aca="false">H217*H$243</f>
        <v>731647.063575837</v>
      </c>
      <c r="I258" s="9" t="n">
        <f aca="false">I217*I$243</f>
        <v>806530.263039691</v>
      </c>
      <c r="J258" s="9" t="n">
        <f aca="false">J217*J$243</f>
        <v>893974.367751734</v>
      </c>
      <c r="K258" s="9" t="n">
        <f aca="false">K217*K$243</f>
        <v>986463.565668399</v>
      </c>
      <c r="L258" s="9" t="n">
        <f aca="false">L217*L$243</f>
        <v>1083474.32425131</v>
      </c>
      <c r="M258" s="9" t="n">
        <f aca="false">M217*M$243</f>
        <v>1204990.03327193</v>
      </c>
      <c r="N258" s="9" t="n">
        <f aca="false">N217*N$243</f>
        <v>1327387.64752725</v>
      </c>
      <c r="O258" s="9" t="n">
        <f aca="false">O217*O$243</f>
        <v>1470705.71717512</v>
      </c>
      <c r="P258" s="9" t="n">
        <f aca="false">P217*P$243</f>
        <v>1649047.99239921</v>
      </c>
      <c r="Q258" s="9" t="n">
        <f aca="false">Q217*Q$243</f>
        <v>1835647.7445625</v>
      </c>
      <c r="R258" s="9" t="n">
        <f aca="false">R217*R$243</f>
        <v>2033336.94302742</v>
      </c>
      <c r="S258" s="9" t="n">
        <f aca="false">S217*S$243</f>
        <v>2232601.4629265</v>
      </c>
      <c r="T258" s="9" t="n">
        <f aca="false">T217*T$243</f>
        <v>2193422.09275715</v>
      </c>
      <c r="U258" s="9" t="n">
        <f aca="false">U217*U$243</f>
        <v>1876591.23710699</v>
      </c>
      <c r="V258" s="9" t="n">
        <f aca="false">V217*V$243</f>
        <v>1945678.88829481</v>
      </c>
      <c r="W258" s="9" t="n">
        <f aca="false">NPV(Assumptions!$L$16,C258:V258)</f>
        <v>8171255.76243173</v>
      </c>
    </row>
    <row r="259" customFormat="false" ht="12.75" hidden="false" customHeight="false" outlineLevel="0" collapsed="false">
      <c r="A259" s="0" t="n">
        <f aca="false">Summary!A31</f>
        <v>15</v>
      </c>
      <c r="B259" s="0" t="s">
        <v>84</v>
      </c>
      <c r="C259" s="9" t="n">
        <f aca="false">C218*C$243</f>
        <v>587851.204105223</v>
      </c>
      <c r="D259" s="9" t="n">
        <f aca="false">D218*D$243</f>
        <v>645512.302114272</v>
      </c>
      <c r="E259" s="9" t="n">
        <f aca="false">E218*E$243</f>
        <v>710014.375429069</v>
      </c>
      <c r="F259" s="9" t="n">
        <f aca="false">F218*F$243</f>
        <v>780124.134963465</v>
      </c>
      <c r="G259" s="9" t="n">
        <f aca="false">G218*G$243</f>
        <v>857155.70303564</v>
      </c>
      <c r="H259" s="9" t="n">
        <f aca="false">H218*H$243</f>
        <v>941767.045340575</v>
      </c>
      <c r="I259" s="9" t="n">
        <f aca="false">I218*I$243</f>
        <v>1038155.77293288</v>
      </c>
      <c r="J259" s="9" t="n">
        <f aca="false">J218*J$243</f>
        <v>1150712.74230638</v>
      </c>
      <c r="K259" s="9" t="n">
        <f aca="false">K218*K$243</f>
        <v>1269763.69321458</v>
      </c>
      <c r="L259" s="9" t="n">
        <f aca="false">L218*L$243</f>
        <v>1394634.74105335</v>
      </c>
      <c r="M259" s="9" t="n">
        <f aca="false">M218*M$243</f>
        <v>1551048.25782127</v>
      </c>
      <c r="N259" s="9" t="n">
        <f aca="false">N218*N$243</f>
        <v>1708596.95209279</v>
      </c>
      <c r="O259" s="9" t="n">
        <f aca="false">O218*O$243</f>
        <v>1893074.19763319</v>
      </c>
      <c r="P259" s="9" t="n">
        <f aca="false">P218*P$243</f>
        <v>2122634.16713028</v>
      </c>
      <c r="Q259" s="9" t="n">
        <f aca="false">Q218*Q$243</f>
        <v>2362823.05874864</v>
      </c>
      <c r="R259" s="9" t="n">
        <f aca="false">R218*R$243</f>
        <v>2617286.14840301</v>
      </c>
      <c r="S259" s="9" t="n">
        <f aca="false">S218*S$243</f>
        <v>2873776.97231118</v>
      </c>
      <c r="T259" s="9" t="n">
        <f aca="false">T218*T$243</f>
        <v>2823345.7719147</v>
      </c>
      <c r="U259" s="9" t="n">
        <f aca="false">U218*U$243</f>
        <v>2415525.01563356</v>
      </c>
      <c r="V259" s="9" t="n">
        <f aca="false">V218*V$243</f>
        <v>2504453.7852109</v>
      </c>
      <c r="W259" s="9" t="n">
        <f aca="false">NPV(Assumptions!$L$16,C259:V259)</f>
        <v>10517939.2896037</v>
      </c>
    </row>
    <row r="260" customFormat="false" ht="12.75" hidden="false" customHeight="false" outlineLevel="0" collapsed="false">
      <c r="A260" s="0" t="n">
        <f aca="false">Summary!A32</f>
        <v>16</v>
      </c>
      <c r="B260" s="0" t="s">
        <v>85</v>
      </c>
      <c r="C260" s="9" t="n">
        <f aca="false">C219*C$243</f>
        <v>916468.179219821</v>
      </c>
      <c r="D260" s="9" t="n">
        <f aca="false">D219*D$243</f>
        <v>1006362.63063054</v>
      </c>
      <c r="E260" s="9" t="n">
        <f aca="false">E219*E$243</f>
        <v>1106922.25741007</v>
      </c>
      <c r="F260" s="9" t="n">
        <f aca="false">F219*F$243</f>
        <v>1216224.34477047</v>
      </c>
      <c r="G260" s="9" t="n">
        <f aca="false">G219*G$243</f>
        <v>1336317.62762937</v>
      </c>
      <c r="H260" s="9" t="n">
        <f aca="false">H219*H$243</f>
        <v>1468227.88362957</v>
      </c>
      <c r="I260" s="9" t="n">
        <f aca="false">I219*I$243</f>
        <v>1618499.24661555</v>
      </c>
      <c r="J260" s="9" t="n">
        <f aca="false">J219*J$243</f>
        <v>1793977.1227513</v>
      </c>
      <c r="K260" s="9" t="n">
        <f aca="false">K219*K$243</f>
        <v>1979579.20615487</v>
      </c>
      <c r="L260" s="9" t="n">
        <f aca="false">L219*L$243</f>
        <v>2174254.90138333</v>
      </c>
      <c r="M260" s="9" t="n">
        <f aca="false">M219*M$243</f>
        <v>2418105.74308715</v>
      </c>
      <c r="N260" s="9" t="n">
        <f aca="false">N219*N$243</f>
        <v>2663726.34226115</v>
      </c>
      <c r="O260" s="9" t="n">
        <f aca="false">O219*O$243</f>
        <v>2951328.9262947</v>
      </c>
      <c r="P260" s="9" t="n">
        <f aca="false">P219*P$243</f>
        <v>3309216.10216089</v>
      </c>
      <c r="Q260" s="9" t="n">
        <f aca="false">Q219*Q$243</f>
        <v>3683673.91501058</v>
      </c>
      <c r="R260" s="9" t="n">
        <f aca="false">R219*R$243</f>
        <v>4080385.40054571</v>
      </c>
      <c r="S260" s="9" t="n">
        <f aca="false">S219*S$243</f>
        <v>4480258.15190209</v>
      </c>
      <c r="T260" s="9" t="n">
        <f aca="false">T219*T$243</f>
        <v>4401635.21112988</v>
      </c>
      <c r="U260" s="9" t="n">
        <f aca="false">U219*U$243</f>
        <v>3765836.99663796</v>
      </c>
      <c r="V260" s="9" t="n">
        <f aca="false">V219*V$243</f>
        <v>3904478.18162771</v>
      </c>
      <c r="W260" s="9" t="n">
        <f aca="false">NPV(Assumptions!$L$16,C260:V260)</f>
        <v>16397613.2098937</v>
      </c>
    </row>
    <row r="261" customFormat="false" ht="12.75" hidden="false" customHeight="false" outlineLevel="0" collapsed="false">
      <c r="A261" s="0" t="n">
        <f aca="false">Summary!A33</f>
        <v>17</v>
      </c>
      <c r="B261" s="0" t="s">
        <v>86</v>
      </c>
      <c r="C261" s="9" t="n">
        <f aca="false">C220*C$243</f>
        <v>652705.050351654</v>
      </c>
      <c r="D261" s="9" t="n">
        <f aca="false">D220*D$243</f>
        <v>716727.526815939</v>
      </c>
      <c r="E261" s="9" t="n">
        <f aca="false">E220*E$243</f>
        <v>788345.699436344</v>
      </c>
      <c r="F261" s="9" t="n">
        <f aca="false">F220*F$243</f>
        <v>866190.218266059</v>
      </c>
      <c r="G261" s="9" t="n">
        <f aca="false">G220*G$243</f>
        <v>951720.184295042</v>
      </c>
      <c r="H261" s="9" t="n">
        <f aca="false">H220*H$243</f>
        <v>1045666.15234579</v>
      </c>
      <c r="I261" s="9" t="n">
        <f aca="false">I220*I$243</f>
        <v>1152688.82892979</v>
      </c>
      <c r="J261" s="9" t="n">
        <f aca="false">J220*J$243</f>
        <v>1277663.48552539</v>
      </c>
      <c r="K261" s="9" t="n">
        <f aca="false">K220*K$243</f>
        <v>1409848.56291283</v>
      </c>
      <c r="L261" s="9" t="n">
        <f aca="false">L220*L$243</f>
        <v>1548495.8311295</v>
      </c>
      <c r="M261" s="9" t="n">
        <f aca="false">M220*M$243</f>
        <v>1722165.4462034</v>
      </c>
      <c r="N261" s="9" t="n">
        <f aca="false">N220*N$243</f>
        <v>1897095.47562106</v>
      </c>
      <c r="O261" s="9" t="n">
        <f aca="false">O220*O$243</f>
        <v>2101924.91034588</v>
      </c>
      <c r="P261" s="9" t="n">
        <f aca="false">P220*P$243</f>
        <v>2356810.75629288</v>
      </c>
      <c r="Q261" s="9" t="n">
        <f aca="false">Q220*Q$243</f>
        <v>2623498.14504509</v>
      </c>
      <c r="R261" s="9" t="n">
        <f aca="false">R220*R$243</f>
        <v>2906034.51238707</v>
      </c>
      <c r="S261" s="9" t="n">
        <f aca="false">S220*S$243</f>
        <v>3190822.32087433</v>
      </c>
      <c r="T261" s="9" t="n">
        <f aca="false">T220*T$243</f>
        <v>3134827.37017216</v>
      </c>
      <c r="U261" s="9" t="n">
        <f aca="false">U220*U$243</f>
        <v>2682014.37020885</v>
      </c>
      <c r="V261" s="9" t="n">
        <f aca="false">V220*V$243</f>
        <v>2780754.07954233</v>
      </c>
      <c r="W261" s="9" t="n">
        <f aca="false">NPV(Assumptions!$L$16,C261:V261)</f>
        <v>11678315.9508296</v>
      </c>
    </row>
    <row r="262" customFormat="false" ht="12.75" hidden="false" customHeight="false" outlineLevel="0" collapsed="false">
      <c r="A262" s="0" t="n">
        <f aca="false">Summary!A34</f>
        <v>18</v>
      </c>
      <c r="B262" s="0" t="s">
        <v>87</v>
      </c>
      <c r="C262" s="9" t="n">
        <f aca="false">C221*C$243</f>
        <v>1349249.85151793</v>
      </c>
      <c r="D262" s="9" t="n">
        <f aca="false">D221*D$243</f>
        <v>1481594.95412854</v>
      </c>
      <c r="E262" s="9" t="n">
        <f aca="false">E221*E$243</f>
        <v>1629641.62348096</v>
      </c>
      <c r="F262" s="9" t="n">
        <f aca="false">F221*F$243</f>
        <v>1790559.18558024</v>
      </c>
      <c r="G262" s="9" t="n">
        <f aca="false">G221*G$243</f>
        <v>1967363.84474867</v>
      </c>
      <c r="H262" s="9" t="n">
        <f aca="false">H221*H$243</f>
        <v>2161565.77925935</v>
      </c>
      <c r="I262" s="9" t="n">
        <f aca="false">I221*I$243</f>
        <v>2382799.4443156</v>
      </c>
      <c r="J262" s="9" t="n">
        <f aca="false">J221*J$243</f>
        <v>2641142.8365787</v>
      </c>
      <c r="K262" s="9" t="n">
        <f aca="false">K221*K$243</f>
        <v>2914391.36735352</v>
      </c>
      <c r="L262" s="9" t="n">
        <f aca="false">L221*L$243</f>
        <v>3200998.32091383</v>
      </c>
      <c r="M262" s="9" t="n">
        <f aca="false">M221*M$243</f>
        <v>3560002.28790533</v>
      </c>
      <c r="N262" s="9" t="n">
        <f aca="false">N221*N$243</f>
        <v>3921611.74088972</v>
      </c>
      <c r="O262" s="9" t="n">
        <f aca="false">O221*O$243</f>
        <v>4345028.2354305</v>
      </c>
      <c r="P262" s="9" t="n">
        <f aca="false">P221*P$243</f>
        <v>4871919.65386327</v>
      </c>
      <c r="Q262" s="9" t="n">
        <f aca="false">Q221*Q$243</f>
        <v>5423206.823285</v>
      </c>
      <c r="R262" s="9" t="n">
        <f aca="false">R221*R$243</f>
        <v>6007256.46634995</v>
      </c>
      <c r="S262" s="9" t="n">
        <f aca="false">S221*S$243</f>
        <v>6595960.21256508</v>
      </c>
      <c r="T262" s="9" t="n">
        <f aca="false">T221*T$243</f>
        <v>6480209.34028371</v>
      </c>
      <c r="U262" s="9" t="n">
        <f aca="false">U221*U$243</f>
        <v>5544169.58904121</v>
      </c>
      <c r="V262" s="9" t="n">
        <f aca="false">V221*V$243</f>
        <v>5748280.98374446</v>
      </c>
      <c r="W262" s="9" t="n">
        <f aca="false">NPV(Assumptions!$L$16,C262:V262)</f>
        <v>24141020.5944433</v>
      </c>
    </row>
    <row r="263" customFormat="false" ht="12.75" hidden="false" customHeight="false" outlineLevel="0" collapsed="false">
      <c r="A263" s="0" t="n">
        <f aca="false">Summary!A35</f>
        <v>19</v>
      </c>
      <c r="B263" s="0" t="s">
        <v>88</v>
      </c>
      <c r="C263" s="9" t="n">
        <f aca="false">C222*C$243</f>
        <v>0</v>
      </c>
      <c r="D263" s="9" t="n">
        <f aca="false">D222*D$243</f>
        <v>0</v>
      </c>
      <c r="E263" s="9" t="n">
        <f aca="false">E222*E$243</f>
        <v>0</v>
      </c>
      <c r="F263" s="9" t="n">
        <f aca="false">F222*F$243</f>
        <v>0</v>
      </c>
      <c r="G263" s="9" t="n">
        <f aca="false">G222*G$243</f>
        <v>0</v>
      </c>
      <c r="H263" s="9" t="n">
        <f aca="false">H222*H$243</f>
        <v>0</v>
      </c>
      <c r="I263" s="9" t="n">
        <f aca="false">I222*I$243</f>
        <v>0</v>
      </c>
      <c r="J263" s="9" t="n">
        <f aca="false">J222*J$243</f>
        <v>0</v>
      </c>
      <c r="K263" s="9" t="n">
        <f aca="false">K222*K$243</f>
        <v>0</v>
      </c>
      <c r="L263" s="9" t="n">
        <f aca="false">L222*L$243</f>
        <v>0</v>
      </c>
      <c r="M263" s="9" t="n">
        <f aca="false">M222*M$243</f>
        <v>0</v>
      </c>
      <c r="N263" s="9" t="n">
        <f aca="false">N222*N$243</f>
        <v>0</v>
      </c>
      <c r="O263" s="9" t="n">
        <f aca="false">O222*O$243</f>
        <v>0</v>
      </c>
      <c r="P263" s="9" t="n">
        <f aca="false">P222*P$243</f>
        <v>0</v>
      </c>
      <c r="Q263" s="9" t="n">
        <f aca="false">Q222*Q$243</f>
        <v>0</v>
      </c>
      <c r="R263" s="9" t="n">
        <f aca="false">R222*R$243</f>
        <v>0</v>
      </c>
      <c r="S263" s="9" t="n">
        <f aca="false">S222*S$243</f>
        <v>0</v>
      </c>
      <c r="T263" s="9" t="n">
        <f aca="false">T222*T$243</f>
        <v>0</v>
      </c>
      <c r="U263" s="9" t="n">
        <f aca="false">U222*U$243</f>
        <v>0</v>
      </c>
      <c r="V263" s="9" t="n">
        <f aca="false">V222*V$243</f>
        <v>0</v>
      </c>
      <c r="W263" s="9" t="n">
        <f aca="false">NPV(Assumptions!$L$16,C263:V263)</f>
        <v>0</v>
      </c>
    </row>
    <row r="264" customFormat="false" ht="12.75" hidden="false" customHeight="false" outlineLevel="0" collapsed="false">
      <c r="A264" s="0" t="n">
        <f aca="false">Summary!A36</f>
        <v>20</v>
      </c>
      <c r="B264" s="0" t="s">
        <v>89</v>
      </c>
      <c r="C264" s="9" t="n">
        <f aca="false">C223*C$243</f>
        <v>0</v>
      </c>
      <c r="D264" s="9" t="n">
        <f aca="false">D223*D$243</f>
        <v>0</v>
      </c>
      <c r="E264" s="9" t="n">
        <f aca="false">E223*E$243</f>
        <v>0</v>
      </c>
      <c r="F264" s="9" t="n">
        <f aca="false">F223*F$243</f>
        <v>0</v>
      </c>
      <c r="G264" s="9" t="n">
        <f aca="false">G223*G$243</f>
        <v>0</v>
      </c>
      <c r="H264" s="9" t="n">
        <f aca="false">H223*H$243</f>
        <v>0</v>
      </c>
      <c r="I264" s="9" t="n">
        <f aca="false">I223*I$243</f>
        <v>0</v>
      </c>
      <c r="J264" s="9" t="n">
        <f aca="false">J223*J$243</f>
        <v>0</v>
      </c>
      <c r="K264" s="9" t="n">
        <f aca="false">K223*K$243</f>
        <v>0</v>
      </c>
      <c r="L264" s="9" t="n">
        <f aca="false">L223*L$243</f>
        <v>0</v>
      </c>
      <c r="M264" s="9" t="n">
        <f aca="false">M223*M$243</f>
        <v>0</v>
      </c>
      <c r="N264" s="9" t="n">
        <f aca="false">N223*N$243</f>
        <v>0</v>
      </c>
      <c r="O264" s="9" t="n">
        <f aca="false">O223*O$243</f>
        <v>0</v>
      </c>
      <c r="P264" s="9" t="n">
        <f aca="false">P223*P$243</f>
        <v>0</v>
      </c>
      <c r="Q264" s="9" t="n">
        <f aca="false">Q223*Q$243</f>
        <v>0</v>
      </c>
      <c r="R264" s="9" t="n">
        <f aca="false">R223*R$243</f>
        <v>0</v>
      </c>
      <c r="S264" s="9" t="n">
        <f aca="false">S223*S$243</f>
        <v>0</v>
      </c>
      <c r="T264" s="9" t="n">
        <f aca="false">T223*T$243</f>
        <v>0</v>
      </c>
      <c r="U264" s="9" t="n">
        <f aca="false">U223*U$243</f>
        <v>0</v>
      </c>
      <c r="V264" s="9" t="n">
        <f aca="false">V223*V$243</f>
        <v>0</v>
      </c>
      <c r="W264" s="9" t="n">
        <f aca="false">NPV(Assumptions!$L$16,C264:V264)</f>
        <v>0</v>
      </c>
    </row>
    <row r="265" customFormat="false" ht="12.75" hidden="false" customHeight="false" outlineLevel="0" collapsed="false">
      <c r="A265" s="0" t="n">
        <f aca="false">Summary!A37</f>
        <v>21</v>
      </c>
      <c r="B265" s="0" t="s">
        <v>90</v>
      </c>
      <c r="C265" s="9" t="n">
        <f aca="false">C224*C$243</f>
        <v>0</v>
      </c>
      <c r="D265" s="9" t="n">
        <f aca="false">D224*D$243</f>
        <v>0</v>
      </c>
      <c r="E265" s="9" t="n">
        <f aca="false">E224*E$243</f>
        <v>0</v>
      </c>
      <c r="F265" s="9" t="n">
        <f aca="false">F224*F$243</f>
        <v>0</v>
      </c>
      <c r="G265" s="9" t="n">
        <f aca="false">G224*G$243</f>
        <v>0</v>
      </c>
      <c r="H265" s="9" t="n">
        <f aca="false">H224*H$243</f>
        <v>0</v>
      </c>
      <c r="I265" s="9" t="n">
        <f aca="false">I224*I$243</f>
        <v>0</v>
      </c>
      <c r="J265" s="9" t="n">
        <f aca="false">J224*J$243</f>
        <v>0</v>
      </c>
      <c r="K265" s="9" t="n">
        <f aca="false">K224*K$243</f>
        <v>0</v>
      </c>
      <c r="L265" s="9" t="n">
        <f aca="false">L224*L$243</f>
        <v>0</v>
      </c>
      <c r="M265" s="9" t="n">
        <f aca="false">M224*M$243</f>
        <v>0</v>
      </c>
      <c r="N265" s="9" t="n">
        <f aca="false">N224*N$243</f>
        <v>0</v>
      </c>
      <c r="O265" s="9" t="n">
        <f aca="false">O224*O$243</f>
        <v>0</v>
      </c>
      <c r="P265" s="9" t="n">
        <f aca="false">P224*P$243</f>
        <v>0</v>
      </c>
      <c r="Q265" s="9" t="n">
        <f aca="false">Q224*Q$243</f>
        <v>0</v>
      </c>
      <c r="R265" s="9" t="n">
        <f aca="false">R224*R$243</f>
        <v>0</v>
      </c>
      <c r="S265" s="9" t="n">
        <f aca="false">S224*S$243</f>
        <v>0</v>
      </c>
      <c r="T265" s="9" t="n">
        <f aca="false">T224*T$243</f>
        <v>0</v>
      </c>
      <c r="U265" s="9" t="n">
        <f aca="false">U224*U$243</f>
        <v>0</v>
      </c>
      <c r="V265" s="9" t="n">
        <f aca="false">V224*V$243</f>
        <v>0</v>
      </c>
      <c r="W265" s="9" t="n">
        <f aca="false">NPV(Assumptions!$L$16,C265:V265)</f>
        <v>0</v>
      </c>
    </row>
    <row r="266" customFormat="false" ht="12.75" hidden="false" customHeight="false" outlineLevel="0" collapsed="false">
      <c r="A266" s="0" t="n">
        <f aca="false">Summary!A38</f>
        <v>22</v>
      </c>
      <c r="B266" s="0" t="s">
        <v>91</v>
      </c>
      <c r="C266" s="9" t="n">
        <f aca="false">C225*C$243</f>
        <v>0</v>
      </c>
      <c r="D266" s="9" t="n">
        <f aca="false">D225*D$243</f>
        <v>0</v>
      </c>
      <c r="E266" s="9" t="n">
        <f aca="false">E225*E$243</f>
        <v>0</v>
      </c>
      <c r="F266" s="9" t="n">
        <f aca="false">F225*F$243</f>
        <v>0</v>
      </c>
      <c r="G266" s="9" t="n">
        <f aca="false">G225*G$243</f>
        <v>0</v>
      </c>
      <c r="H266" s="9" t="n">
        <f aca="false">H225*H$243</f>
        <v>0</v>
      </c>
      <c r="I266" s="9" t="n">
        <f aca="false">I225*I$243</f>
        <v>0</v>
      </c>
      <c r="J266" s="9" t="n">
        <f aca="false">J225*J$243</f>
        <v>0</v>
      </c>
      <c r="K266" s="9" t="n">
        <f aca="false">K225*K$243</f>
        <v>0</v>
      </c>
      <c r="L266" s="9" t="n">
        <f aca="false">L225*L$243</f>
        <v>0</v>
      </c>
      <c r="M266" s="9" t="n">
        <f aca="false">M225*M$243</f>
        <v>0</v>
      </c>
      <c r="N266" s="9" t="n">
        <f aca="false">N225*N$243</f>
        <v>0</v>
      </c>
      <c r="O266" s="9" t="n">
        <f aca="false">O225*O$243</f>
        <v>0</v>
      </c>
      <c r="P266" s="9" t="n">
        <f aca="false">P225*P$243</f>
        <v>0</v>
      </c>
      <c r="Q266" s="9" t="n">
        <f aca="false">Q225*Q$243</f>
        <v>0</v>
      </c>
      <c r="R266" s="9" t="n">
        <f aca="false">R225*R$243</f>
        <v>0</v>
      </c>
      <c r="S266" s="9" t="n">
        <f aca="false">S225*S$243</f>
        <v>0</v>
      </c>
      <c r="T266" s="9" t="n">
        <f aca="false">T225*T$243</f>
        <v>0</v>
      </c>
      <c r="U266" s="9" t="n">
        <f aca="false">U225*U$243</f>
        <v>0</v>
      </c>
      <c r="V266" s="9" t="n">
        <f aca="false">V225*V$243</f>
        <v>0</v>
      </c>
      <c r="W266" s="9" t="n">
        <f aca="false">NPV(Assumptions!$L$16,C266:V266)</f>
        <v>0</v>
      </c>
    </row>
    <row r="267" customFormat="false" ht="12.75" hidden="false" customHeight="false" outlineLevel="0" collapsed="false">
      <c r="A267" s="0" t="n">
        <f aca="false">Summary!A39</f>
        <v>23</v>
      </c>
      <c r="B267" s="0" t="s">
        <v>92</v>
      </c>
      <c r="C267" s="9" t="n">
        <f aca="false">C226*C$243</f>
        <v>0</v>
      </c>
      <c r="D267" s="9" t="n">
        <f aca="false">D226*D$243</f>
        <v>0</v>
      </c>
      <c r="E267" s="9" t="n">
        <f aca="false">E226*E$243</f>
        <v>0</v>
      </c>
      <c r="F267" s="9" t="n">
        <f aca="false">F226*F$243</f>
        <v>0</v>
      </c>
      <c r="G267" s="9" t="n">
        <f aca="false">G226*G$243</f>
        <v>0</v>
      </c>
      <c r="H267" s="9" t="n">
        <f aca="false">H226*H$243</f>
        <v>0</v>
      </c>
      <c r="I267" s="9" t="n">
        <f aca="false">I226*I$243</f>
        <v>0</v>
      </c>
      <c r="J267" s="9" t="n">
        <f aca="false">J226*J$243</f>
        <v>0</v>
      </c>
      <c r="K267" s="9" t="n">
        <f aca="false">K226*K$243</f>
        <v>0</v>
      </c>
      <c r="L267" s="9" t="n">
        <f aca="false">L226*L$243</f>
        <v>0</v>
      </c>
      <c r="M267" s="9" t="n">
        <f aca="false">M226*M$243</f>
        <v>0</v>
      </c>
      <c r="N267" s="9" t="n">
        <f aca="false">N226*N$243</f>
        <v>0</v>
      </c>
      <c r="O267" s="9" t="n">
        <f aca="false">O226*O$243</f>
        <v>0</v>
      </c>
      <c r="P267" s="9" t="n">
        <f aca="false">P226*P$243</f>
        <v>0</v>
      </c>
      <c r="Q267" s="9" t="n">
        <f aca="false">Q226*Q$243</f>
        <v>0</v>
      </c>
      <c r="R267" s="9" t="n">
        <f aca="false">R226*R$243</f>
        <v>0</v>
      </c>
      <c r="S267" s="9" t="n">
        <f aca="false">S226*S$243</f>
        <v>0</v>
      </c>
      <c r="T267" s="9" t="n">
        <f aca="false">T226*T$243</f>
        <v>0</v>
      </c>
      <c r="U267" s="9" t="n">
        <f aca="false">U226*U$243</f>
        <v>0</v>
      </c>
      <c r="V267" s="9" t="n">
        <f aca="false">V226*V$243</f>
        <v>0</v>
      </c>
      <c r="W267" s="9" t="n">
        <f aca="false">NPV(Assumptions!$L$16,C267:V267)</f>
        <v>0</v>
      </c>
    </row>
    <row r="268" customFormat="false" ht="12.75" hidden="false" customHeight="false" outlineLevel="0" collapsed="false">
      <c r="A268" s="0" t="n">
        <f aca="false">Summary!A40</f>
        <v>24</v>
      </c>
      <c r="B268" s="0" t="s">
        <v>93</v>
      </c>
      <c r="C268" s="9" t="n">
        <f aca="false">C227*C$243</f>
        <v>0</v>
      </c>
      <c r="D268" s="9" t="n">
        <f aca="false">D227*D$243</f>
        <v>0</v>
      </c>
      <c r="E268" s="9" t="n">
        <f aca="false">E227*E$243</f>
        <v>0</v>
      </c>
      <c r="F268" s="9" t="n">
        <f aca="false">F227*F$243</f>
        <v>0</v>
      </c>
      <c r="G268" s="9" t="n">
        <f aca="false">G227*G$243</f>
        <v>0</v>
      </c>
      <c r="H268" s="9" t="n">
        <f aca="false">H227*H$243</f>
        <v>0</v>
      </c>
      <c r="I268" s="9" t="n">
        <f aca="false">I227*I$243</f>
        <v>0</v>
      </c>
      <c r="J268" s="9" t="n">
        <f aca="false">J227*J$243</f>
        <v>0</v>
      </c>
      <c r="K268" s="9" t="n">
        <f aca="false">K227*K$243</f>
        <v>0</v>
      </c>
      <c r="L268" s="9" t="n">
        <f aca="false">L227*L$243</f>
        <v>0</v>
      </c>
      <c r="M268" s="9" t="n">
        <f aca="false">M227*M$243</f>
        <v>0</v>
      </c>
      <c r="N268" s="9" t="n">
        <f aca="false">N227*N$243</f>
        <v>0</v>
      </c>
      <c r="O268" s="9" t="n">
        <f aca="false">O227*O$243</f>
        <v>0</v>
      </c>
      <c r="P268" s="9" t="n">
        <f aca="false">P227*P$243</f>
        <v>0</v>
      </c>
      <c r="Q268" s="9" t="n">
        <f aca="false">Q227*Q$243</f>
        <v>0</v>
      </c>
      <c r="R268" s="9" t="n">
        <f aca="false">R227*R$243</f>
        <v>0</v>
      </c>
      <c r="S268" s="9" t="n">
        <f aca="false">S227*S$243</f>
        <v>0</v>
      </c>
      <c r="T268" s="9" t="n">
        <f aca="false">T227*T$243</f>
        <v>0</v>
      </c>
      <c r="U268" s="9" t="n">
        <f aca="false">U227*U$243</f>
        <v>0</v>
      </c>
      <c r="V268" s="9" t="n">
        <f aca="false">V227*V$243</f>
        <v>0</v>
      </c>
      <c r="W268" s="9" t="n">
        <f aca="false">NPV(Assumptions!$L$16,C268:V268)</f>
        <v>0</v>
      </c>
    </row>
    <row r="269" customFormat="false" ht="12.75" hidden="false" customHeight="false" outlineLevel="0" collapsed="false">
      <c r="A269" s="0" t="n">
        <f aca="false">Summary!A41</f>
        <v>25</v>
      </c>
      <c r="B269" s="0" t="s">
        <v>94</v>
      </c>
      <c r="C269" s="9" t="n">
        <f aca="false">C228*C$243</f>
        <v>0</v>
      </c>
      <c r="D269" s="9" t="n">
        <f aca="false">D228*D$243</f>
        <v>0</v>
      </c>
      <c r="E269" s="9" t="n">
        <f aca="false">E228*E$243</f>
        <v>0</v>
      </c>
      <c r="F269" s="9" t="n">
        <f aca="false">F228*F$243</f>
        <v>0</v>
      </c>
      <c r="G269" s="9" t="n">
        <f aca="false">G228*G$243</f>
        <v>0</v>
      </c>
      <c r="H269" s="9" t="n">
        <f aca="false">H228*H$243</f>
        <v>0</v>
      </c>
      <c r="I269" s="9" t="n">
        <f aca="false">I228*I$243</f>
        <v>0</v>
      </c>
      <c r="J269" s="9" t="n">
        <f aca="false">J228*J$243</f>
        <v>0</v>
      </c>
      <c r="K269" s="9" t="n">
        <f aca="false">K228*K$243</f>
        <v>0</v>
      </c>
      <c r="L269" s="9" t="n">
        <f aca="false">L228*L$243</f>
        <v>0</v>
      </c>
      <c r="M269" s="9" t="n">
        <f aca="false">M228*M$243</f>
        <v>0</v>
      </c>
      <c r="N269" s="9" t="n">
        <f aca="false">N228*N$243</f>
        <v>0</v>
      </c>
      <c r="O269" s="9" t="n">
        <f aca="false">O228*O$243</f>
        <v>0</v>
      </c>
      <c r="P269" s="9" t="n">
        <f aca="false">P228*P$243</f>
        <v>0</v>
      </c>
      <c r="Q269" s="9" t="n">
        <f aca="false">Q228*Q$243</f>
        <v>0</v>
      </c>
      <c r="R269" s="9" t="n">
        <f aca="false">R228*R$243</f>
        <v>0</v>
      </c>
      <c r="S269" s="9" t="n">
        <f aca="false">S228*S$243</f>
        <v>0</v>
      </c>
      <c r="T269" s="9" t="n">
        <f aca="false">T228*T$243</f>
        <v>0</v>
      </c>
      <c r="U269" s="9" t="n">
        <f aca="false">U228*U$243</f>
        <v>0</v>
      </c>
      <c r="V269" s="9" t="n">
        <f aca="false">V228*V$243</f>
        <v>0</v>
      </c>
      <c r="W269" s="9" t="n">
        <f aca="false">NPV(Assumptions!$L$16,C269:V269)</f>
        <v>0</v>
      </c>
    </row>
    <row r="270" customFormat="false" ht="12.75" hidden="false" customHeight="false" outlineLevel="0" collapsed="false">
      <c r="A270" s="0" t="n">
        <f aca="false">Summary!A42</f>
        <v>26</v>
      </c>
      <c r="B270" s="0" t="s">
        <v>95</v>
      </c>
      <c r="C270" s="9" t="n">
        <f aca="false">C229*C$243</f>
        <v>0</v>
      </c>
      <c r="D270" s="9" t="n">
        <f aca="false">D229*D$243</f>
        <v>0</v>
      </c>
      <c r="E270" s="9" t="n">
        <f aca="false">E229*E$243</f>
        <v>0</v>
      </c>
      <c r="F270" s="9" t="n">
        <f aca="false">F229*F$243</f>
        <v>0</v>
      </c>
      <c r="G270" s="9" t="n">
        <f aca="false">G229*G$243</f>
        <v>0</v>
      </c>
      <c r="H270" s="9" t="n">
        <f aca="false">H229*H$243</f>
        <v>0</v>
      </c>
      <c r="I270" s="9" t="n">
        <f aca="false">I229*I$243</f>
        <v>0</v>
      </c>
      <c r="J270" s="9" t="n">
        <f aca="false">J229*J$243</f>
        <v>0</v>
      </c>
      <c r="K270" s="9" t="n">
        <f aca="false">K229*K$243</f>
        <v>0</v>
      </c>
      <c r="L270" s="9" t="n">
        <f aca="false">L229*L$243</f>
        <v>0</v>
      </c>
      <c r="M270" s="9" t="n">
        <f aca="false">M229*M$243</f>
        <v>0</v>
      </c>
      <c r="N270" s="9" t="n">
        <f aca="false">N229*N$243</f>
        <v>0</v>
      </c>
      <c r="O270" s="9" t="n">
        <f aca="false">O229*O$243</f>
        <v>0</v>
      </c>
      <c r="P270" s="9" t="n">
        <f aca="false">P229*P$243</f>
        <v>0</v>
      </c>
      <c r="Q270" s="9" t="n">
        <f aca="false">Q229*Q$243</f>
        <v>0</v>
      </c>
      <c r="R270" s="9" t="n">
        <f aca="false">R229*R$243</f>
        <v>0</v>
      </c>
      <c r="S270" s="9" t="n">
        <f aca="false">S229*S$243</f>
        <v>0</v>
      </c>
      <c r="T270" s="9" t="n">
        <f aca="false">T229*T$243</f>
        <v>0</v>
      </c>
      <c r="U270" s="9" t="n">
        <f aca="false">U229*U$243</f>
        <v>0</v>
      </c>
      <c r="V270" s="9" t="n">
        <f aca="false">V229*V$243</f>
        <v>0</v>
      </c>
      <c r="W270" s="9" t="n">
        <f aca="false">NPV(Assumptions!$L$16,C270:V270)</f>
        <v>0</v>
      </c>
    </row>
    <row r="271" customFormat="false" ht="12.75" hidden="false" customHeight="false" outlineLevel="0" collapsed="false">
      <c r="A271" s="0" t="n">
        <f aca="false">Summary!A43</f>
        <v>27</v>
      </c>
      <c r="B271" s="0" t="s">
        <v>96</v>
      </c>
      <c r="C271" s="9" t="n">
        <f aca="false">C230*C$243</f>
        <v>52897.5505697149</v>
      </c>
      <c r="D271" s="9" t="n">
        <f aca="false">D230*D$243</f>
        <v>58086.1609298513</v>
      </c>
      <c r="E271" s="9" t="n">
        <f aca="false">E230*E$243</f>
        <v>63890.353659565</v>
      </c>
      <c r="F271" s="9" t="n">
        <f aca="false">F230*F$243</f>
        <v>70199.1517440159</v>
      </c>
      <c r="G271" s="9" t="n">
        <f aca="false">G230*G$243</f>
        <v>77130.8059434228</v>
      </c>
      <c r="H271" s="9" t="n">
        <f aca="false">H230*H$243</f>
        <v>84744.5230321873</v>
      </c>
      <c r="I271" s="9" t="n">
        <f aca="false">I230*I$243</f>
        <v>93418.0233270884</v>
      </c>
      <c r="J271" s="9" t="n">
        <f aca="false">J230*J$243</f>
        <v>103546.416256845</v>
      </c>
      <c r="K271" s="9" t="n">
        <f aca="false">K230*K$243</f>
        <v>114259.167463377</v>
      </c>
      <c r="L271" s="9" t="n">
        <f aca="false">L230*L$243</f>
        <v>125495.637715741</v>
      </c>
      <c r="M271" s="9" t="n">
        <f aca="false">M230*M$243</f>
        <v>139570.444155257</v>
      </c>
      <c r="N271" s="9" t="n">
        <f aca="false">N230*N$243</f>
        <v>153747.39907892</v>
      </c>
      <c r="O271" s="9" t="n">
        <f aca="false">O230*O$243</f>
        <v>170347.508693033</v>
      </c>
      <c r="P271" s="9" t="n">
        <f aca="false">P230*P$243</f>
        <v>191004.368814188</v>
      </c>
      <c r="Q271" s="9" t="n">
        <f aca="false">Q230*Q$243</f>
        <v>212617.66815242</v>
      </c>
      <c r="R271" s="9" t="n">
        <f aca="false">R230*R$243</f>
        <v>235515.425372474</v>
      </c>
      <c r="S271" s="9" t="n">
        <f aca="false">S230*S$243</f>
        <v>258595.647431392</v>
      </c>
      <c r="T271" s="9" t="n">
        <f aca="false">T230*T$243</f>
        <v>254057.616455806</v>
      </c>
      <c r="U271" s="9" t="n">
        <f aca="false">U230*U$243</f>
        <v>217360.03222342</v>
      </c>
      <c r="V271" s="9" t="n">
        <f aca="false">V230*V$243</f>
        <v>225362.251242398</v>
      </c>
      <c r="W271" s="9" t="n">
        <f aca="false">NPV(Assumptions!$L$16,C271:V271)</f>
        <v>946452.472284834</v>
      </c>
    </row>
    <row r="272" customFormat="false" ht="12.75" hidden="false" customHeight="false" outlineLevel="0" collapsed="false">
      <c r="A272" s="0" t="n">
        <f aca="false">Summary!A44</f>
        <v>28</v>
      </c>
      <c r="B272" s="0" t="s">
        <v>97</v>
      </c>
      <c r="C272" s="9" t="n">
        <f aca="false">C231*C$243</f>
        <v>52897.5505697149</v>
      </c>
      <c r="D272" s="9" t="n">
        <f aca="false">D231*D$243</f>
        <v>58086.1609298513</v>
      </c>
      <c r="E272" s="9" t="n">
        <f aca="false">E231*E$243</f>
        <v>63890.353659565</v>
      </c>
      <c r="F272" s="9" t="n">
        <f aca="false">F231*F$243</f>
        <v>70199.1517440159</v>
      </c>
      <c r="G272" s="9" t="n">
        <f aca="false">G231*G$243</f>
        <v>77130.8059434228</v>
      </c>
      <c r="H272" s="9" t="n">
        <f aca="false">H231*H$243</f>
        <v>84744.5230321873</v>
      </c>
      <c r="I272" s="9" t="n">
        <f aca="false">I231*I$243</f>
        <v>93418.0233270884</v>
      </c>
      <c r="J272" s="9" t="n">
        <f aca="false">J231*J$243</f>
        <v>103546.416256845</v>
      </c>
      <c r="K272" s="9" t="n">
        <f aca="false">K231*K$243</f>
        <v>114259.167463377</v>
      </c>
      <c r="L272" s="9" t="n">
        <f aca="false">L231*L$243</f>
        <v>125495.637715741</v>
      </c>
      <c r="M272" s="9" t="n">
        <f aca="false">M231*M$243</f>
        <v>139570.444155257</v>
      </c>
      <c r="N272" s="9" t="n">
        <f aca="false">N231*N$243</f>
        <v>153747.39907892</v>
      </c>
      <c r="O272" s="9" t="n">
        <f aca="false">O231*O$243</f>
        <v>170347.508693033</v>
      </c>
      <c r="P272" s="9" t="n">
        <f aca="false">P231*P$243</f>
        <v>191004.368814188</v>
      </c>
      <c r="Q272" s="9" t="n">
        <f aca="false">Q231*Q$243</f>
        <v>212617.66815242</v>
      </c>
      <c r="R272" s="9" t="n">
        <f aca="false">R231*R$243</f>
        <v>235515.425372474</v>
      </c>
      <c r="S272" s="9" t="n">
        <f aca="false">S231*S$243</f>
        <v>258595.647431392</v>
      </c>
      <c r="T272" s="9" t="n">
        <f aca="false">T231*T$243</f>
        <v>254057.616455806</v>
      </c>
      <c r="U272" s="9" t="n">
        <f aca="false">U231*U$243</f>
        <v>217360.03222342</v>
      </c>
      <c r="V272" s="9" t="n">
        <f aca="false">V231*V$243</f>
        <v>225362.251242398</v>
      </c>
      <c r="W272" s="9" t="n">
        <f aca="false">NPV(Assumptions!$L$16,C272:V272)</f>
        <v>946452.472284834</v>
      </c>
    </row>
    <row r="273" customFormat="false" ht="12.75" hidden="false" customHeight="false" outlineLevel="0" collapsed="false">
      <c r="A273" s="0" t="n">
        <f aca="false">Summary!A45</f>
        <v>29</v>
      </c>
      <c r="B273" s="0" t="s">
        <v>98</v>
      </c>
      <c r="C273" s="9" t="n">
        <f aca="false">C232*C$243</f>
        <v>52897.5505697149</v>
      </c>
      <c r="D273" s="9" t="n">
        <f aca="false">D232*D$243</f>
        <v>58086.1609298513</v>
      </c>
      <c r="E273" s="9" t="n">
        <f aca="false">E232*E$243</f>
        <v>63890.353659565</v>
      </c>
      <c r="F273" s="9" t="n">
        <f aca="false">F232*F$243</f>
        <v>70199.1517440159</v>
      </c>
      <c r="G273" s="9" t="n">
        <f aca="false">G232*G$243</f>
        <v>77130.8059434228</v>
      </c>
      <c r="H273" s="9" t="n">
        <f aca="false">H232*H$243</f>
        <v>84744.5230321873</v>
      </c>
      <c r="I273" s="9" t="n">
        <f aca="false">I232*I$243</f>
        <v>93418.0233270884</v>
      </c>
      <c r="J273" s="9" t="n">
        <f aca="false">J232*J$243</f>
        <v>103546.416256845</v>
      </c>
      <c r="K273" s="9" t="n">
        <f aca="false">K232*K$243</f>
        <v>114259.167463377</v>
      </c>
      <c r="L273" s="9" t="n">
        <f aca="false">L232*L$243</f>
        <v>125495.637715741</v>
      </c>
      <c r="M273" s="9" t="n">
        <f aca="false">M232*M$243</f>
        <v>139570.444155257</v>
      </c>
      <c r="N273" s="9" t="n">
        <f aca="false">N232*N$243</f>
        <v>153747.39907892</v>
      </c>
      <c r="O273" s="9" t="n">
        <f aca="false">O232*O$243</f>
        <v>170347.508693033</v>
      </c>
      <c r="P273" s="9" t="n">
        <f aca="false">P232*P$243</f>
        <v>191004.368814188</v>
      </c>
      <c r="Q273" s="9" t="n">
        <f aca="false">Q232*Q$243</f>
        <v>212617.66815242</v>
      </c>
      <c r="R273" s="9" t="n">
        <f aca="false">R232*R$243</f>
        <v>235515.425372474</v>
      </c>
      <c r="S273" s="9" t="n">
        <f aca="false">S232*S$243</f>
        <v>258595.647431392</v>
      </c>
      <c r="T273" s="9" t="n">
        <f aca="false">T232*T$243</f>
        <v>254057.616455806</v>
      </c>
      <c r="U273" s="9" t="n">
        <f aca="false">U232*U$243</f>
        <v>217360.03222342</v>
      </c>
      <c r="V273" s="9" t="n">
        <f aca="false">V232*V$243</f>
        <v>225362.251242398</v>
      </c>
      <c r="W273" s="9" t="n">
        <f aca="false">NPV(Assumptions!$L$16,C273:V273)</f>
        <v>946452.472284834</v>
      </c>
    </row>
    <row r="274" customFormat="false" ht="12.75" hidden="false" customHeight="false" outlineLevel="0" collapsed="false">
      <c r="A274" s="0" t="n">
        <f aca="false">Summary!A46</f>
        <v>30</v>
      </c>
      <c r="B274" s="0" t="s">
        <v>99</v>
      </c>
      <c r="C274" s="9" t="n">
        <f aca="false">C233*C$243</f>
        <v>52897.5505697149</v>
      </c>
      <c r="D274" s="9" t="n">
        <f aca="false">D233*D$243</f>
        <v>58086.1609298513</v>
      </c>
      <c r="E274" s="9" t="n">
        <f aca="false">E233*E$243</f>
        <v>63890.353659565</v>
      </c>
      <c r="F274" s="9" t="n">
        <f aca="false">F233*F$243</f>
        <v>70199.1517440159</v>
      </c>
      <c r="G274" s="9" t="n">
        <f aca="false">G233*G$243</f>
        <v>77130.8059434228</v>
      </c>
      <c r="H274" s="9" t="n">
        <f aca="false">H233*H$243</f>
        <v>84744.5230321873</v>
      </c>
      <c r="I274" s="9" t="n">
        <f aca="false">I233*I$243</f>
        <v>93418.0233270884</v>
      </c>
      <c r="J274" s="9" t="n">
        <f aca="false">J233*J$243</f>
        <v>103546.416256845</v>
      </c>
      <c r="K274" s="9" t="n">
        <f aca="false">K233*K$243</f>
        <v>114259.167463377</v>
      </c>
      <c r="L274" s="9" t="n">
        <f aca="false">L233*L$243</f>
        <v>125495.637715741</v>
      </c>
      <c r="M274" s="9" t="n">
        <f aca="false">M233*M$243</f>
        <v>139570.444155257</v>
      </c>
      <c r="N274" s="9" t="n">
        <f aca="false">N233*N$243</f>
        <v>153747.39907892</v>
      </c>
      <c r="O274" s="9" t="n">
        <f aca="false">O233*O$243</f>
        <v>170347.508693033</v>
      </c>
      <c r="P274" s="9" t="n">
        <f aca="false">P233*P$243</f>
        <v>191004.368814188</v>
      </c>
      <c r="Q274" s="9" t="n">
        <f aca="false">Q233*Q$243</f>
        <v>212617.66815242</v>
      </c>
      <c r="R274" s="9" t="n">
        <f aca="false">R233*R$243</f>
        <v>235515.425372474</v>
      </c>
      <c r="S274" s="9" t="n">
        <f aca="false">S233*S$243</f>
        <v>258595.647431392</v>
      </c>
      <c r="T274" s="9" t="n">
        <f aca="false">T233*T$243</f>
        <v>254057.616455806</v>
      </c>
      <c r="U274" s="9" t="n">
        <f aca="false">U233*U$243</f>
        <v>217360.03222342</v>
      </c>
      <c r="V274" s="9" t="n">
        <f aca="false">V233*V$243</f>
        <v>225362.251242398</v>
      </c>
      <c r="W274" s="9" t="n">
        <f aca="false">NPV(Assumptions!$L$16,C274:V274)</f>
        <v>946452.472284834</v>
      </c>
    </row>
    <row r="275" customFormat="false" ht="12.75" hidden="false" customHeight="false" outlineLevel="0" collapsed="false">
      <c r="A275" s="0" t="n">
        <f aca="false">Summary!A47</f>
        <v>31</v>
      </c>
      <c r="B275" s="0" t="s">
        <v>100</v>
      </c>
      <c r="C275" s="9" t="n">
        <f aca="false">C234*C$243</f>
        <v>52897.5505697149</v>
      </c>
      <c r="D275" s="9" t="n">
        <f aca="false">D234*D$243</f>
        <v>58086.1609298513</v>
      </c>
      <c r="E275" s="9" t="n">
        <f aca="false">E234*E$243</f>
        <v>63890.353659565</v>
      </c>
      <c r="F275" s="9" t="n">
        <f aca="false">F234*F$243</f>
        <v>70199.1517440159</v>
      </c>
      <c r="G275" s="9" t="n">
        <f aca="false">G234*G$243</f>
        <v>77130.8059434228</v>
      </c>
      <c r="H275" s="9" t="n">
        <f aca="false">H234*H$243</f>
        <v>84744.5230321873</v>
      </c>
      <c r="I275" s="9" t="n">
        <f aca="false">I234*I$243</f>
        <v>93418.0233270884</v>
      </c>
      <c r="J275" s="9" t="n">
        <f aca="false">J234*J$243</f>
        <v>103546.416256845</v>
      </c>
      <c r="K275" s="9" t="n">
        <f aca="false">K234*K$243</f>
        <v>114259.167463377</v>
      </c>
      <c r="L275" s="9" t="n">
        <f aca="false">L234*L$243</f>
        <v>125495.637715741</v>
      </c>
      <c r="M275" s="9" t="n">
        <f aca="false">M234*M$243</f>
        <v>139570.444155257</v>
      </c>
      <c r="N275" s="9" t="n">
        <f aca="false">N234*N$243</f>
        <v>153747.39907892</v>
      </c>
      <c r="O275" s="9" t="n">
        <f aca="false">O234*O$243</f>
        <v>170347.508693033</v>
      </c>
      <c r="P275" s="9" t="n">
        <f aca="false">P234*P$243</f>
        <v>191004.368814188</v>
      </c>
      <c r="Q275" s="9" t="n">
        <f aca="false">Q234*Q$243</f>
        <v>212617.66815242</v>
      </c>
      <c r="R275" s="9" t="n">
        <f aca="false">R234*R$243</f>
        <v>235515.425372474</v>
      </c>
      <c r="S275" s="9" t="n">
        <f aca="false">S234*S$243</f>
        <v>258595.647431392</v>
      </c>
      <c r="T275" s="9" t="n">
        <f aca="false">T234*T$243</f>
        <v>254057.616455806</v>
      </c>
      <c r="U275" s="9" t="n">
        <f aca="false">U234*U$243</f>
        <v>217360.03222342</v>
      </c>
      <c r="V275" s="9" t="n">
        <f aca="false">V234*V$243</f>
        <v>225362.251242398</v>
      </c>
      <c r="W275" s="9" t="n">
        <f aca="false">NPV(Assumptions!$L$16,C275:V275)</f>
        <v>946452.472284834</v>
      </c>
    </row>
    <row r="276" customFormat="false" ht="12.75" hidden="false" customHeight="false" outlineLevel="0" collapsed="false">
      <c r="A276" s="0" t="n">
        <f aca="false">Summary!A48</f>
        <v>32</v>
      </c>
      <c r="B276" s="0" t="s">
        <v>101</v>
      </c>
      <c r="C276" s="9" t="n">
        <f aca="false">C235*C$243</f>
        <v>52897.5505697149</v>
      </c>
      <c r="D276" s="9" t="n">
        <f aca="false">D235*D$243</f>
        <v>58086.1609298513</v>
      </c>
      <c r="E276" s="9" t="n">
        <f aca="false">E235*E$243</f>
        <v>63890.353659565</v>
      </c>
      <c r="F276" s="9" t="n">
        <f aca="false">F235*F$243</f>
        <v>70199.1517440159</v>
      </c>
      <c r="G276" s="9" t="n">
        <f aca="false">G235*G$243</f>
        <v>77130.8059434228</v>
      </c>
      <c r="H276" s="9" t="n">
        <f aca="false">H235*H$243</f>
        <v>84744.5230321873</v>
      </c>
      <c r="I276" s="9" t="n">
        <f aca="false">I235*I$243</f>
        <v>93418.0233270884</v>
      </c>
      <c r="J276" s="9" t="n">
        <f aca="false">J235*J$243</f>
        <v>103546.416256845</v>
      </c>
      <c r="K276" s="9" t="n">
        <f aca="false">K235*K$243</f>
        <v>114259.167463377</v>
      </c>
      <c r="L276" s="9" t="n">
        <f aca="false">L235*L$243</f>
        <v>125495.637715741</v>
      </c>
      <c r="M276" s="9" t="n">
        <f aca="false">M235*M$243</f>
        <v>139570.444155257</v>
      </c>
      <c r="N276" s="9" t="n">
        <f aca="false">N235*N$243</f>
        <v>153747.39907892</v>
      </c>
      <c r="O276" s="9" t="n">
        <f aca="false">O235*O$243</f>
        <v>170347.508693033</v>
      </c>
      <c r="P276" s="9" t="n">
        <f aca="false">P235*P$243</f>
        <v>191004.368814188</v>
      </c>
      <c r="Q276" s="9" t="n">
        <f aca="false">Q235*Q$243</f>
        <v>212617.66815242</v>
      </c>
      <c r="R276" s="9" t="n">
        <f aca="false">R235*R$243</f>
        <v>235515.425372474</v>
      </c>
      <c r="S276" s="9" t="n">
        <f aca="false">S235*S$243</f>
        <v>258595.647431392</v>
      </c>
      <c r="T276" s="9" t="n">
        <f aca="false">T235*T$243</f>
        <v>254057.616455806</v>
      </c>
      <c r="U276" s="9" t="n">
        <f aca="false">U235*U$243</f>
        <v>217360.03222342</v>
      </c>
      <c r="V276" s="9" t="n">
        <f aca="false">V235*V$243</f>
        <v>225362.251242398</v>
      </c>
      <c r="W276" s="9" t="n">
        <f aca="false">NPV(Assumptions!$L$16,C276:V276)</f>
        <v>946452.472284834</v>
      </c>
    </row>
    <row r="277" customFormat="false" ht="12.75" hidden="false" customHeight="false" outlineLevel="0" collapsed="false">
      <c r="A277" s="0" t="n">
        <f aca="false">Summary!A49</f>
        <v>33</v>
      </c>
      <c r="B277" s="0" t="s">
        <v>14</v>
      </c>
      <c r="C277" s="9" t="n">
        <f aca="false">C236*C$243</f>
        <v>0</v>
      </c>
      <c r="D277" s="9" t="n">
        <f aca="false">D236*D$243</f>
        <v>0</v>
      </c>
      <c r="E277" s="9" t="n">
        <f aca="false">E236*E$243</f>
        <v>0</v>
      </c>
      <c r="F277" s="9" t="n">
        <f aca="false">F236*F$243</f>
        <v>0</v>
      </c>
      <c r="G277" s="9" t="n">
        <f aca="false">G236*G$243</f>
        <v>0</v>
      </c>
      <c r="H277" s="9" t="n">
        <f aca="false">H236*H$243</f>
        <v>0</v>
      </c>
      <c r="I277" s="9" t="n">
        <f aca="false">I236*I$243</f>
        <v>0</v>
      </c>
      <c r="J277" s="9" t="n">
        <f aca="false">J236*J$243</f>
        <v>0</v>
      </c>
      <c r="K277" s="9" t="n">
        <f aca="false">K236*K$243</f>
        <v>0</v>
      </c>
      <c r="L277" s="9" t="n">
        <f aca="false">L236*L$243</f>
        <v>0</v>
      </c>
      <c r="M277" s="9" t="n">
        <f aca="false">M236*M$243</f>
        <v>0</v>
      </c>
      <c r="N277" s="9" t="n">
        <f aca="false">N236*N$243</f>
        <v>0</v>
      </c>
      <c r="O277" s="9" t="n">
        <f aca="false">O236*O$243</f>
        <v>0</v>
      </c>
      <c r="P277" s="9" t="n">
        <f aca="false">P236*P$243</f>
        <v>0</v>
      </c>
      <c r="Q277" s="9" t="n">
        <f aca="false">Q236*Q$243</f>
        <v>0</v>
      </c>
      <c r="R277" s="9" t="n">
        <f aca="false">R236*R$243</f>
        <v>0</v>
      </c>
      <c r="S277" s="9" t="n">
        <f aca="false">S236*S$243</f>
        <v>0</v>
      </c>
      <c r="T277" s="9" t="n">
        <f aca="false">T236*T$243</f>
        <v>0</v>
      </c>
      <c r="U277" s="9" t="n">
        <f aca="false">U236*U$243</f>
        <v>0</v>
      </c>
      <c r="V277" s="9" t="n">
        <f aca="false">V236*V$243</f>
        <v>0</v>
      </c>
      <c r="W277" s="9" t="n">
        <f aca="false">NPV(Assumptions!$L$16,C277:V277)</f>
        <v>0</v>
      </c>
    </row>
    <row r="279" customFormat="false" ht="12.75" hidden="false" customHeight="false" outlineLevel="0" collapsed="false">
      <c r="C279" s="9" t="n">
        <f aca="false">SUM(C245:C277)</f>
        <v>20040563.1141277</v>
      </c>
      <c r="D279" s="9" t="n">
        <f aca="false">SUM(D245:D277)</f>
        <v>22006300.1336498</v>
      </c>
      <c r="E279" s="9" t="n">
        <f aca="false">SUM(E245:E277)</f>
        <v>24205254.328572</v>
      </c>
      <c r="F279" s="9" t="n">
        <f aca="false">SUM(F245:F277)</f>
        <v>26595381.3727175</v>
      </c>
      <c r="G279" s="9" t="n">
        <f aca="false">SUM(G245:G277)</f>
        <v>29221481.295538</v>
      </c>
      <c r="H279" s="9" t="n">
        <f aca="false">SUM(H245:H277)</f>
        <v>32105984.9484889</v>
      </c>
      <c r="I279" s="9" t="n">
        <f aca="false">SUM(I245:I277)</f>
        <v>35391994.0019948</v>
      </c>
      <c r="J279" s="9" t="n">
        <f aca="false">SUM(J245:J277)</f>
        <v>39229198.098732</v>
      </c>
      <c r="K279" s="9" t="n">
        <f aca="false">SUM(K245:K277)</f>
        <v>43287789.9308339</v>
      </c>
      <c r="L279" s="9" t="n">
        <f aca="false">SUM(L245:L277)</f>
        <v>47544795.9518547</v>
      </c>
      <c r="M279" s="9" t="n">
        <f aca="false">SUM(M245:M277)</f>
        <v>52877123.1339709</v>
      </c>
      <c r="N279" s="9" t="n">
        <f aca="false">SUM(N245:N277)</f>
        <v>58248149.8989884</v>
      </c>
      <c r="O279" s="9" t="n">
        <f aca="false">SUM(O245:O277)</f>
        <v>64537203.7557377</v>
      </c>
      <c r="P279" s="9" t="n">
        <f aca="false">SUM(P245:P277)</f>
        <v>72363182.5494465</v>
      </c>
      <c r="Q279" s="9" t="n">
        <f aca="false">SUM(Q245:Q277)</f>
        <v>80551514.2364026</v>
      </c>
      <c r="R279" s="9" t="n">
        <f aca="false">SUM(R245:R277)</f>
        <v>89226470.7097785</v>
      </c>
      <c r="S279" s="9" t="n">
        <f aca="false">SUM(S245:S277)</f>
        <v>97970555.1121408</v>
      </c>
      <c r="T279" s="9" t="n">
        <f aca="false">SUM(T245:T277)</f>
        <v>96251294.1028768</v>
      </c>
      <c r="U279" s="9" t="n">
        <f aca="false">SUM(U245:U277)</f>
        <v>82348188.0984523</v>
      </c>
      <c r="V279" s="9" t="n">
        <f aca="false">SUM(V245:V277)</f>
        <v>85379878.1025395</v>
      </c>
      <c r="W279" s="9" t="n">
        <f aca="false">NPV(Assumptions!$L$16,C279:V279)</f>
        <v>358569353.421171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48"/>
  <sheetViews>
    <sheetView showFormulas="false" showGridLines="true" showRowColHeaders="true" showZeros="true" rightToLeft="false" tabSelected="false" showOutlineSymbols="true" defaultGridColor="true" view="normal" topLeftCell="AE1" colorId="64" zoomScale="100" zoomScaleNormal="100" zoomScalePageLayoutView="100" workbookViewId="0">
      <selection pane="topLeft" activeCell="A10" activeCellId="0" sqref="A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11.42"/>
    <col collapsed="false" customWidth="true" hidden="false" outlineLevel="0" max="7" min="7" style="1" width="9.14"/>
    <col collapsed="false" customWidth="true" hidden="false" outlineLevel="0" max="27" min="22" style="0" width="8.56"/>
    <col collapsed="false" customWidth="true" hidden="false" outlineLevel="0" max="29" min="28" style="0" width="4.7"/>
    <col collapsed="false" customWidth="true" hidden="false" outlineLevel="0" max="30" min="30" style="0" width="4.99"/>
    <col collapsed="false" customWidth="true" hidden="false" outlineLevel="0" max="31" min="31" style="0" width="5.71"/>
    <col collapsed="false" customWidth="true" hidden="false" outlineLevel="0" max="32" min="32" style="0" width="8.85"/>
    <col collapsed="false" customWidth="true" hidden="false" outlineLevel="0" max="35" min="33" style="0" width="4.99"/>
    <col collapsed="false" customWidth="true" hidden="false" outlineLevel="0" max="37" min="36" style="0" width="4.41"/>
    <col collapsed="false" customWidth="true" hidden="false" outlineLevel="0" max="38" min="38" style="0" width="7.85"/>
    <col collapsed="false" customWidth="true" hidden="false" outlineLevel="0" max="41" min="39" style="0" width="6.85"/>
    <col collapsed="false" customWidth="true" hidden="false" outlineLevel="0" max="42" min="42" style="0" width="7.56"/>
  </cols>
  <sheetData>
    <row r="1" customFormat="false" ht="12.75" hidden="false" customHeight="false" outlineLevel="0" collapsed="false">
      <c r="A1" s="263" t="s">
        <v>265</v>
      </c>
      <c r="B1" s="391" t="n">
        <f aca="false">VLOOKUP($C$1,UnitData,9)</f>
        <v>11304.7446808511</v>
      </c>
      <c r="C1" s="392" t="n">
        <f aca="false">IS!B1</f>
        <v>33</v>
      </c>
    </row>
    <row r="2" customFormat="false" ht="12.75" hidden="false" customHeight="false" outlineLevel="0" collapsed="false">
      <c r="A2" s="263"/>
      <c r="B2" s="391"/>
      <c r="C2" s="392"/>
    </row>
    <row r="3" customFormat="false" ht="12.75" hidden="false" customHeight="false" outlineLevel="0" collapsed="false">
      <c r="A3" s="263"/>
      <c r="B3" s="391"/>
      <c r="C3" s="392"/>
    </row>
    <row r="4" customFormat="false" ht="12.75" hidden="false" customHeight="false" outlineLevel="0" collapsed="false">
      <c r="A4" s="263"/>
      <c r="B4" s="391"/>
      <c r="C4" s="392"/>
    </row>
    <row r="5" customFormat="false" ht="13.5" hidden="false" customHeight="false" outlineLevel="0" collapsed="false">
      <c r="A5" s="263"/>
      <c r="B5" s="391"/>
      <c r="C5" s="392"/>
    </row>
    <row r="6" customFormat="false" ht="13.5" hidden="false" customHeight="false" outlineLevel="0" collapsed="false">
      <c r="C6" s="368"/>
      <c r="D6" s="368"/>
      <c r="G6" s="368" t="s">
        <v>266</v>
      </c>
      <c r="H6" s="393" t="s">
        <v>267</v>
      </c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5"/>
      <c r="AB6" s="273" t="s">
        <v>268</v>
      </c>
      <c r="AC6" s="273" t="s">
        <v>269</v>
      </c>
      <c r="AD6" s="368" t="s">
        <v>111</v>
      </c>
      <c r="AE6" s="368" t="s">
        <v>112</v>
      </c>
      <c r="AF6" s="368" t="s">
        <v>112</v>
      </c>
      <c r="AG6" s="368" t="s">
        <v>131</v>
      </c>
      <c r="AH6" s="368" t="s">
        <v>135</v>
      </c>
      <c r="AI6" s="368" t="s">
        <v>133</v>
      </c>
      <c r="AJ6" s="368" t="s">
        <v>111</v>
      </c>
      <c r="AK6" s="368" t="s">
        <v>112</v>
      </c>
      <c r="AL6" s="273" t="s">
        <v>270</v>
      </c>
      <c r="AM6" s="273"/>
      <c r="AN6" s="273"/>
      <c r="AO6" s="273"/>
      <c r="AP6" s="273"/>
    </row>
    <row r="7" customFormat="false" ht="13.5" hidden="false" customHeight="false" outlineLevel="0" collapsed="false">
      <c r="B7" s="396" t="str">
        <f aca="false">VLOOKUP($C$1,UnitData,13)</f>
        <v>Gas</v>
      </c>
      <c r="C7" s="368" t="s">
        <v>21</v>
      </c>
      <c r="D7" s="368" t="s">
        <v>271</v>
      </c>
      <c r="E7" s="368" t="s">
        <v>111</v>
      </c>
      <c r="F7" s="368" t="s">
        <v>112</v>
      </c>
      <c r="G7" s="368" t="s">
        <v>272</v>
      </c>
      <c r="H7" s="397" t="s">
        <v>273</v>
      </c>
      <c r="I7" s="397" t="s">
        <v>274</v>
      </c>
      <c r="J7" s="397" t="s">
        <v>275</v>
      </c>
      <c r="K7" s="397" t="s">
        <v>276</v>
      </c>
      <c r="L7" s="397" t="s">
        <v>277</v>
      </c>
      <c r="M7" s="397" t="s">
        <v>278</v>
      </c>
      <c r="N7" s="397" t="s">
        <v>279</v>
      </c>
      <c r="O7" s="397" t="s">
        <v>280</v>
      </c>
      <c r="P7" s="397" t="s">
        <v>281</v>
      </c>
      <c r="Q7" s="397" t="s">
        <v>282</v>
      </c>
      <c r="R7" s="397" t="s">
        <v>283</v>
      </c>
      <c r="S7" s="397" t="s">
        <v>284</v>
      </c>
      <c r="T7" s="397" t="s">
        <v>285</v>
      </c>
      <c r="U7" s="397" t="s">
        <v>286</v>
      </c>
      <c r="V7" s="397" t="s">
        <v>287</v>
      </c>
      <c r="W7" s="397" t="s">
        <v>288</v>
      </c>
      <c r="X7" s="397" t="s">
        <v>289</v>
      </c>
      <c r="Y7" s="397" t="s">
        <v>290</v>
      </c>
      <c r="Z7" s="397" t="s">
        <v>291</v>
      </c>
      <c r="AA7" s="397" t="s">
        <v>292</v>
      </c>
      <c r="AB7" s="273" t="s">
        <v>271</v>
      </c>
      <c r="AC7" s="273" t="s">
        <v>271</v>
      </c>
      <c r="AD7" s="368" t="s">
        <v>143</v>
      </c>
      <c r="AE7" s="368" t="s">
        <v>143</v>
      </c>
      <c r="AF7" s="368" t="s">
        <v>293</v>
      </c>
      <c r="AG7" s="368" t="s">
        <v>143</v>
      </c>
      <c r="AH7" s="368" t="s">
        <v>143</v>
      </c>
      <c r="AI7" s="368" t="s">
        <v>143</v>
      </c>
      <c r="AJ7" s="368" t="s">
        <v>129</v>
      </c>
      <c r="AK7" s="368" t="s">
        <v>129</v>
      </c>
      <c r="AL7" s="277" t="s">
        <v>124</v>
      </c>
      <c r="AM7" s="277" t="s">
        <v>125</v>
      </c>
      <c r="AN7" s="277" t="s">
        <v>294</v>
      </c>
      <c r="AO7" s="277" t="s">
        <v>295</v>
      </c>
      <c r="AP7" s="277" t="s">
        <v>296</v>
      </c>
    </row>
    <row r="8" customFormat="false" ht="12.75" hidden="false" customHeight="false" outlineLevel="0" collapsed="false">
      <c r="H8" s="398" t="n">
        <v>5</v>
      </c>
      <c r="I8" s="399" t="n">
        <v>5</v>
      </c>
      <c r="J8" s="399" t="n">
        <v>10</v>
      </c>
      <c r="K8" s="399" t="n">
        <v>20</v>
      </c>
      <c r="L8" s="399" t="n">
        <v>20</v>
      </c>
      <c r="M8" s="399" t="n">
        <v>40</v>
      </c>
      <c r="N8" s="399" t="n">
        <v>40</v>
      </c>
      <c r="O8" s="399" t="n">
        <v>40</v>
      </c>
      <c r="P8" s="399" t="n">
        <v>40</v>
      </c>
      <c r="Q8" s="399" t="n">
        <v>40</v>
      </c>
      <c r="R8" s="399" t="n">
        <v>40</v>
      </c>
      <c r="S8" s="399" t="n">
        <v>40</v>
      </c>
      <c r="T8" s="399" t="n">
        <v>40</v>
      </c>
      <c r="U8" s="399" t="n">
        <v>40</v>
      </c>
      <c r="V8" s="399" t="n">
        <v>40</v>
      </c>
      <c r="W8" s="399" t="n">
        <v>40</v>
      </c>
      <c r="X8" s="399" t="n">
        <v>40</v>
      </c>
      <c r="Y8" s="399" t="n">
        <v>40</v>
      </c>
      <c r="Z8" s="399" t="n">
        <v>40</v>
      </c>
      <c r="AA8" s="399" t="n">
        <v>110</v>
      </c>
    </row>
    <row r="9" customFormat="false" ht="12.75" hidden="false" customHeight="false" outlineLevel="0" collapsed="false">
      <c r="A9" s="400" t="n">
        <v>36540</v>
      </c>
      <c r="B9" s="401" t="n">
        <f aca="false">IF($B$7="Coal",AG9,IF($B$7="Gas",AH9,IF($B$7="Oil",AI9,0)))</f>
        <v>3.25338889786042</v>
      </c>
      <c r="C9" s="402" t="n">
        <f aca="false">(B9*$B$1*1000)/1000000</f>
        <v>36.7787308378275</v>
      </c>
      <c r="D9" s="401" t="n">
        <f aca="false">AB9+AC9</f>
        <v>0.603</v>
      </c>
      <c r="E9" s="401" t="n">
        <f aca="false">(($AJ9*$B$1*AD9*1000)/2000)/1000000</f>
        <v>0</v>
      </c>
      <c r="F9" s="401" t="n">
        <f aca="false">AF9*(($AK9*$B$1*AE9*1000)/2000)/1000000</f>
        <v>0</v>
      </c>
      <c r="G9" s="403" t="str">
        <f aca="false">IF(IS!$C$2="Peak","-",SUM(C9:F9))</f>
        <v>-</v>
      </c>
      <c r="H9" s="404" t="n">
        <v>0</v>
      </c>
      <c r="I9" s="404" t="n">
        <v>0</v>
      </c>
      <c r="J9" s="404" t="n">
        <v>0</v>
      </c>
      <c r="K9" s="404" t="n">
        <v>0</v>
      </c>
      <c r="L9" s="404" t="n">
        <v>0</v>
      </c>
      <c r="M9" s="404" t="n">
        <v>0</v>
      </c>
      <c r="N9" s="404" t="n">
        <v>0</v>
      </c>
      <c r="O9" s="404" t="n">
        <v>0</v>
      </c>
      <c r="P9" s="404" t="n">
        <v>0</v>
      </c>
      <c r="Q9" s="404" t="n">
        <v>0</v>
      </c>
      <c r="R9" s="404" t="n">
        <v>0</v>
      </c>
      <c r="S9" s="404" t="n">
        <v>0</v>
      </c>
      <c r="T9" s="404" t="n">
        <v>0</v>
      </c>
      <c r="U9" s="404" t="n">
        <v>0</v>
      </c>
      <c r="V9" s="404" t="n">
        <v>0</v>
      </c>
      <c r="W9" s="404" t="n">
        <v>0</v>
      </c>
      <c r="X9" s="404" t="n">
        <v>0</v>
      </c>
      <c r="Y9" s="404" t="n">
        <v>0</v>
      </c>
      <c r="Z9" s="404" t="n">
        <v>0</v>
      </c>
      <c r="AA9" s="404" t="n">
        <v>0</v>
      </c>
      <c r="AB9" s="401" t="n">
        <f aca="false">Peak!AB11</f>
        <v>0.603</v>
      </c>
      <c r="AC9" s="401" t="n">
        <f aca="false">Peak!AC11</f>
        <v>0</v>
      </c>
      <c r="AD9" s="405" t="n">
        <f aca="false">Peak!AD11</f>
        <v>181.155995101763</v>
      </c>
      <c r="AE9" s="405" t="n">
        <f aca="false">Peak!AE11</f>
        <v>0</v>
      </c>
      <c r="AF9" s="401" t="n">
        <f aca="false">Peak!AF11</f>
        <v>0</v>
      </c>
      <c r="AG9" s="406" t="n">
        <f aca="false">Peak!AG11</f>
        <v>0</v>
      </c>
      <c r="AH9" s="401" t="n">
        <f aca="false">Peak!AH11</f>
        <v>3.25338889786042</v>
      </c>
      <c r="AI9" s="401" t="n">
        <f aca="false">Peak!AI11</f>
        <v>3.37248327876854</v>
      </c>
      <c r="AJ9" s="401" t="n">
        <f aca="false">Peak!AJ11</f>
        <v>0</v>
      </c>
      <c r="AK9" s="401" t="n">
        <f aca="false">Peak!AK11</f>
        <v>0</v>
      </c>
      <c r="AL9" s="407" t="n">
        <f aca="false">VLOOKUP($C$1,UnitData,10)</f>
        <v>0.966121359095586</v>
      </c>
      <c r="AM9" s="407" t="n">
        <f aca="false">VLOOKUP($C$1,UnitData,11)</f>
        <v>0.924276618786118</v>
      </c>
      <c r="AN9" s="407" t="n">
        <f aca="false">VLOOKUP($C$1,UnitData,12)</f>
        <v>0.95</v>
      </c>
      <c r="AO9" s="408" t="n">
        <f aca="false">AN9</f>
        <v>0.95</v>
      </c>
      <c r="AP9" s="408" t="n">
        <f aca="false">AVERAGE(AL9:AO9)</f>
        <v>0.947599494470426</v>
      </c>
    </row>
    <row r="10" customFormat="false" ht="12.75" hidden="false" customHeight="false" outlineLevel="0" collapsed="false">
      <c r="A10" s="400" t="n">
        <f aca="false">A9+30.417</f>
        <v>36570.417</v>
      </c>
      <c r="B10" s="401" t="n">
        <f aca="false">IF($B$7="Coal",AG10,IF($B$7="Gas",AH10,IF($B$7="Oil",AI10,0)))</f>
        <v>2.91593632600788</v>
      </c>
      <c r="C10" s="402" t="n">
        <f aca="false">(B10*$B$1*1000)/1000000</f>
        <v>32.9639156711379</v>
      </c>
      <c r="D10" s="401" t="n">
        <f aca="false">AB10+AC10</f>
        <v>0.604005</v>
      </c>
      <c r="E10" s="401" t="n">
        <f aca="false">(($AJ10*$B$1*AD10*1000)/2000)/1000000</f>
        <v>0</v>
      </c>
      <c r="F10" s="401" t="n">
        <f aca="false">AF10*(($AK10*$B$1*AE10*1000)/2000)/1000000</f>
        <v>0</v>
      </c>
      <c r="G10" s="403" t="str">
        <f aca="false">IF(IS!$C$2="Peak","-",SUM(C10:F10))</f>
        <v>-</v>
      </c>
      <c r="H10" s="404" t="n">
        <v>0</v>
      </c>
      <c r="I10" s="404" t="n">
        <v>0</v>
      </c>
      <c r="J10" s="404" t="n">
        <v>0</v>
      </c>
      <c r="K10" s="404" t="n">
        <v>0</v>
      </c>
      <c r="L10" s="404" t="n">
        <v>0</v>
      </c>
      <c r="M10" s="404" t="n">
        <v>0</v>
      </c>
      <c r="N10" s="404" t="n">
        <v>0</v>
      </c>
      <c r="O10" s="404" t="n">
        <v>0</v>
      </c>
      <c r="P10" s="404" t="n">
        <v>0</v>
      </c>
      <c r="Q10" s="404" t="n">
        <v>0</v>
      </c>
      <c r="R10" s="404" t="n">
        <v>0</v>
      </c>
      <c r="S10" s="404" t="n">
        <v>0</v>
      </c>
      <c r="T10" s="404" t="n">
        <v>0</v>
      </c>
      <c r="U10" s="404" t="n">
        <v>0</v>
      </c>
      <c r="V10" s="404" t="n">
        <v>0</v>
      </c>
      <c r="W10" s="404" t="n">
        <v>0</v>
      </c>
      <c r="X10" s="404" t="n">
        <v>0</v>
      </c>
      <c r="Y10" s="404" t="n">
        <v>0</v>
      </c>
      <c r="Z10" s="404" t="n">
        <v>0</v>
      </c>
      <c r="AA10" s="404" t="n">
        <v>0</v>
      </c>
      <c r="AB10" s="401" t="n">
        <f aca="false">Peak!AB12</f>
        <v>0.604005</v>
      </c>
      <c r="AC10" s="401" t="n">
        <f aca="false">Peak!AC12</f>
        <v>0</v>
      </c>
      <c r="AD10" s="405" t="n">
        <f aca="false">Peak!AD12</f>
        <v>181.155995101763</v>
      </c>
      <c r="AE10" s="405" t="n">
        <f aca="false">Peak!AE12</f>
        <v>0</v>
      </c>
      <c r="AF10" s="401" t="n">
        <f aca="false">Peak!AF12</f>
        <v>0</v>
      </c>
      <c r="AG10" s="406" t="n">
        <f aca="false">Peak!AG12</f>
        <v>0</v>
      </c>
      <c r="AH10" s="401" t="n">
        <f aca="false">Peak!AH12</f>
        <v>2.91593632600788</v>
      </c>
      <c r="AI10" s="401" t="n">
        <f aca="false">Peak!AI12</f>
        <v>3.3412565817429</v>
      </c>
      <c r="AJ10" s="401" t="n">
        <f aca="false">Peak!AJ12</f>
        <v>0</v>
      </c>
      <c r="AK10" s="401" t="n">
        <f aca="false">Peak!AK12</f>
        <v>0</v>
      </c>
      <c r="AO10" s="409"/>
    </row>
    <row r="11" customFormat="false" ht="12.75" hidden="false" customHeight="false" outlineLevel="0" collapsed="false">
      <c r="A11" s="400" t="n">
        <f aca="false">A10+30.417</f>
        <v>36600.834</v>
      </c>
      <c r="B11" s="401" t="n">
        <f aca="false">IF($B$7="Coal",AG11,IF($B$7="Gas",AH11,IF($B$7="Oil",AI11,0)))</f>
        <v>2.8669047557387</v>
      </c>
      <c r="C11" s="402" t="n">
        <f aca="false">(B11*$B$1*1000)/1000000</f>
        <v>32.4096262879437</v>
      </c>
      <c r="D11" s="401" t="n">
        <f aca="false">AB11+AC11</f>
        <v>0.605011675</v>
      </c>
      <c r="E11" s="401" t="n">
        <f aca="false">(($AJ11*$B$1*AD11*1000)/2000)/1000000</f>
        <v>0</v>
      </c>
      <c r="F11" s="401" t="n">
        <f aca="false">AF11*(($AK11*$B$1*AE11*1000)/2000)/1000000</f>
        <v>0</v>
      </c>
      <c r="G11" s="403" t="str">
        <f aca="false">IF(IS!$C$2="Peak","-",SUM(C11:F11))</f>
        <v>-</v>
      </c>
      <c r="H11" s="404" t="n">
        <v>0</v>
      </c>
      <c r="I11" s="404" t="n">
        <v>0</v>
      </c>
      <c r="J11" s="404" t="n">
        <v>0</v>
      </c>
      <c r="K11" s="404" t="n">
        <v>0</v>
      </c>
      <c r="L11" s="404" t="n">
        <v>0</v>
      </c>
      <c r="M11" s="404" t="n">
        <v>0</v>
      </c>
      <c r="N11" s="404" t="n">
        <v>0</v>
      </c>
      <c r="O11" s="404" t="n">
        <v>0</v>
      </c>
      <c r="P11" s="404" t="n">
        <v>0</v>
      </c>
      <c r="Q11" s="404" t="n">
        <v>0</v>
      </c>
      <c r="R11" s="404" t="n">
        <v>0</v>
      </c>
      <c r="S11" s="404" t="n">
        <v>0</v>
      </c>
      <c r="T11" s="404" t="n">
        <v>0</v>
      </c>
      <c r="U11" s="404" t="n">
        <v>0</v>
      </c>
      <c r="V11" s="404" t="n">
        <v>0</v>
      </c>
      <c r="W11" s="404" t="n">
        <v>0</v>
      </c>
      <c r="X11" s="404" t="n">
        <v>0</v>
      </c>
      <c r="Y11" s="404" t="n">
        <v>0</v>
      </c>
      <c r="Z11" s="404" t="n">
        <v>0</v>
      </c>
      <c r="AA11" s="404" t="n">
        <v>0</v>
      </c>
      <c r="AB11" s="401" t="n">
        <f aca="false">Peak!AB13</f>
        <v>0.605011675</v>
      </c>
      <c r="AC11" s="401" t="n">
        <f aca="false">Peak!AC13</f>
        <v>0</v>
      </c>
      <c r="AD11" s="405" t="n">
        <f aca="false">Peak!AD13</f>
        <v>181.155995101763</v>
      </c>
      <c r="AE11" s="405" t="n">
        <f aca="false">Peak!AE13</f>
        <v>0</v>
      </c>
      <c r="AF11" s="401" t="n">
        <f aca="false">Peak!AF13</f>
        <v>0</v>
      </c>
      <c r="AG11" s="406" t="n">
        <f aca="false">Peak!AG13</f>
        <v>0</v>
      </c>
      <c r="AH11" s="401" t="n">
        <f aca="false">Peak!AH13</f>
        <v>2.8669047557387</v>
      </c>
      <c r="AI11" s="401" t="n">
        <f aca="false">Peak!AI13</f>
        <v>3.21634979364036</v>
      </c>
      <c r="AJ11" s="401" t="n">
        <f aca="false">Peak!AJ13</f>
        <v>0</v>
      </c>
      <c r="AK11" s="401" t="n">
        <f aca="false">Peak!AK13</f>
        <v>0</v>
      </c>
    </row>
    <row r="12" customFormat="false" ht="12.75" hidden="false" customHeight="false" outlineLevel="0" collapsed="false">
      <c r="A12" s="400" t="n">
        <f aca="false">A11+30.417</f>
        <v>36631.251</v>
      </c>
      <c r="B12" s="401" t="n">
        <f aca="false">IF($B$7="Coal",AG12,IF($B$7="Gas",AH12,IF($B$7="Oil",AI12,0)))</f>
        <v>2.72557846496285</v>
      </c>
      <c r="C12" s="402" t="n">
        <f aca="false">(B12*$B$1*1000)/1000000</f>
        <v>30.811968654031</v>
      </c>
      <c r="D12" s="401" t="n">
        <f aca="false">AB12+AC12</f>
        <v>0.606020027791667</v>
      </c>
      <c r="E12" s="401" t="n">
        <f aca="false">(($AJ12*$B$1*AD12*1000)/2000)/1000000</f>
        <v>0</v>
      </c>
      <c r="F12" s="401" t="n">
        <f aca="false">AF12*(($AK12*$B$1*AE12*1000)/2000)/1000000</f>
        <v>0</v>
      </c>
      <c r="G12" s="403" t="str">
        <f aca="false">IF(IS!$C$2="Peak","-",SUM(C12:F12))</f>
        <v>-</v>
      </c>
      <c r="H12" s="404" t="n">
        <v>0</v>
      </c>
      <c r="I12" s="404" t="n">
        <v>0</v>
      </c>
      <c r="J12" s="404" t="n">
        <v>0</v>
      </c>
      <c r="K12" s="404" t="n">
        <v>0</v>
      </c>
      <c r="L12" s="404" t="n">
        <v>0</v>
      </c>
      <c r="M12" s="404" t="n">
        <v>0</v>
      </c>
      <c r="N12" s="404" t="n">
        <v>0</v>
      </c>
      <c r="O12" s="404" t="n">
        <v>0</v>
      </c>
      <c r="P12" s="404" t="n">
        <v>0</v>
      </c>
      <c r="Q12" s="404" t="n">
        <v>0</v>
      </c>
      <c r="R12" s="404" t="n">
        <v>0</v>
      </c>
      <c r="S12" s="404" t="n">
        <v>0</v>
      </c>
      <c r="T12" s="404" t="n">
        <v>0</v>
      </c>
      <c r="U12" s="404" t="n">
        <v>0</v>
      </c>
      <c r="V12" s="404" t="n">
        <v>0</v>
      </c>
      <c r="W12" s="404" t="n">
        <v>0</v>
      </c>
      <c r="X12" s="404" t="n">
        <v>0</v>
      </c>
      <c r="Y12" s="404" t="n">
        <v>0</v>
      </c>
      <c r="Z12" s="404" t="n">
        <v>0</v>
      </c>
      <c r="AA12" s="404" t="n">
        <v>0</v>
      </c>
      <c r="AB12" s="401" t="n">
        <f aca="false">Peak!AB14</f>
        <v>0.606020027791667</v>
      </c>
      <c r="AC12" s="401" t="n">
        <f aca="false">Peak!AC14</f>
        <v>0</v>
      </c>
      <c r="AD12" s="405" t="n">
        <f aca="false">Peak!AD14</f>
        <v>181.155995101763</v>
      </c>
      <c r="AE12" s="405" t="n">
        <f aca="false">Peak!AE14</f>
        <v>0</v>
      </c>
      <c r="AF12" s="401" t="n">
        <f aca="false">Peak!AF14</f>
        <v>0</v>
      </c>
      <c r="AG12" s="406" t="n">
        <f aca="false">Peak!AG14</f>
        <v>0</v>
      </c>
      <c r="AH12" s="401" t="n">
        <f aca="false">Peak!AH14</f>
        <v>2.72557846496285</v>
      </c>
      <c r="AI12" s="401" t="n">
        <f aca="false">Peak!AI14</f>
        <v>3.09144300553783</v>
      </c>
      <c r="AJ12" s="401" t="n">
        <f aca="false">Peak!AJ14</f>
        <v>0</v>
      </c>
      <c r="AK12" s="401" t="n">
        <f aca="false">Peak!AK14</f>
        <v>0</v>
      </c>
      <c r="AL12" s="273" t="s">
        <v>5</v>
      </c>
      <c r="AM12" s="273"/>
      <c r="AN12" s="273"/>
      <c r="AO12" s="273"/>
      <c r="AP12" s="273"/>
    </row>
    <row r="13" customFormat="false" ht="13.5" hidden="false" customHeight="false" outlineLevel="0" collapsed="false">
      <c r="A13" s="400" t="n">
        <f aca="false">A12+30.417</f>
        <v>36661.668</v>
      </c>
      <c r="B13" s="401" t="n">
        <f aca="false">IF($B$7="Coal",AG13,IF($B$7="Gas",AH13,IF($B$7="Oil",AI13,0)))</f>
        <v>2.86978896575454</v>
      </c>
      <c r="C13" s="402" t="n">
        <f aca="false">(B13*$B$1*1000)/1000000</f>
        <v>32.4422315457787</v>
      </c>
      <c r="D13" s="401" t="n">
        <f aca="false">AB13+AC13</f>
        <v>0.60703006117132</v>
      </c>
      <c r="E13" s="401" t="n">
        <f aca="false">(($AJ13*$B$1*AD13*1000)/2000)/1000000</f>
        <v>0</v>
      </c>
      <c r="F13" s="401" t="n">
        <f aca="false">AF13*(($AK13*$B$1*AE13*1000)/2000)/1000000</f>
        <v>0</v>
      </c>
      <c r="G13" s="403" t="str">
        <f aca="false">IF(IS!$C$2="Peak","-",SUM(C13:F13))</f>
        <v>-</v>
      </c>
      <c r="H13" s="404" t="n">
        <v>0</v>
      </c>
      <c r="I13" s="404" t="n">
        <v>0</v>
      </c>
      <c r="J13" s="404" t="n">
        <v>0</v>
      </c>
      <c r="K13" s="404" t="n">
        <v>0</v>
      </c>
      <c r="L13" s="404" t="n">
        <v>0</v>
      </c>
      <c r="M13" s="404" t="n">
        <v>0</v>
      </c>
      <c r="N13" s="404" t="n">
        <v>0</v>
      </c>
      <c r="O13" s="404" t="n">
        <v>0</v>
      </c>
      <c r="P13" s="404" t="n">
        <v>0</v>
      </c>
      <c r="Q13" s="404" t="n">
        <v>0</v>
      </c>
      <c r="R13" s="404" t="n">
        <v>0</v>
      </c>
      <c r="S13" s="404" t="n">
        <v>0</v>
      </c>
      <c r="T13" s="404" t="n">
        <v>0</v>
      </c>
      <c r="U13" s="404" t="n">
        <v>0</v>
      </c>
      <c r="V13" s="404" t="n">
        <v>0</v>
      </c>
      <c r="W13" s="404" t="n">
        <v>0</v>
      </c>
      <c r="X13" s="404" t="n">
        <v>0</v>
      </c>
      <c r="Y13" s="404" t="n">
        <v>0</v>
      </c>
      <c r="Z13" s="404" t="n">
        <v>0</v>
      </c>
      <c r="AA13" s="404" t="n">
        <v>0</v>
      </c>
      <c r="AB13" s="401" t="n">
        <f aca="false">Peak!AB15</f>
        <v>0.60703006117132</v>
      </c>
      <c r="AC13" s="401" t="n">
        <f aca="false">Peak!AC15</f>
        <v>0</v>
      </c>
      <c r="AD13" s="405" t="n">
        <f aca="false">Peak!AD15</f>
        <v>181.155995101763</v>
      </c>
      <c r="AE13" s="405" t="n">
        <f aca="false">Peak!AE15</f>
        <v>0</v>
      </c>
      <c r="AF13" s="401" t="n">
        <f aca="false">Peak!AF15</f>
        <v>0</v>
      </c>
      <c r="AG13" s="406" t="n">
        <f aca="false">Peak!AG15</f>
        <v>0</v>
      </c>
      <c r="AH13" s="401" t="n">
        <f aca="false">Peak!AH15</f>
        <v>2.86978896575454</v>
      </c>
      <c r="AI13" s="401" t="n">
        <f aca="false">Peak!AI15</f>
        <v>2.96653621743529</v>
      </c>
      <c r="AJ13" s="401" t="n">
        <f aca="false">Peak!AJ15</f>
        <v>0</v>
      </c>
      <c r="AK13" s="401" t="n">
        <f aca="false">Peak!AK15</f>
        <v>0</v>
      </c>
      <c r="AL13" s="277" t="s">
        <v>124</v>
      </c>
      <c r="AM13" s="277" t="s">
        <v>125</v>
      </c>
      <c r="AN13" s="277" t="s">
        <v>294</v>
      </c>
      <c r="AO13" s="277" t="s">
        <v>295</v>
      </c>
      <c r="AP13" s="277" t="s">
        <v>296</v>
      </c>
    </row>
    <row r="14" customFormat="false" ht="12.75" hidden="false" customHeight="false" outlineLevel="0" collapsed="false">
      <c r="A14" s="400" t="n">
        <f aca="false">A13+30.417</f>
        <v>36692.085</v>
      </c>
      <c r="B14" s="401" t="n">
        <f aca="false">IF($B$7="Coal",AG14,IF($B$7="Gas",AH14,IF($B$7="Oil",AI14,0)))</f>
        <v>2.73423109501035</v>
      </c>
      <c r="C14" s="402" t="n">
        <f aca="false">(B14*$B$1*1000)/1000000</f>
        <v>30.9097844275359</v>
      </c>
      <c r="D14" s="401" t="n">
        <f aca="false">AB14+AC14</f>
        <v>0.608041777939939</v>
      </c>
      <c r="E14" s="401" t="n">
        <f aca="false">(($AJ14*$B$1*AD14*1000)/2000)/1000000</f>
        <v>0</v>
      </c>
      <c r="F14" s="401" t="n">
        <f aca="false">AF14*(($AK14*$B$1*AE14*1000)/2000)/1000000</f>
        <v>0</v>
      </c>
      <c r="G14" s="403" t="str">
        <f aca="false">IF(IS!$C$2="Peak","-",SUM(C14:F14))</f>
        <v>-</v>
      </c>
      <c r="H14" s="404" t="n">
        <v>0</v>
      </c>
      <c r="I14" s="404" t="n">
        <v>0</v>
      </c>
      <c r="J14" s="404" t="n">
        <v>0</v>
      </c>
      <c r="K14" s="404" t="n">
        <v>0</v>
      </c>
      <c r="L14" s="404" t="n">
        <v>0</v>
      </c>
      <c r="M14" s="404" t="n">
        <v>0</v>
      </c>
      <c r="N14" s="404" t="n">
        <v>0</v>
      </c>
      <c r="O14" s="404" t="n">
        <v>0</v>
      </c>
      <c r="P14" s="404" t="n">
        <v>0</v>
      </c>
      <c r="Q14" s="404" t="n">
        <v>0</v>
      </c>
      <c r="R14" s="404" t="n">
        <v>0</v>
      </c>
      <c r="S14" s="404" t="n">
        <v>0</v>
      </c>
      <c r="T14" s="404" t="n">
        <v>0</v>
      </c>
      <c r="U14" s="404" t="n">
        <v>0</v>
      </c>
      <c r="V14" s="404" t="n">
        <v>0</v>
      </c>
      <c r="W14" s="404" t="n">
        <v>0</v>
      </c>
      <c r="X14" s="404" t="n">
        <v>0</v>
      </c>
      <c r="Y14" s="404" t="n">
        <v>0</v>
      </c>
      <c r="Z14" s="404" t="n">
        <v>0</v>
      </c>
      <c r="AA14" s="404" t="n">
        <v>0</v>
      </c>
      <c r="AB14" s="401" t="n">
        <f aca="false">Peak!AB16</f>
        <v>0.608041777939939</v>
      </c>
      <c r="AC14" s="401" t="n">
        <f aca="false">Peak!AC16</f>
        <v>0</v>
      </c>
      <c r="AD14" s="405" t="n">
        <f aca="false">Peak!AD16</f>
        <v>181.155995101763</v>
      </c>
      <c r="AE14" s="405" t="n">
        <f aca="false">Peak!AE16</f>
        <v>0</v>
      </c>
      <c r="AF14" s="401" t="n">
        <f aca="false">Peak!AF16</f>
        <v>0</v>
      </c>
      <c r="AG14" s="406" t="n">
        <f aca="false">Peak!AG16</f>
        <v>0</v>
      </c>
      <c r="AH14" s="401" t="n">
        <f aca="false">Peak!AH16</f>
        <v>2.73423109501035</v>
      </c>
      <c r="AI14" s="401" t="n">
        <f aca="false">Peak!AI16</f>
        <v>2.96653621743529</v>
      </c>
      <c r="AJ14" s="401" t="n">
        <f aca="false">Peak!AJ16</f>
        <v>0</v>
      </c>
      <c r="AK14" s="401" t="n">
        <f aca="false">Peak!AK16</f>
        <v>0</v>
      </c>
    </row>
    <row r="15" customFormat="false" ht="12.75" hidden="false" customHeight="false" outlineLevel="0" collapsed="false">
      <c r="A15" s="400" t="n">
        <f aca="false">A14+30.417</f>
        <v>36722.502</v>
      </c>
      <c r="B15" s="401" t="n">
        <f aca="false">IF($B$7="Coal",AG15,IF($B$7="Gas",AH15,IF($B$7="Oil",AI15,0)))</f>
        <v>2.72557846496285</v>
      </c>
      <c r="C15" s="402" t="n">
        <f aca="false">(B15*$B$1*1000)/1000000</f>
        <v>30.811968654031</v>
      </c>
      <c r="D15" s="401" t="n">
        <f aca="false">AB15+AC15</f>
        <v>0.609055180903172</v>
      </c>
      <c r="E15" s="401" t="n">
        <f aca="false">(($AJ15*$B$1*AD15*1000)/2000)/1000000</f>
        <v>0</v>
      </c>
      <c r="F15" s="401" t="n">
        <f aca="false">AF15*(($AK15*$B$1*AE15*1000)/2000)/1000000</f>
        <v>0</v>
      </c>
      <c r="G15" s="403" t="str">
        <f aca="false">IF(IS!$C$2="Peak","-",SUM(C15:F15))</f>
        <v>-</v>
      </c>
      <c r="H15" s="404" t="n">
        <v>0</v>
      </c>
      <c r="I15" s="404" t="n">
        <v>0</v>
      </c>
      <c r="J15" s="404" t="n">
        <v>0</v>
      </c>
      <c r="K15" s="404" t="n">
        <v>0</v>
      </c>
      <c r="L15" s="404" t="n">
        <v>0</v>
      </c>
      <c r="M15" s="404" t="n">
        <v>0</v>
      </c>
      <c r="N15" s="404" t="n">
        <v>0</v>
      </c>
      <c r="O15" s="404" t="n">
        <v>0</v>
      </c>
      <c r="P15" s="404" t="n">
        <v>0</v>
      </c>
      <c r="Q15" s="404" t="n">
        <v>0</v>
      </c>
      <c r="R15" s="404" t="n">
        <v>0</v>
      </c>
      <c r="S15" s="404" t="n">
        <v>0</v>
      </c>
      <c r="T15" s="404" t="n">
        <v>0</v>
      </c>
      <c r="U15" s="404" t="n">
        <v>0</v>
      </c>
      <c r="V15" s="404" t="n">
        <v>0</v>
      </c>
      <c r="W15" s="404" t="n">
        <v>0</v>
      </c>
      <c r="X15" s="404" t="n">
        <v>0</v>
      </c>
      <c r="Y15" s="404" t="n">
        <v>0</v>
      </c>
      <c r="Z15" s="404" t="n">
        <v>0</v>
      </c>
      <c r="AA15" s="404" t="n">
        <v>0</v>
      </c>
      <c r="AB15" s="401" t="n">
        <f aca="false">Peak!AB17</f>
        <v>0.609055180903172</v>
      </c>
      <c r="AC15" s="401" t="n">
        <f aca="false">Peak!AC17</f>
        <v>0</v>
      </c>
      <c r="AD15" s="405" t="n">
        <f aca="false">Peak!AD17</f>
        <v>181.155995101763</v>
      </c>
      <c r="AE15" s="405" t="n">
        <f aca="false">Peak!AE17</f>
        <v>0</v>
      </c>
      <c r="AF15" s="401" t="n">
        <f aca="false">Peak!AF17</f>
        <v>0</v>
      </c>
      <c r="AG15" s="406" t="n">
        <f aca="false">Peak!AG17</f>
        <v>0</v>
      </c>
      <c r="AH15" s="401" t="n">
        <f aca="false">Peak!AH17</f>
        <v>2.72557846496285</v>
      </c>
      <c r="AI15" s="401" t="n">
        <f aca="false">Peak!AI17</f>
        <v>2.96653621743529</v>
      </c>
      <c r="AJ15" s="401" t="n">
        <f aca="false">Peak!AJ17</f>
        <v>0</v>
      </c>
      <c r="AK15" s="401" t="n">
        <f aca="false">Peak!AK17</f>
        <v>0</v>
      </c>
      <c r="AL15" s="410" t="n">
        <f aca="false">VLOOKUP($C$1,UnitData,3)</f>
        <v>705</v>
      </c>
      <c r="AM15" s="410" t="n">
        <f aca="false">VLOOKUP($C$1,UnitData,4)</f>
        <v>705</v>
      </c>
      <c r="AN15" s="410" t="n">
        <f aca="false">VLOOKUP($C$1,UnitData,5)</f>
        <v>705</v>
      </c>
      <c r="AO15" s="410" t="n">
        <f aca="false">AN15</f>
        <v>705</v>
      </c>
      <c r="AP15" s="410" t="n">
        <f aca="false">AVERAGE(AL15:AO15)</f>
        <v>705</v>
      </c>
    </row>
    <row r="16" customFormat="false" ht="12.75" hidden="false" customHeight="false" outlineLevel="0" collapsed="false">
      <c r="A16" s="400" t="n">
        <f aca="false">A15+30.417</f>
        <v>36752.919</v>
      </c>
      <c r="B16" s="401" t="n">
        <f aca="false">IF($B$7="Coal",AG16,IF($B$7="Gas",AH16,IF($B$7="Oil",AI16,0)))</f>
        <v>2.584252174187</v>
      </c>
      <c r="C16" s="402" t="n">
        <f aca="false">(B16*$B$1*1000)/1000000</f>
        <v>29.2143110201183</v>
      </c>
      <c r="D16" s="401" t="n">
        <f aca="false">AB16+AC16</f>
        <v>0.610070272871344</v>
      </c>
      <c r="E16" s="401" t="n">
        <f aca="false">(($AJ16*$B$1*AD16*1000)/2000)/1000000</f>
        <v>0</v>
      </c>
      <c r="F16" s="401" t="n">
        <f aca="false">AF16*(($AK16*$B$1*AE16*1000)/2000)/1000000</f>
        <v>0</v>
      </c>
      <c r="G16" s="403" t="str">
        <f aca="false">IF(IS!$C$2="Peak","-",SUM(C16:F16))</f>
        <v>-</v>
      </c>
      <c r="H16" s="404" t="n">
        <v>0</v>
      </c>
      <c r="I16" s="404" t="n">
        <v>0</v>
      </c>
      <c r="J16" s="404" t="n">
        <v>0</v>
      </c>
      <c r="K16" s="404" t="n">
        <v>0</v>
      </c>
      <c r="L16" s="404" t="n">
        <v>0</v>
      </c>
      <c r="M16" s="404" t="n">
        <v>0</v>
      </c>
      <c r="N16" s="404" t="n">
        <v>0</v>
      </c>
      <c r="O16" s="404" t="n">
        <v>0</v>
      </c>
      <c r="P16" s="404" t="n">
        <v>0</v>
      </c>
      <c r="Q16" s="404" t="n">
        <v>0</v>
      </c>
      <c r="R16" s="404" t="n">
        <v>0</v>
      </c>
      <c r="S16" s="404" t="n">
        <v>0</v>
      </c>
      <c r="T16" s="404" t="n">
        <v>0</v>
      </c>
      <c r="U16" s="404" t="n">
        <v>0</v>
      </c>
      <c r="V16" s="404" t="n">
        <v>0</v>
      </c>
      <c r="W16" s="404" t="n">
        <v>0</v>
      </c>
      <c r="X16" s="404" t="n">
        <v>0</v>
      </c>
      <c r="Y16" s="404" t="n">
        <v>0</v>
      </c>
      <c r="Z16" s="404" t="n">
        <v>0</v>
      </c>
      <c r="AA16" s="404" t="n">
        <v>0</v>
      </c>
      <c r="AB16" s="401" t="n">
        <f aca="false">Peak!AB18</f>
        <v>0.610070272871344</v>
      </c>
      <c r="AC16" s="401" t="n">
        <f aca="false">Peak!AC18</f>
        <v>0</v>
      </c>
      <c r="AD16" s="405" t="n">
        <f aca="false">Peak!AD18</f>
        <v>181.155995101763</v>
      </c>
      <c r="AE16" s="405" t="n">
        <f aca="false">Peak!AE18</f>
        <v>0</v>
      </c>
      <c r="AF16" s="401" t="n">
        <f aca="false">Peak!AF18</f>
        <v>0</v>
      </c>
      <c r="AG16" s="406" t="n">
        <f aca="false">Peak!AG18</f>
        <v>0</v>
      </c>
      <c r="AH16" s="401" t="n">
        <f aca="false">Peak!AH18</f>
        <v>2.584252174187</v>
      </c>
      <c r="AI16" s="401" t="n">
        <f aca="false">Peak!AI18</f>
        <v>2.96653621743529</v>
      </c>
      <c r="AJ16" s="401" t="n">
        <f aca="false">Peak!AJ18</f>
        <v>0</v>
      </c>
      <c r="AK16" s="401" t="n">
        <f aca="false">Peak!AK18</f>
        <v>0</v>
      </c>
    </row>
    <row r="17" customFormat="false" ht="12.75" hidden="false" customHeight="false" outlineLevel="0" collapsed="false">
      <c r="A17" s="400" t="n">
        <f aca="false">A16+30.417</f>
        <v>36783.336</v>
      </c>
      <c r="B17" s="401" t="n">
        <f aca="false">IF($B$7="Coal",AG17,IF($B$7="Gas",AH17,IF($B$7="Oil",AI17,0)))</f>
        <v>2.5755995441395</v>
      </c>
      <c r="C17" s="402" t="n">
        <f aca="false">(B17*$B$1*1000)/1000000</f>
        <v>29.1164952466134</v>
      </c>
      <c r="D17" s="401" t="n">
        <f aca="false">AB17+AC17</f>
        <v>0.611087056659463</v>
      </c>
      <c r="E17" s="401" t="n">
        <f aca="false">(($AJ17*$B$1*AD17*1000)/2000)/1000000</f>
        <v>0</v>
      </c>
      <c r="F17" s="401" t="n">
        <f aca="false">AF17*(($AK17*$B$1*AE17*1000)/2000)/1000000</f>
        <v>0</v>
      </c>
      <c r="G17" s="403" t="str">
        <f aca="false">IF(IS!$C$2="Peak","-",SUM(C17:F17))</f>
        <v>-</v>
      </c>
      <c r="H17" s="404" t="n">
        <v>0</v>
      </c>
      <c r="I17" s="404" t="n">
        <v>0</v>
      </c>
      <c r="J17" s="404" t="n">
        <v>0</v>
      </c>
      <c r="K17" s="404" t="n">
        <v>0</v>
      </c>
      <c r="L17" s="404" t="n">
        <v>0</v>
      </c>
      <c r="M17" s="404" t="n">
        <v>0</v>
      </c>
      <c r="N17" s="404" t="n">
        <v>0</v>
      </c>
      <c r="O17" s="404" t="n">
        <v>0</v>
      </c>
      <c r="P17" s="404" t="n">
        <v>0</v>
      </c>
      <c r="Q17" s="404" t="n">
        <v>0</v>
      </c>
      <c r="R17" s="404" t="n">
        <v>0</v>
      </c>
      <c r="S17" s="404" t="n">
        <v>0</v>
      </c>
      <c r="T17" s="404" t="n">
        <v>0</v>
      </c>
      <c r="U17" s="404" t="n">
        <v>0</v>
      </c>
      <c r="V17" s="404" t="n">
        <v>0</v>
      </c>
      <c r="W17" s="404" t="n">
        <v>0</v>
      </c>
      <c r="X17" s="404" t="n">
        <v>0</v>
      </c>
      <c r="Y17" s="404" t="n">
        <v>0</v>
      </c>
      <c r="Z17" s="404" t="n">
        <v>0</v>
      </c>
      <c r="AA17" s="404" t="n">
        <v>0</v>
      </c>
      <c r="AB17" s="401" t="n">
        <f aca="false">Peak!AB19</f>
        <v>0.611087056659463</v>
      </c>
      <c r="AC17" s="401" t="n">
        <f aca="false">Peak!AC19</f>
        <v>0</v>
      </c>
      <c r="AD17" s="405" t="n">
        <f aca="false">Peak!AD19</f>
        <v>181.155995101763</v>
      </c>
      <c r="AE17" s="405" t="n">
        <f aca="false">Peak!AE19</f>
        <v>0</v>
      </c>
      <c r="AF17" s="401" t="n">
        <f aca="false">Peak!AF19</f>
        <v>0</v>
      </c>
      <c r="AG17" s="406" t="n">
        <f aca="false">Peak!AG19</f>
        <v>0</v>
      </c>
      <c r="AH17" s="401" t="n">
        <f aca="false">Peak!AH19</f>
        <v>2.5755995441395</v>
      </c>
      <c r="AI17" s="401" t="n">
        <f aca="false">Peak!AI19</f>
        <v>2.96653621743529</v>
      </c>
      <c r="AJ17" s="401" t="n">
        <f aca="false">Peak!AJ19</f>
        <v>0</v>
      </c>
      <c r="AK17" s="401" t="n">
        <f aca="false">Peak!AK19</f>
        <v>0</v>
      </c>
    </row>
    <row r="18" customFormat="false" ht="12.75" hidden="false" customHeight="false" outlineLevel="0" collapsed="false">
      <c r="A18" s="400" t="n">
        <f aca="false">A17+30.417</f>
        <v>36813.753</v>
      </c>
      <c r="B18" s="401" t="n">
        <f aca="false">IF($B$7="Coal",AG18,IF($B$7="Gas",AH18,IF($B$7="Oil",AI18,0)))</f>
        <v>2.85248370565954</v>
      </c>
      <c r="C18" s="402" t="n">
        <f aca="false">(B18*$B$1*1000)/1000000</f>
        <v>32.246599998769</v>
      </c>
      <c r="D18" s="401" t="n">
        <f aca="false">AB18+AC18</f>
        <v>0.612105535087229</v>
      </c>
      <c r="E18" s="401" t="n">
        <f aca="false">(($AJ18*$B$1*AD18*1000)/2000)/1000000</f>
        <v>0</v>
      </c>
      <c r="F18" s="401" t="n">
        <f aca="false">AF18*(($AK18*$B$1*AE18*1000)/2000)/1000000</f>
        <v>0</v>
      </c>
      <c r="G18" s="403" t="str">
        <f aca="false">IF(IS!$C$2="Peak","-",SUM(C18:F18))</f>
        <v>-</v>
      </c>
      <c r="H18" s="404" t="n">
        <v>0</v>
      </c>
      <c r="I18" s="404" t="n">
        <v>0</v>
      </c>
      <c r="J18" s="404" t="n">
        <v>0</v>
      </c>
      <c r="K18" s="404" t="n">
        <v>0</v>
      </c>
      <c r="L18" s="404" t="n">
        <v>0</v>
      </c>
      <c r="M18" s="404" t="n">
        <v>0</v>
      </c>
      <c r="N18" s="404" t="n">
        <v>0</v>
      </c>
      <c r="O18" s="404" t="n">
        <v>0</v>
      </c>
      <c r="P18" s="404" t="n">
        <v>0</v>
      </c>
      <c r="Q18" s="404" t="n">
        <v>0</v>
      </c>
      <c r="R18" s="404" t="n">
        <v>0</v>
      </c>
      <c r="S18" s="404" t="n">
        <v>0</v>
      </c>
      <c r="T18" s="404" t="n">
        <v>0</v>
      </c>
      <c r="U18" s="404" t="n">
        <v>0</v>
      </c>
      <c r="V18" s="404" t="n">
        <v>0</v>
      </c>
      <c r="W18" s="404" t="n">
        <v>0</v>
      </c>
      <c r="X18" s="404" t="n">
        <v>0</v>
      </c>
      <c r="Y18" s="404" t="n">
        <v>0</v>
      </c>
      <c r="Z18" s="404" t="n">
        <v>0</v>
      </c>
      <c r="AA18" s="404" t="n">
        <v>0</v>
      </c>
      <c r="AB18" s="401" t="n">
        <f aca="false">Peak!AB20</f>
        <v>0.612105535087229</v>
      </c>
      <c r="AC18" s="401" t="n">
        <f aca="false">Peak!AC20</f>
        <v>0</v>
      </c>
      <c r="AD18" s="405" t="n">
        <f aca="false">Peak!AD20</f>
        <v>181.155995101763</v>
      </c>
      <c r="AE18" s="405" t="n">
        <f aca="false">Peak!AE20</f>
        <v>0</v>
      </c>
      <c r="AF18" s="401" t="n">
        <f aca="false">Peak!AF20</f>
        <v>0</v>
      </c>
      <c r="AG18" s="406" t="n">
        <f aca="false">Peak!AG20</f>
        <v>0</v>
      </c>
      <c r="AH18" s="401" t="n">
        <f aca="false">Peak!AH20</f>
        <v>2.85248370565954</v>
      </c>
      <c r="AI18" s="401" t="n">
        <f aca="false">Peak!AI20</f>
        <v>2.96653621743529</v>
      </c>
      <c r="AJ18" s="401" t="n">
        <f aca="false">Peak!AJ20</f>
        <v>0</v>
      </c>
      <c r="AK18" s="401" t="n">
        <f aca="false">Peak!AK20</f>
        <v>0</v>
      </c>
    </row>
    <row r="19" customFormat="false" ht="12.75" hidden="false" customHeight="false" outlineLevel="0" collapsed="false">
      <c r="A19" s="400" t="n">
        <f aca="false">A18+30.417</f>
        <v>36844.17</v>
      </c>
      <c r="B19" s="401" t="n">
        <f aca="false">IF($B$7="Coal",AG19,IF($B$7="Gas",AH19,IF($B$7="Oil",AI19,0)))</f>
        <v>3.1235994471479</v>
      </c>
      <c r="C19" s="402" t="n">
        <f aca="false">(B19*$B$1*1000)/1000000</f>
        <v>35.3114942352546</v>
      </c>
      <c r="D19" s="401" t="n">
        <f aca="false">AB19+AC19</f>
        <v>0.613125710979041</v>
      </c>
      <c r="E19" s="401" t="n">
        <f aca="false">(($AJ19*$B$1*AD19*1000)/2000)/1000000</f>
        <v>0</v>
      </c>
      <c r="F19" s="401" t="n">
        <f aca="false">AF19*(($AK19*$B$1*AE19*1000)/2000)/1000000</f>
        <v>0</v>
      </c>
      <c r="G19" s="403" t="str">
        <f aca="false">IF(IS!$C$2="Peak","-",SUM(C19:F19))</f>
        <v>-</v>
      </c>
      <c r="H19" s="404" t="n">
        <v>0</v>
      </c>
      <c r="I19" s="404" t="n">
        <v>0</v>
      </c>
      <c r="J19" s="404" t="n">
        <v>0</v>
      </c>
      <c r="K19" s="404" t="n">
        <v>0</v>
      </c>
      <c r="L19" s="404" t="n">
        <v>0</v>
      </c>
      <c r="M19" s="404" t="n">
        <v>0</v>
      </c>
      <c r="N19" s="404" t="n">
        <v>0</v>
      </c>
      <c r="O19" s="404" t="n">
        <v>0</v>
      </c>
      <c r="P19" s="404" t="n">
        <v>0</v>
      </c>
      <c r="Q19" s="404" t="n">
        <v>0</v>
      </c>
      <c r="R19" s="404" t="n">
        <v>0</v>
      </c>
      <c r="S19" s="404" t="n">
        <v>0</v>
      </c>
      <c r="T19" s="404" t="n">
        <v>0</v>
      </c>
      <c r="U19" s="404" t="n">
        <v>0</v>
      </c>
      <c r="V19" s="404" t="n">
        <v>0</v>
      </c>
      <c r="W19" s="404" t="n">
        <v>0</v>
      </c>
      <c r="X19" s="404" t="n">
        <v>0</v>
      </c>
      <c r="Y19" s="404" t="n">
        <v>0</v>
      </c>
      <c r="Z19" s="404" t="n">
        <v>0</v>
      </c>
      <c r="AA19" s="404" t="n">
        <v>0</v>
      </c>
      <c r="AB19" s="401" t="n">
        <f aca="false">Peak!AB21</f>
        <v>0.613125710979041</v>
      </c>
      <c r="AC19" s="401" t="n">
        <f aca="false">Peak!AC21</f>
        <v>0</v>
      </c>
      <c r="AD19" s="405" t="n">
        <f aca="false">Peak!AD21</f>
        <v>181.155995101763</v>
      </c>
      <c r="AE19" s="405" t="n">
        <f aca="false">Peak!AE21</f>
        <v>0</v>
      </c>
      <c r="AF19" s="401" t="n">
        <f aca="false">Peak!AF21</f>
        <v>0</v>
      </c>
      <c r="AG19" s="406" t="n">
        <f aca="false">Peak!AG21</f>
        <v>0</v>
      </c>
      <c r="AH19" s="401" t="n">
        <f aca="false">Peak!AH21</f>
        <v>3.1235994471479</v>
      </c>
      <c r="AI19" s="401" t="n">
        <f aca="false">Peak!AI21</f>
        <v>3.21634979364036</v>
      </c>
      <c r="AJ19" s="401" t="n">
        <f aca="false">Peak!AJ21</f>
        <v>0</v>
      </c>
      <c r="AK19" s="401" t="n">
        <f aca="false">Peak!AK21</f>
        <v>0</v>
      </c>
    </row>
    <row r="20" customFormat="false" ht="12.75" hidden="false" customHeight="false" outlineLevel="0" collapsed="false">
      <c r="A20" s="400" t="n">
        <f aca="false">A19+30.417</f>
        <v>36874.587</v>
      </c>
      <c r="B20" s="401" t="n">
        <f aca="false">IF($B$7="Coal",AG20,IF($B$7="Gas",AH20,IF($B$7="Oil",AI20,0)))</f>
        <v>3.3802941385571</v>
      </c>
      <c r="C20" s="402" t="n">
        <f aca="false">(B20*$B$1*1000)/1000000</f>
        <v>38.2133621825654</v>
      </c>
      <c r="D20" s="401" t="n">
        <f aca="false">AB20+AC20</f>
        <v>0.614147587164006</v>
      </c>
      <c r="E20" s="401" t="n">
        <f aca="false">(($AJ20*$B$1*AD20*1000)/2000)/1000000</f>
        <v>0</v>
      </c>
      <c r="F20" s="401" t="n">
        <f aca="false">AF20*(($AK20*$B$1*AE20*1000)/2000)/1000000</f>
        <v>0</v>
      </c>
      <c r="G20" s="403" t="str">
        <f aca="false">IF(IS!$C$2="Peak","-",SUM(C20:F20))</f>
        <v>-</v>
      </c>
      <c r="H20" s="404" t="n">
        <v>0</v>
      </c>
      <c r="I20" s="404" t="n">
        <v>0</v>
      </c>
      <c r="J20" s="404" t="n">
        <v>0</v>
      </c>
      <c r="K20" s="404" t="n">
        <v>0</v>
      </c>
      <c r="L20" s="404" t="n">
        <v>0</v>
      </c>
      <c r="M20" s="404" t="n">
        <v>0</v>
      </c>
      <c r="N20" s="404" t="n">
        <v>0</v>
      </c>
      <c r="O20" s="404" t="n">
        <v>0</v>
      </c>
      <c r="P20" s="404" t="n">
        <v>0</v>
      </c>
      <c r="Q20" s="404" t="n">
        <v>0</v>
      </c>
      <c r="R20" s="404" t="n">
        <v>0</v>
      </c>
      <c r="S20" s="404" t="n">
        <v>0</v>
      </c>
      <c r="T20" s="404" t="n">
        <v>0</v>
      </c>
      <c r="U20" s="404" t="n">
        <v>0</v>
      </c>
      <c r="V20" s="404" t="n">
        <v>0</v>
      </c>
      <c r="W20" s="404" t="n">
        <v>0</v>
      </c>
      <c r="X20" s="404" t="n">
        <v>0</v>
      </c>
      <c r="Y20" s="404" t="n">
        <v>0</v>
      </c>
      <c r="Z20" s="404" t="n">
        <v>0</v>
      </c>
      <c r="AA20" s="404" t="n">
        <v>0</v>
      </c>
      <c r="AB20" s="401" t="n">
        <f aca="false">Peak!AB22</f>
        <v>0.614147587164006</v>
      </c>
      <c r="AC20" s="401" t="n">
        <f aca="false">Peak!AC22</f>
        <v>0</v>
      </c>
      <c r="AD20" s="405" t="n">
        <f aca="false">Peak!AD22</f>
        <v>181.155995101763</v>
      </c>
      <c r="AE20" s="405" t="n">
        <f aca="false">Peak!AE22</f>
        <v>0</v>
      </c>
      <c r="AF20" s="401" t="n">
        <f aca="false">Peak!AF22</f>
        <v>0</v>
      </c>
      <c r="AG20" s="406" t="n">
        <f aca="false">Peak!AG22</f>
        <v>0</v>
      </c>
      <c r="AH20" s="401" t="n">
        <f aca="false">Peak!AH22</f>
        <v>3.3802941385571</v>
      </c>
      <c r="AI20" s="401" t="n">
        <f aca="false">Peak!AI22</f>
        <v>3.37248327876854</v>
      </c>
      <c r="AJ20" s="401" t="n">
        <f aca="false">Peak!AJ22</f>
        <v>0</v>
      </c>
      <c r="AK20" s="401" t="n">
        <f aca="false">Peak!AK22</f>
        <v>0</v>
      </c>
    </row>
    <row r="21" customFormat="false" ht="12.75" hidden="false" customHeight="false" outlineLevel="0" collapsed="false">
      <c r="A21" s="400" t="n">
        <f aca="false">A20+30.417</f>
        <v>36905.004</v>
      </c>
      <c r="B21" s="401" t="n">
        <f aca="false">IF($B$7="Coal",AG21,IF($B$7="Gas",AH21,IF($B$7="Oil",AI21,0)))</f>
        <v>4.56523008256774</v>
      </c>
      <c r="C21" s="402" t="n">
        <f aca="false">(B21*$B$1*1000)/1000000</f>
        <v>51.6087604927689</v>
      </c>
      <c r="D21" s="401" t="n">
        <f aca="false">AB21+AC21</f>
        <v>0.615171166475946</v>
      </c>
      <c r="E21" s="401" t="n">
        <f aca="false">(($AJ21*$B$1*AD21*1000)/2000)/1000000</f>
        <v>0</v>
      </c>
      <c r="F21" s="401" t="n">
        <f aca="false">AF21*(($AK21*$B$1*AE21*1000)/2000)/1000000</f>
        <v>0</v>
      </c>
      <c r="G21" s="403" t="str">
        <f aca="false">IF(IS!$C$2="Peak","-",SUM(C21:F21))</f>
        <v>-</v>
      </c>
      <c r="H21" s="411" t="n">
        <v>65.5010201343135</v>
      </c>
      <c r="I21" s="411" t="n">
        <v>64.3634569624166</v>
      </c>
      <c r="J21" s="411" t="n">
        <v>62.3114323554482</v>
      </c>
      <c r="K21" s="411" t="n">
        <v>59.0528385415521</v>
      </c>
      <c r="L21" s="411" t="n">
        <v>58.5291486009261</v>
      </c>
      <c r="M21" s="411" t="n">
        <v>58.1032802823324</v>
      </c>
      <c r="N21" s="411" t="n">
        <v>53.9888119944864</v>
      </c>
      <c r="O21" s="411" t="n">
        <v>43.8005903394595</v>
      </c>
      <c r="P21" s="411" t="n">
        <v>38.9834948676735</v>
      </c>
      <c r="Q21" s="411" t="n">
        <v>34.8645747447947</v>
      </c>
      <c r="R21" s="411" t="n">
        <v>32.4614850653813</v>
      </c>
      <c r="S21" s="411" t="n">
        <v>25.7727368861078</v>
      </c>
      <c r="T21" s="411" t="n">
        <v>24.5694775102396</v>
      </c>
      <c r="U21" s="411" t="n">
        <v>23.5244150055249</v>
      </c>
      <c r="V21" s="411" t="n">
        <v>22.359215127741</v>
      </c>
      <c r="W21" s="411" t="n">
        <v>21.8533829623393</v>
      </c>
      <c r="X21" s="411" t="n">
        <v>21.4230122579887</v>
      </c>
      <c r="Y21" s="411" t="n">
        <v>21.2246389595014</v>
      </c>
      <c r="Z21" s="411" t="n">
        <v>21.0165402447901</v>
      </c>
      <c r="AA21" s="411" t="n">
        <v>20.5913011318948</v>
      </c>
      <c r="AB21" s="401" t="n">
        <f aca="false">Peak!AB23</f>
        <v>0.615171166475946</v>
      </c>
      <c r="AC21" s="401" t="n">
        <f aca="false">Peak!AC23</f>
        <v>0</v>
      </c>
      <c r="AD21" s="405" t="n">
        <f aca="false">Peak!AD23</f>
        <v>198.925208663874</v>
      </c>
      <c r="AE21" s="405" t="n">
        <f aca="false">Peak!AE23</f>
        <v>0</v>
      </c>
      <c r="AF21" s="401" t="n">
        <f aca="false">Peak!AF23</f>
        <v>0</v>
      </c>
      <c r="AG21" s="406" t="n">
        <f aca="false">Peak!AG23</f>
        <v>0</v>
      </c>
      <c r="AH21" s="401" t="n">
        <f aca="false">Peak!AH23</f>
        <v>4.56523008256774</v>
      </c>
      <c r="AI21" s="401" t="n">
        <f aca="false">Peak!AI23</f>
        <v>4.29234146341463</v>
      </c>
      <c r="AJ21" s="401" t="n">
        <f aca="false">Peak!AJ23</f>
        <v>0</v>
      </c>
      <c r="AK21" s="401" t="n">
        <f aca="false">Peak!AK23</f>
        <v>0</v>
      </c>
    </row>
    <row r="22" customFormat="false" ht="12.75" hidden="false" customHeight="false" outlineLevel="0" collapsed="false">
      <c r="A22" s="400" t="n">
        <f aca="false">A21+30.417</f>
        <v>36935.421</v>
      </c>
      <c r="B22" s="401" t="n">
        <f aca="false">IF($B$7="Coal",AG22,IF($B$7="Gas",AH22,IF($B$7="Oil",AI22,0)))</f>
        <v>4.09170887719502</v>
      </c>
      <c r="C22" s="402" t="n">
        <f aca="false">(B22*$B$1*1000)/1000000</f>
        <v>46.2557241650615</v>
      </c>
      <c r="D22" s="401" t="n">
        <f aca="false">AB22+AC22</f>
        <v>0.616196451753406</v>
      </c>
      <c r="E22" s="401" t="n">
        <f aca="false">(($AJ22*$B$1*AD22*1000)/2000)/1000000</f>
        <v>0</v>
      </c>
      <c r="F22" s="401" t="n">
        <f aca="false">AF22*(($AK22*$B$1*AE22*1000)/2000)/1000000</f>
        <v>0</v>
      </c>
      <c r="G22" s="403" t="str">
        <f aca="false">IF(IS!$C$2="Peak","-",SUM(C22:F22))</f>
        <v>-</v>
      </c>
      <c r="H22" s="411" t="n">
        <v>72.2959882219521</v>
      </c>
      <c r="I22" s="411" t="n">
        <v>70.2425027074945</v>
      </c>
      <c r="J22" s="411" t="n">
        <v>66.9658381939083</v>
      </c>
      <c r="K22" s="411" t="n">
        <v>65.0467228067253</v>
      </c>
      <c r="L22" s="411" t="n">
        <v>64.8875362986721</v>
      </c>
      <c r="M22" s="411" t="n">
        <v>61.8884526589196</v>
      </c>
      <c r="N22" s="411" t="n">
        <v>52.6014350904024</v>
      </c>
      <c r="O22" s="411" t="n">
        <v>44.4233872421263</v>
      </c>
      <c r="P22" s="411" t="n">
        <v>36.9843517540415</v>
      </c>
      <c r="Q22" s="411" t="n">
        <v>35.4416237147591</v>
      </c>
      <c r="R22" s="411" t="n">
        <v>27.625153444357</v>
      </c>
      <c r="S22" s="411" t="n">
        <v>25.7263678111215</v>
      </c>
      <c r="T22" s="411" t="n">
        <v>24.9480782762066</v>
      </c>
      <c r="U22" s="411" t="n">
        <v>23.6982887026215</v>
      </c>
      <c r="V22" s="411" t="n">
        <v>23.1632008241761</v>
      </c>
      <c r="W22" s="411" t="n">
        <v>22.7394623187078</v>
      </c>
      <c r="X22" s="411" t="n">
        <v>22.3815351239894</v>
      </c>
      <c r="Y22" s="411" t="n">
        <v>22.1124018971062</v>
      </c>
      <c r="Z22" s="411" t="n">
        <v>21.9560588540641</v>
      </c>
      <c r="AA22" s="411" t="n">
        <v>21.6308720425199</v>
      </c>
      <c r="AB22" s="401" t="n">
        <f aca="false">Peak!AB24</f>
        <v>0.616196451753406</v>
      </c>
      <c r="AC22" s="401" t="n">
        <f aca="false">Peak!AC24</f>
        <v>0</v>
      </c>
      <c r="AD22" s="405" t="n">
        <f aca="false">Peak!AD24</f>
        <v>198.925208663874</v>
      </c>
      <c r="AE22" s="405" t="n">
        <f aca="false">Peak!AE24</f>
        <v>0</v>
      </c>
      <c r="AF22" s="401" t="n">
        <f aca="false">Peak!AF24</f>
        <v>0</v>
      </c>
      <c r="AG22" s="406" t="n">
        <f aca="false">Peak!AG24</f>
        <v>0</v>
      </c>
      <c r="AH22" s="401" t="n">
        <f aca="false">Peak!AH24</f>
        <v>4.09170887719502</v>
      </c>
      <c r="AI22" s="401" t="n">
        <f aca="false">Peak!AI24</f>
        <v>4.25259756097561</v>
      </c>
      <c r="AJ22" s="401" t="n">
        <f aca="false">Peak!AJ24</f>
        <v>0</v>
      </c>
      <c r="AK22" s="401" t="n">
        <f aca="false">Peak!AK24</f>
        <v>0</v>
      </c>
    </row>
    <row r="23" customFormat="false" ht="12.75" hidden="false" customHeight="false" outlineLevel="0" collapsed="false">
      <c r="A23" s="400" t="n">
        <f aca="false">A22+30.417</f>
        <v>36965.838</v>
      </c>
      <c r="B23" s="401" t="n">
        <f aca="false">IF($B$7="Coal",AG23,IF($B$7="Gas",AH23,IF($B$7="Oil",AI23,0)))</f>
        <v>4.02290665077335</v>
      </c>
      <c r="C23" s="402" t="n">
        <f aca="false">(B23*$B$1*1000)/1000000</f>
        <v>45.4779325618904</v>
      </c>
      <c r="D23" s="401" t="n">
        <f aca="false">AB23+AC23</f>
        <v>0.617223445839661</v>
      </c>
      <c r="E23" s="401" t="n">
        <f aca="false">(($AJ23*$B$1*AD23*1000)/2000)/1000000</f>
        <v>0</v>
      </c>
      <c r="F23" s="401" t="n">
        <f aca="false">AF23*(($AK23*$B$1*AE23*1000)/2000)/1000000</f>
        <v>0</v>
      </c>
      <c r="G23" s="403" t="str">
        <f aca="false">IF(IS!$C$2="Peak","-",SUM(C23:F23))</f>
        <v>-</v>
      </c>
      <c r="H23" s="411" t="n">
        <v>70.4255630924272</v>
      </c>
      <c r="I23" s="411" t="n">
        <v>68.4865613665765</v>
      </c>
      <c r="J23" s="411" t="n">
        <v>66.3396505274274</v>
      </c>
      <c r="K23" s="411" t="n">
        <v>64.031830692906</v>
      </c>
      <c r="L23" s="411" t="n">
        <v>63.6822235231905</v>
      </c>
      <c r="M23" s="411" t="n">
        <v>62.5511252739161</v>
      </c>
      <c r="N23" s="411" t="n">
        <v>57.8362121984519</v>
      </c>
      <c r="O23" s="411" t="n">
        <v>46.6487822524843</v>
      </c>
      <c r="P23" s="411" t="n">
        <v>42.6788677129588</v>
      </c>
      <c r="Q23" s="411" t="n">
        <v>36.2971858790349</v>
      </c>
      <c r="R23" s="411" t="n">
        <v>36.102620449962</v>
      </c>
      <c r="S23" s="411" t="n">
        <v>27.1967464950053</v>
      </c>
      <c r="T23" s="411" t="n">
        <v>24.1692187369441</v>
      </c>
      <c r="U23" s="411" t="n">
        <v>23.7109987820545</v>
      </c>
      <c r="V23" s="411" t="n">
        <v>22.6758143802516</v>
      </c>
      <c r="W23" s="411" t="n">
        <v>21.7417525953148</v>
      </c>
      <c r="X23" s="411" t="n">
        <v>21.3672768934649</v>
      </c>
      <c r="Y23" s="411" t="n">
        <v>20.9503742939157</v>
      </c>
      <c r="Z23" s="411" t="n">
        <v>20.653748138456</v>
      </c>
      <c r="AA23" s="411" t="n">
        <v>20.2122660516059</v>
      </c>
      <c r="AB23" s="401" t="n">
        <f aca="false">Peak!AB25</f>
        <v>0.617223445839661</v>
      </c>
      <c r="AC23" s="401" t="n">
        <f aca="false">Peak!AC25</f>
        <v>0</v>
      </c>
      <c r="AD23" s="405" t="n">
        <f aca="false">Peak!AD25</f>
        <v>198.925208663874</v>
      </c>
      <c r="AE23" s="405" t="n">
        <f aca="false">Peak!AE25</f>
        <v>0</v>
      </c>
      <c r="AF23" s="401" t="n">
        <f aca="false">Peak!AF25</f>
        <v>0</v>
      </c>
      <c r="AG23" s="406" t="n">
        <f aca="false">Peak!AG25</f>
        <v>0</v>
      </c>
      <c r="AH23" s="401" t="n">
        <f aca="false">Peak!AH25</f>
        <v>4.02290665077335</v>
      </c>
      <c r="AI23" s="401" t="n">
        <f aca="false">Peak!AI25</f>
        <v>4.09362195121951</v>
      </c>
      <c r="AJ23" s="401" t="n">
        <f aca="false">Peak!AJ25</f>
        <v>0</v>
      </c>
      <c r="AK23" s="401" t="n">
        <f aca="false">Peak!AK25</f>
        <v>0</v>
      </c>
    </row>
    <row r="24" customFormat="false" ht="12.75" hidden="false" customHeight="false" outlineLevel="0" collapsed="false">
      <c r="A24" s="400" t="n">
        <f aca="false">A23+30.417</f>
        <v>36996.255</v>
      </c>
      <c r="B24" s="401" t="n">
        <f aca="false">IF($B$7="Coal",AG24,IF($B$7="Gas",AH24,IF($B$7="Oil",AI24,0)))</f>
        <v>3.82459435108734</v>
      </c>
      <c r="C24" s="402" t="n">
        <f aca="false">(B24*$B$1*1000)/1000000</f>
        <v>43.2360626468676</v>
      </c>
      <c r="D24" s="401" t="n">
        <f aca="false">AB24+AC24</f>
        <v>0.618252151582728</v>
      </c>
      <c r="E24" s="401" t="n">
        <f aca="false">(($AJ24*$B$1*AD24*1000)/2000)/1000000</f>
        <v>0</v>
      </c>
      <c r="F24" s="401" t="n">
        <f aca="false">AF24*(($AK24*$B$1*AE24*1000)/2000)/1000000</f>
        <v>0</v>
      </c>
      <c r="G24" s="403" t="str">
        <f aca="false">IF(IS!$C$2="Peak","-",SUM(C24:F24))</f>
        <v>-</v>
      </c>
      <c r="H24" s="411" t="n">
        <v>69.3414092523791</v>
      </c>
      <c r="I24" s="411" t="n">
        <v>66.6765795070748</v>
      </c>
      <c r="J24" s="411" t="n">
        <v>65.6435817367094</v>
      </c>
      <c r="K24" s="411" t="n">
        <v>65.5583199643681</v>
      </c>
      <c r="L24" s="411" t="n">
        <v>64.61135932493</v>
      </c>
      <c r="M24" s="411" t="n">
        <v>59.4523273573205</v>
      </c>
      <c r="N24" s="411" t="n">
        <v>47.2834342459507</v>
      </c>
      <c r="O24" s="411" t="n">
        <v>41.5963890226285</v>
      </c>
      <c r="P24" s="411" t="n">
        <v>37.297770647663</v>
      </c>
      <c r="Q24" s="411" t="n">
        <v>31.8486382000295</v>
      </c>
      <c r="R24" s="411" t="n">
        <v>23.1017408493681</v>
      </c>
      <c r="S24" s="411" t="n">
        <v>22.5212680830476</v>
      </c>
      <c r="T24" s="411" t="n">
        <v>21.2803191728195</v>
      </c>
      <c r="U24" s="411" t="n">
        <v>20.3315952655667</v>
      </c>
      <c r="V24" s="411" t="n">
        <v>19.8183801060861</v>
      </c>
      <c r="W24" s="411" t="n">
        <v>19.4601849091051</v>
      </c>
      <c r="X24" s="411" t="n">
        <v>19.2309945764977</v>
      </c>
      <c r="Y24" s="411" t="n">
        <v>19.0562406085527</v>
      </c>
      <c r="Z24" s="411" t="n">
        <v>18.7971140369618</v>
      </c>
      <c r="AA24" s="411" t="n">
        <v>18.528378831198</v>
      </c>
      <c r="AB24" s="401" t="n">
        <f aca="false">Peak!AB26</f>
        <v>0.618252151582728</v>
      </c>
      <c r="AC24" s="401" t="n">
        <f aca="false">Peak!AC26</f>
        <v>0</v>
      </c>
      <c r="AD24" s="405" t="n">
        <f aca="false">Peak!AD26</f>
        <v>198.925208663874</v>
      </c>
      <c r="AE24" s="405" t="n">
        <f aca="false">Peak!AE26</f>
        <v>0</v>
      </c>
      <c r="AF24" s="401" t="n">
        <f aca="false">Peak!AF26</f>
        <v>0</v>
      </c>
      <c r="AG24" s="406" t="n">
        <f aca="false">Peak!AG26</f>
        <v>0</v>
      </c>
      <c r="AH24" s="401" t="n">
        <f aca="false">Peak!AH26</f>
        <v>3.82459435108734</v>
      </c>
      <c r="AI24" s="401" t="n">
        <f aca="false">Peak!AI26</f>
        <v>3.93464634146341</v>
      </c>
      <c r="AJ24" s="401" t="n">
        <f aca="false">Peak!AJ26</f>
        <v>0</v>
      </c>
      <c r="AK24" s="401" t="n">
        <f aca="false">Peak!AK26</f>
        <v>0</v>
      </c>
    </row>
    <row r="25" customFormat="false" ht="12.75" hidden="false" customHeight="false" outlineLevel="0" collapsed="false">
      <c r="A25" s="400" t="n">
        <f aca="false">A24+30.417</f>
        <v>37026.672</v>
      </c>
      <c r="B25" s="401" t="n">
        <f aca="false">IF($B$7="Coal",AG25,IF($B$7="Gas",AH25,IF($B$7="Oil",AI25,0)))</f>
        <v>4.02695384056286</v>
      </c>
      <c r="C25" s="402" t="n">
        <f aca="false">(B25*$B$1*1000)/1000000</f>
        <v>45.5236850091357</v>
      </c>
      <c r="D25" s="401" t="n">
        <f aca="false">AB25+AC25</f>
        <v>0.619282571835365</v>
      </c>
      <c r="E25" s="401" t="n">
        <f aca="false">(($AJ25*$B$1*AD25*1000)/2000)/1000000</f>
        <v>0</v>
      </c>
      <c r="F25" s="401" t="n">
        <f aca="false">AF25*(($AK25*$B$1*AE25*1000)/2000)/1000000</f>
        <v>0</v>
      </c>
      <c r="G25" s="403" t="str">
        <f aca="false">IF(IS!$C$2="Peak","-",SUM(C25:F25))</f>
        <v>-</v>
      </c>
      <c r="H25" s="411" t="n">
        <v>63.1139801761495</v>
      </c>
      <c r="I25" s="411" t="n">
        <v>55.5500945318675</v>
      </c>
      <c r="J25" s="411" t="n">
        <v>53.705110089514</v>
      </c>
      <c r="K25" s="411" t="n">
        <v>51.3806480301037</v>
      </c>
      <c r="L25" s="411" t="n">
        <v>48.0886064232894</v>
      </c>
      <c r="M25" s="411" t="n">
        <v>46.8931315681123</v>
      </c>
      <c r="N25" s="411" t="n">
        <v>45.2889625256863</v>
      </c>
      <c r="O25" s="411" t="n">
        <v>35.9562750737411</v>
      </c>
      <c r="P25" s="411" t="n">
        <v>31.9233517652015</v>
      </c>
      <c r="Q25" s="411" t="n">
        <v>27.4277285846719</v>
      </c>
      <c r="R25" s="411" t="n">
        <v>27.2449302781604</v>
      </c>
      <c r="S25" s="411" t="n">
        <v>25.5847309795858</v>
      </c>
      <c r="T25" s="411" t="n">
        <v>24.9239128947484</v>
      </c>
      <c r="U25" s="411" t="n">
        <v>23.4267217027506</v>
      </c>
      <c r="V25" s="411" t="n">
        <v>22.7810729458066</v>
      </c>
      <c r="W25" s="411" t="n">
        <v>22.3136556986075</v>
      </c>
      <c r="X25" s="411" t="n">
        <v>22.0468889797926</v>
      </c>
      <c r="Y25" s="411" t="n">
        <v>21.7834024204805</v>
      </c>
      <c r="Z25" s="411" t="n">
        <v>21.6240187186611</v>
      </c>
      <c r="AA25" s="411" t="n">
        <v>21.2819407126101</v>
      </c>
      <c r="AB25" s="401" t="n">
        <f aca="false">Peak!AB27</f>
        <v>0.619282571835365</v>
      </c>
      <c r="AC25" s="401" t="n">
        <f aca="false">Peak!AC27</f>
        <v>0</v>
      </c>
      <c r="AD25" s="405" t="n">
        <f aca="false">Peak!AD27</f>
        <v>198.925208663874</v>
      </c>
      <c r="AE25" s="405" t="n">
        <f aca="false">Peak!AE27</f>
        <v>0</v>
      </c>
      <c r="AF25" s="401" t="n">
        <f aca="false">Peak!AF27</f>
        <v>0</v>
      </c>
      <c r="AG25" s="406" t="n">
        <f aca="false">Peak!AG27</f>
        <v>0</v>
      </c>
      <c r="AH25" s="401" t="n">
        <f aca="false">Peak!AH27</f>
        <v>4.02695384056286</v>
      </c>
      <c r="AI25" s="401" t="n">
        <f aca="false">Peak!AI27</f>
        <v>3.77567073170732</v>
      </c>
      <c r="AJ25" s="401" t="n">
        <f aca="false">Peak!AJ27</f>
        <v>0</v>
      </c>
      <c r="AK25" s="401" t="n">
        <f aca="false">Peak!AK27</f>
        <v>0</v>
      </c>
    </row>
    <row r="26" customFormat="false" ht="12.75" hidden="false" customHeight="false" outlineLevel="0" collapsed="false">
      <c r="A26" s="400" t="n">
        <f aca="false">A25+30.417</f>
        <v>37057.089</v>
      </c>
      <c r="B26" s="401" t="n">
        <f aca="false">IF($B$7="Coal",AG26,IF($B$7="Gas",AH26,IF($B$7="Oil",AI26,0)))</f>
        <v>3.83673592045587</v>
      </c>
      <c r="C26" s="402" t="n">
        <f aca="false">(B26*$B$1*1000)/1000000</f>
        <v>43.3733199886037</v>
      </c>
      <c r="D26" s="401" t="n">
        <f aca="false">AB26+AC26</f>
        <v>0.620314709455091</v>
      </c>
      <c r="E26" s="401" t="n">
        <f aca="false">(($AJ26*$B$1*AD26*1000)/2000)/1000000</f>
        <v>0</v>
      </c>
      <c r="F26" s="401" t="n">
        <f aca="false">AF26*(($AK26*$B$1*AE26*1000)/2000)/1000000</f>
        <v>0</v>
      </c>
      <c r="G26" s="403" t="str">
        <f aca="false">IF(IS!$C$2="Peak","-",SUM(C26:F26))</f>
        <v>-</v>
      </c>
      <c r="H26" s="411" t="n">
        <v>168.691537627165</v>
      </c>
      <c r="I26" s="411" t="n">
        <v>88.1028124527601</v>
      </c>
      <c r="J26" s="411" t="n">
        <v>78.341358306821</v>
      </c>
      <c r="K26" s="411" t="n">
        <v>73.4799788694639</v>
      </c>
      <c r="L26" s="411" t="n">
        <v>68.1679467577682</v>
      </c>
      <c r="M26" s="411" t="n">
        <v>66.7221724552345</v>
      </c>
      <c r="N26" s="411" t="n">
        <v>55.0383213924608</v>
      </c>
      <c r="O26" s="411" t="n">
        <v>42.5177073975074</v>
      </c>
      <c r="P26" s="411" t="n">
        <v>37.2644344630584</v>
      </c>
      <c r="Q26" s="411" t="n">
        <v>27.4420082924455</v>
      </c>
      <c r="R26" s="411" t="n">
        <v>25.9094711922948</v>
      </c>
      <c r="S26" s="411" t="n">
        <v>24.0120061928186</v>
      </c>
      <c r="T26" s="411" t="n">
        <v>23.305382169286</v>
      </c>
      <c r="U26" s="411" t="n">
        <v>22.5619894371891</v>
      </c>
      <c r="V26" s="411" t="n">
        <v>22.1412558116268</v>
      </c>
      <c r="W26" s="411" t="n">
        <v>21.8758446851691</v>
      </c>
      <c r="X26" s="411" t="n">
        <v>21.5830107590588</v>
      </c>
      <c r="Y26" s="411" t="n">
        <v>21.4522677395284</v>
      </c>
      <c r="Z26" s="411" t="n">
        <v>21.3431219171366</v>
      </c>
      <c r="AA26" s="411" t="n">
        <v>20.954189432858</v>
      </c>
      <c r="AB26" s="401" t="n">
        <f aca="false">Peak!AB28</f>
        <v>0.620314709455091</v>
      </c>
      <c r="AC26" s="401" t="n">
        <f aca="false">Peak!AC28</f>
        <v>0</v>
      </c>
      <c r="AD26" s="405" t="n">
        <f aca="false">Peak!AD28</f>
        <v>198.925208663874</v>
      </c>
      <c r="AE26" s="405" t="n">
        <f aca="false">Peak!AE28</f>
        <v>0</v>
      </c>
      <c r="AF26" s="401" t="n">
        <f aca="false">Peak!AF28</f>
        <v>0</v>
      </c>
      <c r="AG26" s="406" t="n">
        <f aca="false">Peak!AG28</f>
        <v>0</v>
      </c>
      <c r="AH26" s="401" t="n">
        <f aca="false">Peak!AH28</f>
        <v>3.83673592045587</v>
      </c>
      <c r="AI26" s="401" t="n">
        <f aca="false">Peak!AI28</f>
        <v>3.77567073170732</v>
      </c>
      <c r="AJ26" s="401" t="n">
        <f aca="false">Peak!AJ28</f>
        <v>0</v>
      </c>
      <c r="AK26" s="401" t="n">
        <f aca="false">Peak!AK28</f>
        <v>0</v>
      </c>
    </row>
    <row r="27" customFormat="false" ht="12.75" hidden="false" customHeight="false" outlineLevel="0" collapsed="false">
      <c r="A27" s="400" t="n">
        <f aca="false">A26+30.417</f>
        <v>37087.506</v>
      </c>
      <c r="B27" s="401" t="n">
        <f aca="false">IF($B$7="Coal",AG27,IF($B$7="Gas",AH27,IF($B$7="Oil",AI27,0)))</f>
        <v>3.82459435108734</v>
      </c>
      <c r="C27" s="402" t="n">
        <f aca="false">(B27*$B$1*1000)/1000000</f>
        <v>43.2360626468676</v>
      </c>
      <c r="D27" s="401" t="n">
        <f aca="false">AB27+AC27</f>
        <v>0.621348567304183</v>
      </c>
      <c r="E27" s="401" t="n">
        <f aca="false">(($AJ27*$B$1*AD27*1000)/2000)/1000000</f>
        <v>0</v>
      </c>
      <c r="F27" s="401" t="n">
        <f aca="false">AF27*(($AK27*$B$1*AE27*1000)/2000)/1000000</f>
        <v>0</v>
      </c>
      <c r="G27" s="403" t="str">
        <f aca="false">IF(IS!$C$2="Peak","-",SUM(C27:F27))</f>
        <v>-</v>
      </c>
      <c r="H27" s="411" t="n">
        <v>1335.65615203424</v>
      </c>
      <c r="I27" s="411" t="n">
        <v>672.526353989818</v>
      </c>
      <c r="J27" s="411" t="n">
        <v>399.319077232689</v>
      </c>
      <c r="K27" s="411" t="n">
        <v>234.199971969021</v>
      </c>
      <c r="L27" s="411" t="n">
        <v>74.2947766797887</v>
      </c>
      <c r="M27" s="411" t="n">
        <v>53.7069886988138</v>
      </c>
      <c r="N27" s="411" t="n">
        <v>49.5320518212082</v>
      </c>
      <c r="O27" s="411" t="n">
        <v>46.7828848592439</v>
      </c>
      <c r="P27" s="411" t="n">
        <v>45.6159514505194</v>
      </c>
      <c r="Q27" s="411" t="n">
        <v>37.5830841660709</v>
      </c>
      <c r="R27" s="411" t="n">
        <v>30.5236004280784</v>
      </c>
      <c r="S27" s="411" t="n">
        <v>27.2426175644764</v>
      </c>
      <c r="T27" s="411" t="n">
        <v>24.2767559103886</v>
      </c>
      <c r="U27" s="411" t="n">
        <v>23.1111130927239</v>
      </c>
      <c r="V27" s="411" t="n">
        <v>21.5083360939602</v>
      </c>
      <c r="W27" s="411" t="n">
        <v>20.8603427769238</v>
      </c>
      <c r="X27" s="411" t="n">
        <v>20.2994746455038</v>
      </c>
      <c r="Y27" s="411" t="n">
        <v>19.9889951031299</v>
      </c>
      <c r="Z27" s="411" t="n">
        <v>19.701044467192</v>
      </c>
      <c r="AA27" s="411" t="n">
        <v>19.2149502061105</v>
      </c>
      <c r="AB27" s="401" t="n">
        <f aca="false">Peak!AB29</f>
        <v>0.621348567304183</v>
      </c>
      <c r="AC27" s="401" t="n">
        <f aca="false">Peak!AC29</f>
        <v>0</v>
      </c>
      <c r="AD27" s="405" t="n">
        <f aca="false">Peak!AD29</f>
        <v>198.925208663874</v>
      </c>
      <c r="AE27" s="405" t="n">
        <f aca="false">Peak!AE29</f>
        <v>0</v>
      </c>
      <c r="AF27" s="401" t="n">
        <f aca="false">Peak!AF29</f>
        <v>0</v>
      </c>
      <c r="AG27" s="406" t="n">
        <f aca="false">Peak!AG29</f>
        <v>0</v>
      </c>
      <c r="AH27" s="401" t="n">
        <f aca="false">Peak!AH29</f>
        <v>3.82459435108734</v>
      </c>
      <c r="AI27" s="401" t="n">
        <f aca="false">Peak!AI29</f>
        <v>3.77567073170732</v>
      </c>
      <c r="AJ27" s="401" t="n">
        <f aca="false">Peak!AJ29</f>
        <v>0</v>
      </c>
      <c r="AK27" s="401" t="n">
        <f aca="false">Peak!AK29</f>
        <v>0</v>
      </c>
    </row>
    <row r="28" customFormat="false" ht="12.75" hidden="false" customHeight="false" outlineLevel="0" collapsed="false">
      <c r="A28" s="400" t="n">
        <f aca="false">A27+30.417</f>
        <v>37117.923</v>
      </c>
      <c r="B28" s="401" t="n">
        <f aca="false">IF($B$7="Coal",AG28,IF($B$7="Gas",AH28,IF($B$7="Oil",AI28,0)))</f>
        <v>3.62628205140133</v>
      </c>
      <c r="C28" s="402" t="n">
        <f aca="false">(B28*$B$1*1000)/1000000</f>
        <v>40.9941927318448</v>
      </c>
      <c r="D28" s="401" t="n">
        <f aca="false">AB28+AC28</f>
        <v>0.62238414824969</v>
      </c>
      <c r="E28" s="401" t="n">
        <f aca="false">(($AJ28*$B$1*AD28*1000)/2000)/1000000</f>
        <v>0</v>
      </c>
      <c r="F28" s="401" t="n">
        <f aca="false">AF28*(($AK28*$B$1*AE28*1000)/2000)/1000000</f>
        <v>0</v>
      </c>
      <c r="G28" s="403" t="str">
        <f aca="false">IF(IS!$C$2="Peak","-",SUM(C28:F28))</f>
        <v>-</v>
      </c>
      <c r="H28" s="411" t="n">
        <v>4372.25177087777</v>
      </c>
      <c r="I28" s="411" t="n">
        <v>1648.17581585337</v>
      </c>
      <c r="J28" s="411" t="n">
        <v>879.772630279141</v>
      </c>
      <c r="K28" s="411" t="n">
        <v>402.738527257934</v>
      </c>
      <c r="L28" s="411" t="n">
        <v>223.549344566243</v>
      </c>
      <c r="M28" s="411" t="n">
        <v>56.9514507712682</v>
      </c>
      <c r="N28" s="411" t="n">
        <v>45.1256637627615</v>
      </c>
      <c r="O28" s="411" t="n">
        <v>40.4098583818245</v>
      </c>
      <c r="P28" s="411" t="n">
        <v>38.4809720120316</v>
      </c>
      <c r="Q28" s="411" t="n">
        <v>29.936979013596</v>
      </c>
      <c r="R28" s="411" t="n">
        <v>25.1769800316707</v>
      </c>
      <c r="S28" s="411" t="n">
        <v>23.6446091970667</v>
      </c>
      <c r="T28" s="411" t="n">
        <v>23.3220028939195</v>
      </c>
      <c r="U28" s="411" t="n">
        <v>21.9746464056894</v>
      </c>
      <c r="V28" s="411" t="n">
        <v>21.298522792005</v>
      </c>
      <c r="W28" s="411" t="n">
        <v>20.7935580111322</v>
      </c>
      <c r="X28" s="411" t="n">
        <v>20.4063289264819</v>
      </c>
      <c r="Y28" s="411" t="n">
        <v>20.1664728187563</v>
      </c>
      <c r="Z28" s="411" t="n">
        <v>19.9516388508968</v>
      </c>
      <c r="AA28" s="411" t="n">
        <v>19.5552531049087</v>
      </c>
      <c r="AB28" s="401" t="n">
        <f aca="false">Peak!AB30</f>
        <v>0.62238414824969</v>
      </c>
      <c r="AC28" s="401" t="n">
        <f aca="false">Peak!AC30</f>
        <v>0</v>
      </c>
      <c r="AD28" s="405" t="n">
        <f aca="false">Peak!AD30</f>
        <v>198.925208663874</v>
      </c>
      <c r="AE28" s="405" t="n">
        <f aca="false">Peak!AE30</f>
        <v>0</v>
      </c>
      <c r="AF28" s="401" t="n">
        <f aca="false">Peak!AF30</f>
        <v>0</v>
      </c>
      <c r="AG28" s="406" t="n">
        <f aca="false">Peak!AG30</f>
        <v>0</v>
      </c>
      <c r="AH28" s="401" t="n">
        <f aca="false">Peak!AH30</f>
        <v>3.62628205140133</v>
      </c>
      <c r="AI28" s="401" t="n">
        <f aca="false">Peak!AI30</f>
        <v>3.77567073170732</v>
      </c>
      <c r="AJ28" s="401" t="n">
        <f aca="false">Peak!AJ30</f>
        <v>0</v>
      </c>
      <c r="AK28" s="401" t="n">
        <f aca="false">Peak!AK30</f>
        <v>0</v>
      </c>
    </row>
    <row r="29" customFormat="false" ht="12.75" hidden="false" customHeight="false" outlineLevel="0" collapsed="false">
      <c r="A29" s="400" t="n">
        <f aca="false">A28+30.417</f>
        <v>37148.34</v>
      </c>
      <c r="B29" s="401" t="n">
        <f aca="false">IF($B$7="Coal",AG29,IF($B$7="Gas",AH29,IF($B$7="Oil",AI29,0)))</f>
        <v>3.6141404820328</v>
      </c>
      <c r="C29" s="402" t="n">
        <f aca="false">(B29*$B$1*1000)/1000000</f>
        <v>40.8569353901087</v>
      </c>
      <c r="D29" s="401" t="n">
        <f aca="false">AB29+AC29</f>
        <v>0.623421455163439</v>
      </c>
      <c r="E29" s="401" t="n">
        <f aca="false">(($AJ29*$B$1*AD29*1000)/2000)/1000000</f>
        <v>0</v>
      </c>
      <c r="F29" s="401" t="n">
        <f aca="false">AF29*(($AK29*$B$1*AE29*1000)/2000)/1000000</f>
        <v>0</v>
      </c>
      <c r="G29" s="403" t="str">
        <f aca="false">IF(IS!$C$2="Peak","-",SUM(C29:F29))</f>
        <v>-</v>
      </c>
      <c r="H29" s="411" t="n">
        <v>465.6028125066</v>
      </c>
      <c r="I29" s="411" t="n">
        <v>264.92218756673</v>
      </c>
      <c r="J29" s="411" t="n">
        <v>182.292619177769</v>
      </c>
      <c r="K29" s="411" t="n">
        <v>73.2773679323233</v>
      </c>
      <c r="L29" s="411" t="n">
        <v>49.927519241861</v>
      </c>
      <c r="M29" s="411" t="n">
        <v>43.4699493978648</v>
      </c>
      <c r="N29" s="411" t="n">
        <v>39.3861824628089</v>
      </c>
      <c r="O29" s="411" t="n">
        <v>38.6825616084856</v>
      </c>
      <c r="P29" s="411" t="n">
        <v>34.4203759889254</v>
      </c>
      <c r="Q29" s="411" t="n">
        <v>28.4389716401005</v>
      </c>
      <c r="R29" s="411" t="n">
        <v>25.7328015443777</v>
      </c>
      <c r="S29" s="411" t="n">
        <v>23.7582765071998</v>
      </c>
      <c r="T29" s="411" t="n">
        <v>23.1109064611717</v>
      </c>
      <c r="U29" s="411" t="n">
        <v>22.9646357825448</v>
      </c>
      <c r="V29" s="411" t="n">
        <v>22.1620187356178</v>
      </c>
      <c r="W29" s="411" t="n">
        <v>21.4357075321712</v>
      </c>
      <c r="X29" s="411" t="n">
        <v>21.0385543561998</v>
      </c>
      <c r="Y29" s="411" t="n">
        <v>20.813617536225</v>
      </c>
      <c r="Z29" s="411" t="n">
        <v>20.5189359016768</v>
      </c>
      <c r="AA29" s="411" t="n">
        <v>20.0276321508686</v>
      </c>
      <c r="AB29" s="401" t="n">
        <f aca="false">Peak!AB31</f>
        <v>0.623421455163439</v>
      </c>
      <c r="AC29" s="401" t="n">
        <f aca="false">Peak!AC31</f>
        <v>0</v>
      </c>
      <c r="AD29" s="405" t="n">
        <f aca="false">Peak!AD31</f>
        <v>198.925208663874</v>
      </c>
      <c r="AE29" s="405" t="n">
        <f aca="false">Peak!AE31</f>
        <v>0</v>
      </c>
      <c r="AF29" s="401" t="n">
        <f aca="false">Peak!AF31</f>
        <v>0</v>
      </c>
      <c r="AG29" s="406" t="n">
        <f aca="false">Peak!AG31</f>
        <v>0</v>
      </c>
      <c r="AH29" s="401" t="n">
        <f aca="false">Peak!AH31</f>
        <v>3.6141404820328</v>
      </c>
      <c r="AI29" s="401" t="n">
        <f aca="false">Peak!AI31</f>
        <v>3.77567073170732</v>
      </c>
      <c r="AJ29" s="401" t="n">
        <f aca="false">Peak!AJ31</f>
        <v>0</v>
      </c>
      <c r="AK29" s="401" t="n">
        <f aca="false">Peak!AK31</f>
        <v>0</v>
      </c>
    </row>
    <row r="30" customFormat="false" ht="12.75" hidden="false" customHeight="false" outlineLevel="0" collapsed="false">
      <c r="A30" s="400" t="n">
        <f aca="false">A29+30.417</f>
        <v>37178.757</v>
      </c>
      <c r="B30" s="401" t="n">
        <f aca="false">IF($B$7="Coal",AG30,IF($B$7="Gas",AH30,IF($B$7="Oil",AI30,0)))</f>
        <v>4.00267070182579</v>
      </c>
      <c r="C30" s="402" t="n">
        <f aca="false">(B30*$B$1*1000)/1000000</f>
        <v>45.2491703256635</v>
      </c>
      <c r="D30" s="401" t="n">
        <f aca="false">AB30+AC30</f>
        <v>0.624460490922045</v>
      </c>
      <c r="E30" s="401" t="n">
        <f aca="false">(($AJ30*$B$1*AD30*1000)/2000)/1000000</f>
        <v>0</v>
      </c>
      <c r="F30" s="401" t="n">
        <f aca="false">AF30*(($AK30*$B$1*AE30*1000)/2000)/1000000</f>
        <v>0</v>
      </c>
      <c r="G30" s="403" t="str">
        <f aca="false">IF(IS!$C$2="Peak","-",SUM(C30:F30))</f>
        <v>-</v>
      </c>
      <c r="H30" s="411" t="n">
        <v>61.3042447117023</v>
      </c>
      <c r="I30" s="411" t="n">
        <v>60.2189417527596</v>
      </c>
      <c r="J30" s="411" t="n">
        <v>59.0158973993425</v>
      </c>
      <c r="K30" s="411" t="n">
        <v>55.8078569324565</v>
      </c>
      <c r="L30" s="411" t="n">
        <v>54.3348521874902</v>
      </c>
      <c r="M30" s="411" t="n">
        <v>54.2424822102549</v>
      </c>
      <c r="N30" s="411" t="n">
        <v>52.5494197964998</v>
      </c>
      <c r="O30" s="411" t="n">
        <v>41.0742345449845</v>
      </c>
      <c r="P30" s="411" t="n">
        <v>38.3193393676871</v>
      </c>
      <c r="Q30" s="411" t="n">
        <v>38.2926074293905</v>
      </c>
      <c r="R30" s="411" t="n">
        <v>37.0015243312339</v>
      </c>
      <c r="S30" s="411" t="n">
        <v>26.9815097948894</v>
      </c>
      <c r="T30" s="411" t="n">
        <v>24.6049014780622</v>
      </c>
      <c r="U30" s="411" t="n">
        <v>24.0471837291744</v>
      </c>
      <c r="V30" s="411" t="n">
        <v>22.7627606080579</v>
      </c>
      <c r="W30" s="411" t="n">
        <v>22.0288933769026</v>
      </c>
      <c r="X30" s="411" t="n">
        <v>21.598624196739</v>
      </c>
      <c r="Y30" s="411" t="n">
        <v>21.365199788655</v>
      </c>
      <c r="Z30" s="411" t="n">
        <v>21.0976945550386</v>
      </c>
      <c r="AA30" s="411" t="n">
        <v>20.6581436740314</v>
      </c>
      <c r="AB30" s="401" t="n">
        <f aca="false">Peak!AB32</f>
        <v>0.624460490922045</v>
      </c>
      <c r="AC30" s="401" t="n">
        <f aca="false">Peak!AC32</f>
        <v>0</v>
      </c>
      <c r="AD30" s="405" t="n">
        <f aca="false">Peak!AD32</f>
        <v>198.925208663874</v>
      </c>
      <c r="AE30" s="405" t="n">
        <f aca="false">Peak!AE32</f>
        <v>0</v>
      </c>
      <c r="AF30" s="401" t="n">
        <f aca="false">Peak!AF32</f>
        <v>0</v>
      </c>
      <c r="AG30" s="406" t="n">
        <f aca="false">Peak!AG32</f>
        <v>0</v>
      </c>
      <c r="AH30" s="401" t="n">
        <f aca="false">Peak!AH32</f>
        <v>4.00267070182579</v>
      </c>
      <c r="AI30" s="401" t="n">
        <f aca="false">Peak!AI32</f>
        <v>3.77567073170732</v>
      </c>
      <c r="AJ30" s="401" t="n">
        <f aca="false">Peak!AJ32</f>
        <v>0</v>
      </c>
      <c r="AK30" s="401" t="n">
        <f aca="false">Peak!AK32</f>
        <v>0</v>
      </c>
    </row>
    <row r="31" customFormat="false" ht="12.75" hidden="false" customHeight="false" outlineLevel="0" collapsed="false">
      <c r="A31" s="400" t="n">
        <f aca="false">A30+30.417</f>
        <v>37209.174</v>
      </c>
      <c r="B31" s="401" t="n">
        <f aca="false">IF($B$7="Coal",AG31,IF($B$7="Gas",AH31,IF($B$7="Oil",AI31,0)))</f>
        <v>4.38310654203977</v>
      </c>
      <c r="C31" s="402" t="n">
        <f aca="false">(B31*$B$1*1000)/1000000</f>
        <v>49.5499003667276</v>
      </c>
      <c r="D31" s="401" t="n">
        <f aca="false">AB31+AC31</f>
        <v>0.625501258406915</v>
      </c>
      <c r="E31" s="401" t="n">
        <f aca="false">(($AJ31*$B$1*AD31*1000)/2000)/1000000</f>
        <v>0</v>
      </c>
      <c r="F31" s="401" t="n">
        <f aca="false">AF31*(($AK31*$B$1*AE31*1000)/2000)/1000000</f>
        <v>0</v>
      </c>
      <c r="G31" s="403" t="str">
        <f aca="false">IF(IS!$C$2="Peak","-",SUM(C31:F31))</f>
        <v>-</v>
      </c>
      <c r="H31" s="411" t="n">
        <v>89.6017607292956</v>
      </c>
      <c r="I31" s="411" t="n">
        <v>79.1633629535914</v>
      </c>
      <c r="J31" s="411" t="n">
        <v>69.3966194689685</v>
      </c>
      <c r="K31" s="411" t="n">
        <v>59.2016064269162</v>
      </c>
      <c r="L31" s="411" t="n">
        <v>56.7589267268185</v>
      </c>
      <c r="M31" s="411" t="n">
        <v>53.2019783856748</v>
      </c>
      <c r="N31" s="411" t="n">
        <v>50.7080125000678</v>
      </c>
      <c r="O31" s="411" t="n">
        <v>50.6082788293629</v>
      </c>
      <c r="P31" s="411" t="n">
        <v>47.1387033543913</v>
      </c>
      <c r="Q31" s="411" t="n">
        <v>37.5206481558311</v>
      </c>
      <c r="R31" s="411" t="n">
        <v>34.0422674169349</v>
      </c>
      <c r="S31" s="411" t="n">
        <v>29.3776066667028</v>
      </c>
      <c r="T31" s="411" t="n">
        <v>28.9677975833906</v>
      </c>
      <c r="U31" s="411" t="n">
        <v>26.0023666609377</v>
      </c>
      <c r="V31" s="411" t="n">
        <v>25.0901981827611</v>
      </c>
      <c r="W31" s="411" t="n">
        <v>23.5486921446168</v>
      </c>
      <c r="X31" s="411" t="n">
        <v>22.8475410138885</v>
      </c>
      <c r="Y31" s="411" t="n">
        <v>22.3091368089558</v>
      </c>
      <c r="Z31" s="411" t="n">
        <v>21.8792830638419</v>
      </c>
      <c r="AA31" s="411" t="n">
        <v>21.3454727633755</v>
      </c>
      <c r="AB31" s="401" t="n">
        <f aca="false">Peak!AB33</f>
        <v>0.625501258406915</v>
      </c>
      <c r="AC31" s="401" t="n">
        <f aca="false">Peak!AC33</f>
        <v>0</v>
      </c>
      <c r="AD31" s="405" t="n">
        <f aca="false">Peak!AD33</f>
        <v>198.925208663874</v>
      </c>
      <c r="AE31" s="405" t="n">
        <f aca="false">Peak!AE33</f>
        <v>0</v>
      </c>
      <c r="AF31" s="401" t="n">
        <f aca="false">Peak!AF33</f>
        <v>0</v>
      </c>
      <c r="AG31" s="406" t="n">
        <f aca="false">Peak!AG33</f>
        <v>0</v>
      </c>
      <c r="AH31" s="401" t="n">
        <f aca="false">Peak!AH33</f>
        <v>4.38310654203977</v>
      </c>
      <c r="AI31" s="401" t="n">
        <f aca="false">Peak!AI33</f>
        <v>4.09362195121951</v>
      </c>
      <c r="AJ31" s="401" t="n">
        <f aca="false">Peak!AJ33</f>
        <v>0</v>
      </c>
      <c r="AK31" s="401" t="n">
        <f aca="false">Peak!AK33</f>
        <v>0</v>
      </c>
    </row>
    <row r="32" customFormat="false" ht="12.75" hidden="false" customHeight="false" outlineLevel="0" collapsed="false">
      <c r="A32" s="400" t="n">
        <f aca="false">A31+30.417</f>
        <v>37239.591</v>
      </c>
      <c r="B32" s="401" t="n">
        <f aca="false">IF($B$7="Coal",AG32,IF($B$7="Gas",AH32,IF($B$7="Oil",AI32,0)))</f>
        <v>4.7433064333062</v>
      </c>
      <c r="C32" s="402" t="n">
        <f aca="false">(B32*$B$1*1000)/1000000</f>
        <v>53.6218681715649</v>
      </c>
      <c r="D32" s="401" t="n">
        <f aca="false">AB32+AC32</f>
        <v>0.62654376050426</v>
      </c>
      <c r="E32" s="401" t="n">
        <f aca="false">(($AJ32*$B$1*AD32*1000)/2000)/1000000</f>
        <v>0</v>
      </c>
      <c r="F32" s="401" t="n">
        <f aca="false">AF32*(($AK32*$B$1*AE32*1000)/2000)/1000000</f>
        <v>0</v>
      </c>
      <c r="G32" s="403" t="str">
        <f aca="false">IF(IS!$C$2="Peak","-",SUM(C32:F32))</f>
        <v>-</v>
      </c>
      <c r="H32" s="411" t="n">
        <v>93.2787089783178</v>
      </c>
      <c r="I32" s="411" t="n">
        <v>89.7124572896967</v>
      </c>
      <c r="J32" s="411" t="n">
        <v>86.8092533956857</v>
      </c>
      <c r="K32" s="411" t="n">
        <v>86.3072651128374</v>
      </c>
      <c r="L32" s="411" t="n">
        <v>86.2900435852827</v>
      </c>
      <c r="M32" s="411" t="n">
        <v>82.5339563482674</v>
      </c>
      <c r="N32" s="411" t="n">
        <v>65.7299298490499</v>
      </c>
      <c r="O32" s="411" t="n">
        <v>58.2115086369399</v>
      </c>
      <c r="P32" s="411" t="n">
        <v>55.4196804684356</v>
      </c>
      <c r="Q32" s="411" t="n">
        <v>55.3337162376862</v>
      </c>
      <c r="R32" s="411" t="n">
        <v>27.9130330222082</v>
      </c>
      <c r="S32" s="411" t="n">
        <v>24.9268414448854</v>
      </c>
      <c r="T32" s="411" t="n">
        <v>24.2989164906878</v>
      </c>
      <c r="U32" s="411" t="n">
        <v>23.4269365369365</v>
      </c>
      <c r="V32" s="411" t="n">
        <v>22.3204814495537</v>
      </c>
      <c r="W32" s="411" t="n">
        <v>21.8585672038391</v>
      </c>
      <c r="X32" s="411" t="n">
        <v>21.4736089562984</v>
      </c>
      <c r="Y32" s="411" t="n">
        <v>21.2329410484453</v>
      </c>
      <c r="Z32" s="411" t="n">
        <v>20.9923274611571</v>
      </c>
      <c r="AA32" s="411" t="n">
        <v>20.5223563246287</v>
      </c>
      <c r="AB32" s="401" t="n">
        <f aca="false">Peak!AB34</f>
        <v>0.62654376050426</v>
      </c>
      <c r="AC32" s="401" t="n">
        <f aca="false">Peak!AC34</f>
        <v>0</v>
      </c>
      <c r="AD32" s="405" t="n">
        <f aca="false">Peak!AD34</f>
        <v>198.925208663874</v>
      </c>
      <c r="AE32" s="405" t="n">
        <f aca="false">Peak!AE34</f>
        <v>0</v>
      </c>
      <c r="AF32" s="401" t="n">
        <f aca="false">Peak!AF34</f>
        <v>0</v>
      </c>
      <c r="AG32" s="406" t="n">
        <f aca="false">Peak!AG34</f>
        <v>0</v>
      </c>
      <c r="AH32" s="401" t="n">
        <f aca="false">Peak!AH34</f>
        <v>4.7433064333062</v>
      </c>
      <c r="AI32" s="401" t="n">
        <f aca="false">Peak!AI34</f>
        <v>4.29234146341463</v>
      </c>
      <c r="AJ32" s="401" t="n">
        <f aca="false">Peak!AJ34</f>
        <v>0</v>
      </c>
      <c r="AK32" s="401" t="n">
        <f aca="false">Peak!AK34</f>
        <v>0</v>
      </c>
    </row>
    <row r="33" customFormat="false" ht="12.75" hidden="false" customHeight="false" outlineLevel="0" collapsed="false">
      <c r="A33" s="400" t="n">
        <f aca="false">A32+30.417</f>
        <v>37270.008</v>
      </c>
      <c r="B33" s="401" t="n">
        <f aca="false">IF($B$7="Coal",AG33,IF($B$7="Gas",AH33,IF($B$7="Oil",AI33,0)))</f>
        <v>4.16069756758278</v>
      </c>
      <c r="C33" s="402" t="n">
        <f aca="false">(B33*$B$1*1000)/1000000</f>
        <v>47.0356236957614</v>
      </c>
      <c r="D33" s="401" t="n">
        <f aca="false">AB33+AC33</f>
        <v>0.627588000105101</v>
      </c>
      <c r="E33" s="401" t="n">
        <f aca="false">(($AJ33*$B$1*AD33*1000)/2000)/1000000</f>
        <v>0</v>
      </c>
      <c r="F33" s="401" t="n">
        <f aca="false">AF33*(($AK33*$B$1*AE33*1000)/2000)/1000000</f>
        <v>0</v>
      </c>
      <c r="G33" s="403" t="str">
        <f aca="false">IF(IS!$C$2="Peak","-",SUM(C33:F33))</f>
        <v>-</v>
      </c>
      <c r="H33" s="411" t="n">
        <v>77.6196889376829</v>
      </c>
      <c r="I33" s="411" t="n">
        <v>75.7112037865044</v>
      </c>
      <c r="J33" s="411" t="n">
        <v>73.78410128803</v>
      </c>
      <c r="K33" s="411" t="n">
        <v>69.6929183565946</v>
      </c>
      <c r="L33" s="411" t="n">
        <v>68.6578008104708</v>
      </c>
      <c r="M33" s="411" t="n">
        <v>68.2998431049891</v>
      </c>
      <c r="N33" s="411" t="n">
        <v>64.436204034382</v>
      </c>
      <c r="O33" s="411" t="n">
        <v>52.5804802351467</v>
      </c>
      <c r="P33" s="411" t="n">
        <v>46.2066415035795</v>
      </c>
      <c r="Q33" s="411" t="n">
        <v>41.405894413389</v>
      </c>
      <c r="R33" s="411" t="n">
        <v>37.8802970878247</v>
      </c>
      <c r="S33" s="411" t="n">
        <v>26.6156223235944</v>
      </c>
      <c r="T33" s="411" t="n">
        <v>24.7978147637334</v>
      </c>
      <c r="U33" s="411" t="n">
        <v>24.1169290072544</v>
      </c>
      <c r="V33" s="411" t="n">
        <v>22.7943541664707</v>
      </c>
      <c r="W33" s="411" t="n">
        <v>22.2071323416593</v>
      </c>
      <c r="X33" s="411" t="n">
        <v>21.8613314037535</v>
      </c>
      <c r="Y33" s="411" t="n">
        <v>21.5285883246107</v>
      </c>
      <c r="Z33" s="411" t="n">
        <v>21.3018694704013</v>
      </c>
      <c r="AA33" s="411" t="n">
        <v>20.8474075295821</v>
      </c>
      <c r="AB33" s="401" t="n">
        <f aca="false">Peak!AB35</f>
        <v>0.627588000105101</v>
      </c>
      <c r="AC33" s="401" t="n">
        <f aca="false">Peak!AC35</f>
        <v>0</v>
      </c>
      <c r="AD33" s="405" t="n">
        <f aca="false">Peak!AD35</f>
        <v>218.802581025907</v>
      </c>
      <c r="AE33" s="405" t="n">
        <f aca="false">Peak!AE35</f>
        <v>0</v>
      </c>
      <c r="AF33" s="401" t="n">
        <f aca="false">Peak!AF35</f>
        <v>0</v>
      </c>
      <c r="AG33" s="406" t="n">
        <f aca="false">Peak!AG35</f>
        <v>0</v>
      </c>
      <c r="AH33" s="401" t="n">
        <f aca="false">Peak!AH35</f>
        <v>4.16069756758278</v>
      </c>
      <c r="AI33" s="401" t="n">
        <f aca="false">Peak!AI35</f>
        <v>3.90546043583535</v>
      </c>
      <c r="AJ33" s="401" t="n">
        <f aca="false">Peak!AJ35</f>
        <v>0</v>
      </c>
      <c r="AK33" s="401" t="n">
        <f aca="false">Peak!AK35</f>
        <v>0</v>
      </c>
    </row>
    <row r="34" customFormat="false" ht="12.75" hidden="false" customHeight="false" outlineLevel="0" collapsed="false">
      <c r="A34" s="400" t="n">
        <f aca="false">A33+30.417</f>
        <v>37300.425</v>
      </c>
      <c r="B34" s="401" t="n">
        <f aca="false">IF($B$7="Coal",AG34,IF($B$7="Gas",AH34,IF($B$7="Oil",AI34,0)))</f>
        <v>3.72913585179627</v>
      </c>
      <c r="C34" s="402" t="n">
        <f aca="false">(B34*$B$1*1000)/1000000</f>
        <v>42.1569286847649</v>
      </c>
      <c r="D34" s="401" t="n">
        <f aca="false">AB34+AC34</f>
        <v>0.628633980105276</v>
      </c>
      <c r="E34" s="401" t="n">
        <f aca="false">(($AJ34*$B$1*AD34*1000)/2000)/1000000</f>
        <v>0</v>
      </c>
      <c r="F34" s="401" t="n">
        <f aca="false">AF34*(($AK34*$B$1*AE34*1000)/2000)/1000000</f>
        <v>0</v>
      </c>
      <c r="G34" s="403" t="str">
        <f aca="false">IF(IS!$C$2="Peak","-",SUM(C34:F34))</f>
        <v>-</v>
      </c>
      <c r="H34" s="411" t="n">
        <v>187.536973826093</v>
      </c>
      <c r="I34" s="411" t="n">
        <v>104.022470613001</v>
      </c>
      <c r="J34" s="411" t="n">
        <v>86.0598356188797</v>
      </c>
      <c r="K34" s="411" t="n">
        <v>65.2570617581788</v>
      </c>
      <c r="L34" s="411" t="n">
        <v>55.4811563239129</v>
      </c>
      <c r="M34" s="411" t="n">
        <v>52.189227629941</v>
      </c>
      <c r="N34" s="411" t="n">
        <v>48.314758359371</v>
      </c>
      <c r="O34" s="411" t="n">
        <v>47.9193605118938</v>
      </c>
      <c r="P34" s="411" t="n">
        <v>45.3942521491016</v>
      </c>
      <c r="Q34" s="411" t="n">
        <v>36.1183280934132</v>
      </c>
      <c r="R34" s="411" t="n">
        <v>34.0546176682478</v>
      </c>
      <c r="S34" s="411" t="n">
        <v>28.9654822600466</v>
      </c>
      <c r="T34" s="411" t="n">
        <v>27.8903256063434</v>
      </c>
      <c r="U34" s="411" t="n">
        <v>27.1873730532561</v>
      </c>
      <c r="V34" s="411" t="n">
        <v>26.2203415407655</v>
      </c>
      <c r="W34" s="411" t="n">
        <v>24.7794117125217</v>
      </c>
      <c r="X34" s="411" t="n">
        <v>24.135924287315</v>
      </c>
      <c r="Y34" s="411" t="n">
        <v>23.4246660761241</v>
      </c>
      <c r="Z34" s="411" t="n">
        <v>22.8179112546633</v>
      </c>
      <c r="AA34" s="411" t="n">
        <v>22.3380502868798</v>
      </c>
      <c r="AB34" s="401" t="n">
        <f aca="false">Peak!AB36</f>
        <v>0.628633980105276</v>
      </c>
      <c r="AC34" s="401" t="n">
        <f aca="false">Peak!AC36</f>
        <v>0</v>
      </c>
      <c r="AD34" s="405" t="n">
        <f aca="false">Peak!AD36</f>
        <v>218.802581025907</v>
      </c>
      <c r="AE34" s="405" t="n">
        <f aca="false">Peak!AE36</f>
        <v>0</v>
      </c>
      <c r="AF34" s="401" t="n">
        <f aca="false">Peak!AF36</f>
        <v>0</v>
      </c>
      <c r="AG34" s="406" t="n">
        <f aca="false">Peak!AG36</f>
        <v>0</v>
      </c>
      <c r="AH34" s="401" t="n">
        <f aca="false">Peak!AH36</f>
        <v>3.72913585179627</v>
      </c>
      <c r="AI34" s="401" t="n">
        <f aca="false">Peak!AI36</f>
        <v>3.86929876513317</v>
      </c>
      <c r="AJ34" s="401" t="n">
        <f aca="false">Peak!AJ36</f>
        <v>0</v>
      </c>
      <c r="AK34" s="401" t="n">
        <f aca="false">Peak!AK36</f>
        <v>0</v>
      </c>
    </row>
    <row r="35" customFormat="false" ht="12.75" hidden="false" customHeight="false" outlineLevel="0" collapsed="false">
      <c r="A35" s="400" t="n">
        <f aca="false">A34+30.417</f>
        <v>37330.842</v>
      </c>
      <c r="B35" s="401" t="n">
        <f aca="false">IF($B$7="Coal",AG35,IF($B$7="Gas",AH35,IF($B$7="Oil",AI35,0)))</f>
        <v>3.66643030334865</v>
      </c>
      <c r="C35" s="402" t="n">
        <f aca="false">(B35*$B$1*1000)/1000000</f>
        <v>41.4480584694919</v>
      </c>
      <c r="D35" s="401" t="n">
        <f aca="false">AB35+AC35</f>
        <v>0.629681703405451</v>
      </c>
      <c r="E35" s="401" t="n">
        <f aca="false">(($AJ35*$B$1*AD35*1000)/2000)/1000000</f>
        <v>0</v>
      </c>
      <c r="F35" s="401" t="n">
        <f aca="false">AF35*(($AK35*$B$1*AE35*1000)/2000)/1000000</f>
        <v>0</v>
      </c>
      <c r="G35" s="403" t="str">
        <f aca="false">IF(IS!$C$2="Peak","-",SUM(C35:F35))</f>
        <v>-</v>
      </c>
      <c r="H35" s="411" t="n">
        <v>74.4723447084062</v>
      </c>
      <c r="I35" s="411" t="n">
        <v>71.6996746533382</v>
      </c>
      <c r="J35" s="411" t="n">
        <v>70.5159548499276</v>
      </c>
      <c r="K35" s="411" t="n">
        <v>66.8210772203605</v>
      </c>
      <c r="L35" s="411" t="n">
        <v>64.9145370029161</v>
      </c>
      <c r="M35" s="411" t="n">
        <v>64.768200365505</v>
      </c>
      <c r="N35" s="411" t="n">
        <v>62.7646827946407</v>
      </c>
      <c r="O35" s="411" t="n">
        <v>49.3172061558768</v>
      </c>
      <c r="P35" s="411" t="n">
        <v>45.0372116500509</v>
      </c>
      <c r="Q35" s="411" t="n">
        <v>44.8847277745282</v>
      </c>
      <c r="R35" s="411" t="n">
        <v>44.7227997701569</v>
      </c>
      <c r="S35" s="411" t="n">
        <v>25.7823663980378</v>
      </c>
      <c r="T35" s="411" t="n">
        <v>23.2643928009705</v>
      </c>
      <c r="U35" s="411" t="n">
        <v>22.8376200921564</v>
      </c>
      <c r="V35" s="411" t="n">
        <v>21.6383356142021</v>
      </c>
      <c r="W35" s="411" t="n">
        <v>20.9410500195921</v>
      </c>
      <c r="X35" s="411" t="n">
        <v>20.4612313627486</v>
      </c>
      <c r="Y35" s="411" t="n">
        <v>20.0163433979588</v>
      </c>
      <c r="Z35" s="411" t="n">
        <v>19.7639241298297</v>
      </c>
      <c r="AA35" s="411" t="n">
        <v>19.2537751973559</v>
      </c>
      <c r="AB35" s="401" t="n">
        <f aca="false">Peak!AB37</f>
        <v>0.629681703405451</v>
      </c>
      <c r="AC35" s="401" t="n">
        <f aca="false">Peak!AC37</f>
        <v>0</v>
      </c>
      <c r="AD35" s="405" t="n">
        <f aca="false">Peak!AD37</f>
        <v>218.802581025907</v>
      </c>
      <c r="AE35" s="405" t="n">
        <f aca="false">Peak!AE37</f>
        <v>0</v>
      </c>
      <c r="AF35" s="401" t="n">
        <f aca="false">Peak!AF37</f>
        <v>0</v>
      </c>
      <c r="AG35" s="406" t="n">
        <f aca="false">Peak!AG37</f>
        <v>0</v>
      </c>
      <c r="AH35" s="401" t="n">
        <f aca="false">Peak!AH37</f>
        <v>3.66643030334865</v>
      </c>
      <c r="AI35" s="401" t="n">
        <f aca="false">Peak!AI37</f>
        <v>3.72465208232446</v>
      </c>
      <c r="AJ35" s="401" t="n">
        <f aca="false">Peak!AJ37</f>
        <v>0</v>
      </c>
      <c r="AK35" s="401" t="n">
        <f aca="false">Peak!AK37</f>
        <v>0</v>
      </c>
    </row>
    <row r="36" customFormat="false" ht="12.75" hidden="false" customHeight="false" outlineLevel="0" collapsed="false">
      <c r="A36" s="400" t="n">
        <f aca="false">A35+30.417</f>
        <v>37361.259</v>
      </c>
      <c r="B36" s="401" t="n">
        <f aca="false">IF($B$7="Coal",AG36,IF($B$7="Gas",AH36,IF($B$7="Oil",AI36,0)))</f>
        <v>3.48569078135259</v>
      </c>
      <c r="C36" s="402" t="n">
        <f aca="false">(B36*$B$1*1000)/1000000</f>
        <v>39.4048443195873</v>
      </c>
      <c r="D36" s="401" t="n">
        <f aca="false">AB36+AC36</f>
        <v>0.630731172911127</v>
      </c>
      <c r="E36" s="401" t="n">
        <f aca="false">(($AJ36*$B$1*AD36*1000)/2000)/1000000</f>
        <v>0</v>
      </c>
      <c r="F36" s="401" t="n">
        <f aca="false">AF36*(($AK36*$B$1*AE36*1000)/2000)/1000000</f>
        <v>0</v>
      </c>
      <c r="G36" s="403" t="str">
        <f aca="false">IF(IS!$C$2="Peak","-",SUM(C36:F36))</f>
        <v>-</v>
      </c>
      <c r="H36" s="411" t="n">
        <v>69.0993442669766</v>
      </c>
      <c r="I36" s="411" t="n">
        <v>66.375706093133</v>
      </c>
      <c r="J36" s="411" t="n">
        <v>64.2544605025312</v>
      </c>
      <c r="K36" s="411" t="n">
        <v>63.772249657019</v>
      </c>
      <c r="L36" s="411" t="n">
        <v>63.4065575084015</v>
      </c>
      <c r="M36" s="411" t="n">
        <v>60.1592150775127</v>
      </c>
      <c r="N36" s="411" t="n">
        <v>47.2630037555728</v>
      </c>
      <c r="O36" s="411" t="n">
        <v>42.3358097176553</v>
      </c>
      <c r="P36" s="411" t="n">
        <v>39.5058594857418</v>
      </c>
      <c r="Q36" s="411" t="n">
        <v>33.4650258388788</v>
      </c>
      <c r="R36" s="411" t="n">
        <v>23.1546554599254</v>
      </c>
      <c r="S36" s="411" t="n">
        <v>21.9226292470507</v>
      </c>
      <c r="T36" s="411" t="n">
        <v>21.3804900876443</v>
      </c>
      <c r="U36" s="411" t="n">
        <v>20.3086841748832</v>
      </c>
      <c r="V36" s="411" t="n">
        <v>19.8357007721463</v>
      </c>
      <c r="W36" s="411" t="n">
        <v>19.4534737493543</v>
      </c>
      <c r="X36" s="411" t="n">
        <v>19.2072964024113</v>
      </c>
      <c r="Y36" s="411" t="n">
        <v>19.0392401234501</v>
      </c>
      <c r="Z36" s="411" t="n">
        <v>18.8996971316578</v>
      </c>
      <c r="AA36" s="411" t="n">
        <v>18.4859722516303</v>
      </c>
      <c r="AB36" s="401" t="n">
        <f aca="false">Peak!AB38</f>
        <v>0.630731172911127</v>
      </c>
      <c r="AC36" s="401" t="n">
        <f aca="false">Peak!AC38</f>
        <v>0</v>
      </c>
      <c r="AD36" s="405" t="n">
        <f aca="false">Peak!AD38</f>
        <v>218.802581025907</v>
      </c>
      <c r="AE36" s="405" t="n">
        <f aca="false">Peak!AE38</f>
        <v>0</v>
      </c>
      <c r="AF36" s="401" t="n">
        <f aca="false">Peak!AF38</f>
        <v>0</v>
      </c>
      <c r="AG36" s="406" t="n">
        <f aca="false">Peak!AG38</f>
        <v>0</v>
      </c>
      <c r="AH36" s="401" t="n">
        <f aca="false">Peak!AH38</f>
        <v>3.48569078135259</v>
      </c>
      <c r="AI36" s="401" t="n">
        <f aca="false">Peak!AI38</f>
        <v>3.58000539951574</v>
      </c>
      <c r="AJ36" s="401" t="n">
        <f aca="false">Peak!AJ38</f>
        <v>0</v>
      </c>
      <c r="AK36" s="401" t="n">
        <f aca="false">Peak!AK38</f>
        <v>0</v>
      </c>
    </row>
    <row r="37" customFormat="false" ht="12.75" hidden="false" customHeight="false" outlineLevel="0" collapsed="false">
      <c r="A37" s="400" t="n">
        <f aca="false">A36+30.417</f>
        <v>37391.676</v>
      </c>
      <c r="B37" s="401" t="n">
        <f aca="false">IF($B$7="Coal",AG37,IF($B$7="Gas",AH37,IF($B$7="Oil",AI37,0)))</f>
        <v>3.67011886502204</v>
      </c>
      <c r="C37" s="402" t="n">
        <f aca="false">(B37*$B$1*1000)/1000000</f>
        <v>41.4897567174491</v>
      </c>
      <c r="D37" s="401" t="n">
        <f aca="false">AB37+AC37</f>
        <v>0.631782391532646</v>
      </c>
      <c r="E37" s="401" t="n">
        <f aca="false">(($AJ37*$B$1*AD37*1000)/2000)/1000000</f>
        <v>0</v>
      </c>
      <c r="F37" s="401" t="n">
        <f aca="false">AF37*(($AK37*$B$1*AE37*1000)/2000)/1000000</f>
        <v>0</v>
      </c>
      <c r="G37" s="403" t="str">
        <f aca="false">IF(IS!$C$2="Peak","-",SUM(C37:F37))</f>
        <v>-</v>
      </c>
      <c r="H37" s="411" t="n">
        <v>60.9204300113091</v>
      </c>
      <c r="I37" s="411" t="n">
        <v>57.7636388347586</v>
      </c>
      <c r="J37" s="411" t="n">
        <v>55.3938178892378</v>
      </c>
      <c r="K37" s="411" t="n">
        <v>51.3641135846174</v>
      </c>
      <c r="L37" s="411" t="n">
        <v>50.8351561176689</v>
      </c>
      <c r="M37" s="411" t="n">
        <v>45.3091737507614</v>
      </c>
      <c r="N37" s="411" t="n">
        <v>37.4343870692296</v>
      </c>
      <c r="O37" s="411" t="n">
        <v>36.3961372855524</v>
      </c>
      <c r="P37" s="411" t="n">
        <v>32.8762548004304</v>
      </c>
      <c r="Q37" s="411" t="n">
        <v>29.4479652181044</v>
      </c>
      <c r="R37" s="411" t="n">
        <v>27.4018615810041</v>
      </c>
      <c r="S37" s="411" t="n">
        <v>26.4634458350625</v>
      </c>
      <c r="T37" s="411" t="n">
        <v>25.6379538462589</v>
      </c>
      <c r="U37" s="411" t="n">
        <v>24.846873383356</v>
      </c>
      <c r="V37" s="411" t="n">
        <v>23.1666112467903</v>
      </c>
      <c r="W37" s="411" t="n">
        <v>22.482630798047</v>
      </c>
      <c r="X37" s="411" t="n">
        <v>21.8430239522425</v>
      </c>
      <c r="Y37" s="411" t="n">
        <v>21.4493650485585</v>
      </c>
      <c r="Z37" s="411" t="n">
        <v>21.1870163418506</v>
      </c>
      <c r="AA37" s="411" t="n">
        <v>20.67426584329</v>
      </c>
      <c r="AB37" s="401" t="n">
        <f aca="false">Peak!AB39</f>
        <v>0.631782391532646</v>
      </c>
      <c r="AC37" s="401" t="n">
        <f aca="false">Peak!AC39</f>
        <v>0</v>
      </c>
      <c r="AD37" s="405" t="n">
        <f aca="false">Peak!AD39</f>
        <v>218.802581025907</v>
      </c>
      <c r="AE37" s="405" t="n">
        <f aca="false">Peak!AE39</f>
        <v>0</v>
      </c>
      <c r="AF37" s="401" t="n">
        <f aca="false">Peak!AF39</f>
        <v>0</v>
      </c>
      <c r="AG37" s="406" t="n">
        <f aca="false">Peak!AG39</f>
        <v>0</v>
      </c>
      <c r="AH37" s="401" t="n">
        <f aca="false">Peak!AH39</f>
        <v>3.67011886502204</v>
      </c>
      <c r="AI37" s="401" t="n">
        <f aca="false">Peak!AI39</f>
        <v>3.43535871670702</v>
      </c>
      <c r="AJ37" s="401" t="n">
        <f aca="false">Peak!AJ39</f>
        <v>0</v>
      </c>
      <c r="AK37" s="401" t="n">
        <f aca="false">Peak!AK39</f>
        <v>0</v>
      </c>
    </row>
    <row r="38" customFormat="false" ht="12.75" hidden="false" customHeight="false" outlineLevel="0" collapsed="false">
      <c r="A38" s="400" t="n">
        <f aca="false">A37+30.417</f>
        <v>37422.093</v>
      </c>
      <c r="B38" s="401" t="n">
        <f aca="false">IF($B$7="Coal",AG38,IF($B$7="Gas",AH38,IF($B$7="Oil",AI38,0)))</f>
        <v>3.49675646637276</v>
      </c>
      <c r="C38" s="402" t="n">
        <f aca="false">(B38*$B$1*1000)/1000000</f>
        <v>39.529939063459</v>
      </c>
      <c r="D38" s="401" t="n">
        <f aca="false">AB38+AC38</f>
        <v>0.6328353621852</v>
      </c>
      <c r="E38" s="401" t="n">
        <f aca="false">(($AJ38*$B$1*AD38*1000)/2000)/1000000</f>
        <v>0</v>
      </c>
      <c r="F38" s="401" t="n">
        <f aca="false">AF38*(($AK38*$B$1*AE38*1000)/2000)/1000000</f>
        <v>0</v>
      </c>
      <c r="G38" s="403" t="str">
        <f aca="false">IF(IS!$C$2="Peak","-",SUM(C38:F38))</f>
        <v>-</v>
      </c>
      <c r="H38" s="411" t="n">
        <v>369.696526143145</v>
      </c>
      <c r="I38" s="411" t="n">
        <v>232.204623159638</v>
      </c>
      <c r="J38" s="411" t="n">
        <v>126.006091116765</v>
      </c>
      <c r="K38" s="411" t="n">
        <v>58.2823973926352</v>
      </c>
      <c r="L38" s="411" t="n">
        <v>53.7959140115548</v>
      </c>
      <c r="M38" s="411" t="n">
        <v>49.7355717816172</v>
      </c>
      <c r="N38" s="411" t="n">
        <v>48.5446619053872</v>
      </c>
      <c r="O38" s="411" t="n">
        <v>43.9283109551518</v>
      </c>
      <c r="P38" s="411" t="n">
        <v>34.2260347275984</v>
      </c>
      <c r="Q38" s="411" t="n">
        <v>29.1136102767567</v>
      </c>
      <c r="R38" s="411" t="n">
        <v>27.0572564065059</v>
      </c>
      <c r="S38" s="411" t="n">
        <v>24.6255436126456</v>
      </c>
      <c r="T38" s="411" t="n">
        <v>23.1463771358704</v>
      </c>
      <c r="U38" s="411" t="n">
        <v>21.9424295192147</v>
      </c>
      <c r="V38" s="411" t="n">
        <v>21.253758935961</v>
      </c>
      <c r="W38" s="411" t="n">
        <v>20.9984538263583</v>
      </c>
      <c r="X38" s="411" t="n">
        <v>20.818182725659</v>
      </c>
      <c r="Y38" s="411" t="n">
        <v>20.5354410308754</v>
      </c>
      <c r="Z38" s="411" t="n">
        <v>20.3727847270488</v>
      </c>
      <c r="AA38" s="411" t="n">
        <v>19.9499048287137</v>
      </c>
      <c r="AB38" s="401" t="n">
        <f aca="false">Peak!AB40</f>
        <v>0.6328353621852</v>
      </c>
      <c r="AC38" s="401" t="n">
        <f aca="false">Peak!AC40</f>
        <v>0</v>
      </c>
      <c r="AD38" s="405" t="n">
        <f aca="false">Peak!AD40</f>
        <v>218.802581025907</v>
      </c>
      <c r="AE38" s="405" t="n">
        <f aca="false">Peak!AE40</f>
        <v>0</v>
      </c>
      <c r="AF38" s="401" t="n">
        <f aca="false">Peak!AF40</f>
        <v>0</v>
      </c>
      <c r="AG38" s="406" t="n">
        <f aca="false">Peak!AG40</f>
        <v>0</v>
      </c>
      <c r="AH38" s="401" t="n">
        <f aca="false">Peak!AH40</f>
        <v>3.49675646637276</v>
      </c>
      <c r="AI38" s="401" t="n">
        <f aca="false">Peak!AI40</f>
        <v>3.43535871670702</v>
      </c>
      <c r="AJ38" s="401" t="n">
        <f aca="false">Peak!AJ40</f>
        <v>0</v>
      </c>
      <c r="AK38" s="401" t="n">
        <f aca="false">Peak!AK40</f>
        <v>0</v>
      </c>
    </row>
    <row r="39" customFormat="false" ht="12.75" hidden="false" customHeight="false" outlineLevel="0" collapsed="false">
      <c r="A39" s="400" t="n">
        <f aca="false">A38+30.417</f>
        <v>37452.51</v>
      </c>
      <c r="B39" s="401" t="n">
        <f aca="false">IF($B$7="Coal",AG39,IF($B$7="Gas",AH39,IF($B$7="Oil",AI39,0)))</f>
        <v>3.48569078135259</v>
      </c>
      <c r="C39" s="402" t="n">
        <f aca="false">(B39*$B$1*1000)/1000000</f>
        <v>39.4048443195873</v>
      </c>
      <c r="D39" s="401" t="n">
        <f aca="false">AB39+AC39</f>
        <v>0.633890087788842</v>
      </c>
      <c r="E39" s="401" t="n">
        <f aca="false">(($AJ39*$B$1*AD39*1000)/2000)/1000000</f>
        <v>0</v>
      </c>
      <c r="F39" s="401" t="n">
        <f aca="false">AF39*(($AK39*$B$1*AE39*1000)/2000)/1000000</f>
        <v>0</v>
      </c>
      <c r="G39" s="403" t="str">
        <f aca="false">IF(IS!$C$2="Peak","-",SUM(C39:F39))</f>
        <v>-</v>
      </c>
      <c r="H39" s="411" t="n">
        <v>1055.58316138253</v>
      </c>
      <c r="I39" s="411" t="n">
        <v>557.808103554805</v>
      </c>
      <c r="J39" s="411" t="n">
        <v>347.357461533352</v>
      </c>
      <c r="K39" s="411" t="n">
        <v>212.791042941262</v>
      </c>
      <c r="L39" s="411" t="n">
        <v>68.0335709021381</v>
      </c>
      <c r="M39" s="411" t="n">
        <v>58.6694964590046</v>
      </c>
      <c r="N39" s="411" t="n">
        <v>53.8162710480055</v>
      </c>
      <c r="O39" s="411" t="n">
        <v>51.527330112054</v>
      </c>
      <c r="P39" s="411" t="n">
        <v>49.4827428988761</v>
      </c>
      <c r="Q39" s="411" t="n">
        <v>39.8427019100808</v>
      </c>
      <c r="R39" s="411" t="n">
        <v>32.1770111648736</v>
      </c>
      <c r="S39" s="411" t="n">
        <v>29.0403200277139</v>
      </c>
      <c r="T39" s="411" t="n">
        <v>24.4419755860528</v>
      </c>
      <c r="U39" s="411" t="n">
        <v>23.0781088107544</v>
      </c>
      <c r="V39" s="411" t="n">
        <v>21.5415276088619</v>
      </c>
      <c r="W39" s="411" t="n">
        <v>20.8702055232873</v>
      </c>
      <c r="X39" s="411" t="n">
        <v>20.4330952016911</v>
      </c>
      <c r="Y39" s="411" t="n">
        <v>20.0836652436863</v>
      </c>
      <c r="Z39" s="411" t="n">
        <v>19.8581944701895</v>
      </c>
      <c r="AA39" s="411" t="n">
        <v>19.3581281303295</v>
      </c>
      <c r="AB39" s="401" t="n">
        <f aca="false">Peak!AB41</f>
        <v>0.633890087788842</v>
      </c>
      <c r="AC39" s="401" t="n">
        <f aca="false">Peak!AC41</f>
        <v>0</v>
      </c>
      <c r="AD39" s="405" t="n">
        <f aca="false">Peak!AD41</f>
        <v>218.802581025907</v>
      </c>
      <c r="AE39" s="405" t="n">
        <f aca="false">Peak!AE41</f>
        <v>0</v>
      </c>
      <c r="AF39" s="401" t="n">
        <f aca="false">Peak!AF41</f>
        <v>0</v>
      </c>
      <c r="AG39" s="406" t="n">
        <f aca="false">Peak!AG41</f>
        <v>0</v>
      </c>
      <c r="AH39" s="401" t="n">
        <f aca="false">Peak!AH41</f>
        <v>3.48569078135259</v>
      </c>
      <c r="AI39" s="401" t="n">
        <f aca="false">Peak!AI41</f>
        <v>3.43535871670702</v>
      </c>
      <c r="AJ39" s="401" t="n">
        <f aca="false">Peak!AJ41</f>
        <v>0</v>
      </c>
      <c r="AK39" s="401" t="n">
        <f aca="false">Peak!AK41</f>
        <v>0</v>
      </c>
    </row>
    <row r="40" customFormat="false" ht="12.75" hidden="false" customHeight="false" outlineLevel="0" collapsed="false">
      <c r="A40" s="400" t="n">
        <f aca="false">A39+30.417</f>
        <v>37482.927</v>
      </c>
      <c r="B40" s="401" t="n">
        <f aca="false">IF($B$7="Coal",AG40,IF($B$7="Gas",AH40,IF($B$7="Oil",AI40,0)))</f>
        <v>3.30495125935653</v>
      </c>
      <c r="C40" s="402" t="n">
        <f aca="false">(B40*$B$1*1000)/1000000</f>
        <v>37.3616301696828</v>
      </c>
      <c r="D40" s="401" t="n">
        <f aca="false">AB40+AC40</f>
        <v>0.63494657126849</v>
      </c>
      <c r="E40" s="401" t="n">
        <f aca="false">(($AJ40*$B$1*AD40*1000)/2000)/1000000</f>
        <v>0</v>
      </c>
      <c r="F40" s="401" t="n">
        <f aca="false">AF40*(($AK40*$B$1*AE40*1000)/2000)/1000000</f>
        <v>0</v>
      </c>
      <c r="G40" s="403" t="str">
        <f aca="false">IF(IS!$C$2="Peak","-",SUM(C40:F40))</f>
        <v>-</v>
      </c>
      <c r="H40" s="411" t="n">
        <v>2214.61985152562</v>
      </c>
      <c r="I40" s="411" t="n">
        <v>982.19166419557</v>
      </c>
      <c r="J40" s="411" t="n">
        <v>550.782477704548</v>
      </c>
      <c r="K40" s="411" t="n">
        <v>276.995175563328</v>
      </c>
      <c r="L40" s="411" t="n">
        <v>133.316628859661</v>
      </c>
      <c r="M40" s="411" t="n">
        <v>71.6393606965395</v>
      </c>
      <c r="N40" s="411" t="n">
        <v>63.9400045492543</v>
      </c>
      <c r="O40" s="411" t="n">
        <v>60.9809285816008</v>
      </c>
      <c r="P40" s="411" t="n">
        <v>48.6414434970592</v>
      </c>
      <c r="Q40" s="411" t="n">
        <v>40.5840158869682</v>
      </c>
      <c r="R40" s="411" t="n">
        <v>34.5142544069456</v>
      </c>
      <c r="S40" s="411" t="n">
        <v>32.1272592089061</v>
      </c>
      <c r="T40" s="411" t="n">
        <v>30.8389363117075</v>
      </c>
      <c r="U40" s="411" t="n">
        <v>26.0109707362115</v>
      </c>
      <c r="V40" s="411" t="n">
        <v>24.4269052243261</v>
      </c>
      <c r="W40" s="411" t="n">
        <v>22.9960109685827</v>
      </c>
      <c r="X40" s="411" t="n">
        <v>22.179932264453</v>
      </c>
      <c r="Y40" s="411" t="n">
        <v>21.8698647714432</v>
      </c>
      <c r="Z40" s="411" t="n">
        <v>21.6162164013194</v>
      </c>
      <c r="AA40" s="411" t="n">
        <v>20.9668810616367</v>
      </c>
      <c r="AB40" s="401" t="n">
        <f aca="false">Peak!AB42</f>
        <v>0.63494657126849</v>
      </c>
      <c r="AC40" s="401" t="n">
        <f aca="false">Peak!AC42</f>
        <v>0</v>
      </c>
      <c r="AD40" s="405" t="n">
        <f aca="false">Peak!AD42</f>
        <v>218.802581025907</v>
      </c>
      <c r="AE40" s="405" t="n">
        <f aca="false">Peak!AE42</f>
        <v>0</v>
      </c>
      <c r="AF40" s="401" t="n">
        <f aca="false">Peak!AF42</f>
        <v>0</v>
      </c>
      <c r="AG40" s="406" t="n">
        <f aca="false">Peak!AG42</f>
        <v>0</v>
      </c>
      <c r="AH40" s="401" t="n">
        <f aca="false">Peak!AH42</f>
        <v>3.30495125935653</v>
      </c>
      <c r="AI40" s="401" t="n">
        <f aca="false">Peak!AI42</f>
        <v>3.43535871670702</v>
      </c>
      <c r="AJ40" s="401" t="n">
        <f aca="false">Peak!AJ42</f>
        <v>0</v>
      </c>
      <c r="AK40" s="401" t="n">
        <f aca="false">Peak!AK42</f>
        <v>0</v>
      </c>
    </row>
    <row r="41" customFormat="false" ht="12.75" hidden="false" customHeight="false" outlineLevel="0" collapsed="false">
      <c r="A41" s="400" t="n">
        <f aca="false">A40+30.417</f>
        <v>37513.344</v>
      </c>
      <c r="B41" s="401" t="n">
        <f aca="false">IF($B$7="Coal",AG41,IF($B$7="Gas",AH41,IF($B$7="Oil",AI41,0)))</f>
        <v>3.29388557433637</v>
      </c>
      <c r="C41" s="402" t="n">
        <f aca="false">(B41*$B$1*1000)/1000000</f>
        <v>37.2365354258111</v>
      </c>
      <c r="D41" s="401" t="n">
        <f aca="false">AB41+AC41</f>
        <v>0.636004815553938</v>
      </c>
      <c r="E41" s="401" t="n">
        <f aca="false">(($AJ41*$B$1*AD41*1000)/2000)/1000000</f>
        <v>0</v>
      </c>
      <c r="F41" s="401" t="n">
        <f aca="false">AF41*(($AK41*$B$1*AE41*1000)/2000)/1000000</f>
        <v>0</v>
      </c>
      <c r="G41" s="403" t="str">
        <f aca="false">IF(IS!$C$2="Peak","-",SUM(C41:F41))</f>
        <v>-</v>
      </c>
      <c r="H41" s="411" t="n">
        <v>456.216625568159</v>
      </c>
      <c r="I41" s="411" t="n">
        <v>267.899047373576</v>
      </c>
      <c r="J41" s="411" t="n">
        <v>197.839236664334</v>
      </c>
      <c r="K41" s="411" t="n">
        <v>63.3884341678702</v>
      </c>
      <c r="L41" s="411" t="n">
        <v>46.357745399998</v>
      </c>
      <c r="M41" s="411" t="n">
        <v>40.1851460100286</v>
      </c>
      <c r="N41" s="411" t="n">
        <v>36.3585995057574</v>
      </c>
      <c r="O41" s="411" t="n">
        <v>35.3046658163617</v>
      </c>
      <c r="P41" s="411" t="n">
        <v>32.5850802840176</v>
      </c>
      <c r="Q41" s="411" t="n">
        <v>26.6524975718202</v>
      </c>
      <c r="R41" s="411" t="n">
        <v>25.0738630983928</v>
      </c>
      <c r="S41" s="411" t="n">
        <v>23.836612299808</v>
      </c>
      <c r="T41" s="411" t="n">
        <v>22.0500068353284</v>
      </c>
      <c r="U41" s="411" t="n">
        <v>21.1860627370844</v>
      </c>
      <c r="V41" s="411" t="n">
        <v>21.1164984253922</v>
      </c>
      <c r="W41" s="411" t="n">
        <v>20.7716985302678</v>
      </c>
      <c r="X41" s="411" t="n">
        <v>20.3628042131278</v>
      </c>
      <c r="Y41" s="411" t="n">
        <v>20.0310620259853</v>
      </c>
      <c r="Z41" s="411" t="n">
        <v>19.7877342477449</v>
      </c>
      <c r="AA41" s="411" t="n">
        <v>19.3475170151171</v>
      </c>
      <c r="AB41" s="401" t="n">
        <f aca="false">Peak!AB43</f>
        <v>0.636004815553938</v>
      </c>
      <c r="AC41" s="401" t="n">
        <f aca="false">Peak!AC43</f>
        <v>0</v>
      </c>
      <c r="AD41" s="405" t="n">
        <f aca="false">Peak!AD43</f>
        <v>218.802581025907</v>
      </c>
      <c r="AE41" s="405" t="n">
        <f aca="false">Peak!AE43</f>
        <v>0</v>
      </c>
      <c r="AF41" s="401" t="n">
        <f aca="false">Peak!AF43</f>
        <v>0</v>
      </c>
      <c r="AG41" s="406" t="n">
        <f aca="false">Peak!AG43</f>
        <v>0</v>
      </c>
      <c r="AH41" s="401" t="n">
        <f aca="false">Peak!AH43</f>
        <v>3.29388557433637</v>
      </c>
      <c r="AI41" s="401" t="n">
        <f aca="false">Peak!AI43</f>
        <v>3.43535871670702</v>
      </c>
      <c r="AJ41" s="401" t="n">
        <f aca="false">Peak!AJ43</f>
        <v>0</v>
      </c>
      <c r="AK41" s="401" t="n">
        <f aca="false">Peak!AK43</f>
        <v>0</v>
      </c>
    </row>
    <row r="42" customFormat="false" ht="12.75" hidden="false" customHeight="false" outlineLevel="0" collapsed="false">
      <c r="A42" s="400" t="n">
        <f aca="false">A41+30.417</f>
        <v>37543.761</v>
      </c>
      <c r="B42" s="401" t="n">
        <f aca="false">IF($B$7="Coal",AG42,IF($B$7="Gas",AH42,IF($B$7="Oil",AI42,0)))</f>
        <v>3.64798749498171</v>
      </c>
      <c r="C42" s="402" t="n">
        <f aca="false">(B42*$B$1*1000)/1000000</f>
        <v>41.2395672297057</v>
      </c>
      <c r="D42" s="401" t="n">
        <f aca="false">AB42+AC42</f>
        <v>0.637064823579861</v>
      </c>
      <c r="E42" s="401" t="n">
        <f aca="false">(($AJ42*$B$1*AD42*1000)/2000)/1000000</f>
        <v>0</v>
      </c>
      <c r="F42" s="401" t="n">
        <f aca="false">AF42*(($AK42*$B$1*AE42*1000)/2000)/1000000</f>
        <v>0</v>
      </c>
      <c r="G42" s="403" t="str">
        <f aca="false">IF(IS!$C$2="Peak","-",SUM(C42:F42))</f>
        <v>-</v>
      </c>
      <c r="H42" s="411" t="n">
        <v>57.0061429225247</v>
      </c>
      <c r="I42" s="411" t="n">
        <v>56.0407617326173</v>
      </c>
      <c r="J42" s="411" t="n">
        <v>54.7408863696327</v>
      </c>
      <c r="K42" s="411" t="n">
        <v>52.6276840750601</v>
      </c>
      <c r="L42" s="411" t="n">
        <v>50.2177952427687</v>
      </c>
      <c r="M42" s="411" t="n">
        <v>48.7655995199353</v>
      </c>
      <c r="N42" s="411" t="n">
        <v>48.6387252965684</v>
      </c>
      <c r="O42" s="411" t="n">
        <v>45.6833764917486</v>
      </c>
      <c r="P42" s="411" t="n">
        <v>36.6887482325508</v>
      </c>
      <c r="Q42" s="411" t="n">
        <v>34.3655455236345</v>
      </c>
      <c r="R42" s="411" t="n">
        <v>28.9062736855212</v>
      </c>
      <c r="S42" s="411" t="n">
        <v>28.3332612038071</v>
      </c>
      <c r="T42" s="411" t="n">
        <v>27.2317695220401</v>
      </c>
      <c r="U42" s="411" t="n">
        <v>26.2400795714086</v>
      </c>
      <c r="V42" s="411" t="n">
        <v>24.7504387976298</v>
      </c>
      <c r="W42" s="411" t="n">
        <v>23.6824606525554</v>
      </c>
      <c r="X42" s="411" t="n">
        <v>23.0356556244327</v>
      </c>
      <c r="Y42" s="411" t="n">
        <v>22.4322959198023</v>
      </c>
      <c r="Z42" s="411" t="n">
        <v>22.1260967471184</v>
      </c>
      <c r="AA42" s="411" t="n">
        <v>21.5798002896476</v>
      </c>
      <c r="AB42" s="401" t="n">
        <f aca="false">Peak!AB44</f>
        <v>0.637064823579861</v>
      </c>
      <c r="AC42" s="401" t="n">
        <f aca="false">Peak!AC44</f>
        <v>0</v>
      </c>
      <c r="AD42" s="405" t="n">
        <f aca="false">Peak!AD44</f>
        <v>218.802581025907</v>
      </c>
      <c r="AE42" s="405" t="n">
        <f aca="false">Peak!AE44</f>
        <v>0</v>
      </c>
      <c r="AF42" s="401" t="n">
        <f aca="false">Peak!AF44</f>
        <v>0</v>
      </c>
      <c r="AG42" s="406" t="n">
        <f aca="false">Peak!AG44</f>
        <v>0</v>
      </c>
      <c r="AH42" s="401" t="n">
        <f aca="false">Peak!AH44</f>
        <v>3.64798749498171</v>
      </c>
      <c r="AI42" s="401" t="n">
        <f aca="false">Peak!AI44</f>
        <v>3.43535871670702</v>
      </c>
      <c r="AJ42" s="401" t="n">
        <f aca="false">Peak!AJ44</f>
        <v>0</v>
      </c>
      <c r="AK42" s="401" t="n">
        <f aca="false">Peak!AK44</f>
        <v>0</v>
      </c>
    </row>
    <row r="43" customFormat="false" ht="12.75" hidden="false" customHeight="false" outlineLevel="0" collapsed="false">
      <c r="A43" s="400" t="n">
        <f aca="false">A42+30.417</f>
        <v>37574.178</v>
      </c>
      <c r="B43" s="401" t="n">
        <f aca="false">IF($B$7="Coal",AG43,IF($B$7="Gas",AH43,IF($B$7="Oil",AI43,0)))</f>
        <v>3.99471229228027</v>
      </c>
      <c r="C43" s="402" t="n">
        <f aca="false">(B43*$B$1*1000)/1000000</f>
        <v>45.1592025376858</v>
      </c>
      <c r="D43" s="401" t="n">
        <f aca="false">AB43+AC43</f>
        <v>0.638126598285827</v>
      </c>
      <c r="E43" s="401" t="n">
        <f aca="false">(($AJ43*$B$1*AD43*1000)/2000)/1000000</f>
        <v>0</v>
      </c>
      <c r="F43" s="401" t="n">
        <f aca="false">AF43*(($AK43*$B$1*AE43*1000)/2000)/1000000</f>
        <v>0</v>
      </c>
      <c r="G43" s="403" t="str">
        <f aca="false">IF(IS!$C$2="Peak","-",SUM(C43:F43))</f>
        <v>-</v>
      </c>
      <c r="H43" s="411" t="n">
        <v>81.7196670912373</v>
      </c>
      <c r="I43" s="411" t="n">
        <v>70.1593203319372</v>
      </c>
      <c r="J43" s="411" t="n">
        <v>67.0957526850731</v>
      </c>
      <c r="K43" s="411" t="n">
        <v>63.8539075154577</v>
      </c>
      <c r="L43" s="411" t="n">
        <v>59.8032052655382</v>
      </c>
      <c r="M43" s="411" t="n">
        <v>58.0079577676461</v>
      </c>
      <c r="N43" s="411" t="n">
        <v>56.9829659791842</v>
      </c>
      <c r="O43" s="411" t="n">
        <v>47.962078826275</v>
      </c>
      <c r="P43" s="411" t="n">
        <v>40.6721567736933</v>
      </c>
      <c r="Q43" s="411" t="n">
        <v>33.4669100316176</v>
      </c>
      <c r="R43" s="411" t="n">
        <v>32.5858139800866</v>
      </c>
      <c r="S43" s="411" t="n">
        <v>29.6259664338363</v>
      </c>
      <c r="T43" s="411" t="n">
        <v>29.6259664338363</v>
      </c>
      <c r="U43" s="411" t="n">
        <v>29.5416709099007</v>
      </c>
      <c r="V43" s="411" t="n">
        <v>29.2994003756555</v>
      </c>
      <c r="W43" s="411" t="n">
        <v>24.080534054726</v>
      </c>
      <c r="X43" s="411" t="n">
        <v>22.7599200177393</v>
      </c>
      <c r="Y43" s="411" t="n">
        <v>21.5317073946193</v>
      </c>
      <c r="Z43" s="411" t="n">
        <v>20.6474939286122</v>
      </c>
      <c r="AA43" s="411" t="n">
        <v>19.695587829447</v>
      </c>
      <c r="AB43" s="401" t="n">
        <f aca="false">Peak!AB45</f>
        <v>0.638126598285827</v>
      </c>
      <c r="AC43" s="401" t="n">
        <f aca="false">Peak!AC45</f>
        <v>0</v>
      </c>
      <c r="AD43" s="405" t="n">
        <f aca="false">Peak!AD45</f>
        <v>218.802581025907</v>
      </c>
      <c r="AE43" s="405" t="n">
        <f aca="false">Peak!AE45</f>
        <v>0</v>
      </c>
      <c r="AF43" s="401" t="n">
        <f aca="false">Peak!AF45</f>
        <v>0</v>
      </c>
      <c r="AG43" s="406" t="n">
        <f aca="false">Peak!AG45</f>
        <v>0</v>
      </c>
      <c r="AH43" s="401" t="n">
        <f aca="false">Peak!AH45</f>
        <v>3.99471229228027</v>
      </c>
      <c r="AI43" s="401" t="n">
        <f aca="false">Peak!AI45</f>
        <v>3.72465208232446</v>
      </c>
      <c r="AJ43" s="401" t="n">
        <f aca="false">Peak!AJ45</f>
        <v>0</v>
      </c>
      <c r="AK43" s="401" t="n">
        <f aca="false">Peak!AK45</f>
        <v>0</v>
      </c>
    </row>
    <row r="44" customFormat="false" ht="12.75" hidden="false" customHeight="false" outlineLevel="0" collapsed="false">
      <c r="A44" s="400" t="n">
        <f aca="false">A43+30.417</f>
        <v>37604.595</v>
      </c>
      <c r="B44" s="401" t="n">
        <f aca="false">IF($B$7="Coal",AG44,IF($B$7="Gas",AH44,IF($B$7="Oil",AI44,0)))</f>
        <v>4.32299428121189</v>
      </c>
      <c r="C44" s="402" t="n">
        <f aca="false">(B44*$B$1*1000)/1000000</f>
        <v>48.8703466058797</v>
      </c>
      <c r="D44" s="401" t="n">
        <f aca="false">AB44+AC44</f>
        <v>0.639190142616304</v>
      </c>
      <c r="E44" s="401" t="n">
        <f aca="false">(($AJ44*$B$1*AD44*1000)/2000)/1000000</f>
        <v>0</v>
      </c>
      <c r="F44" s="401" t="n">
        <f aca="false">AF44*(($AK44*$B$1*AE44*1000)/2000)/1000000</f>
        <v>0</v>
      </c>
      <c r="G44" s="403" t="str">
        <f aca="false">IF(IS!$C$2="Peak","-",SUM(C44:F44))</f>
        <v>-</v>
      </c>
      <c r="H44" s="411" t="n">
        <v>84.1194268622227</v>
      </c>
      <c r="I44" s="411" t="n">
        <v>76.1235325868451</v>
      </c>
      <c r="J44" s="411" t="n">
        <v>74.332274868709</v>
      </c>
      <c r="K44" s="411" t="n">
        <v>70.8844437201191</v>
      </c>
      <c r="L44" s="411" t="n">
        <v>66.7276702625454</v>
      </c>
      <c r="M44" s="411" t="n">
        <v>65.0321987404994</v>
      </c>
      <c r="N44" s="411" t="n">
        <v>64.4938768894602</v>
      </c>
      <c r="O44" s="411" t="n">
        <v>59.2443237214147</v>
      </c>
      <c r="P44" s="411" t="n">
        <v>46.9717424269585</v>
      </c>
      <c r="Q44" s="411" t="n">
        <v>42.8872912631591</v>
      </c>
      <c r="R44" s="411" t="n">
        <v>37.0146470764432</v>
      </c>
      <c r="S44" s="411" t="n">
        <v>35.6257333491954</v>
      </c>
      <c r="T44" s="411" t="n">
        <v>26.8157386494157</v>
      </c>
      <c r="U44" s="411" t="n">
        <v>25.7289337763558</v>
      </c>
      <c r="V44" s="411" t="n">
        <v>24.0026087016041</v>
      </c>
      <c r="W44" s="411" t="n">
        <v>22.7763214470616</v>
      </c>
      <c r="X44" s="411" t="n">
        <v>22.2265652651438</v>
      </c>
      <c r="Y44" s="411" t="n">
        <v>21.8196440302367</v>
      </c>
      <c r="Z44" s="411" t="n">
        <v>21.4661304332792</v>
      </c>
      <c r="AA44" s="411" t="n">
        <v>20.8566240014891</v>
      </c>
      <c r="AB44" s="401" t="n">
        <f aca="false">Peak!AB46</f>
        <v>0.639190142616304</v>
      </c>
      <c r="AC44" s="401" t="n">
        <f aca="false">Peak!AC46</f>
        <v>0</v>
      </c>
      <c r="AD44" s="405" t="n">
        <f aca="false">Peak!AD46</f>
        <v>218.802581025907</v>
      </c>
      <c r="AE44" s="405" t="n">
        <f aca="false">Peak!AE46</f>
        <v>0</v>
      </c>
      <c r="AF44" s="401" t="n">
        <f aca="false">Peak!AF46</f>
        <v>0</v>
      </c>
      <c r="AG44" s="406" t="n">
        <f aca="false">Peak!AG46</f>
        <v>0</v>
      </c>
      <c r="AH44" s="401" t="n">
        <f aca="false">Peak!AH46</f>
        <v>4.32299428121189</v>
      </c>
      <c r="AI44" s="401" t="n">
        <f aca="false">Peak!AI46</f>
        <v>3.90546043583535</v>
      </c>
      <c r="AJ44" s="401" t="n">
        <f aca="false">Peak!AJ46</f>
        <v>0</v>
      </c>
      <c r="AK44" s="401" t="n">
        <f aca="false">Peak!AK46</f>
        <v>0</v>
      </c>
    </row>
    <row r="45" customFormat="false" ht="12.75" hidden="false" customHeight="false" outlineLevel="0" collapsed="false">
      <c r="A45" s="400" t="n">
        <f aca="false">A44+30.417</f>
        <v>37635.012</v>
      </c>
      <c r="B45" s="401" t="n">
        <f aca="false">IF($B$7="Coal",AG45,IF($B$7="Gas",AH45,IF($B$7="Oil",AI45,0)))</f>
        <v>3.98965553633527</v>
      </c>
      <c r="C45" s="402" t="n">
        <f aca="false">(B45*$B$1*1000)/1000000</f>
        <v>45.1020372028141</v>
      </c>
      <c r="D45" s="401" t="n">
        <f aca="false">AB45+AC45</f>
        <v>0.640255459520664</v>
      </c>
      <c r="E45" s="401" t="n">
        <f aca="false">(($AJ45*$B$1*AD45*1000)/2000)/1000000</f>
        <v>0</v>
      </c>
      <c r="F45" s="401" t="n">
        <f aca="false">AF45*(($AK45*$B$1*AE45*1000)/2000)/1000000</f>
        <v>0</v>
      </c>
      <c r="G45" s="403" t="str">
        <f aca="false">IF(IS!$C$2="Peak","-",SUM(C45:F45))</f>
        <v>-</v>
      </c>
      <c r="H45" s="411" t="n">
        <v>74.0282318426408</v>
      </c>
      <c r="I45" s="411" t="n">
        <v>71.633993864981</v>
      </c>
      <c r="J45" s="411" t="n">
        <v>66.8839733229678</v>
      </c>
      <c r="K45" s="411" t="n">
        <v>60.3215970980396</v>
      </c>
      <c r="L45" s="411" t="n">
        <v>55.0626126790492</v>
      </c>
      <c r="M45" s="411" t="n">
        <v>52.4801105420314</v>
      </c>
      <c r="N45" s="411" t="n">
        <v>49.3289714552085</v>
      </c>
      <c r="O45" s="411" t="n">
        <v>48.8977657394326</v>
      </c>
      <c r="P45" s="411" t="n">
        <v>47.5131465399331</v>
      </c>
      <c r="Q45" s="411" t="n">
        <v>37.3619300083291</v>
      </c>
      <c r="R45" s="411" t="n">
        <v>35.5736410450379</v>
      </c>
      <c r="S45" s="411" t="n">
        <v>34.9317625632406</v>
      </c>
      <c r="T45" s="411" t="n">
        <v>27.888519862783</v>
      </c>
      <c r="U45" s="411" t="n">
        <v>25.6021553624771</v>
      </c>
      <c r="V45" s="411" t="n">
        <v>25.421649063099</v>
      </c>
      <c r="W45" s="411" t="n">
        <v>25.0187274725012</v>
      </c>
      <c r="X45" s="411" t="n">
        <v>23.99576382982</v>
      </c>
      <c r="Y45" s="411" t="n">
        <v>23.190517805433</v>
      </c>
      <c r="Z45" s="411" t="n">
        <v>22.1234271492416</v>
      </c>
      <c r="AA45" s="411" t="n">
        <v>21.0314655505284</v>
      </c>
      <c r="AB45" s="401" t="n">
        <f aca="false">Peak!AB47</f>
        <v>0.640255459520664</v>
      </c>
      <c r="AC45" s="401" t="n">
        <f aca="false">Peak!AC47</f>
        <v>0</v>
      </c>
      <c r="AD45" s="405" t="n">
        <f aca="false">Peak!AD47</f>
        <v>240.408053917863</v>
      </c>
      <c r="AE45" s="405" t="n">
        <f aca="false">Peak!AE47</f>
        <v>4274.50397546497</v>
      </c>
      <c r="AF45" s="401" t="n">
        <f aca="false">Peak!AF47</f>
        <v>0</v>
      </c>
      <c r="AG45" s="406" t="n">
        <f aca="false">Peak!AG47</f>
        <v>0</v>
      </c>
      <c r="AH45" s="401" t="n">
        <f aca="false">Peak!AH47</f>
        <v>3.98965553633527</v>
      </c>
      <c r="AI45" s="401" t="n">
        <f aca="false">Peak!AI47</f>
        <v>3.80839609756098</v>
      </c>
      <c r="AJ45" s="401" t="n">
        <f aca="false">Peak!AJ47</f>
        <v>0</v>
      </c>
      <c r="AK45" s="401" t="n">
        <f aca="false">Peak!AK47</f>
        <v>0</v>
      </c>
      <c r="AL45" s="1"/>
    </row>
    <row r="46" customFormat="false" ht="12.75" hidden="false" customHeight="false" outlineLevel="0" collapsed="false">
      <c r="A46" s="400" t="n">
        <f aca="false">A45+30.417</f>
        <v>37665.429</v>
      </c>
      <c r="B46" s="401" t="n">
        <f aca="false">IF($B$7="Coal",AG46,IF($B$7="Gas",AH46,IF($B$7="Oil",AI46,0)))</f>
        <v>3.57583488230049</v>
      </c>
      <c r="C46" s="402" t="n">
        <f aca="false">(B46*$B$1*1000)/1000000</f>
        <v>40.4239003652882</v>
      </c>
      <c r="D46" s="401" t="n">
        <f aca="false">AB46+AC46</f>
        <v>0.641322551953199</v>
      </c>
      <c r="E46" s="401" t="n">
        <f aca="false">(($AJ46*$B$1*AD46*1000)/2000)/1000000</f>
        <v>0</v>
      </c>
      <c r="F46" s="401" t="n">
        <f aca="false">AF46*(($AK46*$B$1*AE46*1000)/2000)/1000000</f>
        <v>0</v>
      </c>
      <c r="G46" s="403" t="str">
        <f aca="false">IF(IS!$C$2="Peak","-",SUM(C46:F46))</f>
        <v>-</v>
      </c>
      <c r="H46" s="411" t="n">
        <v>117.505029831623</v>
      </c>
      <c r="I46" s="411" t="n">
        <v>73.0565603331321</v>
      </c>
      <c r="J46" s="411" t="n">
        <v>64.7076557123664</v>
      </c>
      <c r="K46" s="411" t="n">
        <v>59.5879519199595</v>
      </c>
      <c r="L46" s="411" t="n">
        <v>57.0495266579341</v>
      </c>
      <c r="M46" s="411" t="n">
        <v>53.9746720359764</v>
      </c>
      <c r="N46" s="411" t="n">
        <v>51.1432376751139</v>
      </c>
      <c r="O46" s="411" t="n">
        <v>50.9025693558944</v>
      </c>
      <c r="P46" s="411" t="n">
        <v>46.2568065566041</v>
      </c>
      <c r="Q46" s="411" t="n">
        <v>36.7172279878261</v>
      </c>
      <c r="R46" s="411" t="n">
        <v>31.8259573386895</v>
      </c>
      <c r="S46" s="411" t="n">
        <v>29.5798544896798</v>
      </c>
      <c r="T46" s="411" t="n">
        <v>27.3102038189112</v>
      </c>
      <c r="U46" s="411" t="n">
        <v>25.319175204034</v>
      </c>
      <c r="V46" s="411" t="n">
        <v>24.4567291623468</v>
      </c>
      <c r="W46" s="411" t="n">
        <v>23.2120754979939</v>
      </c>
      <c r="X46" s="411" t="n">
        <v>22.735601559568</v>
      </c>
      <c r="Y46" s="411" t="n">
        <v>22.3270779112427</v>
      </c>
      <c r="Z46" s="411" t="n">
        <v>21.9260885902527</v>
      </c>
      <c r="AA46" s="411" t="n">
        <v>21.4390215406757</v>
      </c>
      <c r="AB46" s="401" t="n">
        <f aca="false">Peak!AB48</f>
        <v>0.641322551953199</v>
      </c>
      <c r="AC46" s="401" t="n">
        <f aca="false">Peak!AC48</f>
        <v>0</v>
      </c>
      <c r="AD46" s="405" t="n">
        <f aca="false">Peak!AD48</f>
        <v>240.408053917863</v>
      </c>
      <c r="AE46" s="405" t="n">
        <f aca="false">Peak!AE48</f>
        <v>4274.50397546497</v>
      </c>
      <c r="AF46" s="401" t="n">
        <f aca="false">Peak!AF48</f>
        <v>0</v>
      </c>
      <c r="AG46" s="406" t="n">
        <f aca="false">Peak!AG48</f>
        <v>0</v>
      </c>
      <c r="AH46" s="401" t="n">
        <f aca="false">Peak!AH48</f>
        <v>3.57583488230049</v>
      </c>
      <c r="AI46" s="401" t="n">
        <f aca="false">Peak!AI48</f>
        <v>3.77313317073171</v>
      </c>
      <c r="AJ46" s="401" t="n">
        <f aca="false">Peak!AJ48</f>
        <v>0</v>
      </c>
      <c r="AK46" s="401" t="n">
        <f aca="false">Peak!AK48</f>
        <v>0</v>
      </c>
      <c r="AL46" s="1"/>
    </row>
    <row r="47" customFormat="false" ht="12.75" hidden="false" customHeight="false" outlineLevel="0" collapsed="false">
      <c r="A47" s="400" t="n">
        <f aca="false">A46+30.417</f>
        <v>37695.846</v>
      </c>
      <c r="B47" s="401" t="n">
        <f aca="false">IF($B$7="Coal",AG47,IF($B$7="Gas",AH47,IF($B$7="Oil",AI47,0)))</f>
        <v>3.5157070949621</v>
      </c>
      <c r="C47" s="402" t="n">
        <f aca="false">(B47*$B$1*1000)/1000000</f>
        <v>39.7441710812032</v>
      </c>
      <c r="D47" s="401" t="n">
        <f aca="false">AB47+AC47</f>
        <v>0.642391422873121</v>
      </c>
      <c r="E47" s="401" t="n">
        <f aca="false">(($AJ47*$B$1*AD47*1000)/2000)/1000000</f>
        <v>0</v>
      </c>
      <c r="F47" s="401" t="n">
        <f aca="false">AF47*(($AK47*$B$1*AE47*1000)/2000)/1000000</f>
        <v>0</v>
      </c>
      <c r="G47" s="403" t="str">
        <f aca="false">IF(IS!$C$2="Peak","-",SUM(C47:F47))</f>
        <v>-</v>
      </c>
      <c r="H47" s="411" t="n">
        <v>79.2008631067303</v>
      </c>
      <c r="I47" s="411" t="n">
        <v>70.2137355611387</v>
      </c>
      <c r="J47" s="411" t="n">
        <v>62.3471276307508</v>
      </c>
      <c r="K47" s="411" t="n">
        <v>59.974670810237</v>
      </c>
      <c r="L47" s="411" t="n">
        <v>57.2875500272619</v>
      </c>
      <c r="M47" s="411" t="n">
        <v>53.7108445457223</v>
      </c>
      <c r="N47" s="411" t="n">
        <v>53.1033384459064</v>
      </c>
      <c r="O47" s="411" t="n">
        <v>51.9983722885178</v>
      </c>
      <c r="P47" s="411" t="n">
        <v>45.2524049318588</v>
      </c>
      <c r="Q47" s="411" t="n">
        <v>37.6025075220291</v>
      </c>
      <c r="R47" s="411" t="n">
        <v>34.2195669524462</v>
      </c>
      <c r="S47" s="411" t="n">
        <v>30.6551138378167</v>
      </c>
      <c r="T47" s="411" t="n">
        <v>30.4801094834275</v>
      </c>
      <c r="U47" s="411" t="n">
        <v>27.377428571777</v>
      </c>
      <c r="V47" s="411" t="n">
        <v>26.3735788064296</v>
      </c>
      <c r="W47" s="411" t="n">
        <v>25.4556814148337</v>
      </c>
      <c r="X47" s="411" t="n">
        <v>24.1697479352537</v>
      </c>
      <c r="Y47" s="411" t="n">
        <v>23.7079907010417</v>
      </c>
      <c r="Z47" s="411" t="n">
        <v>23.1631118572708</v>
      </c>
      <c r="AA47" s="411" t="n">
        <v>22.5250687396643</v>
      </c>
      <c r="AB47" s="401" t="n">
        <f aca="false">Peak!AB49</f>
        <v>0.642391422873121</v>
      </c>
      <c r="AC47" s="401" t="n">
        <f aca="false">Peak!AC49</f>
        <v>0</v>
      </c>
      <c r="AD47" s="405" t="n">
        <f aca="false">Peak!AD49</f>
        <v>240.408053917863</v>
      </c>
      <c r="AE47" s="405" t="n">
        <f aca="false">Peak!AE49</f>
        <v>4274.50397546497</v>
      </c>
      <c r="AF47" s="401" t="n">
        <f aca="false">Peak!AF49</f>
        <v>0</v>
      </c>
      <c r="AG47" s="406" t="n">
        <f aca="false">Peak!AG49</f>
        <v>0</v>
      </c>
      <c r="AH47" s="401" t="n">
        <f aca="false">Peak!AH49</f>
        <v>3.5157070949621</v>
      </c>
      <c r="AI47" s="401" t="n">
        <f aca="false">Peak!AI49</f>
        <v>3.63208146341463</v>
      </c>
      <c r="AJ47" s="401" t="n">
        <f aca="false">Peak!AJ49</f>
        <v>0</v>
      </c>
      <c r="AK47" s="401" t="n">
        <f aca="false">Peak!AK49</f>
        <v>0</v>
      </c>
      <c r="AL47" s="1"/>
    </row>
    <row r="48" customFormat="false" ht="12.75" hidden="false" customHeight="false" outlineLevel="0" collapsed="false">
      <c r="A48" s="400" t="n">
        <f aca="false">A47+30.417</f>
        <v>37726.263</v>
      </c>
      <c r="B48" s="401" t="n">
        <f aca="false">IF($B$7="Coal",AG48,IF($B$7="Gas",AH48,IF($B$7="Oil",AI48,0)))</f>
        <v>3.34239759028087</v>
      </c>
      <c r="C48" s="402" t="n">
        <f aca="false">(B48*$B$1*1000)/1000000</f>
        <v>37.7849513800171</v>
      </c>
      <c r="D48" s="401" t="n">
        <f aca="false">AB48+AC48</f>
        <v>0.643462075244576</v>
      </c>
      <c r="E48" s="401" t="n">
        <f aca="false">(($AJ48*$B$1*AD48*1000)/2000)/1000000</f>
        <v>0</v>
      </c>
      <c r="F48" s="401" t="n">
        <f aca="false">AF48*(($AK48*$B$1*AE48*1000)/2000)/1000000</f>
        <v>0</v>
      </c>
      <c r="G48" s="403" t="str">
        <f aca="false">IF(IS!$C$2="Peak","-",SUM(C48:F48))</f>
        <v>-</v>
      </c>
      <c r="H48" s="411" t="n">
        <v>63.6775848109194</v>
      </c>
      <c r="I48" s="411" t="n">
        <v>63.6775848109194</v>
      </c>
      <c r="J48" s="411" t="n">
        <v>63.2279611107449</v>
      </c>
      <c r="K48" s="411" t="n">
        <v>59.6348107299518</v>
      </c>
      <c r="L48" s="411" t="n">
        <v>49.7369846228677</v>
      </c>
      <c r="M48" s="411" t="n">
        <v>42.4085316921288</v>
      </c>
      <c r="N48" s="411" t="n">
        <v>37.7336389681585</v>
      </c>
      <c r="O48" s="411" t="n">
        <v>34.7137769861328</v>
      </c>
      <c r="P48" s="411" t="n">
        <v>32.3952048636245</v>
      </c>
      <c r="Q48" s="411" t="n">
        <v>32.3952048636245</v>
      </c>
      <c r="R48" s="411" t="n">
        <v>32.3952048636245</v>
      </c>
      <c r="S48" s="411" t="n">
        <v>30.0323299906833</v>
      </c>
      <c r="T48" s="411" t="n">
        <v>26.4789469769396</v>
      </c>
      <c r="U48" s="411" t="n">
        <v>25.8011550275758</v>
      </c>
      <c r="V48" s="411" t="n">
        <v>24.5996348909272</v>
      </c>
      <c r="W48" s="411" t="n">
        <v>23.7948879999605</v>
      </c>
      <c r="X48" s="411" t="n">
        <v>23.4371620869707</v>
      </c>
      <c r="Y48" s="411" t="n">
        <v>23.0787562907291</v>
      </c>
      <c r="Z48" s="411" t="n">
        <v>22.8225966989693</v>
      </c>
      <c r="AA48" s="411" t="n">
        <v>22.3253500752654</v>
      </c>
      <c r="AB48" s="401" t="n">
        <f aca="false">Peak!AB50</f>
        <v>0.643462075244576</v>
      </c>
      <c r="AC48" s="401" t="n">
        <f aca="false">Peak!AC50</f>
        <v>0</v>
      </c>
      <c r="AD48" s="405" t="n">
        <f aca="false">Peak!AD50</f>
        <v>240.408053917863</v>
      </c>
      <c r="AE48" s="405" t="n">
        <f aca="false">Peak!AE50</f>
        <v>4274.50397546497</v>
      </c>
      <c r="AF48" s="401" t="n">
        <f aca="false">Peak!AF50</f>
        <v>0</v>
      </c>
      <c r="AG48" s="406" t="n">
        <f aca="false">Peak!AG50</f>
        <v>0</v>
      </c>
      <c r="AH48" s="401" t="n">
        <f aca="false">Peak!AH50</f>
        <v>3.34239759028087</v>
      </c>
      <c r="AI48" s="401" t="n">
        <f aca="false">Peak!AI50</f>
        <v>3.49102975609756</v>
      </c>
      <c r="AJ48" s="401" t="n">
        <f aca="false">Peak!AJ50</f>
        <v>0</v>
      </c>
      <c r="AK48" s="401" t="n">
        <f aca="false">Peak!AK50</f>
        <v>0</v>
      </c>
      <c r="AL48" s="1"/>
    </row>
    <row r="49" customFormat="false" ht="12.75" hidden="false" customHeight="false" outlineLevel="0" collapsed="false">
      <c r="A49" s="400" t="n">
        <f aca="false">A48+30.417</f>
        <v>37756.68</v>
      </c>
      <c r="B49" s="401" t="n">
        <f aca="false">IF($B$7="Coal",AG49,IF($B$7="Gas",AH49,IF($B$7="Oil",AI49,0)))</f>
        <v>3.51924402362907</v>
      </c>
      <c r="C49" s="402" t="n">
        <f aca="false">(B49*$B$1*1000)/1000000</f>
        <v>39.7841551567376</v>
      </c>
      <c r="D49" s="401" t="n">
        <f aca="false">AB49+AC49</f>
        <v>0.64453451203665</v>
      </c>
      <c r="E49" s="401" t="n">
        <f aca="false">(($AJ49*$B$1*AD49*1000)/2000)/1000000</f>
        <v>0</v>
      </c>
      <c r="F49" s="401" t="n">
        <f aca="false">AF49*(($AK49*$B$1*AE49*1000)/2000)/1000000</f>
        <v>0</v>
      </c>
      <c r="G49" s="403" t="str">
        <f aca="false">IF(IS!$C$2="Peak","-",SUM(C49:F49))</f>
        <v>-</v>
      </c>
      <c r="H49" s="411" t="n">
        <v>78.4322961885071</v>
      </c>
      <c r="I49" s="411" t="n">
        <v>72.1786187294352</v>
      </c>
      <c r="J49" s="411" t="n">
        <v>68.7199513967088</v>
      </c>
      <c r="K49" s="411" t="n">
        <v>64.1945054965649</v>
      </c>
      <c r="L49" s="411" t="n">
        <v>60.1383953400184</v>
      </c>
      <c r="M49" s="411" t="n">
        <v>58.2279730523128</v>
      </c>
      <c r="N49" s="411" t="n">
        <v>56.7038025787821</v>
      </c>
      <c r="O49" s="411" t="n">
        <v>43.4821408087958</v>
      </c>
      <c r="P49" s="411" t="n">
        <v>38.7947905612625</v>
      </c>
      <c r="Q49" s="411" t="n">
        <v>33.5378440814198</v>
      </c>
      <c r="R49" s="411" t="n">
        <v>33.3323771509335</v>
      </c>
      <c r="S49" s="411" t="n">
        <v>32.0627472456595</v>
      </c>
      <c r="T49" s="411" t="n">
        <v>30.0623675506733</v>
      </c>
      <c r="U49" s="411" t="n">
        <v>28.7806482333857</v>
      </c>
      <c r="V49" s="411" t="n">
        <v>28.4848450633474</v>
      </c>
      <c r="W49" s="411" t="n">
        <v>27.8671354924915</v>
      </c>
      <c r="X49" s="411" t="n">
        <v>27.1915634413249</v>
      </c>
      <c r="Y49" s="411" t="n">
        <v>26.7482982902991</v>
      </c>
      <c r="Z49" s="411" t="n">
        <v>26.3154332296573</v>
      </c>
      <c r="AA49" s="411" t="n">
        <v>25.6186115542719</v>
      </c>
      <c r="AB49" s="401" t="n">
        <f aca="false">Peak!AB51</f>
        <v>0.64453451203665</v>
      </c>
      <c r="AC49" s="401" t="n">
        <f aca="false">Peak!AC51</f>
        <v>0</v>
      </c>
      <c r="AD49" s="405" t="n">
        <f aca="false">Peak!AD51</f>
        <v>240.408053917863</v>
      </c>
      <c r="AE49" s="405" t="n">
        <f aca="false">Peak!AE51</f>
        <v>4274.50397546497</v>
      </c>
      <c r="AF49" s="401" t="n">
        <f aca="false">Peak!AF51</f>
        <v>1</v>
      </c>
      <c r="AG49" s="406" t="n">
        <f aca="false">Peak!AG51</f>
        <v>0</v>
      </c>
      <c r="AH49" s="401" t="n">
        <f aca="false">Peak!AH51</f>
        <v>3.51924402362907</v>
      </c>
      <c r="AI49" s="401" t="n">
        <f aca="false">Peak!AI51</f>
        <v>3.34997804878049</v>
      </c>
      <c r="AJ49" s="401" t="n">
        <f aca="false">Peak!AJ51</f>
        <v>0</v>
      </c>
      <c r="AK49" s="401" t="n">
        <f aca="false">Peak!AK51</f>
        <v>0</v>
      </c>
      <c r="AL49" s="1"/>
    </row>
    <row r="50" customFormat="false" ht="12.75" hidden="false" customHeight="false" outlineLevel="0" collapsed="false">
      <c r="A50" s="400" t="n">
        <f aca="false">A49+30.417</f>
        <v>37787.097</v>
      </c>
      <c r="B50" s="401" t="n">
        <f aca="false">IF($B$7="Coal",AG50,IF($B$7="Gas",AH50,IF($B$7="Oil",AI50,0)))</f>
        <v>3.35300837628177</v>
      </c>
      <c r="C50" s="402" t="n">
        <f aca="false">(B50*$B$1*1000)/1000000</f>
        <v>37.9049036066204</v>
      </c>
      <c r="D50" s="401" t="n">
        <f aca="false">AB50+AC50</f>
        <v>0.645608736223378</v>
      </c>
      <c r="E50" s="401" t="n">
        <f aca="false">(($AJ50*$B$1*AD50*1000)/2000)/1000000</f>
        <v>0</v>
      </c>
      <c r="F50" s="401" t="n">
        <f aca="false">AF50*(($AK50*$B$1*AE50*1000)/2000)/1000000</f>
        <v>0</v>
      </c>
      <c r="G50" s="403" t="str">
        <f aca="false">IF(IS!$C$2="Peak","-",SUM(C50:F50))</f>
        <v>-</v>
      </c>
      <c r="H50" s="411" t="n">
        <v>279.59627063945</v>
      </c>
      <c r="I50" s="411" t="n">
        <v>193.650801846542</v>
      </c>
      <c r="J50" s="411" t="n">
        <v>107.374530316604</v>
      </c>
      <c r="K50" s="411" t="n">
        <v>76.6824793139985</v>
      </c>
      <c r="L50" s="411" t="n">
        <v>65.0249068026209</v>
      </c>
      <c r="M50" s="411" t="n">
        <v>59.0538721676548</v>
      </c>
      <c r="N50" s="411" t="n">
        <v>54.0825171479566</v>
      </c>
      <c r="O50" s="411" t="n">
        <v>51.5318312895667</v>
      </c>
      <c r="P50" s="411" t="n">
        <v>40.1080411493594</v>
      </c>
      <c r="Q50" s="411" t="n">
        <v>39.0169878959214</v>
      </c>
      <c r="R50" s="411" t="n">
        <v>36.6848635575433</v>
      </c>
      <c r="S50" s="411" t="n">
        <v>31.6769100246655</v>
      </c>
      <c r="T50" s="411" t="n">
        <v>29.8915938670776</v>
      </c>
      <c r="U50" s="411" t="n">
        <v>29.1503944111994</v>
      </c>
      <c r="V50" s="411" t="n">
        <v>28.4722783375979</v>
      </c>
      <c r="W50" s="411" t="n">
        <v>28.0450543021383</v>
      </c>
      <c r="X50" s="411" t="n">
        <v>27.3064336397721</v>
      </c>
      <c r="Y50" s="411" t="n">
        <v>26.7188200623537</v>
      </c>
      <c r="Z50" s="411" t="n">
        <v>26.028026406249</v>
      </c>
      <c r="AA50" s="411" t="n">
        <v>24.4563403174099</v>
      </c>
      <c r="AB50" s="401" t="n">
        <f aca="false">Peak!AB52</f>
        <v>0.645608736223378</v>
      </c>
      <c r="AC50" s="401" t="n">
        <f aca="false">Peak!AC52</f>
        <v>0</v>
      </c>
      <c r="AD50" s="405" t="n">
        <f aca="false">Peak!AD52</f>
        <v>240.408053917863</v>
      </c>
      <c r="AE50" s="405" t="n">
        <f aca="false">Peak!AE52</f>
        <v>4274.50397546497</v>
      </c>
      <c r="AF50" s="401" t="n">
        <f aca="false">Peak!AF52</f>
        <v>1</v>
      </c>
      <c r="AG50" s="406" t="n">
        <f aca="false">Peak!AG52</f>
        <v>0</v>
      </c>
      <c r="AH50" s="401" t="n">
        <f aca="false">Peak!AH52</f>
        <v>3.35300837628177</v>
      </c>
      <c r="AI50" s="401" t="n">
        <f aca="false">Peak!AI52</f>
        <v>3.34997804878049</v>
      </c>
      <c r="AJ50" s="401" t="n">
        <f aca="false">Peak!AJ52</f>
        <v>0</v>
      </c>
      <c r="AK50" s="401" t="n">
        <f aca="false">Peak!AK52</f>
        <v>0</v>
      </c>
      <c r="AL50" s="1"/>
    </row>
    <row r="51" customFormat="false" ht="12.75" hidden="false" customHeight="false" outlineLevel="0" collapsed="false">
      <c r="A51" s="400" t="n">
        <f aca="false">A50+30.417</f>
        <v>37817.514</v>
      </c>
      <c r="B51" s="401" t="n">
        <f aca="false">IF($B$7="Coal",AG51,IF($B$7="Gas",AH51,IF($B$7="Oil",AI51,0)))</f>
        <v>3.34239759028087</v>
      </c>
      <c r="C51" s="402" t="n">
        <f aca="false">(B51*$B$1*1000)/1000000</f>
        <v>37.7849513800171</v>
      </c>
      <c r="D51" s="401" t="n">
        <f aca="false">AB51+AC51</f>
        <v>0.64668475078375</v>
      </c>
      <c r="E51" s="401" t="n">
        <f aca="false">(($AJ51*$B$1*AD51*1000)/2000)/1000000</f>
        <v>0</v>
      </c>
      <c r="F51" s="401" t="n">
        <f aca="false">AF51*(($AK51*$B$1*AE51*1000)/2000)/1000000</f>
        <v>0</v>
      </c>
      <c r="G51" s="403" t="str">
        <f aca="false">IF(IS!$C$2="Peak","-",SUM(C51:F51))</f>
        <v>-</v>
      </c>
      <c r="H51" s="411" t="n">
        <v>859.483055815033</v>
      </c>
      <c r="I51" s="411" t="n">
        <v>473.707575794506</v>
      </c>
      <c r="J51" s="411" t="n">
        <v>303.815925648622</v>
      </c>
      <c r="K51" s="411" t="n">
        <v>195.493779568914</v>
      </c>
      <c r="L51" s="411" t="n">
        <v>89.5892842518663</v>
      </c>
      <c r="M51" s="411" t="n">
        <v>72.6691092148563</v>
      </c>
      <c r="N51" s="411" t="n">
        <v>60.1053362077817</v>
      </c>
      <c r="O51" s="411" t="n">
        <v>54.9549470321731</v>
      </c>
      <c r="P51" s="411" t="n">
        <v>52.4537114592692</v>
      </c>
      <c r="Q51" s="411" t="n">
        <v>49.7071232491224</v>
      </c>
      <c r="R51" s="411" t="n">
        <v>40.8713022954519</v>
      </c>
      <c r="S51" s="411" t="n">
        <v>39.4944092356473</v>
      </c>
      <c r="T51" s="411" t="n">
        <v>37.1840111165415</v>
      </c>
      <c r="U51" s="411" t="n">
        <v>35.2060048245711</v>
      </c>
      <c r="V51" s="411" t="n">
        <v>33.2456760006669</v>
      </c>
      <c r="W51" s="411" t="n">
        <v>31.7043214932958</v>
      </c>
      <c r="X51" s="411" t="n">
        <v>30.9228160191766</v>
      </c>
      <c r="Y51" s="411" t="n">
        <v>30.4180364378759</v>
      </c>
      <c r="Z51" s="411" t="n">
        <v>29.7240093689972</v>
      </c>
      <c r="AA51" s="411" t="n">
        <v>27.3958955797347</v>
      </c>
      <c r="AB51" s="401" t="n">
        <f aca="false">Peak!AB53</f>
        <v>0.64668475078375</v>
      </c>
      <c r="AC51" s="401" t="n">
        <f aca="false">Peak!AC53</f>
        <v>0</v>
      </c>
      <c r="AD51" s="405" t="n">
        <f aca="false">Peak!AD53</f>
        <v>240.408053917863</v>
      </c>
      <c r="AE51" s="405" t="n">
        <f aca="false">Peak!AE53</f>
        <v>4274.50397546497</v>
      </c>
      <c r="AF51" s="401" t="n">
        <f aca="false">Peak!AF53</f>
        <v>1</v>
      </c>
      <c r="AG51" s="406" t="n">
        <f aca="false">Peak!AG53</f>
        <v>0</v>
      </c>
      <c r="AH51" s="401" t="n">
        <f aca="false">Peak!AH53</f>
        <v>3.34239759028087</v>
      </c>
      <c r="AI51" s="401" t="n">
        <f aca="false">Peak!AI53</f>
        <v>3.34997804878049</v>
      </c>
      <c r="AJ51" s="401" t="n">
        <f aca="false">Peak!AJ53</f>
        <v>0</v>
      </c>
      <c r="AK51" s="401" t="n">
        <f aca="false">Peak!AK53</f>
        <v>0</v>
      </c>
      <c r="AL51" s="1"/>
    </row>
    <row r="52" customFormat="false" ht="12.75" hidden="false" customHeight="false" outlineLevel="0" collapsed="false">
      <c r="A52" s="400" t="n">
        <f aca="false">A51+30.417</f>
        <v>37847.931</v>
      </c>
      <c r="B52" s="401" t="n">
        <f aca="false">IF($B$7="Coal",AG52,IF($B$7="Gas",AH52,IF($B$7="Oil",AI52,0)))</f>
        <v>3.16908808559964</v>
      </c>
      <c r="C52" s="402" t="n">
        <f aca="false">(B52*$B$1*1000)/1000000</f>
        <v>35.8257316788311</v>
      </c>
      <c r="D52" s="401" t="n">
        <f aca="false">AB52+AC52</f>
        <v>0.647762558701723</v>
      </c>
      <c r="E52" s="401" t="n">
        <f aca="false">(($AJ52*$B$1*AD52*1000)/2000)/1000000</f>
        <v>0</v>
      </c>
      <c r="F52" s="401" t="n">
        <f aca="false">AF52*(($AK52*$B$1*AE52*1000)/2000)/1000000</f>
        <v>0</v>
      </c>
      <c r="G52" s="403" t="str">
        <f aca="false">IF(IS!$C$2="Peak","-",SUM(C52:F52))</f>
        <v>-</v>
      </c>
      <c r="H52" s="411" t="n">
        <v>1783.45841204624</v>
      </c>
      <c r="I52" s="411" t="n">
        <v>821.600196973626</v>
      </c>
      <c r="J52" s="411" t="n">
        <v>477.675862085417</v>
      </c>
      <c r="K52" s="411" t="n">
        <v>247.968544785246</v>
      </c>
      <c r="L52" s="411" t="n">
        <v>150.136415582224</v>
      </c>
      <c r="M52" s="411" t="n">
        <v>91.0648055530633</v>
      </c>
      <c r="N52" s="411" t="n">
        <v>78.3485913943815</v>
      </c>
      <c r="O52" s="411" t="n">
        <v>72.7951757376807</v>
      </c>
      <c r="P52" s="411" t="n">
        <v>64.3699434833345</v>
      </c>
      <c r="Q52" s="411" t="n">
        <v>47.9587086354098</v>
      </c>
      <c r="R52" s="411" t="n">
        <v>41.118750635394</v>
      </c>
      <c r="S52" s="411" t="n">
        <v>37.7354277659409</v>
      </c>
      <c r="T52" s="411" t="n">
        <v>34.0331290406463</v>
      </c>
      <c r="U52" s="411" t="n">
        <v>32.6644907588085</v>
      </c>
      <c r="V52" s="411" t="n">
        <v>32.0714136217103</v>
      </c>
      <c r="W52" s="411" t="n">
        <v>31.5070167508922</v>
      </c>
      <c r="X52" s="411" t="n">
        <v>30.6172903493683</v>
      </c>
      <c r="Y52" s="411" t="n">
        <v>29.7567187237078</v>
      </c>
      <c r="Z52" s="411" t="n">
        <v>28.7457395427825</v>
      </c>
      <c r="AA52" s="411" t="n">
        <v>27.0994596330453</v>
      </c>
      <c r="AB52" s="401" t="n">
        <f aca="false">Peak!AB54</f>
        <v>0.647762558701723</v>
      </c>
      <c r="AC52" s="401" t="n">
        <f aca="false">Peak!AC54</f>
        <v>0</v>
      </c>
      <c r="AD52" s="405" t="n">
        <f aca="false">Peak!AD54</f>
        <v>240.408053917863</v>
      </c>
      <c r="AE52" s="405" t="n">
        <f aca="false">Peak!AE54</f>
        <v>4274.50397546497</v>
      </c>
      <c r="AF52" s="401" t="n">
        <f aca="false">Peak!AF54</f>
        <v>1</v>
      </c>
      <c r="AG52" s="406" t="n">
        <f aca="false">Peak!AG54</f>
        <v>0</v>
      </c>
      <c r="AH52" s="401" t="n">
        <f aca="false">Peak!AH54</f>
        <v>3.16908808559964</v>
      </c>
      <c r="AI52" s="401" t="n">
        <f aca="false">Peak!AI54</f>
        <v>3.34997804878049</v>
      </c>
      <c r="AJ52" s="401" t="n">
        <f aca="false">Peak!AJ54</f>
        <v>0</v>
      </c>
      <c r="AK52" s="401" t="n">
        <f aca="false">Peak!AK54</f>
        <v>0</v>
      </c>
      <c r="AL52" s="1"/>
    </row>
    <row r="53" customFormat="false" ht="12.75" hidden="false" customHeight="false" outlineLevel="0" collapsed="false">
      <c r="A53" s="400" t="n">
        <f aca="false">A52+30.417</f>
        <v>37878.348</v>
      </c>
      <c r="B53" s="401" t="n">
        <f aca="false">IF($B$7="Coal",AG53,IF($B$7="Gas",AH53,IF($B$7="Oil",AI53,0)))</f>
        <v>3.15847729959875</v>
      </c>
      <c r="C53" s="402" t="n">
        <f aca="false">(B53*$B$1*1000)/1000000</f>
        <v>35.7057794522278</v>
      </c>
      <c r="D53" s="401" t="n">
        <f aca="false">AB53+AC53</f>
        <v>0.648842162966226</v>
      </c>
      <c r="E53" s="401" t="n">
        <f aca="false">(($AJ53*$B$1*AD53*1000)/2000)/1000000</f>
        <v>0</v>
      </c>
      <c r="F53" s="401" t="n">
        <f aca="false">AF53*(($AK53*$B$1*AE53*1000)/2000)/1000000</f>
        <v>0</v>
      </c>
      <c r="G53" s="403" t="str">
        <f aca="false">IF(IS!$C$2="Peak","-",SUM(C53:F53))</f>
        <v>-</v>
      </c>
      <c r="H53" s="411" t="n">
        <v>189.49241030635</v>
      </c>
      <c r="I53" s="411" t="n">
        <v>116.492556021448</v>
      </c>
      <c r="J53" s="411" t="n">
        <v>99.2801728237371</v>
      </c>
      <c r="K53" s="411" t="n">
        <v>67.6220729007531</v>
      </c>
      <c r="L53" s="411" t="n">
        <v>54.1772335389036</v>
      </c>
      <c r="M53" s="411" t="n">
        <v>52.7637771479791</v>
      </c>
      <c r="N53" s="411" t="n">
        <v>49.1924056898616</v>
      </c>
      <c r="O53" s="411" t="n">
        <v>45.4046031149511</v>
      </c>
      <c r="P53" s="411" t="n">
        <v>45.0225350373164</v>
      </c>
      <c r="Q53" s="411" t="n">
        <v>41.8256687786168</v>
      </c>
      <c r="R53" s="411" t="n">
        <v>37.4551613762003</v>
      </c>
      <c r="S53" s="411" t="n">
        <v>35.1584151289541</v>
      </c>
      <c r="T53" s="411" t="n">
        <v>34.2614900063157</v>
      </c>
      <c r="U53" s="411" t="n">
        <v>33.1611860434737</v>
      </c>
      <c r="V53" s="411" t="n">
        <v>32.7184431433945</v>
      </c>
      <c r="W53" s="411" t="n">
        <v>32.5064591003419</v>
      </c>
      <c r="X53" s="411" t="n">
        <v>32.0380692712918</v>
      </c>
      <c r="Y53" s="411" t="n">
        <v>31.2952267325352</v>
      </c>
      <c r="Z53" s="411" t="n">
        <v>30.7587007806097</v>
      </c>
      <c r="AA53" s="411" t="n">
        <v>28.926725315633</v>
      </c>
      <c r="AB53" s="401" t="n">
        <f aca="false">Peak!AB55</f>
        <v>0.648842162966226</v>
      </c>
      <c r="AC53" s="401" t="n">
        <f aca="false">Peak!AC55</f>
        <v>0</v>
      </c>
      <c r="AD53" s="405" t="n">
        <f aca="false">Peak!AD55</f>
        <v>240.408053917863</v>
      </c>
      <c r="AE53" s="405" t="n">
        <f aca="false">Peak!AE55</f>
        <v>4274.50397546497</v>
      </c>
      <c r="AF53" s="401" t="n">
        <f aca="false">Peak!AF55</f>
        <v>1</v>
      </c>
      <c r="AG53" s="406" t="n">
        <f aca="false">Peak!AG55</f>
        <v>0</v>
      </c>
      <c r="AH53" s="401" t="n">
        <f aca="false">Peak!AH55</f>
        <v>3.15847729959875</v>
      </c>
      <c r="AI53" s="401" t="n">
        <f aca="false">Peak!AI55</f>
        <v>3.34997804878049</v>
      </c>
      <c r="AJ53" s="401" t="n">
        <f aca="false">Peak!AJ55</f>
        <v>0</v>
      </c>
      <c r="AK53" s="401" t="n">
        <f aca="false">Peak!AK55</f>
        <v>0</v>
      </c>
      <c r="AL53" s="1"/>
    </row>
    <row r="54" customFormat="false" ht="12.75" hidden="false" customHeight="false" outlineLevel="0" collapsed="false">
      <c r="A54" s="400" t="n">
        <f aca="false">A53+30.417</f>
        <v>37908.765</v>
      </c>
      <c r="B54" s="401" t="n">
        <f aca="false">IF($B$7="Coal",AG54,IF($B$7="Gas",AH54,IF($B$7="Oil",AI54,0)))</f>
        <v>3.49802245162729</v>
      </c>
      <c r="C54" s="402" t="n">
        <f aca="false">(B54*$B$1*1000)/1000000</f>
        <v>39.5442507035312</v>
      </c>
      <c r="D54" s="401" t="n">
        <f aca="false">AB54+AC54</f>
        <v>0.64992356657117</v>
      </c>
      <c r="E54" s="401" t="n">
        <f aca="false">(($AJ54*$B$1*AD54*1000)/2000)/1000000</f>
        <v>0</v>
      </c>
      <c r="F54" s="401" t="n">
        <f aca="false">AF54*(($AK54*$B$1*AE54*1000)/2000)/1000000</f>
        <v>0</v>
      </c>
      <c r="G54" s="403" t="str">
        <f aca="false">IF(IS!$C$2="Peak","-",SUM(C54:F54))</f>
        <v>-</v>
      </c>
      <c r="H54" s="411" t="n">
        <v>65.9779339288736</v>
      </c>
      <c r="I54" s="411" t="n">
        <v>63.7414957048921</v>
      </c>
      <c r="J54" s="411" t="n">
        <v>62.5542353060047</v>
      </c>
      <c r="K54" s="411" t="n">
        <v>59.0499166882414</v>
      </c>
      <c r="L54" s="411" t="n">
        <v>57.4366814850542</v>
      </c>
      <c r="M54" s="411" t="n">
        <v>57.2855194863892</v>
      </c>
      <c r="N54" s="411" t="n">
        <v>51.640111540665</v>
      </c>
      <c r="O54" s="411" t="n">
        <v>43.6962399341609</v>
      </c>
      <c r="P54" s="411" t="n">
        <v>42.9055291873166</v>
      </c>
      <c r="Q54" s="411" t="n">
        <v>40.3724056870502</v>
      </c>
      <c r="R54" s="411" t="n">
        <v>31.2599231264939</v>
      </c>
      <c r="S54" s="411" t="n">
        <v>29.3755728583629</v>
      </c>
      <c r="T54" s="411" t="n">
        <v>28.9677773623265</v>
      </c>
      <c r="U54" s="411" t="n">
        <v>28.9387937338468</v>
      </c>
      <c r="V54" s="411" t="n">
        <v>25.8799771005373</v>
      </c>
      <c r="W54" s="411" t="n">
        <v>24.6447464893895</v>
      </c>
      <c r="X54" s="411" t="n">
        <v>23.2628671812788</v>
      </c>
      <c r="Y54" s="411" t="n">
        <v>22.3966407666341</v>
      </c>
      <c r="Z54" s="411" t="n">
        <v>21.7488565905142</v>
      </c>
      <c r="AA54" s="411" t="n">
        <v>21.0210562405544</v>
      </c>
      <c r="AB54" s="401" t="n">
        <f aca="false">Peak!AB56</f>
        <v>0.64992356657117</v>
      </c>
      <c r="AC54" s="401" t="n">
        <f aca="false">Peak!AC56</f>
        <v>0</v>
      </c>
      <c r="AD54" s="405" t="n">
        <f aca="false">Peak!AD56</f>
        <v>240.408053917863</v>
      </c>
      <c r="AE54" s="405" t="n">
        <f aca="false">Peak!AE56</f>
        <v>4274.50397546497</v>
      </c>
      <c r="AF54" s="401" t="n">
        <f aca="false">Peak!AF56</f>
        <v>0</v>
      </c>
      <c r="AG54" s="406" t="n">
        <f aca="false">Peak!AG56</f>
        <v>0</v>
      </c>
      <c r="AH54" s="401" t="n">
        <f aca="false">Peak!AH56</f>
        <v>3.49802245162729</v>
      </c>
      <c r="AI54" s="401" t="n">
        <f aca="false">Peak!AI56</f>
        <v>3.34997804878049</v>
      </c>
      <c r="AJ54" s="401" t="n">
        <f aca="false">Peak!AJ56</f>
        <v>0</v>
      </c>
      <c r="AK54" s="401" t="n">
        <f aca="false">Peak!AK56</f>
        <v>0</v>
      </c>
      <c r="AL54" s="1"/>
    </row>
    <row r="55" customFormat="false" ht="12.75" hidden="false" customHeight="false" outlineLevel="0" collapsed="false">
      <c r="A55" s="400" t="n">
        <f aca="false">A54+30.417</f>
        <v>37939.182</v>
      </c>
      <c r="B55" s="401" t="n">
        <f aca="false">IF($B$7="Coal",AG55,IF($B$7="Gas",AH55,IF($B$7="Oil",AI55,0)))</f>
        <v>3.83049374632189</v>
      </c>
      <c r="C55" s="402" t="n">
        <f aca="false">(B55*$B$1*1000)/1000000</f>
        <v>43.3027538037657</v>
      </c>
      <c r="D55" s="401" t="n">
        <f aca="false">AB55+AC55</f>
        <v>0.651006772515455</v>
      </c>
      <c r="E55" s="401" t="n">
        <f aca="false">(($AJ55*$B$1*AD55*1000)/2000)/1000000</f>
        <v>0</v>
      </c>
      <c r="F55" s="401" t="n">
        <f aca="false">AF55*(($AK55*$B$1*AE55*1000)/2000)/1000000</f>
        <v>0</v>
      </c>
      <c r="G55" s="403" t="str">
        <f aca="false">IF(IS!$C$2="Peak","-",SUM(C55:F55))</f>
        <v>-</v>
      </c>
      <c r="H55" s="411" t="n">
        <v>75.65780380123</v>
      </c>
      <c r="I55" s="411" t="n">
        <v>73.8787939457204</v>
      </c>
      <c r="J55" s="411" t="n">
        <v>71.3928116245499</v>
      </c>
      <c r="K55" s="411" t="n">
        <v>66.9007073855341</v>
      </c>
      <c r="L55" s="411" t="n">
        <v>65.1367660733183</v>
      </c>
      <c r="M55" s="411" t="n">
        <v>64.5974856088184</v>
      </c>
      <c r="N55" s="411" t="n">
        <v>57.3542866778401</v>
      </c>
      <c r="O55" s="411" t="n">
        <v>45.2527859468374</v>
      </c>
      <c r="P55" s="411" t="n">
        <v>39.2993425274832</v>
      </c>
      <c r="Q55" s="411" t="n">
        <v>37.0729419057698</v>
      </c>
      <c r="R55" s="411" t="n">
        <v>34.0622551280649</v>
      </c>
      <c r="S55" s="411" t="n">
        <v>33.3214328649869</v>
      </c>
      <c r="T55" s="411" t="n">
        <v>32.3988088354028</v>
      </c>
      <c r="U55" s="411" t="n">
        <v>26.7900413959368</v>
      </c>
      <c r="V55" s="411" t="n">
        <v>25.2961775379038</v>
      </c>
      <c r="W55" s="411" t="n">
        <v>24.4074279621158</v>
      </c>
      <c r="X55" s="411" t="n">
        <v>23.2678533793193</v>
      </c>
      <c r="Y55" s="411" t="n">
        <v>22.8346556783017</v>
      </c>
      <c r="Z55" s="411" t="n">
        <v>22.4399193315549</v>
      </c>
      <c r="AA55" s="411" t="n">
        <v>21.8113077538313</v>
      </c>
      <c r="AB55" s="401" t="n">
        <f aca="false">Peak!AB57</f>
        <v>0.651006772515455</v>
      </c>
      <c r="AC55" s="401" t="n">
        <f aca="false">Peak!AC57</f>
        <v>0</v>
      </c>
      <c r="AD55" s="405" t="n">
        <f aca="false">Peak!AD57</f>
        <v>240.408053917863</v>
      </c>
      <c r="AE55" s="405" t="n">
        <f aca="false">Peak!AE57</f>
        <v>4274.50397546497</v>
      </c>
      <c r="AF55" s="401" t="n">
        <f aca="false">Peak!AF57</f>
        <v>0</v>
      </c>
      <c r="AG55" s="406" t="n">
        <f aca="false">Peak!AG57</f>
        <v>0</v>
      </c>
      <c r="AH55" s="401" t="n">
        <f aca="false">Peak!AH57</f>
        <v>3.83049374632189</v>
      </c>
      <c r="AI55" s="401" t="n">
        <f aca="false">Peak!AI57</f>
        <v>3.63208146341463</v>
      </c>
      <c r="AJ55" s="401" t="n">
        <f aca="false">Peak!AJ57</f>
        <v>0</v>
      </c>
      <c r="AK55" s="401" t="n">
        <f aca="false">Peak!AK57</f>
        <v>0</v>
      </c>
      <c r="AL55" s="1"/>
    </row>
    <row r="56" customFormat="false" ht="12.75" hidden="false" customHeight="false" outlineLevel="0" collapsed="false">
      <c r="A56" s="400" t="n">
        <f aca="false">A55+30.417</f>
        <v>37969.599</v>
      </c>
      <c r="B56" s="401" t="n">
        <f aca="false">IF($B$7="Coal",AG56,IF($B$7="Gas",AH56,IF($B$7="Oil",AI56,0)))</f>
        <v>4.14528039768168</v>
      </c>
      <c r="C56" s="402" t="n">
        <f aca="false">(B56*$B$1*1000)/1000000</f>
        <v>46.8613365263281</v>
      </c>
      <c r="D56" s="401" t="n">
        <f aca="false">AB56+AC56</f>
        <v>0.652091783802981</v>
      </c>
      <c r="E56" s="401" t="n">
        <f aca="false">(($AJ56*$B$1*AD56*1000)/2000)/1000000</f>
        <v>0</v>
      </c>
      <c r="F56" s="401" t="n">
        <f aca="false">AF56*(($AK56*$B$1*AE56*1000)/2000)/1000000</f>
        <v>0</v>
      </c>
      <c r="G56" s="403" t="str">
        <f aca="false">IF(IS!$C$2="Peak","-",SUM(C56:F56))</f>
        <v>-</v>
      </c>
      <c r="H56" s="411" t="n">
        <v>86.5031016363551</v>
      </c>
      <c r="I56" s="411" t="n">
        <v>75.3004605740161</v>
      </c>
      <c r="J56" s="411" t="n">
        <v>73.1534846338856</v>
      </c>
      <c r="K56" s="411" t="n">
        <v>69.6214386866868</v>
      </c>
      <c r="L56" s="411" t="n">
        <v>65.2237504460607</v>
      </c>
      <c r="M56" s="411" t="n">
        <v>64.385070052265</v>
      </c>
      <c r="N56" s="411" t="n">
        <v>62.5221722096413</v>
      </c>
      <c r="O56" s="411" t="n">
        <v>51.4972498055316</v>
      </c>
      <c r="P56" s="411" t="n">
        <v>44.5642014340309</v>
      </c>
      <c r="Q56" s="411" t="n">
        <v>36.829296098969</v>
      </c>
      <c r="R56" s="411" t="n">
        <v>36.5370495260068</v>
      </c>
      <c r="S56" s="411" t="n">
        <v>32.6137747606403</v>
      </c>
      <c r="T56" s="411" t="n">
        <v>32.4700624109474</v>
      </c>
      <c r="U56" s="411" t="n">
        <v>32.4700624109474</v>
      </c>
      <c r="V56" s="411" t="n">
        <v>32.4700624109474</v>
      </c>
      <c r="W56" s="411" t="n">
        <v>32.4700624109474</v>
      </c>
      <c r="X56" s="411" t="n">
        <v>31.2043656107807</v>
      </c>
      <c r="Y56" s="411" t="n">
        <v>27.6095966387031</v>
      </c>
      <c r="Z56" s="411" t="n">
        <v>26.6791848268728</v>
      </c>
      <c r="AA56" s="411" t="n">
        <v>24.0829999032438</v>
      </c>
      <c r="AB56" s="401" t="n">
        <f aca="false">Peak!AB58</f>
        <v>0.652091783802981</v>
      </c>
      <c r="AC56" s="401" t="n">
        <f aca="false">Peak!AC58</f>
        <v>0</v>
      </c>
      <c r="AD56" s="405" t="n">
        <f aca="false">Peak!AD58</f>
        <v>240.408053917863</v>
      </c>
      <c r="AE56" s="405" t="n">
        <f aca="false">Peak!AE58</f>
        <v>4274.50397546497</v>
      </c>
      <c r="AF56" s="401" t="n">
        <f aca="false">Peak!AF58</f>
        <v>0</v>
      </c>
      <c r="AG56" s="406" t="n">
        <f aca="false">Peak!AG58</f>
        <v>0</v>
      </c>
      <c r="AH56" s="401" t="n">
        <f aca="false">Peak!AH58</f>
        <v>4.14528039768168</v>
      </c>
      <c r="AI56" s="401" t="n">
        <f aca="false">Peak!AI58</f>
        <v>3.80839609756098</v>
      </c>
      <c r="AJ56" s="401" t="n">
        <f aca="false">Peak!AJ58</f>
        <v>0</v>
      </c>
      <c r="AK56" s="401" t="n">
        <f aca="false">Peak!AK58</f>
        <v>0</v>
      </c>
      <c r="AL56" s="1"/>
    </row>
    <row r="57" customFormat="false" ht="12.75" hidden="false" customHeight="false" outlineLevel="0" collapsed="false">
      <c r="A57" s="400" t="n">
        <f aca="false">A56+30.417</f>
        <v>38000.016</v>
      </c>
      <c r="B57" s="401" t="n">
        <f aca="false">IF($B$7="Coal",AG57,IF($B$7="Gas",AH57,IF($B$7="Oil",AI57,0)))</f>
        <v>4.01469335177133</v>
      </c>
      <c r="C57" s="402" t="n">
        <f aca="false">(B57*$B$1*1000)/1000000</f>
        <v>45.3850833136851</v>
      </c>
      <c r="D57" s="401" t="n">
        <f aca="false">AB57+AC57</f>
        <v>0.653178603442653</v>
      </c>
      <c r="E57" s="401" t="n">
        <f aca="false">(($AJ57*$B$1*AD57*1000)/2000)/1000000</f>
        <v>0</v>
      </c>
      <c r="F57" s="401" t="n">
        <f aca="false">AF57*(($AK57*$B$1*AE57*1000)/2000)/1000000</f>
        <v>0</v>
      </c>
      <c r="G57" s="403" t="str">
        <f aca="false">IF(IS!$C$2="Peak","-",SUM(C57:F57))</f>
        <v>-</v>
      </c>
      <c r="H57" s="411" t="n">
        <v>77.924930636924</v>
      </c>
      <c r="I57" s="411" t="n">
        <v>74.6663662014206</v>
      </c>
      <c r="J57" s="411" t="n">
        <v>73.4658304686504</v>
      </c>
      <c r="K57" s="411" t="n">
        <v>73.3498734190395</v>
      </c>
      <c r="L57" s="411" t="n">
        <v>72.2070547378776</v>
      </c>
      <c r="M57" s="411" t="n">
        <v>66.3840157916668</v>
      </c>
      <c r="N57" s="411" t="n">
        <v>50.5522983973044</v>
      </c>
      <c r="O57" s="411" t="n">
        <v>45.5632071210733</v>
      </c>
      <c r="P57" s="411" t="n">
        <v>44.2376504710471</v>
      </c>
      <c r="Q57" s="411" t="n">
        <v>37.5409905395244</v>
      </c>
      <c r="R57" s="411" t="n">
        <v>37.0269390560608</v>
      </c>
      <c r="S57" s="411" t="n">
        <v>33.0627023158709</v>
      </c>
      <c r="T57" s="411" t="n">
        <v>26.8944521220569</v>
      </c>
      <c r="U57" s="411" t="n">
        <v>25.4981542113011</v>
      </c>
      <c r="V57" s="411" t="n">
        <v>24.9246399059358</v>
      </c>
      <c r="W57" s="411" t="n">
        <v>23.7464610637242</v>
      </c>
      <c r="X57" s="411" t="n">
        <v>23.3177157597044</v>
      </c>
      <c r="Y57" s="411" t="n">
        <v>23.0067974529647</v>
      </c>
      <c r="Z57" s="411" t="n">
        <v>22.7150196590616</v>
      </c>
      <c r="AA57" s="411" t="n">
        <v>22.1971773582188</v>
      </c>
      <c r="AB57" s="401" t="n">
        <f aca="false">Peak!AB59</f>
        <v>0.653178603442653</v>
      </c>
      <c r="AC57" s="401" t="n">
        <f aca="false">Peak!AC59</f>
        <v>0</v>
      </c>
      <c r="AD57" s="405" t="n">
        <f aca="false">Peak!AD59</f>
        <v>264.146595696653</v>
      </c>
      <c r="AE57" s="405" t="n">
        <f aca="false">Peak!AE59</f>
        <v>3642.14532635839</v>
      </c>
      <c r="AF57" s="401" t="n">
        <f aca="false">Peak!AF59</f>
        <v>0</v>
      </c>
      <c r="AG57" s="406" t="n">
        <f aca="false">Peak!AG59</f>
        <v>0</v>
      </c>
      <c r="AH57" s="401" t="n">
        <f aca="false">Peak!AH59</f>
        <v>4.01469335177133</v>
      </c>
      <c r="AI57" s="401" t="n">
        <f aca="false">Peak!AI59</f>
        <v>3.84424981132076</v>
      </c>
      <c r="AJ57" s="401" t="n">
        <f aca="false">Peak!AJ59</f>
        <v>0</v>
      </c>
      <c r="AK57" s="401" t="n">
        <f aca="false">Peak!AK59</f>
        <v>0</v>
      </c>
      <c r="AL57" s="1"/>
    </row>
    <row r="58" customFormat="false" ht="12.75" hidden="false" customHeight="false" outlineLevel="0" collapsed="false">
      <c r="A58" s="400" t="n">
        <f aca="false">A57+30.417</f>
        <v>38030.433</v>
      </c>
      <c r="B58" s="401" t="n">
        <f aca="false">IF($B$7="Coal",AG58,IF($B$7="Gas",AH58,IF($B$7="Oil",AI58,0)))</f>
        <v>3.59827569028441</v>
      </c>
      <c r="C58" s="402" t="n">
        <f aca="false">(B58*$B$1*1000)/1000000</f>
        <v>40.6775879699784</v>
      </c>
      <c r="D58" s="401" t="n">
        <f aca="false">AB58+AC58</f>
        <v>0.65426723444839</v>
      </c>
      <c r="E58" s="401" t="n">
        <f aca="false">(($AJ58*$B$1*AD58*1000)/2000)/1000000</f>
        <v>0</v>
      </c>
      <c r="F58" s="401" t="n">
        <f aca="false">AF58*(($AK58*$B$1*AE58*1000)/2000)/1000000</f>
        <v>0</v>
      </c>
      <c r="G58" s="403" t="str">
        <f aca="false">IF(IS!$C$2="Peak","-",SUM(C58:F58))</f>
        <v>-</v>
      </c>
      <c r="H58" s="411" t="n">
        <v>78.1428131137958</v>
      </c>
      <c r="I58" s="411" t="n">
        <v>72.2813337378532</v>
      </c>
      <c r="J58" s="411" t="n">
        <v>70.1737616729536</v>
      </c>
      <c r="K58" s="411" t="n">
        <v>65.946439253957</v>
      </c>
      <c r="L58" s="411" t="n">
        <v>64.9257923953009</v>
      </c>
      <c r="M58" s="411" t="n">
        <v>64.1861819667218</v>
      </c>
      <c r="N58" s="411" t="n">
        <v>52.7861638797041</v>
      </c>
      <c r="O58" s="411" t="n">
        <v>43.8464347386292</v>
      </c>
      <c r="P58" s="411" t="n">
        <v>40.8338433130381</v>
      </c>
      <c r="Q58" s="411" t="n">
        <v>35.8562971368567</v>
      </c>
      <c r="R58" s="411" t="n">
        <v>32.9727994747533</v>
      </c>
      <c r="S58" s="411" t="n">
        <v>32.9727994747533</v>
      </c>
      <c r="T58" s="411" t="n">
        <v>32.5602720312392</v>
      </c>
      <c r="U58" s="411" t="n">
        <v>28.8043826637986</v>
      </c>
      <c r="V58" s="411" t="n">
        <v>26.4420554032814</v>
      </c>
      <c r="W58" s="411" t="n">
        <v>25.86142342249</v>
      </c>
      <c r="X58" s="411" t="n">
        <v>24.8816225021763</v>
      </c>
      <c r="Y58" s="411" t="n">
        <v>24.4115104537525</v>
      </c>
      <c r="Z58" s="411" t="n">
        <v>24.1469090590522</v>
      </c>
      <c r="AA58" s="411" t="n">
        <v>23.6256901001405</v>
      </c>
      <c r="AB58" s="401" t="n">
        <f aca="false">Peak!AB60</f>
        <v>0.65426723444839</v>
      </c>
      <c r="AC58" s="401" t="n">
        <f aca="false">Peak!AC60</f>
        <v>0</v>
      </c>
      <c r="AD58" s="405" t="n">
        <f aca="false">Peak!AD60</f>
        <v>264.146595696653</v>
      </c>
      <c r="AE58" s="405" t="n">
        <f aca="false">Peak!AE60</f>
        <v>3642.14532635839</v>
      </c>
      <c r="AF58" s="401" t="n">
        <f aca="false">Peak!AF60</f>
        <v>0</v>
      </c>
      <c r="AG58" s="406" t="n">
        <f aca="false">Peak!AG60</f>
        <v>0</v>
      </c>
      <c r="AH58" s="401" t="n">
        <f aca="false">Peak!AH60</f>
        <v>3.59827569028441</v>
      </c>
      <c r="AI58" s="401" t="n">
        <f aca="false">Peak!AI60</f>
        <v>3.80865490566038</v>
      </c>
      <c r="AJ58" s="401" t="n">
        <f aca="false">Peak!AJ60</f>
        <v>0</v>
      </c>
      <c r="AK58" s="401" t="n">
        <f aca="false">Peak!AK60</f>
        <v>0</v>
      </c>
      <c r="AL58" s="1"/>
    </row>
    <row r="59" customFormat="false" ht="12.75" hidden="false" customHeight="false" outlineLevel="0" collapsed="false">
      <c r="A59" s="400" t="n">
        <f aca="false">A58+30.417</f>
        <v>38060.85</v>
      </c>
      <c r="B59" s="401" t="n">
        <f aca="false">IF($B$7="Coal",AG59,IF($B$7="Gas",AH59,IF($B$7="Oil",AI59,0)))</f>
        <v>3.53777055998289</v>
      </c>
      <c r="C59" s="402" t="n">
        <f aca="false">(B59*$B$1*1000)/1000000</f>
        <v>39.9935929200381</v>
      </c>
      <c r="D59" s="401" t="n">
        <f aca="false">AB59+AC59</f>
        <v>0.655357679839138</v>
      </c>
      <c r="E59" s="401" t="n">
        <f aca="false">(($AJ59*$B$1*AD59*1000)/2000)/1000000</f>
        <v>0</v>
      </c>
      <c r="F59" s="401" t="n">
        <f aca="false">AF59*(($AK59*$B$1*AE59*1000)/2000)/1000000</f>
        <v>0</v>
      </c>
      <c r="G59" s="403" t="str">
        <f aca="false">IF(IS!$C$2="Peak","-",SUM(C59:F59))</f>
        <v>-</v>
      </c>
      <c r="H59" s="411" t="n">
        <v>102.872585168762</v>
      </c>
      <c r="I59" s="411" t="n">
        <v>75.1107899040433</v>
      </c>
      <c r="J59" s="411" t="n">
        <v>62.7547550324484</v>
      </c>
      <c r="K59" s="411" t="n">
        <v>60.2176139188661</v>
      </c>
      <c r="L59" s="411" t="n">
        <v>56.6461915737362</v>
      </c>
      <c r="M59" s="411" t="n">
        <v>53.7799380740994</v>
      </c>
      <c r="N59" s="411" t="n">
        <v>53.3712220252706</v>
      </c>
      <c r="O59" s="411" t="n">
        <v>48.4857181609654</v>
      </c>
      <c r="P59" s="411" t="n">
        <v>38.5159186460431</v>
      </c>
      <c r="Q59" s="411" t="n">
        <v>33.858109398151</v>
      </c>
      <c r="R59" s="411" t="n">
        <v>30.9172502314773</v>
      </c>
      <c r="S59" s="411" t="n">
        <v>28.736500981308</v>
      </c>
      <c r="T59" s="411" t="n">
        <v>27.7068365387673</v>
      </c>
      <c r="U59" s="411" t="n">
        <v>27.7068365387673</v>
      </c>
      <c r="V59" s="411" t="n">
        <v>27.5869362683382</v>
      </c>
      <c r="W59" s="411" t="n">
        <v>27.4962588806366</v>
      </c>
      <c r="X59" s="411" t="n">
        <v>27.380342368651</v>
      </c>
      <c r="Y59" s="411" t="n">
        <v>26.6918933442351</v>
      </c>
      <c r="Z59" s="411" t="n">
        <v>23.5526135595155</v>
      </c>
      <c r="AA59" s="411" t="n">
        <v>21.1993417100792</v>
      </c>
      <c r="AB59" s="401" t="n">
        <f aca="false">Peak!AB61</f>
        <v>0.655357679839138</v>
      </c>
      <c r="AC59" s="401" t="n">
        <f aca="false">Peak!AC61</f>
        <v>0</v>
      </c>
      <c r="AD59" s="405" t="n">
        <f aca="false">Peak!AD61</f>
        <v>264.146595696653</v>
      </c>
      <c r="AE59" s="405" t="n">
        <f aca="false">Peak!AE61</f>
        <v>3642.14532635839</v>
      </c>
      <c r="AF59" s="401" t="n">
        <f aca="false">Peak!AF61</f>
        <v>0</v>
      </c>
      <c r="AG59" s="406" t="n">
        <f aca="false">Peak!AG61</f>
        <v>0</v>
      </c>
      <c r="AH59" s="401" t="n">
        <f aca="false">Peak!AH61</f>
        <v>3.53777055998289</v>
      </c>
      <c r="AI59" s="401" t="n">
        <f aca="false">Peak!AI61</f>
        <v>3.66627528301887</v>
      </c>
      <c r="AJ59" s="401" t="n">
        <f aca="false">Peak!AJ61</f>
        <v>0</v>
      </c>
      <c r="AK59" s="401" t="n">
        <f aca="false">Peak!AK61</f>
        <v>0</v>
      </c>
      <c r="AL59" s="1"/>
    </row>
    <row r="60" customFormat="false" ht="12.75" hidden="false" customHeight="false" outlineLevel="0" collapsed="false">
      <c r="A60" s="400" t="n">
        <f aca="false">A59+30.417</f>
        <v>38091.267</v>
      </c>
      <c r="B60" s="401" t="n">
        <f aca="false">IF($B$7="Coal",AG60,IF($B$7="Gas",AH60,IF($B$7="Oil",AI60,0)))</f>
        <v>3.36337341970205</v>
      </c>
      <c r="C60" s="402" t="n">
        <f aca="false">(B60*$B$1*1000)/1000000</f>
        <v>38.0220777760926</v>
      </c>
      <c r="D60" s="401" t="n">
        <f aca="false">AB60+AC60</f>
        <v>0.65644994263887</v>
      </c>
      <c r="E60" s="401" t="n">
        <f aca="false">(($AJ60*$B$1*AD60*1000)/2000)/1000000</f>
        <v>0</v>
      </c>
      <c r="F60" s="401" t="n">
        <f aca="false">AF60*(($AK60*$B$1*AE60*1000)/2000)/1000000</f>
        <v>0</v>
      </c>
      <c r="G60" s="403" t="str">
        <f aca="false">IF(IS!$C$2="Peak","-",SUM(C60:F60))</f>
        <v>-</v>
      </c>
      <c r="H60" s="411" t="n">
        <v>64.0941350834628</v>
      </c>
      <c r="I60" s="411" t="n">
        <v>56.2522296894601</v>
      </c>
      <c r="J60" s="411" t="n">
        <v>54.4245560138604</v>
      </c>
      <c r="K60" s="411" t="n">
        <v>50.8945991123589</v>
      </c>
      <c r="L60" s="411" t="n">
        <v>49.146184882368</v>
      </c>
      <c r="M60" s="411" t="n">
        <v>49.0281681095105</v>
      </c>
      <c r="N60" s="411" t="n">
        <v>41.2238425646407</v>
      </c>
      <c r="O60" s="411" t="n">
        <v>35.65766847222</v>
      </c>
      <c r="P60" s="411" t="n">
        <v>35.4670538723979</v>
      </c>
      <c r="Q60" s="411" t="n">
        <v>35.1205407733958</v>
      </c>
      <c r="R60" s="411" t="n">
        <v>29.8505012407561</v>
      </c>
      <c r="S60" s="411" t="n">
        <v>27.1489319902788</v>
      </c>
      <c r="T60" s="411" t="n">
        <v>25.7196777277545</v>
      </c>
      <c r="U60" s="411" t="n">
        <v>25.5469758145155</v>
      </c>
      <c r="V60" s="411" t="n">
        <v>25.5469758145155</v>
      </c>
      <c r="W60" s="411" t="n">
        <v>25.359563037389</v>
      </c>
      <c r="X60" s="411" t="n">
        <v>24.3694565486532</v>
      </c>
      <c r="Y60" s="411" t="n">
        <v>24.1615649731563</v>
      </c>
      <c r="Z60" s="411" t="n">
        <v>23.862147244439</v>
      </c>
      <c r="AA60" s="411" t="n">
        <v>23.2428706612669</v>
      </c>
      <c r="AB60" s="401" t="n">
        <f aca="false">Peak!AB62</f>
        <v>0.65644994263887</v>
      </c>
      <c r="AC60" s="401" t="n">
        <f aca="false">Peak!AC62</f>
        <v>0</v>
      </c>
      <c r="AD60" s="405" t="n">
        <f aca="false">Peak!AD62</f>
        <v>264.146595696653</v>
      </c>
      <c r="AE60" s="405" t="n">
        <f aca="false">Peak!AE62</f>
        <v>3642.14532635839</v>
      </c>
      <c r="AF60" s="401" t="n">
        <f aca="false">Peak!AF62</f>
        <v>0</v>
      </c>
      <c r="AG60" s="406" t="n">
        <f aca="false">Peak!AG62</f>
        <v>0</v>
      </c>
      <c r="AH60" s="401" t="n">
        <f aca="false">Peak!AH62</f>
        <v>3.36337341970205</v>
      </c>
      <c r="AI60" s="401" t="n">
        <f aca="false">Peak!AI62</f>
        <v>3.52389566037736</v>
      </c>
      <c r="AJ60" s="401" t="n">
        <f aca="false">Peak!AJ62</f>
        <v>0</v>
      </c>
      <c r="AK60" s="401" t="n">
        <f aca="false">Peak!AK62</f>
        <v>0</v>
      </c>
      <c r="AL60" s="1"/>
    </row>
    <row r="61" customFormat="false" ht="12.75" hidden="false" customHeight="false" outlineLevel="0" collapsed="false">
      <c r="A61" s="400" t="n">
        <f aca="false">A60+30.417</f>
        <v>38121.684</v>
      </c>
      <c r="B61" s="401" t="n">
        <f aca="false">IF($B$7="Coal",AG61,IF($B$7="Gas",AH61,IF($B$7="Oil",AI61,0)))</f>
        <v>3.54132968529475</v>
      </c>
      <c r="C61" s="402" t="n">
        <f aca="false">(B61*$B$1*1000)/1000000</f>
        <v>40.0338279229758</v>
      </c>
      <c r="D61" s="401" t="n">
        <f aca="false">AB61+AC61</f>
        <v>0.657544025876601</v>
      </c>
      <c r="E61" s="401" t="n">
        <f aca="false">(($AJ61*$B$1*AD61*1000)/2000)/1000000</f>
        <v>0</v>
      </c>
      <c r="F61" s="401" t="n">
        <f aca="false">AF61*(($AK61*$B$1*AE61*1000)/2000)/1000000</f>
        <v>0</v>
      </c>
      <c r="G61" s="403" t="str">
        <f aca="false">IF(IS!$C$2="Peak","-",SUM(C61:F61))</f>
        <v>-</v>
      </c>
      <c r="H61" s="411" t="n">
        <v>72.2656414839052</v>
      </c>
      <c r="I61" s="411" t="n">
        <v>68.5324513475269</v>
      </c>
      <c r="J61" s="411" t="n">
        <v>64.9994907978399</v>
      </c>
      <c r="K61" s="411" t="n">
        <v>64.410875507792</v>
      </c>
      <c r="L61" s="411" t="n">
        <v>57.5204703535312</v>
      </c>
      <c r="M61" s="411" t="n">
        <v>51.228044258166</v>
      </c>
      <c r="N61" s="411" t="n">
        <v>44.6908813748923</v>
      </c>
      <c r="O61" s="411" t="n">
        <v>35.4087164497375</v>
      </c>
      <c r="P61" s="411" t="n">
        <v>32.4226546880594</v>
      </c>
      <c r="Q61" s="411" t="n">
        <v>31.6198793021691</v>
      </c>
      <c r="R61" s="411" t="n">
        <v>31.498410041091</v>
      </c>
      <c r="S61" s="411" t="n">
        <v>31.498410041091</v>
      </c>
      <c r="T61" s="411" t="n">
        <v>31.3678044794808</v>
      </c>
      <c r="U61" s="411" t="n">
        <v>31.2488421077471</v>
      </c>
      <c r="V61" s="411" t="n">
        <v>30.7037330881663</v>
      </c>
      <c r="W61" s="411" t="n">
        <v>29.6763082960123</v>
      </c>
      <c r="X61" s="411" t="n">
        <v>29.1426198208102</v>
      </c>
      <c r="Y61" s="411" t="n">
        <v>28.9998313394666</v>
      </c>
      <c r="Z61" s="411" t="n">
        <v>28.6064114514303</v>
      </c>
      <c r="AA61" s="411" t="n">
        <v>27.3652199319645</v>
      </c>
      <c r="AB61" s="401" t="n">
        <f aca="false">Peak!AB63</f>
        <v>0.657544025876601</v>
      </c>
      <c r="AC61" s="401" t="n">
        <f aca="false">Peak!AC63</f>
        <v>0</v>
      </c>
      <c r="AD61" s="405" t="n">
        <f aca="false">Peak!AD63</f>
        <v>264.146595696653</v>
      </c>
      <c r="AE61" s="405" t="n">
        <f aca="false">Peak!AE63</f>
        <v>3642.14532635839</v>
      </c>
      <c r="AF61" s="401" t="n">
        <f aca="false">Peak!AF63</f>
        <v>1</v>
      </c>
      <c r="AG61" s="406" t="n">
        <f aca="false">Peak!AG63</f>
        <v>0</v>
      </c>
      <c r="AH61" s="401" t="n">
        <f aca="false">Peak!AH63</f>
        <v>3.54132968529475</v>
      </c>
      <c r="AI61" s="401" t="n">
        <f aca="false">Peak!AI63</f>
        <v>3.38151603773585</v>
      </c>
      <c r="AJ61" s="401" t="n">
        <f aca="false">Peak!AJ63</f>
        <v>0</v>
      </c>
      <c r="AK61" s="401" t="n">
        <f aca="false">Peak!AK63</f>
        <v>0</v>
      </c>
      <c r="AL61" s="1"/>
    </row>
    <row r="62" customFormat="false" ht="12.75" hidden="false" customHeight="false" outlineLevel="0" collapsed="false">
      <c r="A62" s="400" t="n">
        <f aca="false">A61+30.417</f>
        <v>38152.101</v>
      </c>
      <c r="B62" s="401" t="n">
        <f aca="false">IF($B$7="Coal",AG62,IF($B$7="Gas",AH62,IF($B$7="Oil",AI62,0)))</f>
        <v>3.37405079563761</v>
      </c>
      <c r="C62" s="402" t="n">
        <f aca="false">(B62*$B$1*1000)/1000000</f>
        <v>38.1427827849056</v>
      </c>
      <c r="D62" s="401" t="n">
        <f aca="false">AB62+AC62</f>
        <v>0.658639932586396</v>
      </c>
      <c r="E62" s="401" t="n">
        <f aca="false">(($AJ62*$B$1*AD62*1000)/2000)/1000000</f>
        <v>0</v>
      </c>
      <c r="F62" s="401" t="n">
        <f aca="false">AF62*(($AK62*$B$1*AE62*1000)/2000)/1000000</f>
        <v>0</v>
      </c>
      <c r="G62" s="403" t="str">
        <f aca="false">IF(IS!$C$2="Peak","-",SUM(C62:F62))</f>
        <v>-</v>
      </c>
      <c r="H62" s="411" t="n">
        <v>329.795687235008</v>
      </c>
      <c r="I62" s="411" t="n">
        <v>213.938915217477</v>
      </c>
      <c r="J62" s="411" t="n">
        <v>157.458258502794</v>
      </c>
      <c r="K62" s="411" t="n">
        <v>67.2247614681808</v>
      </c>
      <c r="L62" s="411" t="n">
        <v>57.6344791636769</v>
      </c>
      <c r="M62" s="411" t="n">
        <v>51.5638109724897</v>
      </c>
      <c r="N62" s="411" t="n">
        <v>47.2581673267546</v>
      </c>
      <c r="O62" s="411" t="n">
        <v>45.6161288772365</v>
      </c>
      <c r="P62" s="411" t="n">
        <v>35.7547539443551</v>
      </c>
      <c r="Q62" s="411" t="n">
        <v>33.8055348549431</v>
      </c>
      <c r="R62" s="411" t="n">
        <v>32.1507372108072</v>
      </c>
      <c r="S62" s="411" t="n">
        <v>29.3170294771574</v>
      </c>
      <c r="T62" s="411" t="n">
        <v>27.7622607147068</v>
      </c>
      <c r="U62" s="411" t="n">
        <v>27.3854133536578</v>
      </c>
      <c r="V62" s="411" t="n">
        <v>26.4617203939214</v>
      </c>
      <c r="W62" s="411" t="n">
        <v>25.8272356115502</v>
      </c>
      <c r="X62" s="411" t="n">
        <v>24.8024728412719</v>
      </c>
      <c r="Y62" s="411" t="n">
        <v>24.097291563206</v>
      </c>
      <c r="Z62" s="411" t="n">
        <v>23.9985146910645</v>
      </c>
      <c r="AA62" s="411" t="n">
        <v>22.6786175790278</v>
      </c>
      <c r="AB62" s="401" t="n">
        <f aca="false">Peak!AB64</f>
        <v>0.658639932586396</v>
      </c>
      <c r="AC62" s="401" t="n">
        <f aca="false">Peak!AC64</f>
        <v>0</v>
      </c>
      <c r="AD62" s="405" t="n">
        <f aca="false">Peak!AD64</f>
        <v>264.146595696653</v>
      </c>
      <c r="AE62" s="405" t="n">
        <f aca="false">Peak!AE64</f>
        <v>3642.14532635839</v>
      </c>
      <c r="AF62" s="401" t="n">
        <f aca="false">Peak!AF64</f>
        <v>1</v>
      </c>
      <c r="AG62" s="406" t="n">
        <f aca="false">Peak!AG64</f>
        <v>0</v>
      </c>
      <c r="AH62" s="401" t="n">
        <f aca="false">Peak!AH64</f>
        <v>3.37405079563761</v>
      </c>
      <c r="AI62" s="401" t="n">
        <f aca="false">Peak!AI64</f>
        <v>3.38151603773585</v>
      </c>
      <c r="AJ62" s="401" t="n">
        <f aca="false">Peak!AJ64</f>
        <v>0</v>
      </c>
      <c r="AK62" s="401" t="n">
        <f aca="false">Peak!AK64</f>
        <v>0</v>
      </c>
      <c r="AL62" s="1"/>
    </row>
    <row r="63" customFormat="false" ht="12.75" hidden="false" customHeight="false" outlineLevel="0" collapsed="false">
      <c r="A63" s="400" t="n">
        <f aca="false">A62+30.417</f>
        <v>38182.518</v>
      </c>
      <c r="B63" s="401" t="n">
        <f aca="false">IF($B$7="Coal",AG63,IF($B$7="Gas",AH63,IF($B$7="Oil",AI63,0)))</f>
        <v>3.36337341970205</v>
      </c>
      <c r="C63" s="402" t="n">
        <f aca="false">(B63*$B$1*1000)/1000000</f>
        <v>38.0220777760926</v>
      </c>
      <c r="D63" s="401" t="n">
        <f aca="false">AB63+AC63</f>
        <v>0.659737665807373</v>
      </c>
      <c r="E63" s="401" t="n">
        <f aca="false">(($AJ63*$B$1*AD63*1000)/2000)/1000000</f>
        <v>0</v>
      </c>
      <c r="F63" s="401" t="n">
        <f aca="false">AF63*(($AK63*$B$1*AE63*1000)/2000)/1000000</f>
        <v>0</v>
      </c>
      <c r="G63" s="403" t="str">
        <f aca="false">IF(IS!$C$2="Peak","-",SUM(C63:F63))</f>
        <v>-</v>
      </c>
      <c r="H63" s="411" t="n">
        <v>480.700518397047</v>
      </c>
      <c r="I63" s="411" t="n">
        <v>279.433926239012</v>
      </c>
      <c r="J63" s="411" t="n">
        <v>200.463989792302</v>
      </c>
      <c r="K63" s="411" t="n">
        <v>115.821220623947</v>
      </c>
      <c r="L63" s="411" t="n">
        <v>85.1778874844273</v>
      </c>
      <c r="M63" s="411" t="n">
        <v>74.8492122549576</v>
      </c>
      <c r="N63" s="411" t="n">
        <v>68.815570285161</v>
      </c>
      <c r="O63" s="411" t="n">
        <v>66.9245655100864</v>
      </c>
      <c r="P63" s="411" t="n">
        <v>50.1143335554454</v>
      </c>
      <c r="Q63" s="411" t="n">
        <v>44.7058642617837</v>
      </c>
      <c r="R63" s="411" t="n">
        <v>41.8971372668145</v>
      </c>
      <c r="S63" s="411" t="n">
        <v>35.5535676086672</v>
      </c>
      <c r="T63" s="411" t="n">
        <v>33.1676771432352</v>
      </c>
      <c r="U63" s="411" t="n">
        <v>33.1463715165037</v>
      </c>
      <c r="V63" s="411" t="n">
        <v>33.1463715165037</v>
      </c>
      <c r="W63" s="411" t="n">
        <v>32.8626346331532</v>
      </c>
      <c r="X63" s="411" t="n">
        <v>31.7432716785634</v>
      </c>
      <c r="Y63" s="411" t="n">
        <v>31.3274097686362</v>
      </c>
      <c r="Z63" s="411" t="n">
        <v>30.5835691041639</v>
      </c>
      <c r="AA63" s="411" t="n">
        <v>28.756178860418</v>
      </c>
      <c r="AB63" s="401" t="n">
        <f aca="false">Peak!AB65</f>
        <v>0.659737665807373</v>
      </c>
      <c r="AC63" s="401" t="n">
        <f aca="false">Peak!AC65</f>
        <v>0</v>
      </c>
      <c r="AD63" s="405" t="n">
        <f aca="false">Peak!AD65</f>
        <v>264.146595696653</v>
      </c>
      <c r="AE63" s="405" t="n">
        <f aca="false">Peak!AE65</f>
        <v>3642.14532635839</v>
      </c>
      <c r="AF63" s="401" t="n">
        <f aca="false">Peak!AF65</f>
        <v>1</v>
      </c>
      <c r="AG63" s="406" t="n">
        <f aca="false">Peak!AG65</f>
        <v>0</v>
      </c>
      <c r="AH63" s="401" t="n">
        <f aca="false">Peak!AH65</f>
        <v>3.36337341970205</v>
      </c>
      <c r="AI63" s="401" t="n">
        <f aca="false">Peak!AI65</f>
        <v>3.38151603773585</v>
      </c>
      <c r="AJ63" s="401" t="n">
        <f aca="false">Peak!AJ65</f>
        <v>0</v>
      </c>
      <c r="AK63" s="401" t="n">
        <f aca="false">Peak!AK65</f>
        <v>0</v>
      </c>
      <c r="AL63" s="1"/>
    </row>
    <row r="64" customFormat="false" ht="12.75" hidden="false" customHeight="false" outlineLevel="0" collapsed="false">
      <c r="A64" s="400" t="n">
        <f aca="false">A63+30.417</f>
        <v>38212.935</v>
      </c>
      <c r="B64" s="401" t="n">
        <f aca="false">IF($B$7="Coal",AG64,IF($B$7="Gas",AH64,IF($B$7="Oil",AI64,0)))</f>
        <v>3.1889762794212</v>
      </c>
      <c r="C64" s="402" t="n">
        <f aca="false">(B64*$B$1*1000)/1000000</f>
        <v>36.050562632147</v>
      </c>
      <c r="D64" s="401" t="n">
        <f aca="false">AB64+AC64</f>
        <v>0.660837228583719</v>
      </c>
      <c r="E64" s="401" t="n">
        <f aca="false">(($AJ64*$B$1*AD64*1000)/2000)/1000000</f>
        <v>0</v>
      </c>
      <c r="F64" s="401" t="n">
        <f aca="false">AF64*(($AK64*$B$1*AE64*1000)/2000)/1000000</f>
        <v>0</v>
      </c>
      <c r="G64" s="403" t="str">
        <f aca="false">IF(IS!$C$2="Peak","-",SUM(C64:F64))</f>
        <v>-</v>
      </c>
      <c r="H64" s="411" t="n">
        <v>1628.70240364017</v>
      </c>
      <c r="I64" s="411" t="n">
        <v>797.535023354733</v>
      </c>
      <c r="J64" s="411" t="n">
        <v>480.885588008332</v>
      </c>
      <c r="K64" s="411" t="n">
        <v>258.597298195951</v>
      </c>
      <c r="L64" s="411" t="n">
        <v>155.218708715085</v>
      </c>
      <c r="M64" s="411" t="n">
        <v>64.1803526602458</v>
      </c>
      <c r="N64" s="411" t="n">
        <v>51.1226843686867</v>
      </c>
      <c r="O64" s="411" t="n">
        <v>45.4803483439638</v>
      </c>
      <c r="P64" s="411" t="n">
        <v>43.827749891304</v>
      </c>
      <c r="Q64" s="411" t="n">
        <v>35.5972353920859</v>
      </c>
      <c r="R64" s="411" t="n">
        <v>32.3953125262472</v>
      </c>
      <c r="S64" s="411" t="n">
        <v>31.3961190189906</v>
      </c>
      <c r="T64" s="411" t="n">
        <v>30.5527081259688</v>
      </c>
      <c r="U64" s="411" t="n">
        <v>29.6014383768829</v>
      </c>
      <c r="V64" s="411" t="n">
        <v>29.1591957570102</v>
      </c>
      <c r="W64" s="411" t="n">
        <v>28.6337691775633</v>
      </c>
      <c r="X64" s="411" t="n">
        <v>28.0753941063084</v>
      </c>
      <c r="Y64" s="411" t="n">
        <v>27.5084963761069</v>
      </c>
      <c r="Z64" s="411" t="n">
        <v>26.8968948476715</v>
      </c>
      <c r="AA64" s="411" t="n">
        <v>26.005201303072</v>
      </c>
      <c r="AB64" s="401" t="n">
        <f aca="false">Peak!AB66</f>
        <v>0.660837228583719</v>
      </c>
      <c r="AC64" s="401" t="n">
        <f aca="false">Peak!AC66</f>
        <v>0</v>
      </c>
      <c r="AD64" s="405" t="n">
        <f aca="false">Peak!AD66</f>
        <v>264.146595696653</v>
      </c>
      <c r="AE64" s="405" t="n">
        <f aca="false">Peak!AE66</f>
        <v>3642.14532635839</v>
      </c>
      <c r="AF64" s="401" t="n">
        <f aca="false">Peak!AF66</f>
        <v>1</v>
      </c>
      <c r="AG64" s="406" t="n">
        <f aca="false">Peak!AG66</f>
        <v>0</v>
      </c>
      <c r="AH64" s="401" t="n">
        <f aca="false">Peak!AH66</f>
        <v>3.1889762794212</v>
      </c>
      <c r="AI64" s="401" t="n">
        <f aca="false">Peak!AI66</f>
        <v>3.38151603773585</v>
      </c>
      <c r="AJ64" s="401" t="n">
        <f aca="false">Peak!AJ66</f>
        <v>0</v>
      </c>
      <c r="AK64" s="401" t="n">
        <f aca="false">Peak!AK66</f>
        <v>0</v>
      </c>
      <c r="AL64" s="1"/>
    </row>
    <row r="65" customFormat="false" ht="12.75" hidden="false" customHeight="false" outlineLevel="0" collapsed="false">
      <c r="A65" s="400" t="n">
        <f aca="false">A64+30.417</f>
        <v>38243.352</v>
      </c>
      <c r="B65" s="401" t="n">
        <f aca="false">IF($B$7="Coal",AG65,IF($B$7="Gas",AH65,IF($B$7="Oil",AI65,0)))</f>
        <v>3.17829890348564</v>
      </c>
      <c r="C65" s="402" t="n">
        <f aca="false">(B65*$B$1*1000)/1000000</f>
        <v>35.929857623334</v>
      </c>
      <c r="D65" s="401" t="n">
        <f aca="false">AB65+AC65</f>
        <v>0.661938623964691</v>
      </c>
      <c r="E65" s="401" t="n">
        <f aca="false">(($AJ65*$B$1*AD65*1000)/2000)/1000000</f>
        <v>0</v>
      </c>
      <c r="F65" s="401" t="n">
        <f aca="false">AF65*(($AK65*$B$1*AE65*1000)/2000)/1000000</f>
        <v>0</v>
      </c>
      <c r="G65" s="403" t="str">
        <f aca="false">IF(IS!$C$2="Peak","-",SUM(C65:F65))</f>
        <v>-</v>
      </c>
      <c r="H65" s="411" t="n">
        <v>116.617136025117</v>
      </c>
      <c r="I65" s="411" t="n">
        <v>92.5986822535089</v>
      </c>
      <c r="J65" s="411" t="n">
        <v>78.2923840395749</v>
      </c>
      <c r="K65" s="411" t="n">
        <v>68.6905840088322</v>
      </c>
      <c r="L65" s="411" t="n">
        <v>63.8053600426686</v>
      </c>
      <c r="M65" s="411" t="n">
        <v>61.937232257057</v>
      </c>
      <c r="N65" s="411" t="n">
        <v>53.6823147072369</v>
      </c>
      <c r="O65" s="411" t="n">
        <v>46.1650741798893</v>
      </c>
      <c r="P65" s="411" t="n">
        <v>39.1499542176814</v>
      </c>
      <c r="Q65" s="411" t="n">
        <v>33.3850203600342</v>
      </c>
      <c r="R65" s="411" t="n">
        <v>31.8692956404677</v>
      </c>
      <c r="S65" s="411" t="n">
        <v>31.1488445645565</v>
      </c>
      <c r="T65" s="411" t="n">
        <v>31.0417190877379</v>
      </c>
      <c r="U65" s="411" t="n">
        <v>31.0417190877379</v>
      </c>
      <c r="V65" s="411" t="n">
        <v>30.8109650790532</v>
      </c>
      <c r="W65" s="411" t="n">
        <v>30.6989118522239</v>
      </c>
      <c r="X65" s="411" t="n">
        <v>29.9409701230669</v>
      </c>
      <c r="Y65" s="411" t="n">
        <v>29.3948469696203</v>
      </c>
      <c r="Z65" s="411" t="n">
        <v>29.1503332552414</v>
      </c>
      <c r="AA65" s="411" t="n">
        <v>27.7968033955815</v>
      </c>
      <c r="AB65" s="401" t="n">
        <f aca="false">Peak!AB67</f>
        <v>0.661938623964691</v>
      </c>
      <c r="AC65" s="401" t="n">
        <f aca="false">Peak!AC67</f>
        <v>0</v>
      </c>
      <c r="AD65" s="405" t="n">
        <f aca="false">Peak!AD67</f>
        <v>264.146595696653</v>
      </c>
      <c r="AE65" s="405" t="n">
        <f aca="false">Peak!AE67</f>
        <v>3642.14532635839</v>
      </c>
      <c r="AF65" s="401" t="n">
        <f aca="false">Peak!AF67</f>
        <v>1</v>
      </c>
      <c r="AG65" s="406" t="n">
        <f aca="false">Peak!AG67</f>
        <v>0</v>
      </c>
      <c r="AH65" s="401" t="n">
        <f aca="false">Peak!AH67</f>
        <v>3.17829890348564</v>
      </c>
      <c r="AI65" s="401" t="n">
        <f aca="false">Peak!AI67</f>
        <v>3.38151603773585</v>
      </c>
      <c r="AJ65" s="401" t="n">
        <f aca="false">Peak!AJ67</f>
        <v>0</v>
      </c>
      <c r="AK65" s="401" t="n">
        <f aca="false">Peak!AK67</f>
        <v>0</v>
      </c>
      <c r="AL65" s="1"/>
    </row>
    <row r="66" customFormat="false" ht="12.75" hidden="false" customHeight="false" outlineLevel="0" collapsed="false">
      <c r="A66" s="400" t="n">
        <f aca="false">A65+30.417</f>
        <v>38273.769</v>
      </c>
      <c r="B66" s="401" t="n">
        <f aca="false">IF($B$7="Coal",AG66,IF($B$7="Gas",AH66,IF($B$7="Oil",AI66,0)))</f>
        <v>3.51997493342362</v>
      </c>
      <c r="C66" s="402" t="n">
        <f aca="false">(B66*$B$1*1000)/1000000</f>
        <v>39.7924179053498</v>
      </c>
      <c r="D66" s="401" t="n">
        <f aca="false">AB66+AC66</f>
        <v>0.663041855004633</v>
      </c>
      <c r="E66" s="401" t="n">
        <f aca="false">(($AJ66*$B$1*AD66*1000)/2000)/1000000</f>
        <v>0</v>
      </c>
      <c r="F66" s="401" t="n">
        <f aca="false">AF66*(($AK66*$B$1*AE66*1000)/2000)/1000000</f>
        <v>0</v>
      </c>
      <c r="G66" s="403" t="str">
        <f aca="false">IF(IS!$C$2="Peak","-",SUM(C66:F66))</f>
        <v>-</v>
      </c>
      <c r="H66" s="411" t="n">
        <v>64.4164342672902</v>
      </c>
      <c r="I66" s="411" t="n">
        <v>62.9642144759309</v>
      </c>
      <c r="J66" s="411" t="n">
        <v>60.1209416343349</v>
      </c>
      <c r="K66" s="411" t="n">
        <v>57.1313235671002</v>
      </c>
      <c r="L66" s="411" t="n">
        <v>56.8426165313254</v>
      </c>
      <c r="M66" s="411" t="n">
        <v>54.4982601203961</v>
      </c>
      <c r="N66" s="411" t="n">
        <v>42.3336737252148</v>
      </c>
      <c r="O66" s="411" t="n">
        <v>36.4200081908254</v>
      </c>
      <c r="P66" s="411" t="n">
        <v>32.6493954833736</v>
      </c>
      <c r="Q66" s="411" t="n">
        <v>30.3613202889472</v>
      </c>
      <c r="R66" s="411" t="n">
        <v>29.1564053302287</v>
      </c>
      <c r="S66" s="411" t="n">
        <v>29.1564053302287</v>
      </c>
      <c r="T66" s="411" t="n">
        <v>29.0088749744739</v>
      </c>
      <c r="U66" s="411" t="n">
        <v>28.9317539919262</v>
      </c>
      <c r="V66" s="411" t="n">
        <v>28.7713667617377</v>
      </c>
      <c r="W66" s="411" t="n">
        <v>28.7076483221427</v>
      </c>
      <c r="X66" s="411" t="n">
        <v>28.3975677670747</v>
      </c>
      <c r="Y66" s="411" t="n">
        <v>24.0399385888164</v>
      </c>
      <c r="Z66" s="411" t="n">
        <v>22.8768572502789</v>
      </c>
      <c r="AA66" s="411" t="n">
        <v>21.0473392900541</v>
      </c>
      <c r="AB66" s="401" t="n">
        <f aca="false">Peak!AB68</f>
        <v>0.663041855004633</v>
      </c>
      <c r="AC66" s="401" t="n">
        <f aca="false">Peak!AC68</f>
        <v>0</v>
      </c>
      <c r="AD66" s="405" t="n">
        <f aca="false">Peak!AD68</f>
        <v>264.146595696653</v>
      </c>
      <c r="AE66" s="405" t="n">
        <f aca="false">Peak!AE68</f>
        <v>3642.14532635839</v>
      </c>
      <c r="AF66" s="401" t="n">
        <f aca="false">Peak!AF68</f>
        <v>0</v>
      </c>
      <c r="AG66" s="406" t="n">
        <f aca="false">Peak!AG68</f>
        <v>0</v>
      </c>
      <c r="AH66" s="401" t="n">
        <f aca="false">Peak!AH68</f>
        <v>3.51997493342362</v>
      </c>
      <c r="AI66" s="401" t="n">
        <f aca="false">Peak!AI68</f>
        <v>3.38151603773585</v>
      </c>
      <c r="AJ66" s="401" t="n">
        <f aca="false">Peak!AJ68</f>
        <v>0</v>
      </c>
      <c r="AK66" s="401" t="n">
        <f aca="false">Peak!AK68</f>
        <v>0</v>
      </c>
      <c r="AL66" s="1"/>
    </row>
    <row r="67" customFormat="false" ht="12.75" hidden="false" customHeight="false" outlineLevel="0" collapsed="false">
      <c r="A67" s="400" t="n">
        <f aca="false">A66+30.417</f>
        <v>38304.186</v>
      </c>
      <c r="B67" s="401" t="n">
        <f aca="false">IF($B$7="Coal",AG67,IF($B$7="Gas",AH67,IF($B$7="Oil",AI67,0)))</f>
        <v>3.8545327127379</v>
      </c>
      <c r="C67" s="402" t="n">
        <f aca="false">(B67*$B$1*1000)/1000000</f>
        <v>43.5745081814902</v>
      </c>
      <c r="D67" s="401" t="n">
        <f aca="false">AB67+AC67</f>
        <v>0.664146924762974</v>
      </c>
      <c r="E67" s="401" t="n">
        <f aca="false">(($AJ67*$B$1*AD67*1000)/2000)/1000000</f>
        <v>0</v>
      </c>
      <c r="F67" s="401" t="n">
        <f aca="false">AF67*(($AK67*$B$1*AE67*1000)/2000)/1000000</f>
        <v>0</v>
      </c>
      <c r="G67" s="403" t="str">
        <f aca="false">IF(IS!$C$2="Peak","-",SUM(C67:F67))</f>
        <v>-</v>
      </c>
      <c r="H67" s="411" t="n">
        <v>80.2085531625746</v>
      </c>
      <c r="I67" s="411" t="n">
        <v>78.1817208468768</v>
      </c>
      <c r="J67" s="411" t="n">
        <v>78.1157769685552</v>
      </c>
      <c r="K67" s="411" t="n">
        <v>77.5738734741168</v>
      </c>
      <c r="L67" s="411" t="n">
        <v>74.3161344048044</v>
      </c>
      <c r="M67" s="411" t="n">
        <v>59.9304835973471</v>
      </c>
      <c r="N67" s="411" t="n">
        <v>50.5949865873709</v>
      </c>
      <c r="O67" s="411" t="n">
        <v>45.2247591339395</v>
      </c>
      <c r="P67" s="411" t="n">
        <v>40.6238891758721</v>
      </c>
      <c r="Q67" s="411" t="n">
        <v>28.9064016310187</v>
      </c>
      <c r="R67" s="411" t="n">
        <v>28.0880706578814</v>
      </c>
      <c r="S67" s="411" t="n">
        <v>26.7481803595118</v>
      </c>
      <c r="T67" s="411" t="n">
        <v>25.6515691453974</v>
      </c>
      <c r="U67" s="411" t="n">
        <v>25.2089379436773</v>
      </c>
      <c r="V67" s="411" t="n">
        <v>24.8018757443602</v>
      </c>
      <c r="W67" s="411" t="n">
        <v>24.4820971290301</v>
      </c>
      <c r="X67" s="411" t="n">
        <v>24.2388136089356</v>
      </c>
      <c r="Y67" s="411" t="n">
        <v>23.9546025791628</v>
      </c>
      <c r="Z67" s="411" t="n">
        <v>23.7959966229384</v>
      </c>
      <c r="AA67" s="411" t="n">
        <v>23.2846942356072</v>
      </c>
      <c r="AB67" s="401" t="n">
        <f aca="false">Peak!AB69</f>
        <v>0.664146924762974</v>
      </c>
      <c r="AC67" s="401" t="n">
        <f aca="false">Peak!AC69</f>
        <v>0</v>
      </c>
      <c r="AD67" s="405" t="n">
        <f aca="false">Peak!AD69</f>
        <v>264.146595696653</v>
      </c>
      <c r="AE67" s="405" t="n">
        <f aca="false">Peak!AE69</f>
        <v>3642.14532635839</v>
      </c>
      <c r="AF67" s="401" t="n">
        <f aca="false">Peak!AF69</f>
        <v>0</v>
      </c>
      <c r="AG67" s="406" t="n">
        <f aca="false">Peak!AG69</f>
        <v>0</v>
      </c>
      <c r="AH67" s="401" t="n">
        <f aca="false">Peak!AH69</f>
        <v>3.8545327127379</v>
      </c>
      <c r="AI67" s="401" t="n">
        <f aca="false">Peak!AI69</f>
        <v>3.66627528301887</v>
      </c>
      <c r="AJ67" s="401" t="n">
        <f aca="false">Peak!AJ69</f>
        <v>0</v>
      </c>
      <c r="AK67" s="401" t="n">
        <f aca="false">Peak!AK69</f>
        <v>0</v>
      </c>
      <c r="AL67" s="1"/>
    </row>
    <row r="68" customFormat="false" ht="12.75" hidden="false" customHeight="false" outlineLevel="0" collapsed="false">
      <c r="A68" s="400" t="n">
        <f aca="false">A67+30.417</f>
        <v>38334.603</v>
      </c>
      <c r="B68" s="401" t="n">
        <f aca="false">IF($B$7="Coal",AG68,IF($B$7="Gas",AH68,IF($B$7="Oil",AI68,0)))</f>
        <v>4.17129486549291</v>
      </c>
      <c r="C68" s="402" t="n">
        <f aca="false">(B68*$B$1*1000)/1000000</f>
        <v>47.1554234429423</v>
      </c>
      <c r="D68" s="401" t="n">
        <f aca="false">AB68+AC68</f>
        <v>0.665253836304245</v>
      </c>
      <c r="E68" s="401" t="n">
        <f aca="false">(($AJ68*$B$1*AD68*1000)/2000)/1000000</f>
        <v>0</v>
      </c>
      <c r="F68" s="401" t="n">
        <f aca="false">AF68*(($AK68*$B$1*AE68*1000)/2000)/1000000</f>
        <v>0</v>
      </c>
      <c r="G68" s="403" t="str">
        <f aca="false">IF(IS!$C$2="Peak","-",SUM(C68:F68))</f>
        <v>-</v>
      </c>
      <c r="H68" s="411" t="n">
        <v>74.0625917257011</v>
      </c>
      <c r="I68" s="411" t="n">
        <v>71.8753153256562</v>
      </c>
      <c r="J68" s="411" t="n">
        <v>69.7837489924391</v>
      </c>
      <c r="K68" s="411" t="n">
        <v>65.858541797324</v>
      </c>
      <c r="L68" s="411" t="n">
        <v>65.0642611910474</v>
      </c>
      <c r="M68" s="411" t="n">
        <v>64.3699436607157</v>
      </c>
      <c r="N68" s="411" t="n">
        <v>53.6605457196416</v>
      </c>
      <c r="O68" s="411" t="n">
        <v>48.5071523880901</v>
      </c>
      <c r="P68" s="411" t="n">
        <v>46.5785221513517</v>
      </c>
      <c r="Q68" s="411" t="n">
        <v>42.6295137225595</v>
      </c>
      <c r="R68" s="411" t="n">
        <v>32.7950191973524</v>
      </c>
      <c r="S68" s="411" t="n">
        <v>32.7950191973524</v>
      </c>
      <c r="T68" s="411" t="n">
        <v>32.6791388494118</v>
      </c>
      <c r="U68" s="411" t="n">
        <v>32.5347407321912</v>
      </c>
      <c r="V68" s="411" t="n">
        <v>32.4812467920034</v>
      </c>
      <c r="W68" s="411" t="n">
        <v>27.5058497600451</v>
      </c>
      <c r="X68" s="411" t="n">
        <v>25.9540344897455</v>
      </c>
      <c r="Y68" s="411" t="n">
        <v>24.0192253263992</v>
      </c>
      <c r="Z68" s="411" t="n">
        <v>23.1698380833461</v>
      </c>
      <c r="AA68" s="411" t="n">
        <v>22.5039251998747</v>
      </c>
      <c r="AB68" s="401" t="n">
        <f aca="false">Peak!AB70</f>
        <v>0.665253836304245</v>
      </c>
      <c r="AC68" s="401" t="n">
        <f aca="false">Peak!AC70</f>
        <v>0</v>
      </c>
      <c r="AD68" s="405" t="n">
        <f aca="false">Peak!AD70</f>
        <v>264.146595696653</v>
      </c>
      <c r="AE68" s="405" t="n">
        <f aca="false">Peak!AE70</f>
        <v>3642.14532635839</v>
      </c>
      <c r="AF68" s="401" t="n">
        <f aca="false">Peak!AF70</f>
        <v>0</v>
      </c>
      <c r="AG68" s="406" t="n">
        <f aca="false">Peak!AG70</f>
        <v>0</v>
      </c>
      <c r="AH68" s="401" t="n">
        <f aca="false">Peak!AH70</f>
        <v>4.17129486549291</v>
      </c>
      <c r="AI68" s="401" t="n">
        <f aca="false">Peak!AI70</f>
        <v>3.84424981132076</v>
      </c>
      <c r="AJ68" s="401" t="n">
        <f aca="false">Peak!AJ70</f>
        <v>0</v>
      </c>
      <c r="AK68" s="401" t="n">
        <f aca="false">Peak!AK70</f>
        <v>0</v>
      </c>
      <c r="AL68" s="1"/>
    </row>
    <row r="69" customFormat="false" ht="12.75" hidden="false" customHeight="false" outlineLevel="0" collapsed="false">
      <c r="A69" s="400" t="n">
        <f aca="false">A68+30.417</f>
        <v>38365.02</v>
      </c>
      <c r="B69" s="401" t="n">
        <f aca="false">IF($B$7="Coal",AG69,IF($B$7="Gas",AH69,IF($B$7="Oil",AI69,0)))</f>
        <v>4.05395029213483</v>
      </c>
      <c r="C69" s="402" t="n">
        <f aca="false">(B69*$B$1*1000)/1000000</f>
        <v>45.8288730014459</v>
      </c>
      <c r="D69" s="401" t="n">
        <f aca="false">AB69+AC69</f>
        <v>0.666362592698086</v>
      </c>
      <c r="E69" s="401" t="n">
        <f aca="false">(($AJ69*$B$1*AD69*1000)/2000)/1000000</f>
        <v>0</v>
      </c>
      <c r="F69" s="401" t="n">
        <f aca="false">AF69*(($AK69*$B$1*AE69*1000)/2000)/1000000</f>
        <v>0</v>
      </c>
      <c r="G69" s="403" t="str">
        <f aca="false">IF(IS!$C$2="Peak","-",SUM(C69:F69))</f>
        <v>-</v>
      </c>
      <c r="H69" s="411" t="n">
        <v>73.4018957513622</v>
      </c>
      <c r="I69" s="411" t="n">
        <v>71.0687784987236</v>
      </c>
      <c r="J69" s="411" t="n">
        <v>67.7474507497983</v>
      </c>
      <c r="K69" s="411" t="n">
        <v>66.4873406063944</v>
      </c>
      <c r="L69" s="411" t="n">
        <v>66.2544188276857</v>
      </c>
      <c r="M69" s="411" t="n">
        <v>60.45174249697</v>
      </c>
      <c r="N69" s="411" t="n">
        <v>46.5941601260473</v>
      </c>
      <c r="O69" s="411" t="n">
        <v>39.1659869284997</v>
      </c>
      <c r="P69" s="411" t="n">
        <v>37.7338889477001</v>
      </c>
      <c r="Q69" s="411" t="n">
        <v>33.9159310160281</v>
      </c>
      <c r="R69" s="411" t="n">
        <v>33.6872302994563</v>
      </c>
      <c r="S69" s="411" t="n">
        <v>33.6872302994563</v>
      </c>
      <c r="T69" s="411" t="n">
        <v>33.6872302994563</v>
      </c>
      <c r="U69" s="411" t="n">
        <v>33.6872302994563</v>
      </c>
      <c r="V69" s="411" t="n">
        <v>33.6872302994563</v>
      </c>
      <c r="W69" s="411" t="n">
        <v>31.3342431775328</v>
      </c>
      <c r="X69" s="411" t="n">
        <v>28.1834969314219</v>
      </c>
      <c r="Y69" s="411" t="n">
        <v>27.4792301387074</v>
      </c>
      <c r="Z69" s="411" t="n">
        <v>26.3815268557046</v>
      </c>
      <c r="AA69" s="411" t="n">
        <v>25.516315540917</v>
      </c>
      <c r="AB69" s="401" t="n">
        <f aca="false">Peak!AB71</f>
        <v>0.666362592698086</v>
      </c>
      <c r="AC69" s="401" t="n">
        <f aca="false">Peak!AC71</f>
        <v>0</v>
      </c>
      <c r="AD69" s="405" t="n">
        <f aca="false">Peak!AD71</f>
        <v>290.220969288313</v>
      </c>
      <c r="AE69" s="405" t="n">
        <f aca="false">Peak!AE71</f>
        <v>3781.04443975663</v>
      </c>
      <c r="AF69" s="401" t="n">
        <f aca="false">Peak!AF71</f>
        <v>0</v>
      </c>
      <c r="AG69" s="406" t="n">
        <f aca="false">Peak!AG71</f>
        <v>0</v>
      </c>
      <c r="AH69" s="401" t="n">
        <f aca="false">Peak!AH71</f>
        <v>4.05395029213483</v>
      </c>
      <c r="AI69" s="401" t="n">
        <f aca="false">Peak!AI71</f>
        <v>3.88264605076142</v>
      </c>
      <c r="AJ69" s="401" t="n">
        <f aca="false">Peak!AJ71</f>
        <v>0</v>
      </c>
      <c r="AK69" s="401" t="n">
        <f aca="false">Peak!AK71</f>
        <v>0</v>
      </c>
      <c r="AL69" s="1"/>
    </row>
    <row r="70" customFormat="false" ht="12.75" hidden="false" customHeight="false" outlineLevel="0" collapsed="false">
      <c r="A70" s="400" t="n">
        <f aca="false">A69+30.417</f>
        <v>38395.437</v>
      </c>
      <c r="B70" s="401" t="n">
        <f aca="false">IF($B$7="Coal",AG70,IF($B$7="Gas",AH70,IF($B$7="Oil",AI70,0)))</f>
        <v>3.63346076715276</v>
      </c>
      <c r="C70" s="402" t="n">
        <f aca="false">(B70*$B$1*1000)/1000000</f>
        <v>41.0753462805512</v>
      </c>
      <c r="D70" s="401" t="n">
        <f aca="false">AB70+AC70</f>
        <v>0.667473197019249</v>
      </c>
      <c r="E70" s="401" t="n">
        <f aca="false">(($AJ70*$B$1*AD70*1000)/2000)/1000000</f>
        <v>0</v>
      </c>
      <c r="F70" s="401" t="n">
        <f aca="false">AF70*(($AK70*$B$1*AE70*1000)/2000)/1000000</f>
        <v>0</v>
      </c>
      <c r="G70" s="403" t="str">
        <f aca="false">IF(IS!$C$2="Peak","-",SUM(C70:F70))</f>
        <v>-</v>
      </c>
      <c r="H70" s="411" t="n">
        <v>81.8893675866082</v>
      </c>
      <c r="I70" s="411" t="n">
        <v>77.0738088746714</v>
      </c>
      <c r="J70" s="411" t="n">
        <v>74.3398653881682</v>
      </c>
      <c r="K70" s="411" t="n">
        <v>70.205037570063</v>
      </c>
      <c r="L70" s="411" t="n">
        <v>69.851329995865</v>
      </c>
      <c r="M70" s="411" t="n">
        <v>63.6973333877659</v>
      </c>
      <c r="N70" s="411" t="n">
        <v>51.5478070144225</v>
      </c>
      <c r="O70" s="411" t="n">
        <v>49.2816578683263</v>
      </c>
      <c r="P70" s="411" t="n">
        <v>40.6178437025453</v>
      </c>
      <c r="Q70" s="411" t="n">
        <v>34.9151064691352</v>
      </c>
      <c r="R70" s="411" t="n">
        <v>34.8628365811063</v>
      </c>
      <c r="S70" s="411" t="n">
        <v>34.6340840391531</v>
      </c>
      <c r="T70" s="411" t="n">
        <v>34.6217811134001</v>
      </c>
      <c r="U70" s="411" t="n">
        <v>27.9447210236802</v>
      </c>
      <c r="V70" s="411" t="n">
        <v>26.5138865373645</v>
      </c>
      <c r="W70" s="411" t="n">
        <v>25.4469483568939</v>
      </c>
      <c r="X70" s="411" t="n">
        <v>24.6340948390491</v>
      </c>
      <c r="Y70" s="411" t="n">
        <v>24.1792744962726</v>
      </c>
      <c r="Z70" s="411" t="n">
        <v>23.7484356896888</v>
      </c>
      <c r="AA70" s="411" t="n">
        <v>22.9776713844808</v>
      </c>
      <c r="AB70" s="401" t="n">
        <f aca="false">Peak!AB72</f>
        <v>0.667473197019249</v>
      </c>
      <c r="AC70" s="401" t="n">
        <f aca="false">Peak!AC72</f>
        <v>0</v>
      </c>
      <c r="AD70" s="405" t="n">
        <f aca="false">Peak!AD72</f>
        <v>290.220969288313</v>
      </c>
      <c r="AE70" s="405" t="n">
        <f aca="false">Peak!AE72</f>
        <v>3781.04443975663</v>
      </c>
      <c r="AF70" s="401" t="n">
        <f aca="false">Peak!AF72</f>
        <v>0</v>
      </c>
      <c r="AG70" s="406" t="n">
        <f aca="false">Peak!AG72</f>
        <v>0</v>
      </c>
      <c r="AH70" s="401" t="n">
        <f aca="false">Peak!AH72</f>
        <v>3.63346076715276</v>
      </c>
      <c r="AI70" s="401" t="n">
        <f aca="false">Peak!AI72</f>
        <v>3.84669562436548</v>
      </c>
      <c r="AJ70" s="401" t="n">
        <f aca="false">Peak!AJ72</f>
        <v>0</v>
      </c>
      <c r="AK70" s="401" t="n">
        <f aca="false">Peak!AK72</f>
        <v>0</v>
      </c>
      <c r="AL70" s="1"/>
    </row>
    <row r="71" customFormat="false" ht="12.75" hidden="false" customHeight="false" outlineLevel="0" collapsed="false">
      <c r="A71" s="400" t="n">
        <f aca="false">A70+30.417</f>
        <v>38425.854</v>
      </c>
      <c r="B71" s="401" t="n">
        <f aca="false">IF($B$7="Coal",AG71,IF($B$7="Gas",AH71,IF($B$7="Oil",AI71,0)))</f>
        <v>3.57236399856562</v>
      </c>
      <c r="C71" s="402" t="n">
        <f aca="false">(B71*$B$1*1000)/1000000</f>
        <v>40.3846629108486</v>
      </c>
      <c r="D71" s="401" t="n">
        <f aca="false">AB71+AC71</f>
        <v>0.668585652347615</v>
      </c>
      <c r="E71" s="401" t="n">
        <f aca="false">(($AJ71*$B$1*AD71*1000)/2000)/1000000</f>
        <v>0</v>
      </c>
      <c r="F71" s="401" t="n">
        <f aca="false">AF71*(($AK71*$B$1*AE71*1000)/2000)/1000000</f>
        <v>0</v>
      </c>
      <c r="G71" s="403" t="str">
        <f aca="false">IF(IS!$C$2="Peak","-",SUM(C71:F71))</f>
        <v>-</v>
      </c>
      <c r="H71" s="411" t="n">
        <v>72.8590339519905</v>
      </c>
      <c r="I71" s="411" t="n">
        <v>70.4400200113076</v>
      </c>
      <c r="J71" s="411" t="n">
        <v>66.9045267343698</v>
      </c>
      <c r="K71" s="411" t="n">
        <v>65.3182989619467</v>
      </c>
      <c r="L71" s="411" t="n">
        <v>65.1399228749621</v>
      </c>
      <c r="M71" s="411" t="n">
        <v>59.2917722884616</v>
      </c>
      <c r="N71" s="411" t="n">
        <v>45.806097924995</v>
      </c>
      <c r="O71" s="411" t="n">
        <v>39.3883885599064</v>
      </c>
      <c r="P71" s="411" t="n">
        <v>37.1697594463716</v>
      </c>
      <c r="Q71" s="411" t="n">
        <v>33.3995124889646</v>
      </c>
      <c r="R71" s="411" t="n">
        <v>32.3909265299779</v>
      </c>
      <c r="S71" s="411" t="n">
        <v>32.3909265299779</v>
      </c>
      <c r="T71" s="411" t="n">
        <v>32.3909265299779</v>
      </c>
      <c r="U71" s="411" t="n">
        <v>32.3909265299779</v>
      </c>
      <c r="V71" s="411" t="n">
        <v>32.2921947945412</v>
      </c>
      <c r="W71" s="411" t="n">
        <v>27.9564661669836</v>
      </c>
      <c r="X71" s="411" t="n">
        <v>26.6840136123995</v>
      </c>
      <c r="Y71" s="411" t="n">
        <v>25.5234760616229</v>
      </c>
      <c r="Z71" s="411" t="n">
        <v>24.5476373212201</v>
      </c>
      <c r="AA71" s="411" t="n">
        <v>23.4056505812004</v>
      </c>
      <c r="AB71" s="401" t="n">
        <f aca="false">Peak!AB73</f>
        <v>0.668585652347615</v>
      </c>
      <c r="AC71" s="401" t="n">
        <f aca="false">Peak!AC73</f>
        <v>0</v>
      </c>
      <c r="AD71" s="405" t="n">
        <f aca="false">Peak!AD73</f>
        <v>290.220969288313</v>
      </c>
      <c r="AE71" s="405" t="n">
        <f aca="false">Peak!AE73</f>
        <v>3781.04443975663</v>
      </c>
      <c r="AF71" s="401" t="n">
        <f aca="false">Peak!AF73</f>
        <v>0</v>
      </c>
      <c r="AG71" s="406" t="n">
        <f aca="false">Peak!AG73</f>
        <v>0</v>
      </c>
      <c r="AH71" s="401" t="n">
        <f aca="false">Peak!AH73</f>
        <v>3.57236399856562</v>
      </c>
      <c r="AI71" s="401" t="n">
        <f aca="false">Peak!AI73</f>
        <v>3.70289391878173</v>
      </c>
      <c r="AJ71" s="401" t="n">
        <f aca="false">Peak!AJ73</f>
        <v>0</v>
      </c>
      <c r="AK71" s="401" t="n">
        <f aca="false">Peak!AK73</f>
        <v>0</v>
      </c>
      <c r="AL71" s="1"/>
    </row>
    <row r="72" customFormat="false" ht="12.75" hidden="false" customHeight="false" outlineLevel="0" collapsed="false">
      <c r="A72" s="400" t="n">
        <f aca="false">A71+30.417</f>
        <v>38456.271</v>
      </c>
      <c r="B72" s="401" t="n">
        <f aca="false">IF($B$7="Coal",AG72,IF($B$7="Gas",AH72,IF($B$7="Oil",AI72,0)))</f>
        <v>3.39626154793211</v>
      </c>
      <c r="C72" s="402" t="n">
        <f aca="false">(B72*$B$1*1000)/1000000</f>
        <v>38.3938696687645</v>
      </c>
      <c r="D72" s="401" t="n">
        <f aca="false">AB72+AC72</f>
        <v>0.669699961768194</v>
      </c>
      <c r="E72" s="401" t="n">
        <f aca="false">(($AJ72*$B$1*AD72*1000)/2000)/1000000</f>
        <v>0</v>
      </c>
      <c r="F72" s="401" t="n">
        <f aca="false">AF72*(($AK72*$B$1*AE72*1000)/2000)/1000000</f>
        <v>0</v>
      </c>
      <c r="G72" s="403" t="str">
        <f aca="false">IF(IS!$C$2="Peak","-",SUM(C72:F72))</f>
        <v>-</v>
      </c>
      <c r="H72" s="411" t="n">
        <v>59.3042076704785</v>
      </c>
      <c r="I72" s="411" t="n">
        <v>57.1531447916612</v>
      </c>
      <c r="J72" s="411" t="n">
        <v>54.5143464828281</v>
      </c>
      <c r="K72" s="411" t="n">
        <v>53.925877605717</v>
      </c>
      <c r="L72" s="411" t="n">
        <v>53.7473794764913</v>
      </c>
      <c r="M72" s="411" t="n">
        <v>44.9211950767835</v>
      </c>
      <c r="N72" s="411" t="n">
        <v>41.1426513002653</v>
      </c>
      <c r="O72" s="411" t="n">
        <v>38.2569805034187</v>
      </c>
      <c r="P72" s="411" t="n">
        <v>33.5800748661213</v>
      </c>
      <c r="Q72" s="411" t="n">
        <v>28.4733099750487</v>
      </c>
      <c r="R72" s="411" t="n">
        <v>28.0918228392895</v>
      </c>
      <c r="S72" s="411" t="n">
        <v>28.0918228392895</v>
      </c>
      <c r="T72" s="411" t="n">
        <v>28.0692356547946</v>
      </c>
      <c r="U72" s="411" t="n">
        <v>27.0000602903384</v>
      </c>
      <c r="V72" s="411" t="n">
        <v>26.0313017660298</v>
      </c>
      <c r="W72" s="411" t="n">
        <v>25.8264181537693</v>
      </c>
      <c r="X72" s="411" t="n">
        <v>24.7877275004429</v>
      </c>
      <c r="Y72" s="411" t="n">
        <v>24.2289928624386</v>
      </c>
      <c r="Z72" s="411" t="n">
        <v>23.7641557090584</v>
      </c>
      <c r="AA72" s="411" t="n">
        <v>23.3424530978076</v>
      </c>
      <c r="AB72" s="401" t="n">
        <f aca="false">Peak!AB74</f>
        <v>0.669699961768194</v>
      </c>
      <c r="AC72" s="401" t="n">
        <f aca="false">Peak!AC74</f>
        <v>0</v>
      </c>
      <c r="AD72" s="405" t="n">
        <f aca="false">Peak!AD74</f>
        <v>290.220969288313</v>
      </c>
      <c r="AE72" s="405" t="n">
        <f aca="false">Peak!AE74</f>
        <v>3781.04443975663</v>
      </c>
      <c r="AF72" s="401" t="n">
        <f aca="false">Peak!AF74</f>
        <v>0</v>
      </c>
      <c r="AG72" s="406" t="n">
        <f aca="false">Peak!AG74</f>
        <v>0</v>
      </c>
      <c r="AH72" s="401" t="n">
        <f aca="false">Peak!AH74</f>
        <v>3.39626154793211</v>
      </c>
      <c r="AI72" s="401" t="n">
        <f aca="false">Peak!AI74</f>
        <v>3.55909221319797</v>
      </c>
      <c r="AJ72" s="401" t="n">
        <f aca="false">Peak!AJ74</f>
        <v>0</v>
      </c>
      <c r="AK72" s="401" t="n">
        <f aca="false">Peak!AK74</f>
        <v>0</v>
      </c>
      <c r="AL72" s="1"/>
    </row>
    <row r="73" customFormat="false" ht="12.75" hidden="false" customHeight="false" outlineLevel="0" collapsed="false">
      <c r="A73" s="400" t="n">
        <f aca="false">A72+30.417</f>
        <v>38486.688</v>
      </c>
      <c r="B73" s="401" t="n">
        <f aca="false">IF($B$7="Coal",AG73,IF($B$7="Gas",AH73,IF($B$7="Oil",AI73,0)))</f>
        <v>3.57595792612957</v>
      </c>
      <c r="C73" s="402" t="n">
        <f aca="false">(B73*$B$1*1000)/1000000</f>
        <v>40.4252913443605</v>
      </c>
      <c r="D73" s="401" t="n">
        <f aca="false">AB73+AC73</f>
        <v>0.670816128371141</v>
      </c>
      <c r="E73" s="401" t="n">
        <f aca="false">(($AJ73*$B$1*AD73*1000)/2000)/1000000</f>
        <v>0</v>
      </c>
      <c r="F73" s="401" t="n">
        <f aca="false">AF73*(($AK73*$B$1*AE73*1000)/2000)/1000000</f>
        <v>0</v>
      </c>
      <c r="G73" s="403" t="str">
        <f aca="false">IF(IS!$C$2="Peak","-",SUM(C73:F73))</f>
        <v>-</v>
      </c>
      <c r="H73" s="411" t="n">
        <v>78.9542430602269</v>
      </c>
      <c r="I73" s="411" t="n">
        <v>68.9043043463696</v>
      </c>
      <c r="J73" s="411" t="n">
        <v>63.7348877337562</v>
      </c>
      <c r="K73" s="411" t="n">
        <v>59.3659672176916</v>
      </c>
      <c r="L73" s="411" t="n">
        <v>56.6534860443971</v>
      </c>
      <c r="M73" s="411" t="n">
        <v>55.7422862938846</v>
      </c>
      <c r="N73" s="411" t="n">
        <v>42.5767792650723</v>
      </c>
      <c r="O73" s="411" t="n">
        <v>38.0953191776513</v>
      </c>
      <c r="P73" s="411" t="n">
        <v>33.5220222695327</v>
      </c>
      <c r="Q73" s="411" t="n">
        <v>32.5931073515832</v>
      </c>
      <c r="R73" s="411" t="n">
        <v>32.5209344505845</v>
      </c>
      <c r="S73" s="411" t="n">
        <v>32.1934094883558</v>
      </c>
      <c r="T73" s="411" t="n">
        <v>31.1459758724841</v>
      </c>
      <c r="U73" s="411" t="n">
        <v>30.5534055089857</v>
      </c>
      <c r="V73" s="411" t="n">
        <v>29.7821988948255</v>
      </c>
      <c r="W73" s="411" t="n">
        <v>28.9436650482983</v>
      </c>
      <c r="X73" s="411" t="n">
        <v>28.5510205749539</v>
      </c>
      <c r="Y73" s="411" t="n">
        <v>28.0750223176549</v>
      </c>
      <c r="Z73" s="411" t="n">
        <v>27.8524201177457</v>
      </c>
      <c r="AA73" s="411" t="n">
        <v>27.3330797652509</v>
      </c>
      <c r="AB73" s="401" t="n">
        <f aca="false">Peak!AB75</f>
        <v>0.670816128371141</v>
      </c>
      <c r="AC73" s="401" t="n">
        <f aca="false">Peak!AC75</f>
        <v>0</v>
      </c>
      <c r="AD73" s="405" t="n">
        <f aca="false">Peak!AD75</f>
        <v>290.220969288313</v>
      </c>
      <c r="AE73" s="405" t="n">
        <f aca="false">Peak!AE75</f>
        <v>3781.04443975663</v>
      </c>
      <c r="AF73" s="401" t="n">
        <f aca="false">Peak!AF75</f>
        <v>1</v>
      </c>
      <c r="AG73" s="406" t="n">
        <f aca="false">Peak!AG75</f>
        <v>0</v>
      </c>
      <c r="AH73" s="401" t="n">
        <f aca="false">Peak!AH75</f>
        <v>3.57595792612957</v>
      </c>
      <c r="AI73" s="401" t="n">
        <f aca="false">Peak!AI75</f>
        <v>3.41529050761421</v>
      </c>
      <c r="AJ73" s="401" t="n">
        <f aca="false">Peak!AJ75</f>
        <v>0</v>
      </c>
      <c r="AK73" s="401" t="n">
        <f aca="false">Peak!AK75</f>
        <v>0</v>
      </c>
      <c r="AL73" s="1"/>
    </row>
    <row r="74" customFormat="false" ht="12.75" hidden="false" customHeight="false" outlineLevel="0" collapsed="false">
      <c r="A74" s="400" t="n">
        <f aca="false">A73+30.417</f>
        <v>38517.105</v>
      </c>
      <c r="B74" s="401" t="n">
        <f aca="false">IF($B$7="Coal",AG74,IF($B$7="Gas",AH74,IF($B$7="Oil",AI74,0)))</f>
        <v>3.40704333062395</v>
      </c>
      <c r="C74" s="402" t="n">
        <f aca="false">(B74*$B$1*1000)/1000000</f>
        <v>38.5157549693002</v>
      </c>
      <c r="D74" s="401" t="n">
        <f aca="false">AB74+AC74</f>
        <v>0.67193415525176</v>
      </c>
      <c r="E74" s="401" t="n">
        <f aca="false">(($AJ74*$B$1*AD74*1000)/2000)/1000000</f>
        <v>0</v>
      </c>
      <c r="F74" s="401" t="n">
        <f aca="false">AF74*(($AK74*$B$1*AE74*1000)/2000)/1000000</f>
        <v>0</v>
      </c>
      <c r="G74" s="403" t="str">
        <f aca="false">IF(IS!$C$2="Peak","-",SUM(C74:F74))</f>
        <v>-</v>
      </c>
      <c r="H74" s="411" t="n">
        <v>241.706678773595</v>
      </c>
      <c r="I74" s="411" t="n">
        <v>177.473797289504</v>
      </c>
      <c r="J74" s="411" t="n">
        <v>155.066517861813</v>
      </c>
      <c r="K74" s="411" t="n">
        <v>103.084100656769</v>
      </c>
      <c r="L74" s="411" t="n">
        <v>56.5424797598172</v>
      </c>
      <c r="M74" s="411" t="n">
        <v>49.7188625725367</v>
      </c>
      <c r="N74" s="411" t="n">
        <v>45.7715657862344</v>
      </c>
      <c r="O74" s="411" t="n">
        <v>43.8102711975354</v>
      </c>
      <c r="P74" s="411" t="n">
        <v>36.2172399786751</v>
      </c>
      <c r="Q74" s="411" t="n">
        <v>33.0046977573261</v>
      </c>
      <c r="R74" s="411" t="n">
        <v>32.1415832827455</v>
      </c>
      <c r="S74" s="411" t="n">
        <v>30.9268890891793</v>
      </c>
      <c r="T74" s="411" t="n">
        <v>30.4310189004468</v>
      </c>
      <c r="U74" s="411" t="n">
        <v>29.8633074583565</v>
      </c>
      <c r="V74" s="411" t="n">
        <v>29.0643657188437</v>
      </c>
      <c r="W74" s="411" t="n">
        <v>28.1688331545316</v>
      </c>
      <c r="X74" s="411" t="n">
        <v>27.7882753282637</v>
      </c>
      <c r="Y74" s="411" t="n">
        <v>27.2062682875586</v>
      </c>
      <c r="Z74" s="411" t="n">
        <v>26.671895723463</v>
      </c>
      <c r="AA74" s="411" t="n">
        <v>25.3322082817159</v>
      </c>
      <c r="AB74" s="401" t="n">
        <f aca="false">Peak!AB76</f>
        <v>0.67193415525176</v>
      </c>
      <c r="AC74" s="401" t="n">
        <f aca="false">Peak!AC76</f>
        <v>0</v>
      </c>
      <c r="AD74" s="405" t="n">
        <f aca="false">Peak!AD76</f>
        <v>290.220969288313</v>
      </c>
      <c r="AE74" s="405" t="n">
        <f aca="false">Peak!AE76</f>
        <v>3781.04443975663</v>
      </c>
      <c r="AF74" s="401" t="n">
        <f aca="false">Peak!AF76</f>
        <v>1</v>
      </c>
      <c r="AG74" s="406" t="n">
        <f aca="false">Peak!AG76</f>
        <v>0</v>
      </c>
      <c r="AH74" s="401" t="n">
        <f aca="false">Peak!AH76</f>
        <v>3.40704333062395</v>
      </c>
      <c r="AI74" s="401" t="n">
        <f aca="false">Peak!AI76</f>
        <v>3.41529050761421</v>
      </c>
      <c r="AJ74" s="401" t="n">
        <f aca="false">Peak!AJ76</f>
        <v>0</v>
      </c>
      <c r="AK74" s="401" t="n">
        <f aca="false">Peak!AK76</f>
        <v>0</v>
      </c>
      <c r="AL74" s="1"/>
    </row>
    <row r="75" customFormat="false" ht="12.75" hidden="false" customHeight="false" outlineLevel="0" collapsed="false">
      <c r="A75" s="400" t="n">
        <f aca="false">A74+30.417</f>
        <v>38547.522</v>
      </c>
      <c r="B75" s="401" t="n">
        <f aca="false">IF($B$7="Coal",AG75,IF($B$7="Gas",AH75,IF($B$7="Oil",AI75,0)))</f>
        <v>3.39626154793211</v>
      </c>
      <c r="C75" s="402" t="n">
        <f aca="false">(B75*$B$1*1000)/1000000</f>
        <v>38.3938696687645</v>
      </c>
      <c r="D75" s="401" t="n">
        <f aca="false">AB75+AC75</f>
        <v>0.673054045510513</v>
      </c>
      <c r="E75" s="401" t="n">
        <f aca="false">(($AJ75*$B$1*AD75*1000)/2000)/1000000</f>
        <v>0</v>
      </c>
      <c r="F75" s="401" t="n">
        <f aca="false">AF75*(($AK75*$B$1*AE75*1000)/2000)/1000000</f>
        <v>0</v>
      </c>
      <c r="G75" s="403" t="str">
        <f aca="false">IF(IS!$C$2="Peak","-",SUM(C75:F75))</f>
        <v>-</v>
      </c>
      <c r="H75" s="411" t="n">
        <v>538.651549799349</v>
      </c>
      <c r="I75" s="411" t="n">
        <v>363.789767324432</v>
      </c>
      <c r="J75" s="411" t="n">
        <v>265.115156409251</v>
      </c>
      <c r="K75" s="411" t="n">
        <v>184.264774321848</v>
      </c>
      <c r="L75" s="411" t="n">
        <v>138.265791613459</v>
      </c>
      <c r="M75" s="411" t="n">
        <v>75.8617408336251</v>
      </c>
      <c r="N75" s="411" t="n">
        <v>55.7891672294877</v>
      </c>
      <c r="O75" s="411" t="n">
        <v>50.3557536628972</v>
      </c>
      <c r="P75" s="411" t="n">
        <v>49.400118586027</v>
      </c>
      <c r="Q75" s="411" t="n">
        <v>41.0336262289732</v>
      </c>
      <c r="R75" s="411" t="n">
        <v>35.4554094226909</v>
      </c>
      <c r="S75" s="411" t="n">
        <v>33.6102121659091</v>
      </c>
      <c r="T75" s="411" t="n">
        <v>32.0836967786978</v>
      </c>
      <c r="U75" s="411" t="n">
        <v>31.0529855776808</v>
      </c>
      <c r="V75" s="411" t="n">
        <v>30.6357736223012</v>
      </c>
      <c r="W75" s="411" t="n">
        <v>29.5878726928511</v>
      </c>
      <c r="X75" s="411" t="n">
        <v>28.8405997134481</v>
      </c>
      <c r="Y75" s="411" t="n">
        <v>28.5708290981612</v>
      </c>
      <c r="Z75" s="411" t="n">
        <v>27.6942726373998</v>
      </c>
      <c r="AA75" s="411" t="n">
        <v>25.3646655246117</v>
      </c>
      <c r="AB75" s="401" t="n">
        <f aca="false">Peak!AB77</f>
        <v>0.673054045510513</v>
      </c>
      <c r="AC75" s="401" t="n">
        <f aca="false">Peak!AC77</f>
        <v>0</v>
      </c>
      <c r="AD75" s="405" t="n">
        <f aca="false">Peak!AD77</f>
        <v>290.220969288313</v>
      </c>
      <c r="AE75" s="405" t="n">
        <f aca="false">Peak!AE77</f>
        <v>3781.04443975663</v>
      </c>
      <c r="AF75" s="401" t="n">
        <f aca="false">Peak!AF77</f>
        <v>1</v>
      </c>
      <c r="AG75" s="406" t="n">
        <f aca="false">Peak!AG77</f>
        <v>0</v>
      </c>
      <c r="AH75" s="401" t="n">
        <f aca="false">Peak!AH77</f>
        <v>3.39626154793211</v>
      </c>
      <c r="AI75" s="401" t="n">
        <f aca="false">Peak!AI77</f>
        <v>3.41529050761421</v>
      </c>
      <c r="AJ75" s="401" t="n">
        <f aca="false">Peak!AJ77</f>
        <v>0</v>
      </c>
      <c r="AK75" s="401" t="n">
        <f aca="false">Peak!AK77</f>
        <v>0</v>
      </c>
      <c r="AL75" s="1"/>
    </row>
    <row r="76" customFormat="false" ht="12.75" hidden="false" customHeight="false" outlineLevel="0" collapsed="false">
      <c r="A76" s="400" t="n">
        <f aca="false">A75+30.417</f>
        <v>38577.939</v>
      </c>
      <c r="B76" s="401" t="n">
        <f aca="false">IF($B$7="Coal",AG76,IF($B$7="Gas",AH76,IF($B$7="Oil",AI76,0)))</f>
        <v>3.22015909729859</v>
      </c>
      <c r="C76" s="402" t="n">
        <f aca="false">(B76*$B$1*1000)/1000000</f>
        <v>36.4030764266804</v>
      </c>
      <c r="D76" s="401" t="n">
        <f aca="false">AB76+AC76</f>
        <v>0.67417580225303</v>
      </c>
      <c r="E76" s="401" t="n">
        <f aca="false">(($AJ76*$B$1*AD76*1000)/2000)/1000000</f>
        <v>0</v>
      </c>
      <c r="F76" s="401" t="n">
        <f aca="false">AF76*(($AK76*$B$1*AE76*1000)/2000)/1000000</f>
        <v>0</v>
      </c>
      <c r="G76" s="403" t="str">
        <f aca="false">IF(IS!$C$2="Peak","-",SUM(C76:F76))</f>
        <v>-</v>
      </c>
      <c r="H76" s="411" t="n">
        <v>848.604409304927</v>
      </c>
      <c r="I76" s="411" t="n">
        <v>492.213529967238</v>
      </c>
      <c r="J76" s="411" t="n">
        <v>337.341971068257</v>
      </c>
      <c r="K76" s="411" t="n">
        <v>211.360958382009</v>
      </c>
      <c r="L76" s="411" t="n">
        <v>154.352577015209</v>
      </c>
      <c r="M76" s="411" t="n">
        <v>92.4607818369243</v>
      </c>
      <c r="N76" s="411" t="n">
        <v>70.3715088857983</v>
      </c>
      <c r="O76" s="411" t="n">
        <v>63.4103660518716</v>
      </c>
      <c r="P76" s="411" t="n">
        <v>58.6072598446009</v>
      </c>
      <c r="Q76" s="411" t="n">
        <v>44.1586090737072</v>
      </c>
      <c r="R76" s="411" t="n">
        <v>38.5588585344013</v>
      </c>
      <c r="S76" s="411" t="n">
        <v>36.2704607396004</v>
      </c>
      <c r="T76" s="411" t="n">
        <v>35.6852785468207</v>
      </c>
      <c r="U76" s="411" t="n">
        <v>34.9858388640939</v>
      </c>
      <c r="V76" s="411" t="n">
        <v>34.2442977451756</v>
      </c>
      <c r="W76" s="411" t="n">
        <v>33.4970730148352</v>
      </c>
      <c r="X76" s="411" t="n">
        <v>32.3617244231878</v>
      </c>
      <c r="Y76" s="411" t="n">
        <v>31.6275648117236</v>
      </c>
      <c r="Z76" s="411" t="n">
        <v>30.8811685625998</v>
      </c>
      <c r="AA76" s="411" t="n">
        <v>28.4666442566738</v>
      </c>
      <c r="AB76" s="401" t="n">
        <f aca="false">Peak!AB78</f>
        <v>0.67417580225303</v>
      </c>
      <c r="AC76" s="401" t="n">
        <f aca="false">Peak!AC78</f>
        <v>0</v>
      </c>
      <c r="AD76" s="405" t="n">
        <f aca="false">Peak!AD78</f>
        <v>290.220969288313</v>
      </c>
      <c r="AE76" s="405" t="n">
        <f aca="false">Peak!AE78</f>
        <v>3781.04443975663</v>
      </c>
      <c r="AF76" s="401" t="n">
        <f aca="false">Peak!AF78</f>
        <v>1</v>
      </c>
      <c r="AG76" s="406" t="n">
        <f aca="false">Peak!AG78</f>
        <v>0</v>
      </c>
      <c r="AH76" s="401" t="n">
        <f aca="false">Peak!AH78</f>
        <v>3.22015909729859</v>
      </c>
      <c r="AI76" s="401" t="n">
        <f aca="false">Peak!AI78</f>
        <v>3.41529050761421</v>
      </c>
      <c r="AJ76" s="401" t="n">
        <f aca="false">Peak!AJ78</f>
        <v>0</v>
      </c>
      <c r="AK76" s="401" t="n">
        <f aca="false">Peak!AK78</f>
        <v>0</v>
      </c>
      <c r="AL76" s="1"/>
    </row>
    <row r="77" customFormat="false" ht="12.75" hidden="false" customHeight="false" outlineLevel="0" collapsed="false">
      <c r="A77" s="400" t="n">
        <f aca="false">A76+30.417</f>
        <v>38608.356</v>
      </c>
      <c r="B77" s="401" t="n">
        <f aca="false">IF($B$7="Coal",AG77,IF($B$7="Gas",AH77,IF($B$7="Oil",AI77,0)))</f>
        <v>3.20937731460674</v>
      </c>
      <c r="C77" s="402" t="n">
        <f aca="false">(B77*$B$1*1000)/1000000</f>
        <v>36.2811911261446</v>
      </c>
      <c r="D77" s="401" t="n">
        <f aca="false">AB77+AC77</f>
        <v>0.675299428590119</v>
      </c>
      <c r="E77" s="401" t="n">
        <f aca="false">(($AJ77*$B$1*AD77*1000)/2000)/1000000</f>
        <v>0</v>
      </c>
      <c r="F77" s="401" t="n">
        <f aca="false">AF77*(($AK77*$B$1*AE77*1000)/2000)/1000000</f>
        <v>0</v>
      </c>
      <c r="G77" s="403" t="str">
        <f aca="false">IF(IS!$C$2="Peak","-",SUM(C77:F77))</f>
        <v>-</v>
      </c>
      <c r="H77" s="411" t="n">
        <v>197.778397092124</v>
      </c>
      <c r="I77" s="411" t="n">
        <v>162.046187414583</v>
      </c>
      <c r="J77" s="411" t="n">
        <v>134.260623547092</v>
      </c>
      <c r="K77" s="411" t="n">
        <v>86.6966522647406</v>
      </c>
      <c r="L77" s="411" t="n">
        <v>66.5155799440643</v>
      </c>
      <c r="M77" s="411" t="n">
        <v>60.2242106255444</v>
      </c>
      <c r="N77" s="411" t="n">
        <v>58.1774009981963</v>
      </c>
      <c r="O77" s="411" t="n">
        <v>47.5586477321527</v>
      </c>
      <c r="P77" s="411" t="n">
        <v>38.8046187910911</v>
      </c>
      <c r="Q77" s="411" t="n">
        <v>33.4516055758517</v>
      </c>
      <c r="R77" s="411" t="n">
        <v>32.599208182595</v>
      </c>
      <c r="S77" s="411" t="n">
        <v>30.9213214561693</v>
      </c>
      <c r="T77" s="411" t="n">
        <v>29.8829537644243</v>
      </c>
      <c r="U77" s="411" t="n">
        <v>29.3384155425631</v>
      </c>
      <c r="V77" s="411" t="n">
        <v>29.0160182233451</v>
      </c>
      <c r="W77" s="411" t="n">
        <v>28.5832195793321</v>
      </c>
      <c r="X77" s="411" t="n">
        <v>28.5796209394923</v>
      </c>
      <c r="Y77" s="411" t="n">
        <v>28.5793014800738</v>
      </c>
      <c r="Z77" s="411" t="n">
        <v>28.5790920439731</v>
      </c>
      <c r="AA77" s="411" t="n">
        <v>27.2878976194308</v>
      </c>
      <c r="AB77" s="401" t="n">
        <f aca="false">Peak!AB79</f>
        <v>0.675299428590119</v>
      </c>
      <c r="AC77" s="401" t="n">
        <f aca="false">Peak!AC79</f>
        <v>0</v>
      </c>
      <c r="AD77" s="405" t="n">
        <f aca="false">Peak!AD79</f>
        <v>290.220969288313</v>
      </c>
      <c r="AE77" s="405" t="n">
        <f aca="false">Peak!AE79</f>
        <v>3781.04443975663</v>
      </c>
      <c r="AF77" s="401" t="n">
        <f aca="false">Peak!AF79</f>
        <v>1</v>
      </c>
      <c r="AG77" s="406" t="n">
        <f aca="false">Peak!AG79</f>
        <v>0</v>
      </c>
      <c r="AH77" s="401" t="n">
        <f aca="false">Peak!AH79</f>
        <v>3.20937731460674</v>
      </c>
      <c r="AI77" s="401" t="n">
        <f aca="false">Peak!AI79</f>
        <v>3.41529050761421</v>
      </c>
      <c r="AJ77" s="401" t="n">
        <f aca="false">Peak!AJ79</f>
        <v>0</v>
      </c>
      <c r="AK77" s="401" t="n">
        <f aca="false">Peak!AK79</f>
        <v>0</v>
      </c>
      <c r="AL77" s="1"/>
    </row>
    <row r="78" customFormat="false" ht="12.75" hidden="false" customHeight="false" outlineLevel="0" collapsed="false">
      <c r="A78" s="400" t="n">
        <f aca="false">A77+30.417</f>
        <v>38638.773</v>
      </c>
      <c r="B78" s="401" t="n">
        <f aca="false">IF($B$7="Coal",AG78,IF($B$7="Gas",AH78,IF($B$7="Oil",AI78,0)))</f>
        <v>3.55439436074588</v>
      </c>
      <c r="C78" s="402" t="n">
        <f aca="false">(B78*$B$1*1000)/1000000</f>
        <v>40.181520743289</v>
      </c>
      <c r="D78" s="401" t="n">
        <f aca="false">AB78+AC78</f>
        <v>0.676424927637769</v>
      </c>
      <c r="E78" s="401" t="n">
        <f aca="false">(($AJ78*$B$1*AD78*1000)/2000)/1000000</f>
        <v>0</v>
      </c>
      <c r="F78" s="401" t="n">
        <f aca="false">AF78*(($AK78*$B$1*AE78*1000)/2000)/1000000</f>
        <v>0</v>
      </c>
      <c r="G78" s="403" t="str">
        <f aca="false">IF(IS!$C$2="Peak","-",SUM(C78:F78))</f>
        <v>-</v>
      </c>
      <c r="H78" s="411" t="n">
        <v>70.8451040784516</v>
      </c>
      <c r="I78" s="411" t="n">
        <v>64.726857695635</v>
      </c>
      <c r="J78" s="411" t="n">
        <v>61.0584957687398</v>
      </c>
      <c r="K78" s="411" t="n">
        <v>58.8213514015547</v>
      </c>
      <c r="L78" s="411" t="n">
        <v>56.5648929438929</v>
      </c>
      <c r="M78" s="411" t="n">
        <v>52.7794887449578</v>
      </c>
      <c r="N78" s="411" t="n">
        <v>52.0368012560804</v>
      </c>
      <c r="O78" s="411" t="n">
        <v>50.7538822541614</v>
      </c>
      <c r="P78" s="411" t="n">
        <v>42.0927968566631</v>
      </c>
      <c r="Q78" s="411" t="n">
        <v>37.0277708935079</v>
      </c>
      <c r="R78" s="411" t="n">
        <v>30.6301919597766</v>
      </c>
      <c r="S78" s="411" t="n">
        <v>30.0862940032429</v>
      </c>
      <c r="T78" s="411" t="n">
        <v>28.1324747452094</v>
      </c>
      <c r="U78" s="411" t="n">
        <v>27.4656578855333</v>
      </c>
      <c r="V78" s="411" t="n">
        <v>27.3937322031251</v>
      </c>
      <c r="W78" s="411" t="n">
        <v>25.6248743246691</v>
      </c>
      <c r="X78" s="411" t="n">
        <v>24.7666049130549</v>
      </c>
      <c r="Y78" s="411" t="n">
        <v>24.3899613278243</v>
      </c>
      <c r="Z78" s="411" t="n">
        <v>23.4192446721505</v>
      </c>
      <c r="AA78" s="411" t="n">
        <v>22.4394732952362</v>
      </c>
      <c r="AB78" s="401" t="n">
        <f aca="false">Peak!AB80</f>
        <v>0.676424927637769</v>
      </c>
      <c r="AC78" s="401" t="n">
        <f aca="false">Peak!AC80</f>
        <v>0</v>
      </c>
      <c r="AD78" s="405" t="n">
        <f aca="false">Peak!AD80</f>
        <v>290.220969288313</v>
      </c>
      <c r="AE78" s="405" t="n">
        <f aca="false">Peak!AE80</f>
        <v>3781.04443975663</v>
      </c>
      <c r="AF78" s="401" t="n">
        <f aca="false">Peak!AF80</f>
        <v>0</v>
      </c>
      <c r="AG78" s="406" t="n">
        <f aca="false">Peak!AG80</f>
        <v>0</v>
      </c>
      <c r="AH78" s="401" t="n">
        <f aca="false">Peak!AH80</f>
        <v>3.55439436074588</v>
      </c>
      <c r="AI78" s="401" t="n">
        <f aca="false">Peak!AI80</f>
        <v>3.41529050761421</v>
      </c>
      <c r="AJ78" s="401" t="n">
        <f aca="false">Peak!AJ80</f>
        <v>0</v>
      </c>
      <c r="AK78" s="401" t="n">
        <f aca="false">Peak!AK80</f>
        <v>0</v>
      </c>
      <c r="AL78" s="1"/>
    </row>
    <row r="79" customFormat="false" ht="12.75" hidden="false" customHeight="false" outlineLevel="0" collapsed="false">
      <c r="A79" s="400" t="n">
        <f aca="false">A78+30.417</f>
        <v>38669.19</v>
      </c>
      <c r="B79" s="401" t="n">
        <f aca="false">IF($B$7="Coal",AG79,IF($B$7="Gas",AH79,IF($B$7="Oil",AI79,0)))</f>
        <v>3.89222355175711</v>
      </c>
      <c r="C79" s="402" t="n">
        <f aca="false">(B79*$B$1*1000)/1000000</f>
        <v>44.0005934934095</v>
      </c>
      <c r="D79" s="401" t="n">
        <f aca="false">AB79+AC79</f>
        <v>0.677552302517165</v>
      </c>
      <c r="E79" s="401" t="n">
        <f aca="false">(($AJ79*$B$1*AD79*1000)/2000)/1000000</f>
        <v>0</v>
      </c>
      <c r="F79" s="401" t="n">
        <f aca="false">AF79*(($AK79*$B$1*AE79*1000)/2000)/1000000</f>
        <v>0</v>
      </c>
      <c r="G79" s="403" t="str">
        <f aca="false">IF(IS!$C$2="Peak","-",SUM(C79:F79))</f>
        <v>-</v>
      </c>
      <c r="H79" s="411" t="n">
        <v>78.5916063147165</v>
      </c>
      <c r="I79" s="411" t="n">
        <v>73.4556751391259</v>
      </c>
      <c r="J79" s="411" t="n">
        <v>67.1922910776857</v>
      </c>
      <c r="K79" s="411" t="n">
        <v>64.2637800035092</v>
      </c>
      <c r="L79" s="411" t="n">
        <v>60.8615158788516</v>
      </c>
      <c r="M79" s="411" t="n">
        <v>58.4379172228107</v>
      </c>
      <c r="N79" s="411" t="n">
        <v>58.2298756021037</v>
      </c>
      <c r="O79" s="411" t="n">
        <v>53.4023235747575</v>
      </c>
      <c r="P79" s="411" t="n">
        <v>41.003007553521</v>
      </c>
      <c r="Q79" s="411" t="n">
        <v>40.8932533509934</v>
      </c>
      <c r="R79" s="411" t="n">
        <v>40.8544605936029</v>
      </c>
      <c r="S79" s="411" t="n">
        <v>31.630371233466</v>
      </c>
      <c r="T79" s="411" t="n">
        <v>29.5920539428444</v>
      </c>
      <c r="U79" s="411" t="n">
        <v>29.3932050220488</v>
      </c>
      <c r="V79" s="411" t="n">
        <v>28.4121829342622</v>
      </c>
      <c r="W79" s="411" t="n">
        <v>26.6894398499468</v>
      </c>
      <c r="X79" s="411" t="n">
        <v>26.2478302976634</v>
      </c>
      <c r="Y79" s="411" t="n">
        <v>25.4469867557435</v>
      </c>
      <c r="Z79" s="411" t="n">
        <v>24.7031397884469</v>
      </c>
      <c r="AA79" s="411" t="n">
        <v>23.8044495063156</v>
      </c>
      <c r="AB79" s="401" t="n">
        <f aca="false">Peak!AB81</f>
        <v>0.677552302517165</v>
      </c>
      <c r="AC79" s="401" t="n">
        <f aca="false">Peak!AC81</f>
        <v>0</v>
      </c>
      <c r="AD79" s="405" t="n">
        <f aca="false">Peak!AD81</f>
        <v>290.220969288313</v>
      </c>
      <c r="AE79" s="405" t="n">
        <f aca="false">Peak!AE81</f>
        <v>3781.04443975663</v>
      </c>
      <c r="AF79" s="401" t="n">
        <f aca="false">Peak!AF81</f>
        <v>0</v>
      </c>
      <c r="AG79" s="406" t="n">
        <f aca="false">Peak!AG81</f>
        <v>0</v>
      </c>
      <c r="AH79" s="401" t="n">
        <f aca="false">Peak!AH81</f>
        <v>3.89222355175711</v>
      </c>
      <c r="AI79" s="401" t="n">
        <f aca="false">Peak!AI81</f>
        <v>3.70289391878173</v>
      </c>
      <c r="AJ79" s="401" t="n">
        <f aca="false">Peak!AJ81</f>
        <v>0</v>
      </c>
      <c r="AK79" s="401" t="n">
        <f aca="false">Peak!AK81</f>
        <v>0</v>
      </c>
      <c r="AL79" s="1"/>
    </row>
    <row r="80" customFormat="false" ht="12.75" hidden="false" customHeight="false" outlineLevel="0" collapsed="false">
      <c r="A80" s="400" t="n">
        <f aca="false">A79+30.417</f>
        <v>38699.607</v>
      </c>
      <c r="B80" s="401" t="n">
        <f aca="false">IF($B$7="Coal",AG80,IF($B$7="Gas",AH80,IF($B$7="Oil",AI80,0)))</f>
        <v>4.2120831049486</v>
      </c>
      <c r="C80" s="402" t="n">
        <f aca="false">(B80*$B$1*1000)/1000000</f>
        <v>47.6165240759703</v>
      </c>
      <c r="D80" s="401" t="n">
        <f aca="false">AB80+AC80</f>
        <v>0.678681556354694</v>
      </c>
      <c r="E80" s="401" t="n">
        <f aca="false">(($AJ80*$B$1*AD80*1000)/2000)/1000000</f>
        <v>0</v>
      </c>
      <c r="F80" s="401" t="n">
        <f aca="false">AF80*(($AK80*$B$1*AE80*1000)/2000)/1000000</f>
        <v>0</v>
      </c>
      <c r="G80" s="403" t="str">
        <f aca="false">IF(IS!$C$2="Peak","-",SUM(C80:F80))</f>
        <v>-</v>
      </c>
      <c r="H80" s="411" t="n">
        <v>90.4889345708951</v>
      </c>
      <c r="I80" s="411" t="n">
        <v>87.5321165678066</v>
      </c>
      <c r="J80" s="411" t="n">
        <v>84.5306367251571</v>
      </c>
      <c r="K80" s="411" t="n">
        <v>80.4926689779793</v>
      </c>
      <c r="L80" s="411" t="n">
        <v>76.5701063371918</v>
      </c>
      <c r="M80" s="411" t="n">
        <v>76.3397807726965</v>
      </c>
      <c r="N80" s="411" t="n">
        <v>73.8360594910094</v>
      </c>
      <c r="O80" s="411" t="n">
        <v>62.1183525232846</v>
      </c>
      <c r="P80" s="411" t="n">
        <v>52.4410152937267</v>
      </c>
      <c r="Q80" s="411" t="n">
        <v>45.3975201949603</v>
      </c>
      <c r="R80" s="411" t="n">
        <v>43.0478830787715</v>
      </c>
      <c r="S80" s="411" t="n">
        <v>38.1020768891418</v>
      </c>
      <c r="T80" s="411" t="n">
        <v>30.3282711793453</v>
      </c>
      <c r="U80" s="411" t="n">
        <v>28.2994268095184</v>
      </c>
      <c r="V80" s="411" t="n">
        <v>27.2944404157907</v>
      </c>
      <c r="W80" s="411" t="n">
        <v>27.042250375286</v>
      </c>
      <c r="X80" s="411" t="n">
        <v>26.1967481539121</v>
      </c>
      <c r="Y80" s="411" t="n">
        <v>25.4416107872562</v>
      </c>
      <c r="Z80" s="411" t="n">
        <v>24.9739261885598</v>
      </c>
      <c r="AA80" s="411" t="n">
        <v>24.3722670212695</v>
      </c>
      <c r="AB80" s="401" t="n">
        <f aca="false">Peak!AB82</f>
        <v>0.678681556354694</v>
      </c>
      <c r="AC80" s="401" t="n">
        <f aca="false">Peak!AC82</f>
        <v>0</v>
      </c>
      <c r="AD80" s="405" t="n">
        <f aca="false">Peak!AD82</f>
        <v>290.220969288313</v>
      </c>
      <c r="AE80" s="405" t="n">
        <f aca="false">Peak!AE82</f>
        <v>3781.04443975663</v>
      </c>
      <c r="AF80" s="401" t="n">
        <f aca="false">Peak!AF82</f>
        <v>0</v>
      </c>
      <c r="AG80" s="406" t="n">
        <f aca="false">Peak!AG82</f>
        <v>0</v>
      </c>
      <c r="AH80" s="401" t="n">
        <f aca="false">Peak!AH82</f>
        <v>4.2120831049486</v>
      </c>
      <c r="AI80" s="401" t="n">
        <f aca="false">Peak!AI82</f>
        <v>3.88264605076142</v>
      </c>
      <c r="AJ80" s="401" t="n">
        <f aca="false">Peak!AJ82</f>
        <v>0</v>
      </c>
      <c r="AK80" s="401" t="n">
        <f aca="false">Peak!AK82</f>
        <v>0</v>
      </c>
      <c r="AL80" s="1"/>
    </row>
    <row r="81" customFormat="false" ht="12.75" hidden="false" customHeight="false" outlineLevel="0" collapsed="false">
      <c r="A81" s="400" t="n">
        <f aca="false">A80+30.417</f>
        <v>38730.024</v>
      </c>
      <c r="B81" s="401" t="n">
        <f aca="false">IF($B$7="Coal",AG81,IF($B$7="Gas",AH81,IF($B$7="Oil",AI81,0)))</f>
        <v>4.08275879349654</v>
      </c>
      <c r="C81" s="402" t="n">
        <f aca="false">(B81*$B$1*1000)/1000000</f>
        <v>46.154545753978</v>
      </c>
      <c r="D81" s="401" t="n">
        <f aca="false">AB81+AC81</f>
        <v>0.679812692281952</v>
      </c>
      <c r="E81" s="401" t="n">
        <f aca="false">(($AJ81*$B$1*AD81*1000)/2000)/1000000</f>
        <v>0</v>
      </c>
      <c r="F81" s="401" t="n">
        <f aca="false">AF81*(($AK81*$B$1*AE81*1000)/2000)/1000000</f>
        <v>0</v>
      </c>
      <c r="G81" s="403" t="str">
        <f aca="false">IF(IS!$C$2="Peak","-",SUM(C81:F81))</f>
        <v>-</v>
      </c>
      <c r="H81" s="411" t="n">
        <v>90.8714669751743</v>
      </c>
      <c r="I81" s="411" t="n">
        <v>79.4751798886706</v>
      </c>
      <c r="J81" s="411" t="n">
        <v>71.9873762530976</v>
      </c>
      <c r="K81" s="411" t="n">
        <v>66.1068419928232</v>
      </c>
      <c r="L81" s="411" t="n">
        <v>63.4519648725036</v>
      </c>
      <c r="M81" s="411" t="n">
        <v>59.7302443796938</v>
      </c>
      <c r="N81" s="411" t="n">
        <v>56.7108782665286</v>
      </c>
      <c r="O81" s="411" t="n">
        <v>56.4824451320187</v>
      </c>
      <c r="P81" s="411" t="n">
        <v>51.9104808543022</v>
      </c>
      <c r="Q81" s="411" t="n">
        <v>41.1246525023997</v>
      </c>
      <c r="R81" s="411" t="n">
        <v>35.906991274838</v>
      </c>
      <c r="S81" s="411" t="n">
        <v>32.5604576280549</v>
      </c>
      <c r="T81" s="411" t="n">
        <v>30.2861805232704</v>
      </c>
      <c r="U81" s="411" t="n">
        <v>29.2281029946025</v>
      </c>
      <c r="V81" s="411" t="n">
        <v>28.1133072856737</v>
      </c>
      <c r="W81" s="411" t="n">
        <v>25.9704987666177</v>
      </c>
      <c r="X81" s="411" t="n">
        <v>24.994647358507</v>
      </c>
      <c r="Y81" s="411" t="n">
        <v>24.4361074240332</v>
      </c>
      <c r="Z81" s="411" t="n">
        <v>23.9804070119306</v>
      </c>
      <c r="AA81" s="411" t="n">
        <v>22.9371591383455</v>
      </c>
      <c r="AB81" s="401" t="n">
        <f aca="false">Peak!AB83</f>
        <v>0.679812692281952</v>
      </c>
      <c r="AC81" s="401" t="n">
        <f aca="false">Peak!AC83</f>
        <v>0</v>
      </c>
      <c r="AD81" s="405" t="n">
        <f aca="false">Peak!AD83</f>
        <v>319.924737421536</v>
      </c>
      <c r="AE81" s="405" t="n">
        <f aca="false">Peak!AE83</f>
        <v>3926.94756165724</v>
      </c>
      <c r="AF81" s="401" t="n">
        <f aca="false">Peak!AF83</f>
        <v>0</v>
      </c>
      <c r="AG81" s="406" t="n">
        <f aca="false">Peak!AG83</f>
        <v>0</v>
      </c>
      <c r="AH81" s="401" t="n">
        <f aca="false">Peak!AH83</f>
        <v>4.08275879349654</v>
      </c>
      <c r="AI81" s="401" t="n">
        <f aca="false">Peak!AI83</f>
        <v>3.91636588235294</v>
      </c>
      <c r="AJ81" s="401" t="n">
        <f aca="false">Peak!AJ83</f>
        <v>0</v>
      </c>
      <c r="AK81" s="401" t="n">
        <f aca="false">Peak!AK83</f>
        <v>0</v>
      </c>
      <c r="AL81" s="1"/>
    </row>
    <row r="82" customFormat="false" ht="12.75" hidden="false" customHeight="false" outlineLevel="0" collapsed="false">
      <c r="A82" s="400" t="n">
        <f aca="false">A81+30.417</f>
        <v>38760.441</v>
      </c>
      <c r="B82" s="401" t="n">
        <f aca="false">IF($B$7="Coal",AG82,IF($B$7="Gas",AH82,IF($B$7="Oil",AI82,0)))</f>
        <v>3.65928115268174</v>
      </c>
      <c r="C82" s="402" t="n">
        <f aca="false">(B82*$B$1*1000)/1000000</f>
        <v>41.3672391465175</v>
      </c>
      <c r="D82" s="401" t="n">
        <f aca="false">AB82+AC82</f>
        <v>0.680945713435755</v>
      </c>
      <c r="E82" s="401" t="n">
        <f aca="false">(($AJ82*$B$1*AD82*1000)/2000)/1000000</f>
        <v>0</v>
      </c>
      <c r="F82" s="401" t="n">
        <f aca="false">AF82*(($AK82*$B$1*AE82*1000)/2000)/1000000</f>
        <v>0</v>
      </c>
      <c r="G82" s="403" t="str">
        <f aca="false">IF(IS!$C$2="Peak","-",SUM(C82:F82))</f>
        <v>-</v>
      </c>
      <c r="H82" s="411" t="n">
        <v>77.0287055501203</v>
      </c>
      <c r="I82" s="411" t="n">
        <v>74.0946009466076</v>
      </c>
      <c r="J82" s="411" t="n">
        <v>74.0800264126242</v>
      </c>
      <c r="K82" s="411" t="n">
        <v>68.9578156641698</v>
      </c>
      <c r="L82" s="411" t="n">
        <v>54.4679003761465</v>
      </c>
      <c r="M82" s="411" t="n">
        <v>52.3940895763308</v>
      </c>
      <c r="N82" s="411" t="n">
        <v>51.6105509125754</v>
      </c>
      <c r="O82" s="411" t="n">
        <v>45.6232081521613</v>
      </c>
      <c r="P82" s="411" t="n">
        <v>41.2956865689673</v>
      </c>
      <c r="Q82" s="411" t="n">
        <v>36.7532578454104</v>
      </c>
      <c r="R82" s="411" t="n">
        <v>36.5107021106038</v>
      </c>
      <c r="S82" s="411" t="n">
        <v>36.5107021106038</v>
      </c>
      <c r="T82" s="411" t="n">
        <v>36.2841574970638</v>
      </c>
      <c r="U82" s="411" t="n">
        <v>36.21197235377</v>
      </c>
      <c r="V82" s="411" t="n">
        <v>36.21197235377</v>
      </c>
      <c r="W82" s="411" t="n">
        <v>36.21197235377</v>
      </c>
      <c r="X82" s="411" t="n">
        <v>36.21197235377</v>
      </c>
      <c r="Y82" s="411" t="n">
        <v>29.2226748483165</v>
      </c>
      <c r="Z82" s="411" t="n">
        <v>23.5472665826791</v>
      </c>
      <c r="AA82" s="411" t="n">
        <v>22.0447803894431</v>
      </c>
      <c r="AB82" s="401" t="n">
        <f aca="false">Peak!AB84</f>
        <v>0.680945713435755</v>
      </c>
      <c r="AC82" s="401" t="n">
        <f aca="false">Peak!AC84</f>
        <v>0</v>
      </c>
      <c r="AD82" s="405" t="n">
        <f aca="false">Peak!AD84</f>
        <v>319.924737421536</v>
      </c>
      <c r="AE82" s="405" t="n">
        <f aca="false">Peak!AE84</f>
        <v>3926.94756165724</v>
      </c>
      <c r="AF82" s="401" t="n">
        <f aca="false">Peak!AF84</f>
        <v>0</v>
      </c>
      <c r="AG82" s="406" t="n">
        <f aca="false">Peak!AG84</f>
        <v>0</v>
      </c>
      <c r="AH82" s="401" t="n">
        <f aca="false">Peak!AH84</f>
        <v>3.65928115268174</v>
      </c>
      <c r="AI82" s="401" t="n">
        <f aca="false">Peak!AI84</f>
        <v>3.88010323529412</v>
      </c>
      <c r="AJ82" s="401" t="n">
        <f aca="false">Peak!AJ84</f>
        <v>0</v>
      </c>
      <c r="AK82" s="401" t="n">
        <f aca="false">Peak!AK84</f>
        <v>0</v>
      </c>
      <c r="AL82" s="1"/>
    </row>
    <row r="83" customFormat="false" ht="12.75" hidden="false" customHeight="false" outlineLevel="0" collapsed="false">
      <c r="A83" s="400" t="n">
        <f aca="false">A82+30.417</f>
        <v>38790.858</v>
      </c>
      <c r="B83" s="401" t="n">
        <f aca="false">IF($B$7="Coal",AG83,IF($B$7="Gas",AH83,IF($B$7="Oil",AI83,0)))</f>
        <v>3.59775021341805</v>
      </c>
      <c r="C83" s="402" t="n">
        <f aca="false">(B83*$B$1*1000)/1000000</f>
        <v>40.6716475881685</v>
      </c>
      <c r="D83" s="401" t="n">
        <f aca="false">AB83+AC83</f>
        <v>0.682080622958148</v>
      </c>
      <c r="E83" s="401" t="n">
        <f aca="false">(($AJ83*$B$1*AD83*1000)/2000)/1000000</f>
        <v>0</v>
      </c>
      <c r="F83" s="401" t="n">
        <f aca="false">AF83*(($AK83*$B$1*AE83*1000)/2000)/1000000</f>
        <v>0</v>
      </c>
      <c r="G83" s="403" t="str">
        <f aca="false">IF(IS!$C$2="Peak","-",SUM(C83:F83))</f>
        <v>-</v>
      </c>
      <c r="H83" s="411" t="n">
        <v>88.2450162672316</v>
      </c>
      <c r="I83" s="411" t="n">
        <v>80.2116535020849</v>
      </c>
      <c r="J83" s="411" t="n">
        <v>69.8513924436736</v>
      </c>
      <c r="K83" s="411" t="n">
        <v>65.5886478308887</v>
      </c>
      <c r="L83" s="411" t="n">
        <v>62.3904200286235</v>
      </c>
      <c r="M83" s="411" t="n">
        <v>58.1517952697367</v>
      </c>
      <c r="N83" s="411" t="n">
        <v>57.4201336031596</v>
      </c>
      <c r="O83" s="411" t="n">
        <v>55.2299270073992</v>
      </c>
      <c r="P83" s="411" t="n">
        <v>45.314459149773</v>
      </c>
      <c r="Q83" s="411" t="n">
        <v>40.0904547128444</v>
      </c>
      <c r="R83" s="411" t="n">
        <v>33.1626962631674</v>
      </c>
      <c r="S83" s="411" t="n">
        <v>32.9439174228574</v>
      </c>
      <c r="T83" s="411" t="n">
        <v>29.5491856943372</v>
      </c>
      <c r="U83" s="411" t="n">
        <v>29.4519203518821</v>
      </c>
      <c r="V83" s="411" t="n">
        <v>29.4519203518821</v>
      </c>
      <c r="W83" s="411" t="n">
        <v>29.3829920588831</v>
      </c>
      <c r="X83" s="411" t="n">
        <v>28.7259037669785</v>
      </c>
      <c r="Y83" s="411" t="n">
        <v>26.2093741663163</v>
      </c>
      <c r="Z83" s="411" t="n">
        <v>24.8135316534995</v>
      </c>
      <c r="AA83" s="411" t="n">
        <v>23.4458972149416</v>
      </c>
      <c r="AB83" s="401" t="n">
        <f aca="false">Peak!AB85</f>
        <v>0.682080622958148</v>
      </c>
      <c r="AC83" s="401" t="n">
        <f aca="false">Peak!AC85</f>
        <v>0</v>
      </c>
      <c r="AD83" s="405" t="n">
        <f aca="false">Peak!AD85</f>
        <v>319.924737421536</v>
      </c>
      <c r="AE83" s="405" t="n">
        <f aca="false">Peak!AE85</f>
        <v>3926.94756165724</v>
      </c>
      <c r="AF83" s="401" t="n">
        <f aca="false">Peak!AF85</f>
        <v>0</v>
      </c>
      <c r="AG83" s="406" t="n">
        <f aca="false">Peak!AG85</f>
        <v>0</v>
      </c>
      <c r="AH83" s="401" t="n">
        <f aca="false">Peak!AH85</f>
        <v>3.59775021341805</v>
      </c>
      <c r="AI83" s="401" t="n">
        <f aca="false">Peak!AI85</f>
        <v>3.73505264705882</v>
      </c>
      <c r="AJ83" s="401" t="n">
        <f aca="false">Peak!AJ85</f>
        <v>0</v>
      </c>
      <c r="AK83" s="401" t="n">
        <f aca="false">Peak!AK85</f>
        <v>0</v>
      </c>
      <c r="AL83" s="1"/>
    </row>
    <row r="84" customFormat="false" ht="12.75" hidden="false" customHeight="false" outlineLevel="0" collapsed="false">
      <c r="A84" s="400" t="n">
        <f aca="false">A83+30.417</f>
        <v>38821.275</v>
      </c>
      <c r="B84" s="401" t="n">
        <f aca="false">IF($B$7="Coal",AG84,IF($B$7="Gas",AH84,IF($B$7="Oil",AI84,0)))</f>
        <v>3.42039632965801</v>
      </c>
      <c r="C84" s="402" t="n">
        <f aca="false">(B84*$B$1*1000)/1000000</f>
        <v>38.6667072141039</v>
      </c>
      <c r="D84" s="401" t="n">
        <f aca="false">AB84+AC84</f>
        <v>0.683217423996411</v>
      </c>
      <c r="E84" s="401" t="n">
        <f aca="false">(($AJ84*$B$1*AD84*1000)/2000)/1000000</f>
        <v>0</v>
      </c>
      <c r="F84" s="401" t="n">
        <f aca="false">AF84*(($AK84*$B$1*AE84*1000)/2000)/1000000</f>
        <v>0</v>
      </c>
      <c r="G84" s="403" t="str">
        <f aca="false">IF(IS!$C$2="Peak","-",SUM(C84:F84))</f>
        <v>-</v>
      </c>
      <c r="H84" s="411" t="n">
        <v>73.4397476269191</v>
      </c>
      <c r="I84" s="411" t="n">
        <v>72.7296057655126</v>
      </c>
      <c r="J84" s="411" t="n">
        <v>72.7296057655126</v>
      </c>
      <c r="K84" s="411" t="n">
        <v>70.9679395153919</v>
      </c>
      <c r="L84" s="411" t="n">
        <v>64.0182273662188</v>
      </c>
      <c r="M84" s="411" t="n">
        <v>51.0060616044195</v>
      </c>
      <c r="N84" s="411" t="n">
        <v>42.1793778902047</v>
      </c>
      <c r="O84" s="411" t="n">
        <v>40.4273539044398</v>
      </c>
      <c r="P84" s="411" t="n">
        <v>35.6307909599751</v>
      </c>
      <c r="Q84" s="411" t="n">
        <v>35.6307909599751</v>
      </c>
      <c r="R84" s="411" t="n">
        <v>35.6307909599751</v>
      </c>
      <c r="S84" s="411" t="n">
        <v>33.1392615199579</v>
      </c>
      <c r="T84" s="411" t="n">
        <v>26.8169208560653</v>
      </c>
      <c r="U84" s="411" t="n">
        <v>25.8984477666932</v>
      </c>
      <c r="V84" s="411" t="n">
        <v>24.7910224339394</v>
      </c>
      <c r="W84" s="411" t="n">
        <v>24.3212065509246</v>
      </c>
      <c r="X84" s="411" t="n">
        <v>23.955195366891</v>
      </c>
      <c r="Y84" s="411" t="n">
        <v>23.6239997803324</v>
      </c>
      <c r="Z84" s="411" t="n">
        <v>23.3043517212177</v>
      </c>
      <c r="AA84" s="411" t="n">
        <v>22.7601089098815</v>
      </c>
      <c r="AB84" s="401" t="n">
        <f aca="false">Peak!AB86</f>
        <v>0.683217423996411</v>
      </c>
      <c r="AC84" s="401" t="n">
        <f aca="false">Peak!AC86</f>
        <v>0</v>
      </c>
      <c r="AD84" s="405" t="n">
        <f aca="false">Peak!AD86</f>
        <v>319.924737421536</v>
      </c>
      <c r="AE84" s="405" t="n">
        <f aca="false">Peak!AE86</f>
        <v>3926.94756165724</v>
      </c>
      <c r="AF84" s="401" t="n">
        <f aca="false">Peak!AF86</f>
        <v>0</v>
      </c>
      <c r="AG84" s="406" t="n">
        <f aca="false">Peak!AG86</f>
        <v>0</v>
      </c>
      <c r="AH84" s="401" t="n">
        <f aca="false">Peak!AH86</f>
        <v>3.42039632965801</v>
      </c>
      <c r="AI84" s="401" t="n">
        <f aca="false">Peak!AI86</f>
        <v>3.59000205882353</v>
      </c>
      <c r="AJ84" s="401" t="n">
        <f aca="false">Peak!AJ86</f>
        <v>0</v>
      </c>
      <c r="AK84" s="401" t="n">
        <f aca="false">Peak!AK86</f>
        <v>0</v>
      </c>
      <c r="AL84" s="1"/>
    </row>
    <row r="85" customFormat="false" ht="12.75" hidden="false" customHeight="false" outlineLevel="0" collapsed="false">
      <c r="A85" s="400" t="n">
        <f aca="false">A84+30.417</f>
        <v>38851.692</v>
      </c>
      <c r="B85" s="401" t="n">
        <f aca="false">IF($B$7="Coal",AG85,IF($B$7="Gas",AH85,IF($B$7="Oil",AI85,0)))</f>
        <v>3.60136968043357</v>
      </c>
      <c r="C85" s="402" t="n">
        <f aca="false">(B85*$B$1*1000)/1000000</f>
        <v>40.7125647386596</v>
      </c>
      <c r="D85" s="401" t="n">
        <f aca="false">AB85+AC85</f>
        <v>0.684356119703072</v>
      </c>
      <c r="E85" s="401" t="n">
        <f aca="false">(($AJ85*$B$1*AD85*1000)/2000)/1000000</f>
        <v>0</v>
      </c>
      <c r="F85" s="401" t="n">
        <f aca="false">AF85*(($AK85*$B$1*AE85*1000)/2000)/1000000</f>
        <v>0</v>
      </c>
      <c r="G85" s="403" t="str">
        <f aca="false">IF(IS!$C$2="Peak","-",SUM(C85:F85))</f>
        <v>-</v>
      </c>
      <c r="H85" s="411" t="n">
        <v>152.950948812294</v>
      </c>
      <c r="I85" s="411" t="n">
        <v>91.4083557108815</v>
      </c>
      <c r="J85" s="411" t="n">
        <v>82.1054591522576</v>
      </c>
      <c r="K85" s="411" t="n">
        <v>75.1977695928725</v>
      </c>
      <c r="L85" s="411" t="n">
        <v>73.4443205963027</v>
      </c>
      <c r="M85" s="411" t="n">
        <v>70.4902423755245</v>
      </c>
      <c r="N85" s="411" t="n">
        <v>51.3092437547242</v>
      </c>
      <c r="O85" s="411" t="n">
        <v>43.4438656681065</v>
      </c>
      <c r="P85" s="411" t="n">
        <v>40.9104326347772</v>
      </c>
      <c r="Q85" s="411" t="n">
        <v>32.3233030380902</v>
      </c>
      <c r="R85" s="411" t="n">
        <v>30.992713004887</v>
      </c>
      <c r="S85" s="411" t="n">
        <v>30.0774740291938</v>
      </c>
      <c r="T85" s="411" t="n">
        <v>29.277743687878</v>
      </c>
      <c r="U85" s="411" t="n">
        <v>28.7716045862577</v>
      </c>
      <c r="V85" s="411" t="n">
        <v>28.3517463122934</v>
      </c>
      <c r="W85" s="411" t="n">
        <v>28.1971768783145</v>
      </c>
      <c r="X85" s="411" t="n">
        <v>28.0455319613172</v>
      </c>
      <c r="Y85" s="411" t="n">
        <v>27.8257134908929</v>
      </c>
      <c r="Z85" s="411" t="n">
        <v>27.7384927772004</v>
      </c>
      <c r="AA85" s="411" t="n">
        <v>26.9844417784015</v>
      </c>
      <c r="AB85" s="401" t="n">
        <f aca="false">Peak!AB87</f>
        <v>0.684356119703072</v>
      </c>
      <c r="AC85" s="401" t="n">
        <f aca="false">Peak!AC87</f>
        <v>0</v>
      </c>
      <c r="AD85" s="405" t="n">
        <f aca="false">Peak!AD87</f>
        <v>319.924737421536</v>
      </c>
      <c r="AE85" s="405" t="n">
        <f aca="false">Peak!AE87</f>
        <v>3926.94756165724</v>
      </c>
      <c r="AF85" s="401" t="n">
        <f aca="false">Peak!AF87</f>
        <v>1</v>
      </c>
      <c r="AG85" s="406" t="n">
        <f aca="false">Peak!AG87</f>
        <v>0</v>
      </c>
      <c r="AH85" s="401" t="n">
        <f aca="false">Peak!AH87</f>
        <v>3.60136968043357</v>
      </c>
      <c r="AI85" s="401" t="n">
        <f aca="false">Peak!AI87</f>
        <v>3.44495147058824</v>
      </c>
      <c r="AJ85" s="401" t="n">
        <f aca="false">Peak!AJ87</f>
        <v>0</v>
      </c>
      <c r="AK85" s="401" t="n">
        <f aca="false">Peak!AK87</f>
        <v>0</v>
      </c>
      <c r="AL85" s="1"/>
    </row>
    <row r="86" customFormat="false" ht="12.75" hidden="false" customHeight="false" outlineLevel="0" collapsed="false">
      <c r="A86" s="400" t="n">
        <f aca="false">A85+30.417</f>
        <v>38882.109</v>
      </c>
      <c r="B86" s="401" t="n">
        <f aca="false">IF($B$7="Coal",AG86,IF($B$7="Gas",AH86,IF($B$7="Oil",AI86,0)))</f>
        <v>3.43125473070454</v>
      </c>
      <c r="C86" s="402" t="n">
        <f aca="false">(B86*$B$1*1000)/1000000</f>
        <v>38.7894586655772</v>
      </c>
      <c r="D86" s="401" t="n">
        <f aca="false">AB86+AC86</f>
        <v>0.685496713235911</v>
      </c>
      <c r="E86" s="401" t="n">
        <f aca="false">(($AJ86*$B$1*AD86*1000)/2000)/1000000</f>
        <v>0</v>
      </c>
      <c r="F86" s="401" t="n">
        <f aca="false">AF86*(($AK86*$B$1*AE86*1000)/2000)/1000000</f>
        <v>0</v>
      </c>
      <c r="G86" s="403" t="str">
        <f aca="false">IF(IS!$C$2="Peak","-",SUM(C86:F86))</f>
        <v>-</v>
      </c>
      <c r="H86" s="411" t="n">
        <v>166.074536101625</v>
      </c>
      <c r="I86" s="411" t="n">
        <v>125.324917001883</v>
      </c>
      <c r="J86" s="411" t="n">
        <v>91.4042465220335</v>
      </c>
      <c r="K86" s="411" t="n">
        <v>78.6842272286947</v>
      </c>
      <c r="L86" s="411" t="n">
        <v>71.0597538452094</v>
      </c>
      <c r="M86" s="411" t="n">
        <v>68.9593927699032</v>
      </c>
      <c r="N86" s="411" t="n">
        <v>54.8735099843974</v>
      </c>
      <c r="O86" s="411" t="n">
        <v>45.9989527075568</v>
      </c>
      <c r="P86" s="411" t="n">
        <v>40.0879680423846</v>
      </c>
      <c r="Q86" s="411" t="n">
        <v>39.4029408273559</v>
      </c>
      <c r="R86" s="411" t="n">
        <v>37.8103094474652</v>
      </c>
      <c r="S86" s="411" t="n">
        <v>35.6816077550834</v>
      </c>
      <c r="T86" s="411" t="n">
        <v>34.7241605903502</v>
      </c>
      <c r="U86" s="411" t="n">
        <v>34.0851004023047</v>
      </c>
      <c r="V86" s="411" t="n">
        <v>34.0113141173552</v>
      </c>
      <c r="W86" s="411" t="n">
        <v>33.8958668610083</v>
      </c>
      <c r="X86" s="411" t="n">
        <v>33.7250365396893</v>
      </c>
      <c r="Y86" s="411" t="n">
        <v>33.3873980894847</v>
      </c>
      <c r="Z86" s="411" t="n">
        <v>33.1815518368553</v>
      </c>
      <c r="AA86" s="411" t="n">
        <v>30.693461523324</v>
      </c>
      <c r="AB86" s="401" t="n">
        <f aca="false">Peak!AB88</f>
        <v>0.685496713235911</v>
      </c>
      <c r="AC86" s="401" t="n">
        <f aca="false">Peak!AC88</f>
        <v>0</v>
      </c>
      <c r="AD86" s="405" t="n">
        <f aca="false">Peak!AD88</f>
        <v>319.924737421536</v>
      </c>
      <c r="AE86" s="405" t="n">
        <f aca="false">Peak!AE88</f>
        <v>3926.94756165724</v>
      </c>
      <c r="AF86" s="401" t="n">
        <f aca="false">Peak!AF88</f>
        <v>1</v>
      </c>
      <c r="AG86" s="406" t="n">
        <f aca="false">Peak!AG88</f>
        <v>0</v>
      </c>
      <c r="AH86" s="401" t="n">
        <f aca="false">Peak!AH88</f>
        <v>3.43125473070454</v>
      </c>
      <c r="AI86" s="401" t="n">
        <f aca="false">Peak!AI88</f>
        <v>3.44495147058824</v>
      </c>
      <c r="AJ86" s="401" t="n">
        <f aca="false">Peak!AJ88</f>
        <v>0</v>
      </c>
      <c r="AK86" s="401" t="n">
        <f aca="false">Peak!AK88</f>
        <v>0</v>
      </c>
      <c r="AL86" s="1"/>
    </row>
    <row r="87" customFormat="false" ht="12.75" hidden="false" customHeight="false" outlineLevel="0" collapsed="false">
      <c r="A87" s="400" t="n">
        <f aca="false">A86+30.417</f>
        <v>38912.526</v>
      </c>
      <c r="B87" s="401" t="n">
        <f aca="false">IF($B$7="Coal",AG87,IF($B$7="Gas",AH87,IF($B$7="Oil",AI87,0)))</f>
        <v>3.42039632965801</v>
      </c>
      <c r="C87" s="402" t="n">
        <f aca="false">(B87*$B$1*1000)/1000000</f>
        <v>38.6667072141039</v>
      </c>
      <c r="D87" s="401" t="n">
        <f aca="false">AB87+AC87</f>
        <v>0.68663920775797</v>
      </c>
      <c r="E87" s="401" t="n">
        <f aca="false">(($AJ87*$B$1*AD87*1000)/2000)/1000000</f>
        <v>0</v>
      </c>
      <c r="F87" s="401" t="n">
        <f aca="false">AF87*(($AK87*$B$1*AE87*1000)/2000)/1000000</f>
        <v>0</v>
      </c>
      <c r="G87" s="403" t="str">
        <f aca="false">IF(IS!$C$2="Peak","-",SUM(C87:F87))</f>
        <v>-</v>
      </c>
      <c r="H87" s="411" t="n">
        <v>211.339475254855</v>
      </c>
      <c r="I87" s="411" t="n">
        <v>165.509992416826</v>
      </c>
      <c r="J87" s="411" t="n">
        <v>146.60122411564</v>
      </c>
      <c r="K87" s="411" t="n">
        <v>119.192398866968</v>
      </c>
      <c r="L87" s="411" t="n">
        <v>108.655943787602</v>
      </c>
      <c r="M87" s="411" t="n">
        <v>99.653127438509</v>
      </c>
      <c r="N87" s="411" t="n">
        <v>95.1291196796575</v>
      </c>
      <c r="O87" s="411" t="n">
        <v>69.3947607344569</v>
      </c>
      <c r="P87" s="411" t="n">
        <v>55.375049796426</v>
      </c>
      <c r="Q87" s="411" t="n">
        <v>49.1744322701559</v>
      </c>
      <c r="R87" s="411" t="n">
        <v>46.5759310589865</v>
      </c>
      <c r="S87" s="411" t="n">
        <v>46.1319338813732</v>
      </c>
      <c r="T87" s="411" t="n">
        <v>46.1319338813732</v>
      </c>
      <c r="U87" s="411" t="n">
        <v>41.6579640078773</v>
      </c>
      <c r="V87" s="411" t="n">
        <v>36.1769837607079</v>
      </c>
      <c r="W87" s="411" t="n">
        <v>34.5202914635998</v>
      </c>
      <c r="X87" s="411" t="n">
        <v>32.8349786832537</v>
      </c>
      <c r="Y87" s="411" t="n">
        <v>31.9478135024196</v>
      </c>
      <c r="Z87" s="411" t="n">
        <v>31.4930170043022</v>
      </c>
      <c r="AA87" s="411" t="n">
        <v>30.303699682</v>
      </c>
      <c r="AB87" s="401" t="n">
        <f aca="false">Peak!AB89</f>
        <v>0.68663920775797</v>
      </c>
      <c r="AC87" s="401" t="n">
        <f aca="false">Peak!AC89</f>
        <v>0</v>
      </c>
      <c r="AD87" s="405" t="n">
        <f aca="false">Peak!AD89</f>
        <v>319.924737421536</v>
      </c>
      <c r="AE87" s="405" t="n">
        <f aca="false">Peak!AE89</f>
        <v>3926.94756165724</v>
      </c>
      <c r="AF87" s="401" t="n">
        <f aca="false">Peak!AF89</f>
        <v>1</v>
      </c>
      <c r="AG87" s="406" t="n">
        <f aca="false">Peak!AG89</f>
        <v>0</v>
      </c>
      <c r="AH87" s="401" t="n">
        <f aca="false">Peak!AH89</f>
        <v>3.42039632965801</v>
      </c>
      <c r="AI87" s="401" t="n">
        <f aca="false">Peak!AI89</f>
        <v>3.44495147058824</v>
      </c>
      <c r="AJ87" s="401" t="n">
        <f aca="false">Peak!AJ89</f>
        <v>0</v>
      </c>
      <c r="AK87" s="401" t="n">
        <f aca="false">Peak!AK89</f>
        <v>0</v>
      </c>
      <c r="AL87" s="1"/>
    </row>
    <row r="88" customFormat="false" ht="12.75" hidden="false" customHeight="false" outlineLevel="0" collapsed="false">
      <c r="A88" s="400" t="n">
        <f aca="false">A87+30.417</f>
        <v>38942.943</v>
      </c>
      <c r="B88" s="401" t="n">
        <f aca="false">IF($B$7="Coal",AG88,IF($B$7="Gas",AH88,IF($B$7="Oil",AI88,0)))</f>
        <v>3.24304244589796</v>
      </c>
      <c r="C88" s="402" t="n">
        <f aca="false">(B88*$B$1*1000)/1000000</f>
        <v>36.6617668400392</v>
      </c>
      <c r="D88" s="401" t="n">
        <f aca="false">AB88+AC88</f>
        <v>0.687783606437567</v>
      </c>
      <c r="E88" s="401" t="n">
        <f aca="false">(($AJ88*$B$1*AD88*1000)/2000)/1000000</f>
        <v>0</v>
      </c>
      <c r="F88" s="401" t="n">
        <f aca="false">AF88*(($AK88*$B$1*AE88*1000)/2000)/1000000</f>
        <v>0</v>
      </c>
      <c r="G88" s="403" t="str">
        <f aca="false">IF(IS!$C$2="Peak","-",SUM(C88:F88))</f>
        <v>-</v>
      </c>
      <c r="H88" s="411" t="n">
        <v>583.764523238252</v>
      </c>
      <c r="I88" s="411" t="n">
        <v>382.228433119379</v>
      </c>
      <c r="J88" s="411" t="n">
        <v>283.016080141042</v>
      </c>
      <c r="K88" s="411" t="n">
        <v>195.605936490327</v>
      </c>
      <c r="L88" s="411" t="n">
        <v>148.100543947241</v>
      </c>
      <c r="M88" s="411" t="n">
        <v>94.0799176187861</v>
      </c>
      <c r="N88" s="411" t="n">
        <v>80.911810218899</v>
      </c>
      <c r="O88" s="411" t="n">
        <v>76.0009394864824</v>
      </c>
      <c r="P88" s="411" t="n">
        <v>61.5908441861705</v>
      </c>
      <c r="Q88" s="411" t="n">
        <v>49.4879537697012</v>
      </c>
      <c r="R88" s="411" t="n">
        <v>41.6147285408424</v>
      </c>
      <c r="S88" s="411" t="n">
        <v>37.0536343098936</v>
      </c>
      <c r="T88" s="411" t="n">
        <v>36.7851534004855</v>
      </c>
      <c r="U88" s="411" t="n">
        <v>36.4613913724114</v>
      </c>
      <c r="V88" s="411" t="n">
        <v>35.567581282888</v>
      </c>
      <c r="W88" s="411" t="n">
        <v>32.566363447768</v>
      </c>
      <c r="X88" s="411" t="n">
        <v>30.6629007596574</v>
      </c>
      <c r="Y88" s="411" t="n">
        <v>29.5197119952085</v>
      </c>
      <c r="Z88" s="411" t="n">
        <v>28.8645684873112</v>
      </c>
      <c r="AA88" s="411" t="n">
        <v>26.2157248328132</v>
      </c>
      <c r="AB88" s="401" t="n">
        <f aca="false">Peak!AB90</f>
        <v>0.687783606437567</v>
      </c>
      <c r="AC88" s="401" t="n">
        <f aca="false">Peak!AC90</f>
        <v>0</v>
      </c>
      <c r="AD88" s="405" t="n">
        <f aca="false">Peak!AD90</f>
        <v>319.924737421536</v>
      </c>
      <c r="AE88" s="405" t="n">
        <f aca="false">Peak!AE90</f>
        <v>3926.94756165724</v>
      </c>
      <c r="AF88" s="401" t="n">
        <f aca="false">Peak!AF90</f>
        <v>1</v>
      </c>
      <c r="AG88" s="406" t="n">
        <f aca="false">Peak!AG90</f>
        <v>0</v>
      </c>
      <c r="AH88" s="401" t="n">
        <f aca="false">Peak!AH90</f>
        <v>3.24304244589796</v>
      </c>
      <c r="AI88" s="401" t="n">
        <f aca="false">Peak!AI90</f>
        <v>3.44495147058824</v>
      </c>
      <c r="AJ88" s="401" t="n">
        <f aca="false">Peak!AJ90</f>
        <v>0</v>
      </c>
      <c r="AK88" s="401" t="n">
        <f aca="false">Peak!AK90</f>
        <v>0</v>
      </c>
      <c r="AL88" s="1"/>
    </row>
    <row r="89" customFormat="false" ht="12.75" hidden="false" customHeight="false" outlineLevel="0" collapsed="false">
      <c r="A89" s="400" t="n">
        <f aca="false">A88+30.417</f>
        <v>38973.36</v>
      </c>
      <c r="B89" s="401" t="n">
        <f aca="false">IF($B$7="Coal",AG89,IF($B$7="Gas",AH89,IF($B$7="Oil",AI89,0)))</f>
        <v>3.23218404485143</v>
      </c>
      <c r="C89" s="402" t="n">
        <f aca="false">(B89*$B$1*1000)/1000000</f>
        <v>36.5390153885659</v>
      </c>
      <c r="D89" s="401" t="n">
        <f aca="false">AB89+AC89</f>
        <v>0.688929912448296</v>
      </c>
      <c r="E89" s="401" t="n">
        <f aca="false">(($AJ89*$B$1*AD89*1000)/2000)/1000000</f>
        <v>0</v>
      </c>
      <c r="F89" s="401" t="n">
        <f aca="false">AF89*(($AK89*$B$1*AE89*1000)/2000)/1000000</f>
        <v>0</v>
      </c>
      <c r="G89" s="403" t="str">
        <f aca="false">IF(IS!$C$2="Peak","-",SUM(C89:F89))</f>
        <v>-</v>
      </c>
      <c r="H89" s="411" t="n">
        <v>232.656338784015</v>
      </c>
      <c r="I89" s="411" t="n">
        <v>177.779367918076</v>
      </c>
      <c r="J89" s="411" t="n">
        <v>151.869379637626</v>
      </c>
      <c r="K89" s="411" t="n">
        <v>79.4018839102702</v>
      </c>
      <c r="L89" s="411" t="n">
        <v>69.8870558489049</v>
      </c>
      <c r="M89" s="411" t="n">
        <v>63.0143084028632</v>
      </c>
      <c r="N89" s="411" t="n">
        <v>57.9807574907054</v>
      </c>
      <c r="O89" s="411" t="n">
        <v>57.3159463200204</v>
      </c>
      <c r="P89" s="411" t="n">
        <v>48.2760839916519</v>
      </c>
      <c r="Q89" s="411" t="n">
        <v>40.1655175424557</v>
      </c>
      <c r="R89" s="411" t="n">
        <v>33.7891349393378</v>
      </c>
      <c r="S89" s="411" t="n">
        <v>32.9643702524549</v>
      </c>
      <c r="T89" s="411" t="n">
        <v>31.6866174105828</v>
      </c>
      <c r="U89" s="411" t="n">
        <v>30.1265184520512</v>
      </c>
      <c r="V89" s="411" t="n">
        <v>29.1556897292872</v>
      </c>
      <c r="W89" s="411" t="n">
        <v>28.6068084819085</v>
      </c>
      <c r="X89" s="411" t="n">
        <v>28.1806841532</v>
      </c>
      <c r="Y89" s="411" t="n">
        <v>27.9693902790228</v>
      </c>
      <c r="Z89" s="411" t="n">
        <v>27.5126933831386</v>
      </c>
      <c r="AA89" s="411" t="n">
        <v>26.7978161282618</v>
      </c>
      <c r="AB89" s="401" t="n">
        <f aca="false">Peak!AB91</f>
        <v>0.688929912448296</v>
      </c>
      <c r="AC89" s="401" t="n">
        <f aca="false">Peak!AC91</f>
        <v>0</v>
      </c>
      <c r="AD89" s="405" t="n">
        <f aca="false">Peak!AD91</f>
        <v>319.924737421536</v>
      </c>
      <c r="AE89" s="405" t="n">
        <f aca="false">Peak!AE91</f>
        <v>3926.94756165724</v>
      </c>
      <c r="AF89" s="401" t="n">
        <f aca="false">Peak!AF91</f>
        <v>1</v>
      </c>
      <c r="AG89" s="406" t="n">
        <f aca="false">Peak!AG91</f>
        <v>0</v>
      </c>
      <c r="AH89" s="401" t="n">
        <f aca="false">Peak!AH91</f>
        <v>3.23218404485143</v>
      </c>
      <c r="AI89" s="401" t="n">
        <f aca="false">Peak!AI91</f>
        <v>3.44495147058824</v>
      </c>
      <c r="AJ89" s="401" t="n">
        <f aca="false">Peak!AJ91</f>
        <v>0</v>
      </c>
      <c r="AK89" s="401" t="n">
        <f aca="false">Peak!AK91</f>
        <v>0</v>
      </c>
      <c r="AL89" s="1"/>
    </row>
    <row r="90" customFormat="false" ht="12.75" hidden="false" customHeight="false" outlineLevel="0" collapsed="false">
      <c r="A90" s="400" t="n">
        <f aca="false">A89+30.417</f>
        <v>39003.777</v>
      </c>
      <c r="B90" s="401" t="n">
        <f aca="false">IF($B$7="Coal",AG90,IF($B$7="Gas",AH90,IF($B$7="Oil",AI90,0)))</f>
        <v>3.5796528783405</v>
      </c>
      <c r="C90" s="402" t="n">
        <f aca="false">(B90*$B$1*1000)/1000000</f>
        <v>40.467061835713</v>
      </c>
      <c r="D90" s="401" t="n">
        <f aca="false">AB90+AC90</f>
        <v>0.690078128969043</v>
      </c>
      <c r="E90" s="401" t="n">
        <f aca="false">(($AJ90*$B$1*AD90*1000)/2000)/1000000</f>
        <v>0</v>
      </c>
      <c r="F90" s="401" t="n">
        <f aca="false">AF90*(($AK90*$B$1*AE90*1000)/2000)/1000000</f>
        <v>0</v>
      </c>
      <c r="G90" s="403" t="str">
        <f aca="false">IF(IS!$C$2="Peak","-",SUM(C90:F90))</f>
        <v>-</v>
      </c>
      <c r="H90" s="411" t="n">
        <v>70.4276139690358</v>
      </c>
      <c r="I90" s="411" t="n">
        <v>68.1625213710529</v>
      </c>
      <c r="J90" s="411" t="n">
        <v>66.1898113994781</v>
      </c>
      <c r="K90" s="411" t="n">
        <v>62.175497918766</v>
      </c>
      <c r="L90" s="411" t="n">
        <v>61.390338265413</v>
      </c>
      <c r="M90" s="411" t="n">
        <v>60.2636070880572</v>
      </c>
      <c r="N90" s="411" t="n">
        <v>49.0605763210432</v>
      </c>
      <c r="O90" s="411" t="n">
        <v>42.0727167969902</v>
      </c>
      <c r="P90" s="411" t="n">
        <v>35.0748628641088</v>
      </c>
      <c r="Q90" s="411" t="n">
        <v>34.6292760733898</v>
      </c>
      <c r="R90" s="411" t="n">
        <v>30.7896967424923</v>
      </c>
      <c r="S90" s="411" t="n">
        <v>30.7317520481465</v>
      </c>
      <c r="T90" s="411" t="n">
        <v>30.7311106673994</v>
      </c>
      <c r="U90" s="411" t="n">
        <v>30.7310625727961</v>
      </c>
      <c r="V90" s="411" t="n">
        <v>30.7310625727961</v>
      </c>
      <c r="W90" s="411" t="n">
        <v>30.0258014574715</v>
      </c>
      <c r="X90" s="411" t="n">
        <v>27.1787320468629</v>
      </c>
      <c r="Y90" s="411" t="n">
        <v>26.6702669872381</v>
      </c>
      <c r="Z90" s="411" t="n">
        <v>25.4727036330664</v>
      </c>
      <c r="AA90" s="411" t="n">
        <v>24.4327490276388</v>
      </c>
      <c r="AB90" s="401" t="n">
        <f aca="false">Peak!AB92</f>
        <v>0.690078128969043</v>
      </c>
      <c r="AC90" s="401" t="n">
        <f aca="false">Peak!AC92</f>
        <v>0</v>
      </c>
      <c r="AD90" s="405" t="n">
        <f aca="false">Peak!AD92</f>
        <v>319.924737421536</v>
      </c>
      <c r="AE90" s="405" t="n">
        <f aca="false">Peak!AE92</f>
        <v>3926.94756165724</v>
      </c>
      <c r="AF90" s="401" t="n">
        <f aca="false">Peak!AF92</f>
        <v>0</v>
      </c>
      <c r="AG90" s="406" t="n">
        <f aca="false">Peak!AG92</f>
        <v>0</v>
      </c>
      <c r="AH90" s="401" t="n">
        <f aca="false">Peak!AH92</f>
        <v>3.5796528783405</v>
      </c>
      <c r="AI90" s="401" t="n">
        <f aca="false">Peak!AI92</f>
        <v>3.44495147058824</v>
      </c>
      <c r="AJ90" s="401" t="n">
        <f aca="false">Peak!AJ92</f>
        <v>0</v>
      </c>
      <c r="AK90" s="401" t="n">
        <f aca="false">Peak!AK92</f>
        <v>0</v>
      </c>
      <c r="AL90" s="1"/>
    </row>
    <row r="91" customFormat="false" ht="12.75" hidden="false" customHeight="false" outlineLevel="0" collapsed="false">
      <c r="A91" s="400" t="n">
        <f aca="false">A90+30.417</f>
        <v>39034.194</v>
      </c>
      <c r="B91" s="401" t="n">
        <f aca="false">IF($B$7="Coal",AG91,IF($B$7="Gas",AH91,IF($B$7="Oil",AI91,0)))</f>
        <v>3.91988277779854</v>
      </c>
      <c r="C91" s="402" t="n">
        <f aca="false">(B91*$B$1*1000)/1000000</f>
        <v>44.3132739818778</v>
      </c>
      <c r="D91" s="401" t="n">
        <f aca="false">AB91+AC91</f>
        <v>0.691228259183992</v>
      </c>
      <c r="E91" s="401" t="n">
        <f aca="false">(($AJ91*$B$1*AD91*1000)/2000)/1000000</f>
        <v>0</v>
      </c>
      <c r="F91" s="401" t="n">
        <f aca="false">AF91*(($AK91*$B$1*AE91*1000)/2000)/1000000</f>
        <v>0</v>
      </c>
      <c r="G91" s="403" t="str">
        <f aca="false">IF(IS!$C$2="Peak","-",SUM(C91:F91))</f>
        <v>-</v>
      </c>
      <c r="H91" s="411" t="n">
        <v>80.9995827833743</v>
      </c>
      <c r="I91" s="411" t="n">
        <v>76.8216928389007</v>
      </c>
      <c r="J91" s="411" t="n">
        <v>75.1177567744188</v>
      </c>
      <c r="K91" s="411" t="n">
        <v>70.9358826064737</v>
      </c>
      <c r="L91" s="411" t="n">
        <v>69.406043346532</v>
      </c>
      <c r="M91" s="411" t="n">
        <v>69.0879407479969</v>
      </c>
      <c r="N91" s="411" t="n">
        <v>64.0073563843682</v>
      </c>
      <c r="O91" s="411" t="n">
        <v>48.0948093232988</v>
      </c>
      <c r="P91" s="411" t="n">
        <v>45.1516593738201</v>
      </c>
      <c r="Q91" s="411" t="n">
        <v>43.9817749964253</v>
      </c>
      <c r="R91" s="411" t="n">
        <v>35.6291861285758</v>
      </c>
      <c r="S91" s="411" t="n">
        <v>34.2068752044551</v>
      </c>
      <c r="T91" s="411" t="n">
        <v>34.2068752044551</v>
      </c>
      <c r="U91" s="411" t="n">
        <v>32.0853439215593</v>
      </c>
      <c r="V91" s="411" t="n">
        <v>26.6589112685505</v>
      </c>
      <c r="W91" s="411" t="n">
        <v>25.6698714388026</v>
      </c>
      <c r="X91" s="411" t="n">
        <v>24.6785428489965</v>
      </c>
      <c r="Y91" s="411" t="n">
        <v>24.2047699372979</v>
      </c>
      <c r="Z91" s="411" t="n">
        <v>23.8162353873225</v>
      </c>
      <c r="AA91" s="411" t="n">
        <v>23.0829245924593</v>
      </c>
      <c r="AB91" s="401" t="n">
        <f aca="false">Peak!AB93</f>
        <v>0.691228259183992</v>
      </c>
      <c r="AC91" s="401" t="n">
        <f aca="false">Peak!AC93</f>
        <v>0</v>
      </c>
      <c r="AD91" s="405" t="n">
        <f aca="false">Peak!AD93</f>
        <v>319.924737421536</v>
      </c>
      <c r="AE91" s="405" t="n">
        <f aca="false">Peak!AE93</f>
        <v>3926.94756165724</v>
      </c>
      <c r="AF91" s="401" t="n">
        <f aca="false">Peak!AF93</f>
        <v>0</v>
      </c>
      <c r="AG91" s="406" t="n">
        <f aca="false">Peak!AG93</f>
        <v>0</v>
      </c>
      <c r="AH91" s="401" t="n">
        <f aca="false">Peak!AH93</f>
        <v>3.91988277779854</v>
      </c>
      <c r="AI91" s="401" t="n">
        <f aca="false">Peak!AI93</f>
        <v>3.73505264705882</v>
      </c>
      <c r="AJ91" s="401" t="n">
        <f aca="false">Peak!AJ93</f>
        <v>0</v>
      </c>
      <c r="AK91" s="401" t="n">
        <f aca="false">Peak!AK93</f>
        <v>0</v>
      </c>
      <c r="AL91" s="1"/>
    </row>
    <row r="92" customFormat="false" ht="12.75" hidden="false" customHeight="false" outlineLevel="0" collapsed="false">
      <c r="A92" s="400" t="n">
        <f aca="false">A91+30.417</f>
        <v>39064.611</v>
      </c>
      <c r="B92" s="401" t="n">
        <f aca="false">IF($B$7="Coal",AG92,IF($B$7="Gas",AH92,IF($B$7="Oil",AI92,0)))</f>
        <v>4.24201534217903</v>
      </c>
      <c r="C92" s="402" t="n">
        <f aca="false">(B92*$B$1*1000)/1000000</f>
        <v>47.954900375587</v>
      </c>
      <c r="D92" s="401" t="n">
        <f aca="false">AB92+AC92</f>
        <v>0.692380306282632</v>
      </c>
      <c r="E92" s="401" t="n">
        <f aca="false">(($AJ92*$B$1*AD92*1000)/2000)/1000000</f>
        <v>0</v>
      </c>
      <c r="F92" s="401" t="n">
        <f aca="false">AF92*(($AK92*$B$1*AE92*1000)/2000)/1000000</f>
        <v>0</v>
      </c>
      <c r="G92" s="403" t="str">
        <f aca="false">IF(IS!$C$2="Peak","-",SUM(C92:F92))</f>
        <v>-</v>
      </c>
      <c r="H92" s="411" t="n">
        <v>163.696461604244</v>
      </c>
      <c r="I92" s="411" t="n">
        <v>153.628473775746</v>
      </c>
      <c r="J92" s="411" t="n">
        <v>90.0982411365037</v>
      </c>
      <c r="K92" s="411" t="n">
        <v>70.779883203132</v>
      </c>
      <c r="L92" s="411" t="n">
        <v>65.1020664035748</v>
      </c>
      <c r="M92" s="411" t="n">
        <v>62.5842809603218</v>
      </c>
      <c r="N92" s="411" t="n">
        <v>59.3166030949783</v>
      </c>
      <c r="O92" s="411" t="n">
        <v>56.0349934422281</v>
      </c>
      <c r="P92" s="411" t="n">
        <v>55.6990306656299</v>
      </c>
      <c r="Q92" s="411" t="n">
        <v>54.7499721517671</v>
      </c>
      <c r="R92" s="411" t="n">
        <v>48.4541617412366</v>
      </c>
      <c r="S92" s="411" t="n">
        <v>39.41786503719</v>
      </c>
      <c r="T92" s="411" t="n">
        <v>33.6390680364809</v>
      </c>
      <c r="U92" s="411" t="n">
        <v>31.9558141102348</v>
      </c>
      <c r="V92" s="411" t="n">
        <v>28.9213374646051</v>
      </c>
      <c r="W92" s="411" t="n">
        <v>28.2699973275297</v>
      </c>
      <c r="X92" s="411" t="n">
        <v>28.2695143682403</v>
      </c>
      <c r="Y92" s="411" t="n">
        <v>27.9305994790897</v>
      </c>
      <c r="Z92" s="411" t="n">
        <v>26.7338169458648</v>
      </c>
      <c r="AA92" s="411" t="n">
        <v>24.9067792985928</v>
      </c>
      <c r="AB92" s="401" t="n">
        <f aca="false">Peak!AB94</f>
        <v>0.692380306282632</v>
      </c>
      <c r="AC92" s="401" t="n">
        <f aca="false">Peak!AC94</f>
        <v>0</v>
      </c>
      <c r="AD92" s="405" t="n">
        <f aca="false">Peak!AD94</f>
        <v>319.924737421536</v>
      </c>
      <c r="AE92" s="405" t="n">
        <f aca="false">Peak!AE94</f>
        <v>3926.94756165724</v>
      </c>
      <c r="AF92" s="401" t="n">
        <f aca="false">Peak!AF94</f>
        <v>0</v>
      </c>
      <c r="AG92" s="406" t="n">
        <f aca="false">Peak!AG94</f>
        <v>0</v>
      </c>
      <c r="AH92" s="401" t="n">
        <f aca="false">Peak!AH94</f>
        <v>4.24201534217903</v>
      </c>
      <c r="AI92" s="401" t="n">
        <f aca="false">Peak!AI94</f>
        <v>3.91636588235294</v>
      </c>
      <c r="AJ92" s="401" t="n">
        <f aca="false">Peak!AJ94</f>
        <v>0</v>
      </c>
      <c r="AK92" s="401" t="n">
        <f aca="false">Peak!AK94</f>
        <v>0</v>
      </c>
      <c r="AL92" s="1"/>
    </row>
    <row r="93" customFormat="false" ht="12.75" hidden="false" customHeight="false" outlineLevel="0" collapsed="false">
      <c r="A93" s="400" t="n">
        <f aca="false">A92+30.417</f>
        <v>39095.028</v>
      </c>
      <c r="B93" s="401" t="n">
        <f aca="false">IF($B$7="Coal",AG93,IF($B$7="Gas",AH93,IF($B$7="Oil",AI93,0)))</f>
        <v>4.14751590649865</v>
      </c>
      <c r="C93" s="402" t="n">
        <f aca="false">(B93*$B$1*1000)/1000000</f>
        <v>46.8866083827358</v>
      </c>
      <c r="D93" s="401" t="n">
        <f aca="false">AB93+AC93</f>
        <v>0.69353427345977</v>
      </c>
      <c r="E93" s="401" t="n">
        <f aca="false">(($AJ93*$B$1*AD93*1000)/2000)/1000000</f>
        <v>0</v>
      </c>
      <c r="F93" s="401" t="n">
        <f aca="false">AF93*(($AK93*$B$1*AE93*1000)/2000)/1000000</f>
        <v>0</v>
      </c>
      <c r="G93" s="403" t="str">
        <f aca="false">IF(IS!$C$2="Peak","-",SUM(C93:F93))</f>
        <v>-</v>
      </c>
      <c r="H93" s="411" t="n">
        <v>88.2105927839787</v>
      </c>
      <c r="I93" s="411" t="n">
        <v>85.5074926751972</v>
      </c>
      <c r="J93" s="411" t="n">
        <v>81.1110112581759</v>
      </c>
      <c r="K93" s="411" t="n">
        <v>80.0316210830556</v>
      </c>
      <c r="L93" s="411" t="n">
        <v>79.3372431112606</v>
      </c>
      <c r="M93" s="411" t="n">
        <v>71.6978448526642</v>
      </c>
      <c r="N93" s="411" t="n">
        <v>54.8326769036342</v>
      </c>
      <c r="O93" s="411" t="n">
        <v>45.9874344090565</v>
      </c>
      <c r="P93" s="411" t="n">
        <v>44.8741617711366</v>
      </c>
      <c r="Q93" s="411" t="n">
        <v>38.9626035259179</v>
      </c>
      <c r="R93" s="411" t="n">
        <v>38.313990559248</v>
      </c>
      <c r="S93" s="411" t="n">
        <v>38.3139240615799</v>
      </c>
      <c r="T93" s="411" t="n">
        <v>38.3138149039019</v>
      </c>
      <c r="U93" s="411" t="n">
        <v>38.3133757003675</v>
      </c>
      <c r="V93" s="411" t="n">
        <v>35.9781745238442</v>
      </c>
      <c r="W93" s="411" t="n">
        <v>33.0793570220064</v>
      </c>
      <c r="X93" s="411" t="n">
        <v>31.3788651630255</v>
      </c>
      <c r="Y93" s="411" t="n">
        <v>30.7774165197723</v>
      </c>
      <c r="Z93" s="411" t="n">
        <v>30.5985422291778</v>
      </c>
      <c r="AA93" s="411" t="n">
        <v>29.8052333773267</v>
      </c>
      <c r="AB93" s="401" t="n">
        <f aca="false">Peak!AB95</f>
        <v>0.69353427345977</v>
      </c>
      <c r="AC93" s="401" t="n">
        <f aca="false">Peak!AC95</f>
        <v>0</v>
      </c>
      <c r="AD93" s="405" t="n">
        <f aca="false">Peak!AD95</f>
        <v>354.611014578236</v>
      </c>
      <c r="AE93" s="405" t="n">
        <f aca="false">Peak!AE95</f>
        <v>2147.65438044863</v>
      </c>
      <c r="AF93" s="401" t="n">
        <f aca="false">Peak!AF95</f>
        <v>1</v>
      </c>
      <c r="AG93" s="406" t="n">
        <f aca="false">Peak!AG95</f>
        <v>0</v>
      </c>
      <c r="AH93" s="401" t="n">
        <f aca="false">Peak!AH95</f>
        <v>4.14751590649865</v>
      </c>
      <c r="AI93" s="401" t="n">
        <f aca="false">Peak!AI95</f>
        <v>3.97454264150944</v>
      </c>
      <c r="AJ93" s="401" t="n">
        <f aca="false">Peak!AJ95</f>
        <v>0</v>
      </c>
      <c r="AK93" s="401" t="n">
        <f aca="false">Peak!AK95</f>
        <v>0</v>
      </c>
      <c r="AL93" s="1"/>
    </row>
    <row r="94" customFormat="false" ht="12.75" hidden="false" customHeight="false" outlineLevel="0" collapsed="false">
      <c r="A94" s="400" t="n">
        <f aca="false">A93+30.417</f>
        <v>39125.445</v>
      </c>
      <c r="B94" s="401" t="n">
        <f aca="false">IF($B$7="Coal",AG94,IF($B$7="Gas",AH94,IF($B$7="Oil",AI94,0)))</f>
        <v>3.71732143747353</v>
      </c>
      <c r="C94" s="402" t="n">
        <f aca="false">(B94*$B$1*1000)/1000000</f>
        <v>42.0233697472925</v>
      </c>
      <c r="D94" s="401" t="n">
        <f aca="false">AB94+AC94</f>
        <v>0.694690163915536</v>
      </c>
      <c r="E94" s="401" t="n">
        <f aca="false">(($AJ94*$B$1*AD94*1000)/2000)/1000000</f>
        <v>0</v>
      </c>
      <c r="F94" s="401" t="n">
        <f aca="false">AF94*(($AK94*$B$1*AE94*1000)/2000)/1000000</f>
        <v>0</v>
      </c>
      <c r="G94" s="403" t="str">
        <f aca="false">IF(IS!$C$2="Peak","-",SUM(C94:F94))</f>
        <v>-</v>
      </c>
      <c r="H94" s="411" t="n">
        <v>158.647677801062</v>
      </c>
      <c r="I94" s="411" t="n">
        <v>120.842504938625</v>
      </c>
      <c r="J94" s="411" t="n">
        <v>95.9802731185653</v>
      </c>
      <c r="K94" s="411" t="n">
        <v>79.339314609615</v>
      </c>
      <c r="L94" s="411" t="n">
        <v>70.8635493229169</v>
      </c>
      <c r="M94" s="411" t="n">
        <v>66.8766263130318</v>
      </c>
      <c r="N94" s="411" t="n">
        <v>63.948112164067</v>
      </c>
      <c r="O94" s="411" t="n">
        <v>63.2276542019161</v>
      </c>
      <c r="P94" s="411" t="n">
        <v>48.3013083837795</v>
      </c>
      <c r="Q94" s="411" t="n">
        <v>45.9096514699227</v>
      </c>
      <c r="R94" s="411" t="n">
        <v>44.6507656047592</v>
      </c>
      <c r="S94" s="411" t="n">
        <v>39.031222417483</v>
      </c>
      <c r="T94" s="411" t="n">
        <v>35.4994302400291</v>
      </c>
      <c r="U94" s="411" t="n">
        <v>34.2472187805106</v>
      </c>
      <c r="V94" s="411" t="n">
        <v>32.9225433426722</v>
      </c>
      <c r="W94" s="411" t="n">
        <v>31.9277992790811</v>
      </c>
      <c r="X94" s="411" t="n">
        <v>31.8064290489343</v>
      </c>
      <c r="Y94" s="411" t="n">
        <v>31.6550594243548</v>
      </c>
      <c r="Z94" s="411" t="n">
        <v>30.1913962391414</v>
      </c>
      <c r="AA94" s="411" t="n">
        <v>27.2383092934027</v>
      </c>
      <c r="AB94" s="401" t="n">
        <f aca="false">Peak!AB96</f>
        <v>0.694690163915536</v>
      </c>
      <c r="AC94" s="401" t="n">
        <f aca="false">Peak!AC96</f>
        <v>0</v>
      </c>
      <c r="AD94" s="405" t="n">
        <f aca="false">Peak!AD96</f>
        <v>354.611014578236</v>
      </c>
      <c r="AE94" s="405" t="n">
        <f aca="false">Peak!AE96</f>
        <v>2147.65438044863</v>
      </c>
      <c r="AF94" s="401" t="n">
        <f aca="false">Peak!AF96</f>
        <v>1</v>
      </c>
      <c r="AG94" s="406" t="n">
        <f aca="false">Peak!AG96</f>
        <v>0</v>
      </c>
      <c r="AH94" s="401" t="n">
        <f aca="false">Peak!AH96</f>
        <v>3.71732143747353</v>
      </c>
      <c r="AI94" s="401" t="n">
        <f aca="false">Peak!AI96</f>
        <v>3.93774132075472</v>
      </c>
      <c r="AJ94" s="401" t="n">
        <f aca="false">Peak!AJ96</f>
        <v>0</v>
      </c>
      <c r="AK94" s="401" t="n">
        <f aca="false">Peak!AK96</f>
        <v>0</v>
      </c>
      <c r="AL94" s="1"/>
    </row>
    <row r="95" customFormat="false" ht="12.75" hidden="false" customHeight="false" outlineLevel="0" collapsed="false">
      <c r="A95" s="400" t="n">
        <f aca="false">A94+30.417</f>
        <v>39155.862</v>
      </c>
      <c r="B95" s="401" t="n">
        <f aca="false">IF($B$7="Coal",AG95,IF($B$7="Gas",AH95,IF($B$7="Oil",AI95,0)))</f>
        <v>3.65481454881176</v>
      </c>
      <c r="C95" s="402" t="n">
        <f aca="false">(B95*$B$1*1000)/1000000</f>
        <v>41.3167453301768</v>
      </c>
      <c r="D95" s="401" t="n">
        <f aca="false">AB95+AC95</f>
        <v>0.695847980855395</v>
      </c>
      <c r="E95" s="401" t="n">
        <f aca="false">(($AJ95*$B$1*AD95*1000)/2000)/1000000</f>
        <v>0</v>
      </c>
      <c r="F95" s="401" t="n">
        <f aca="false">AF95*(($AK95*$B$1*AE95*1000)/2000)/1000000</f>
        <v>0</v>
      </c>
      <c r="G95" s="403" t="str">
        <f aca="false">IF(IS!$C$2="Peak","-",SUM(C95:F95))</f>
        <v>-</v>
      </c>
      <c r="H95" s="411" t="n">
        <v>84.4024032991978</v>
      </c>
      <c r="I95" s="411" t="n">
        <v>79.3334688051757</v>
      </c>
      <c r="J95" s="411" t="n">
        <v>76.3278907332587</v>
      </c>
      <c r="K95" s="411" t="n">
        <v>73.4642858913279</v>
      </c>
      <c r="L95" s="411" t="n">
        <v>70.2976612921741</v>
      </c>
      <c r="M95" s="411" t="n">
        <v>68.3375894800899</v>
      </c>
      <c r="N95" s="411" t="n">
        <v>67.9804179471985</v>
      </c>
      <c r="O95" s="411" t="n">
        <v>63.7148335417789</v>
      </c>
      <c r="P95" s="411" t="n">
        <v>48.6976144784059</v>
      </c>
      <c r="Q95" s="411" t="n">
        <v>45.3593583981106</v>
      </c>
      <c r="R95" s="411" t="n">
        <v>41.2080459298796</v>
      </c>
      <c r="S95" s="411" t="n">
        <v>40.2742972399004</v>
      </c>
      <c r="T95" s="411" t="n">
        <v>33.470060165407</v>
      </c>
      <c r="U95" s="411" t="n">
        <v>33.1957546756164</v>
      </c>
      <c r="V95" s="411" t="n">
        <v>33.008582740421</v>
      </c>
      <c r="W95" s="411" t="n">
        <v>31.0732923141671</v>
      </c>
      <c r="X95" s="411" t="n">
        <v>29.3750501629709</v>
      </c>
      <c r="Y95" s="411" t="n">
        <v>28.5270297771971</v>
      </c>
      <c r="Z95" s="411" t="n">
        <v>28.1488476148356</v>
      </c>
      <c r="AA95" s="411" t="n">
        <v>25.7889526205339</v>
      </c>
      <c r="AB95" s="401" t="n">
        <f aca="false">Peak!AB97</f>
        <v>0.695847980855395</v>
      </c>
      <c r="AC95" s="401" t="n">
        <f aca="false">Peak!AC97</f>
        <v>0</v>
      </c>
      <c r="AD95" s="405" t="n">
        <f aca="false">Peak!AD97</f>
        <v>354.611014578236</v>
      </c>
      <c r="AE95" s="405" t="n">
        <f aca="false">Peak!AE97</f>
        <v>2147.65438044863</v>
      </c>
      <c r="AF95" s="401" t="n">
        <f aca="false">Peak!AF97</f>
        <v>1</v>
      </c>
      <c r="AG95" s="406" t="n">
        <f aca="false">Peak!AG97</f>
        <v>0</v>
      </c>
      <c r="AH95" s="401" t="n">
        <f aca="false">Peak!AH97</f>
        <v>3.65481454881176</v>
      </c>
      <c r="AI95" s="401" t="n">
        <f aca="false">Peak!AI97</f>
        <v>3.79053603773585</v>
      </c>
      <c r="AJ95" s="401" t="n">
        <f aca="false">Peak!AJ97</f>
        <v>0</v>
      </c>
      <c r="AK95" s="401" t="n">
        <f aca="false">Peak!AK97</f>
        <v>0</v>
      </c>
      <c r="AL95" s="1"/>
    </row>
    <row r="96" customFormat="false" ht="12.75" hidden="false" customHeight="false" outlineLevel="0" collapsed="false">
      <c r="A96" s="400" t="n">
        <f aca="false">A95+30.417</f>
        <v>39186.279</v>
      </c>
      <c r="B96" s="401" t="n">
        <f aca="false">IF($B$7="Coal",AG96,IF($B$7="Gas",AH96,IF($B$7="Oil",AI96,0)))</f>
        <v>3.47464763443371</v>
      </c>
      <c r="C96" s="402" t="n">
        <f aca="false">(B96*$B$1*1000)/1000000</f>
        <v>39.2800043631963</v>
      </c>
      <c r="D96" s="401" t="n">
        <f aca="false">AB96+AC96</f>
        <v>0.697007727490154</v>
      </c>
      <c r="E96" s="401" t="n">
        <f aca="false">(($AJ96*$B$1*AD96*1000)/2000)/1000000</f>
        <v>0</v>
      </c>
      <c r="F96" s="401" t="n">
        <f aca="false">AF96*(($AK96*$B$1*AE96*1000)/2000)/1000000</f>
        <v>0</v>
      </c>
      <c r="G96" s="403" t="str">
        <f aca="false">IF(IS!$C$2="Peak","-",SUM(C96:F96))</f>
        <v>-</v>
      </c>
      <c r="H96" s="411" t="n">
        <v>82.8410306051132</v>
      </c>
      <c r="I96" s="411" t="n">
        <v>82.8410306051132</v>
      </c>
      <c r="J96" s="411" t="n">
        <v>81.5912520685544</v>
      </c>
      <c r="K96" s="411" t="n">
        <v>66.1012429538104</v>
      </c>
      <c r="L96" s="411" t="n">
        <v>56.6249267738978</v>
      </c>
      <c r="M96" s="411" t="n">
        <v>51.3249985019182</v>
      </c>
      <c r="N96" s="411" t="n">
        <v>49.2709847268708</v>
      </c>
      <c r="O96" s="411" t="n">
        <v>41.0781716955524</v>
      </c>
      <c r="P96" s="411" t="n">
        <v>40.7761515797606</v>
      </c>
      <c r="Q96" s="411" t="n">
        <v>40.3924178206851</v>
      </c>
      <c r="R96" s="411" t="n">
        <v>38.6662921812443</v>
      </c>
      <c r="S96" s="411" t="n">
        <v>36.6182923567726</v>
      </c>
      <c r="T96" s="411" t="n">
        <v>34.6570798696678</v>
      </c>
      <c r="U96" s="411" t="n">
        <v>33.5937229929588</v>
      </c>
      <c r="V96" s="411" t="n">
        <v>32.5234671899854</v>
      </c>
      <c r="W96" s="411" t="n">
        <v>31.5993005523671</v>
      </c>
      <c r="X96" s="411" t="n">
        <v>30.7264833789724</v>
      </c>
      <c r="Y96" s="411" t="n">
        <v>30.1102782457363</v>
      </c>
      <c r="Z96" s="411" t="n">
        <v>28.5824491813913</v>
      </c>
      <c r="AA96" s="411" t="n">
        <v>27.1126002215156</v>
      </c>
      <c r="AB96" s="401" t="n">
        <f aca="false">Peak!AB98</f>
        <v>0.697007727490154</v>
      </c>
      <c r="AC96" s="401" t="n">
        <f aca="false">Peak!AC98</f>
        <v>0</v>
      </c>
      <c r="AD96" s="405" t="n">
        <f aca="false">Peak!AD98</f>
        <v>354.611014578236</v>
      </c>
      <c r="AE96" s="405" t="n">
        <f aca="false">Peak!AE98</f>
        <v>2147.65438044863</v>
      </c>
      <c r="AF96" s="401" t="n">
        <f aca="false">Peak!AF98</f>
        <v>1</v>
      </c>
      <c r="AG96" s="406" t="n">
        <f aca="false">Peak!AG98</f>
        <v>0</v>
      </c>
      <c r="AH96" s="401" t="n">
        <f aca="false">Peak!AH98</f>
        <v>3.47464763443371</v>
      </c>
      <c r="AI96" s="401" t="n">
        <f aca="false">Peak!AI98</f>
        <v>3.64333075471698</v>
      </c>
      <c r="AJ96" s="401" t="n">
        <f aca="false">Peak!AJ98</f>
        <v>0</v>
      </c>
      <c r="AK96" s="401" t="n">
        <f aca="false">Peak!AK98</f>
        <v>0</v>
      </c>
      <c r="AL96" s="1"/>
    </row>
    <row r="97" customFormat="false" ht="12.75" hidden="false" customHeight="false" outlineLevel="0" collapsed="false">
      <c r="A97" s="400" t="n">
        <f aca="false">A96+30.417</f>
        <v>39216.696</v>
      </c>
      <c r="B97" s="401" t="n">
        <f aca="false">IF($B$7="Coal",AG97,IF($B$7="Gas",AH97,IF($B$7="Oil",AI97,0)))</f>
        <v>3.65849142461539</v>
      </c>
      <c r="C97" s="402" t="n">
        <f aca="false">(B97*$B$1*1000)/1000000</f>
        <v>41.3583114723601</v>
      </c>
      <c r="D97" s="401" t="n">
        <f aca="false">AB97+AC97</f>
        <v>0.698169407035971</v>
      </c>
      <c r="E97" s="401" t="n">
        <f aca="false">(($AJ97*$B$1*AD97*1000)/2000)/1000000</f>
        <v>0</v>
      </c>
      <c r="F97" s="401" t="n">
        <f aca="false">AF97*(($AK97*$B$1*AE97*1000)/2000)/1000000</f>
        <v>0</v>
      </c>
      <c r="G97" s="403" t="str">
        <f aca="false">IF(IS!$C$2="Peak","-",SUM(C97:F97))</f>
        <v>-</v>
      </c>
      <c r="H97" s="411" t="n">
        <v>75.5030841647803</v>
      </c>
      <c r="I97" s="411" t="n">
        <v>69.184215629459</v>
      </c>
      <c r="J97" s="411" t="n">
        <v>65.3225057929441</v>
      </c>
      <c r="K97" s="411" t="n">
        <v>60.3403394843119</v>
      </c>
      <c r="L97" s="411" t="n">
        <v>58.9716475033583</v>
      </c>
      <c r="M97" s="411" t="n">
        <v>56.4799374230285</v>
      </c>
      <c r="N97" s="411" t="n">
        <v>44.0034795207512</v>
      </c>
      <c r="O97" s="411" t="n">
        <v>41.1398796069097</v>
      </c>
      <c r="P97" s="411" t="n">
        <v>38.0401686541743</v>
      </c>
      <c r="Q97" s="411" t="n">
        <v>36.1197080780567</v>
      </c>
      <c r="R97" s="411" t="n">
        <v>35.348062242142</v>
      </c>
      <c r="S97" s="411" t="n">
        <v>34.1599090910377</v>
      </c>
      <c r="T97" s="411" t="n">
        <v>33.7848786684578</v>
      </c>
      <c r="U97" s="411" t="n">
        <v>33.4819063496681</v>
      </c>
      <c r="V97" s="411" t="n">
        <v>33.1156257467968</v>
      </c>
      <c r="W97" s="411" t="n">
        <v>31.242278582036</v>
      </c>
      <c r="X97" s="411" t="n">
        <v>30.1220675242222</v>
      </c>
      <c r="Y97" s="411" t="n">
        <v>29.9395391067074</v>
      </c>
      <c r="Z97" s="411" t="n">
        <v>29.7034563031455</v>
      </c>
      <c r="AA97" s="411" t="n">
        <v>29.3574191857866</v>
      </c>
      <c r="AB97" s="401" t="n">
        <f aca="false">Peak!AB99</f>
        <v>0.698169407035971</v>
      </c>
      <c r="AC97" s="401" t="n">
        <f aca="false">Peak!AC99</f>
        <v>0</v>
      </c>
      <c r="AD97" s="405" t="n">
        <f aca="false">Peak!AD99</f>
        <v>354.611014578236</v>
      </c>
      <c r="AE97" s="405" t="n">
        <f aca="false">Peak!AE99</f>
        <v>2147.65438044863</v>
      </c>
      <c r="AF97" s="401" t="n">
        <f aca="false">Peak!AF99</f>
        <v>1</v>
      </c>
      <c r="AG97" s="406" t="n">
        <f aca="false">Peak!AG99</f>
        <v>0</v>
      </c>
      <c r="AH97" s="401" t="n">
        <f aca="false">Peak!AH99</f>
        <v>3.65849142461539</v>
      </c>
      <c r="AI97" s="401" t="n">
        <f aca="false">Peak!AI99</f>
        <v>3.49612547169811</v>
      </c>
      <c r="AJ97" s="401" t="n">
        <f aca="false">Peak!AJ99</f>
        <v>0</v>
      </c>
      <c r="AK97" s="401" t="n">
        <f aca="false">Peak!AK99</f>
        <v>0</v>
      </c>
      <c r="AL97" s="1"/>
    </row>
    <row r="98" customFormat="false" ht="12.75" hidden="false" customHeight="false" outlineLevel="0" collapsed="false">
      <c r="A98" s="400" t="n">
        <f aca="false">A97+30.417</f>
        <v>39247.113</v>
      </c>
      <c r="B98" s="401" t="n">
        <f aca="false">IF($B$7="Coal",AG98,IF($B$7="Gas",AH98,IF($B$7="Oil",AI98,0)))</f>
        <v>3.48567826184461</v>
      </c>
      <c r="C98" s="402" t="n">
        <f aca="false">(B98*$B$1*1000)/1000000</f>
        <v>39.4047027897461</v>
      </c>
      <c r="D98" s="401" t="n">
        <f aca="false">AB98+AC98</f>
        <v>0.699333022714365</v>
      </c>
      <c r="E98" s="401" t="n">
        <f aca="false">(($AJ98*$B$1*AD98*1000)/2000)/1000000</f>
        <v>0</v>
      </c>
      <c r="F98" s="401" t="n">
        <f aca="false">AF98*(($AK98*$B$1*AE98*1000)/2000)/1000000</f>
        <v>0</v>
      </c>
      <c r="G98" s="403" t="str">
        <f aca="false">IF(IS!$C$2="Peak","-",SUM(C98:F98))</f>
        <v>-</v>
      </c>
      <c r="H98" s="411" t="n">
        <v>210.462461876415</v>
      </c>
      <c r="I98" s="411" t="n">
        <v>170.05150156564</v>
      </c>
      <c r="J98" s="411" t="n">
        <v>140.195078633394</v>
      </c>
      <c r="K98" s="411" t="n">
        <v>89.1432285623974</v>
      </c>
      <c r="L98" s="411" t="n">
        <v>74.4059770675519</v>
      </c>
      <c r="M98" s="411" t="n">
        <v>65.2923330696709</v>
      </c>
      <c r="N98" s="411" t="n">
        <v>60.1439735071366</v>
      </c>
      <c r="O98" s="411" t="n">
        <v>54.9923667518889</v>
      </c>
      <c r="P98" s="411" t="n">
        <v>44.9000353126126</v>
      </c>
      <c r="Q98" s="411" t="n">
        <v>41.9725397791439</v>
      </c>
      <c r="R98" s="411" t="n">
        <v>34.039676947771</v>
      </c>
      <c r="S98" s="411" t="n">
        <v>30.7220560750493</v>
      </c>
      <c r="T98" s="411" t="n">
        <v>29.6067377471683</v>
      </c>
      <c r="U98" s="411" t="n">
        <v>29.5454255573536</v>
      </c>
      <c r="V98" s="411" t="n">
        <v>29.274407144578</v>
      </c>
      <c r="W98" s="411" t="n">
        <v>28.9737969672321</v>
      </c>
      <c r="X98" s="411" t="n">
        <v>27.9474739214908</v>
      </c>
      <c r="Y98" s="411" t="n">
        <v>26.8766987007744</v>
      </c>
      <c r="Z98" s="411" t="n">
        <v>25.4929769021614</v>
      </c>
      <c r="AA98" s="411" t="n">
        <v>23.4573871765347</v>
      </c>
      <c r="AB98" s="401" t="n">
        <f aca="false">Peak!AB100</f>
        <v>0.699333022714365</v>
      </c>
      <c r="AC98" s="401" t="n">
        <f aca="false">Peak!AC100</f>
        <v>0</v>
      </c>
      <c r="AD98" s="405" t="n">
        <f aca="false">Peak!AD100</f>
        <v>354.611014578236</v>
      </c>
      <c r="AE98" s="405" t="n">
        <f aca="false">Peak!AE100</f>
        <v>2147.65438044863</v>
      </c>
      <c r="AF98" s="401" t="n">
        <f aca="false">Peak!AF100</f>
        <v>1</v>
      </c>
      <c r="AG98" s="406" t="n">
        <f aca="false">Peak!AG100</f>
        <v>0</v>
      </c>
      <c r="AH98" s="401" t="n">
        <f aca="false">Peak!AH100</f>
        <v>3.48567826184461</v>
      </c>
      <c r="AI98" s="401" t="n">
        <f aca="false">Peak!AI100</f>
        <v>3.49612547169811</v>
      </c>
      <c r="AJ98" s="401" t="n">
        <f aca="false">Peak!AJ100</f>
        <v>0</v>
      </c>
      <c r="AK98" s="401" t="n">
        <f aca="false">Peak!AK100</f>
        <v>0</v>
      </c>
      <c r="AL98" s="1"/>
    </row>
    <row r="99" customFormat="false" ht="12.75" hidden="false" customHeight="false" outlineLevel="0" collapsed="false">
      <c r="A99" s="400" t="n">
        <f aca="false">A98+30.417</f>
        <v>39277.53</v>
      </c>
      <c r="B99" s="401" t="n">
        <f aca="false">IF($B$7="Coal",AG99,IF($B$7="Gas",AH99,IF($B$7="Oil",AI99,0)))</f>
        <v>3.47464763443371</v>
      </c>
      <c r="C99" s="402" t="n">
        <f aca="false">(B99*$B$1*1000)/1000000</f>
        <v>39.2800043631963</v>
      </c>
      <c r="D99" s="401" t="n">
        <f aca="false">AB99+AC99</f>
        <v>0.700498577752222</v>
      </c>
      <c r="E99" s="401" t="n">
        <f aca="false">(($AJ99*$B$1*AD99*1000)/2000)/1000000</f>
        <v>0</v>
      </c>
      <c r="F99" s="401" t="n">
        <f aca="false">AF99*(($AK99*$B$1*AE99*1000)/2000)/1000000</f>
        <v>0</v>
      </c>
      <c r="G99" s="403" t="str">
        <f aca="false">IF(IS!$C$2="Peak","-",SUM(C99:F99))</f>
        <v>-</v>
      </c>
      <c r="H99" s="411" t="n">
        <v>293.336183946411</v>
      </c>
      <c r="I99" s="411" t="n">
        <v>224.813236459611</v>
      </c>
      <c r="J99" s="411" t="n">
        <v>183.545551142362</v>
      </c>
      <c r="K99" s="411" t="n">
        <v>145.580274728083</v>
      </c>
      <c r="L99" s="411" t="n">
        <v>94.0272731835825</v>
      </c>
      <c r="M99" s="411" t="n">
        <v>83.6159293221236</v>
      </c>
      <c r="N99" s="411" t="n">
        <v>76.5868246852292</v>
      </c>
      <c r="O99" s="411" t="n">
        <v>74.2353471718109</v>
      </c>
      <c r="P99" s="411" t="n">
        <v>58.8406745833985</v>
      </c>
      <c r="Q99" s="411" t="n">
        <v>46.3968495845952</v>
      </c>
      <c r="R99" s="411" t="n">
        <v>42.3242549901086</v>
      </c>
      <c r="S99" s="411" t="n">
        <v>37.4214004457449</v>
      </c>
      <c r="T99" s="411" t="n">
        <v>36.555410621041</v>
      </c>
      <c r="U99" s="411" t="n">
        <v>36.5516784209552</v>
      </c>
      <c r="V99" s="411" t="n">
        <v>36.5515119374115</v>
      </c>
      <c r="W99" s="411" t="n">
        <v>36.4765256876799</v>
      </c>
      <c r="X99" s="411" t="n">
        <v>35.0678533830469</v>
      </c>
      <c r="Y99" s="411" t="n">
        <v>34.0004993705297</v>
      </c>
      <c r="Z99" s="411" t="n">
        <v>32.7722423578516</v>
      </c>
      <c r="AA99" s="411" t="n">
        <v>30.6342687797744</v>
      </c>
      <c r="AB99" s="401" t="n">
        <f aca="false">Peak!AB101</f>
        <v>0.700498577752222</v>
      </c>
      <c r="AC99" s="401" t="n">
        <f aca="false">Peak!AC101</f>
        <v>0</v>
      </c>
      <c r="AD99" s="405" t="n">
        <f aca="false">Peak!AD101</f>
        <v>354.611014578236</v>
      </c>
      <c r="AE99" s="405" t="n">
        <f aca="false">Peak!AE101</f>
        <v>2147.65438044863</v>
      </c>
      <c r="AF99" s="401" t="n">
        <f aca="false">Peak!AF101</f>
        <v>1</v>
      </c>
      <c r="AG99" s="406" t="n">
        <f aca="false">Peak!AG101</f>
        <v>0</v>
      </c>
      <c r="AH99" s="401" t="n">
        <f aca="false">Peak!AH101</f>
        <v>3.47464763443371</v>
      </c>
      <c r="AI99" s="401" t="n">
        <f aca="false">Peak!AI101</f>
        <v>3.49612547169811</v>
      </c>
      <c r="AJ99" s="401" t="n">
        <f aca="false">Peak!AJ101</f>
        <v>0</v>
      </c>
      <c r="AK99" s="401" t="n">
        <f aca="false">Peak!AK101</f>
        <v>0</v>
      </c>
      <c r="AL99" s="1"/>
    </row>
    <row r="100" customFormat="false" ht="12.75" hidden="false" customHeight="false" outlineLevel="0" collapsed="false">
      <c r="A100" s="400" t="n">
        <f aca="false">A99+30.417</f>
        <v>39307.947</v>
      </c>
      <c r="B100" s="401" t="n">
        <f aca="false">IF($B$7="Coal",AG100,IF($B$7="Gas",AH100,IF($B$7="Oil",AI100,0)))</f>
        <v>3.29448072005567</v>
      </c>
      <c r="C100" s="402" t="n">
        <f aca="false">(B100*$B$1*1000)/1000000</f>
        <v>37.2432633962157</v>
      </c>
      <c r="D100" s="401" t="n">
        <f aca="false">AB100+AC100</f>
        <v>0.701666075381809</v>
      </c>
      <c r="E100" s="401" t="n">
        <f aca="false">(($AJ100*$B$1*AD100*1000)/2000)/1000000</f>
        <v>0</v>
      </c>
      <c r="F100" s="401" t="n">
        <f aca="false">AF100*(($AK100*$B$1*AE100*1000)/2000)/1000000</f>
        <v>0</v>
      </c>
      <c r="G100" s="403" t="str">
        <f aca="false">IF(IS!$C$2="Peak","-",SUM(C100:F100))</f>
        <v>-</v>
      </c>
      <c r="H100" s="411" t="n">
        <v>505.123701200449</v>
      </c>
      <c r="I100" s="411" t="n">
        <v>346.166932659314</v>
      </c>
      <c r="J100" s="411" t="n">
        <v>268.823195947401</v>
      </c>
      <c r="K100" s="411" t="n">
        <v>196.727043837717</v>
      </c>
      <c r="L100" s="411" t="n">
        <v>156.669373434372</v>
      </c>
      <c r="M100" s="411" t="n">
        <v>105.045043404658</v>
      </c>
      <c r="N100" s="411" t="n">
        <v>87.4332789564602</v>
      </c>
      <c r="O100" s="411" t="n">
        <v>82.0902283837058</v>
      </c>
      <c r="P100" s="411" t="n">
        <v>66.6299641432326</v>
      </c>
      <c r="Q100" s="411" t="n">
        <v>48.8952874429385</v>
      </c>
      <c r="R100" s="411" t="n">
        <v>42.1508745724586</v>
      </c>
      <c r="S100" s="411" t="n">
        <v>39.7351377980487</v>
      </c>
      <c r="T100" s="411" t="n">
        <v>38.4390028678632</v>
      </c>
      <c r="U100" s="411" t="n">
        <v>33.3448519939973</v>
      </c>
      <c r="V100" s="411" t="n">
        <v>32.5595894097533</v>
      </c>
      <c r="W100" s="411" t="n">
        <v>31.4838138000354</v>
      </c>
      <c r="X100" s="411" t="n">
        <v>30.6134047203795</v>
      </c>
      <c r="Y100" s="411" t="n">
        <v>29.5825952238658</v>
      </c>
      <c r="Z100" s="411" t="n">
        <v>28.822839818968</v>
      </c>
      <c r="AA100" s="411" t="n">
        <v>26.0161008405839</v>
      </c>
      <c r="AB100" s="401" t="n">
        <f aca="false">Peak!AB102</f>
        <v>0.701666075381809</v>
      </c>
      <c r="AC100" s="401" t="n">
        <f aca="false">Peak!AC102</f>
        <v>0</v>
      </c>
      <c r="AD100" s="405" t="n">
        <f aca="false">Peak!AD102</f>
        <v>354.611014578236</v>
      </c>
      <c r="AE100" s="405" t="n">
        <f aca="false">Peak!AE102</f>
        <v>2147.65438044863</v>
      </c>
      <c r="AF100" s="401" t="n">
        <f aca="false">Peak!AF102</f>
        <v>1</v>
      </c>
      <c r="AG100" s="406" t="n">
        <f aca="false">Peak!AG102</f>
        <v>0</v>
      </c>
      <c r="AH100" s="401" t="n">
        <f aca="false">Peak!AH102</f>
        <v>3.29448072005567</v>
      </c>
      <c r="AI100" s="401" t="n">
        <f aca="false">Peak!AI102</f>
        <v>3.49612547169811</v>
      </c>
      <c r="AJ100" s="401" t="n">
        <f aca="false">Peak!AJ102</f>
        <v>0</v>
      </c>
      <c r="AK100" s="401" t="n">
        <f aca="false">Peak!AK102</f>
        <v>0</v>
      </c>
      <c r="AL100" s="1"/>
    </row>
    <row r="101" customFormat="false" ht="12.75" hidden="false" customHeight="false" outlineLevel="0" collapsed="false">
      <c r="A101" s="400" t="n">
        <f aca="false">A100+30.417</f>
        <v>39338.364</v>
      </c>
      <c r="B101" s="401" t="n">
        <f aca="false">IF($B$7="Coal",AG101,IF($B$7="Gas",AH101,IF($B$7="Oil",AI101,0)))</f>
        <v>3.28345009264477</v>
      </c>
      <c r="C101" s="402" t="n">
        <f aca="false">(B101*$B$1*1000)/1000000</f>
        <v>37.1185649696659</v>
      </c>
      <c r="D101" s="401" t="n">
        <f aca="false">AB101+AC101</f>
        <v>0.702835518840779</v>
      </c>
      <c r="E101" s="401" t="n">
        <f aca="false">(($AJ101*$B$1*AD101*1000)/2000)/1000000</f>
        <v>0</v>
      </c>
      <c r="F101" s="401" t="n">
        <f aca="false">AF101*(($AK101*$B$1*AE101*1000)/2000)/1000000</f>
        <v>0</v>
      </c>
      <c r="G101" s="403" t="str">
        <f aca="false">IF(IS!$C$2="Peak","-",SUM(C101:F101))</f>
        <v>-</v>
      </c>
      <c r="H101" s="411" t="n">
        <v>224.495986982619</v>
      </c>
      <c r="I101" s="411" t="n">
        <v>179.946344548802</v>
      </c>
      <c r="J101" s="411" t="n">
        <v>157.857335420328</v>
      </c>
      <c r="K101" s="411" t="n">
        <v>93.8910908856257</v>
      </c>
      <c r="L101" s="411" t="n">
        <v>75.6217174456676</v>
      </c>
      <c r="M101" s="411" t="n">
        <v>63.0700067682697</v>
      </c>
      <c r="N101" s="411" t="n">
        <v>56.2868532037438</v>
      </c>
      <c r="O101" s="411" t="n">
        <v>54.2812215449114</v>
      </c>
      <c r="P101" s="411" t="n">
        <v>47.9974431296049</v>
      </c>
      <c r="Q101" s="411" t="n">
        <v>43.0366003616014</v>
      </c>
      <c r="R101" s="411" t="n">
        <v>38.6575727616731</v>
      </c>
      <c r="S101" s="411" t="n">
        <v>33.6842062364288</v>
      </c>
      <c r="T101" s="411" t="n">
        <v>30.3369271687561</v>
      </c>
      <c r="U101" s="411" t="n">
        <v>29.0184175448079</v>
      </c>
      <c r="V101" s="411" t="n">
        <v>28.5947266616563</v>
      </c>
      <c r="W101" s="411" t="n">
        <v>27.9041263215511</v>
      </c>
      <c r="X101" s="411" t="n">
        <v>27.1608938493692</v>
      </c>
      <c r="Y101" s="411" t="n">
        <v>27.1389386965731</v>
      </c>
      <c r="Z101" s="411" t="n">
        <v>27.0503360251666</v>
      </c>
      <c r="AA101" s="411" t="n">
        <v>24.509730082139</v>
      </c>
      <c r="AB101" s="401" t="n">
        <f aca="false">Peak!AB103</f>
        <v>0.702835518840779</v>
      </c>
      <c r="AC101" s="401" t="n">
        <f aca="false">Peak!AC103</f>
        <v>0</v>
      </c>
      <c r="AD101" s="405" t="n">
        <f aca="false">Peak!AD103</f>
        <v>354.611014578236</v>
      </c>
      <c r="AE101" s="405" t="n">
        <f aca="false">Peak!AE103</f>
        <v>2147.65438044863</v>
      </c>
      <c r="AF101" s="401" t="n">
        <f aca="false">Peak!AF103</f>
        <v>1</v>
      </c>
      <c r="AG101" s="406" t="n">
        <f aca="false">Peak!AG103</f>
        <v>0</v>
      </c>
      <c r="AH101" s="401" t="n">
        <f aca="false">Peak!AH103</f>
        <v>3.28345009264477</v>
      </c>
      <c r="AI101" s="401" t="n">
        <f aca="false">Peak!AI103</f>
        <v>3.49612547169811</v>
      </c>
      <c r="AJ101" s="401" t="n">
        <f aca="false">Peak!AJ103</f>
        <v>0</v>
      </c>
      <c r="AK101" s="401" t="n">
        <f aca="false">Peak!AK103</f>
        <v>0</v>
      </c>
      <c r="AL101" s="1"/>
    </row>
    <row r="102" customFormat="false" ht="12.75" hidden="false" customHeight="false" outlineLevel="0" collapsed="false">
      <c r="A102" s="400" t="n">
        <f aca="false">A101+30.417</f>
        <v>39368.781</v>
      </c>
      <c r="B102" s="401" t="n">
        <f aca="false">IF($B$7="Coal",AG102,IF($B$7="Gas",AH102,IF($B$7="Oil",AI102,0)))</f>
        <v>3.63643016979359</v>
      </c>
      <c r="C102" s="402" t="n">
        <f aca="false">(B102*$B$1*1000)/1000000</f>
        <v>41.1089146192604</v>
      </c>
      <c r="D102" s="401" t="n">
        <f aca="false">AB102+AC102</f>
        <v>0.70400691137218</v>
      </c>
      <c r="E102" s="401" t="n">
        <f aca="false">(($AJ102*$B$1*AD102*1000)/2000)/1000000</f>
        <v>0</v>
      </c>
      <c r="F102" s="401" t="n">
        <f aca="false">AF102*(($AK102*$B$1*AE102*1000)/2000)/1000000</f>
        <v>0</v>
      </c>
      <c r="G102" s="403" t="str">
        <f aca="false">IF(IS!$C$2="Peak","-",SUM(C102:F102))</f>
        <v>-</v>
      </c>
      <c r="H102" s="411" t="n">
        <v>90.2574093702294</v>
      </c>
      <c r="I102" s="411" t="n">
        <v>79.9206881717955</v>
      </c>
      <c r="J102" s="411" t="n">
        <v>75.3812817092056</v>
      </c>
      <c r="K102" s="411" t="n">
        <v>70.9484494147057</v>
      </c>
      <c r="L102" s="411" t="n">
        <v>67.4561323129288</v>
      </c>
      <c r="M102" s="411" t="n">
        <v>63.0044748381412</v>
      </c>
      <c r="N102" s="411" t="n">
        <v>62.573614752067</v>
      </c>
      <c r="O102" s="411" t="n">
        <v>58.9528783512374</v>
      </c>
      <c r="P102" s="411" t="n">
        <v>46.0518998587545</v>
      </c>
      <c r="Q102" s="411" t="n">
        <v>44.0013252980128</v>
      </c>
      <c r="R102" s="411" t="n">
        <v>40.9758828519469</v>
      </c>
      <c r="S102" s="411" t="n">
        <v>35.7270972207244</v>
      </c>
      <c r="T102" s="411" t="n">
        <v>33.4441183568013</v>
      </c>
      <c r="U102" s="411" t="n">
        <v>31.4536663617294</v>
      </c>
      <c r="V102" s="411" t="n">
        <v>31.3003580061414</v>
      </c>
      <c r="W102" s="411" t="n">
        <v>31.0964274406569</v>
      </c>
      <c r="X102" s="411" t="n">
        <v>30.9662708603032</v>
      </c>
      <c r="Y102" s="411" t="n">
        <v>30.792503470608</v>
      </c>
      <c r="Z102" s="411" t="n">
        <v>29.9463916619873</v>
      </c>
      <c r="AA102" s="411" t="n">
        <v>26.2083068149301</v>
      </c>
      <c r="AB102" s="401" t="n">
        <f aca="false">Peak!AB104</f>
        <v>0.70400691137218</v>
      </c>
      <c r="AC102" s="401" t="n">
        <f aca="false">Peak!AC104</f>
        <v>0</v>
      </c>
      <c r="AD102" s="405" t="n">
        <f aca="false">Peak!AD104</f>
        <v>354.611014578236</v>
      </c>
      <c r="AE102" s="405" t="n">
        <f aca="false">Peak!AE104</f>
        <v>2147.65438044863</v>
      </c>
      <c r="AF102" s="401" t="n">
        <f aca="false">Peak!AF104</f>
        <v>1</v>
      </c>
      <c r="AG102" s="406" t="n">
        <f aca="false">Peak!AG104</f>
        <v>0</v>
      </c>
      <c r="AH102" s="401" t="n">
        <f aca="false">Peak!AH104</f>
        <v>3.63643016979359</v>
      </c>
      <c r="AI102" s="401" t="n">
        <f aca="false">Peak!AI104</f>
        <v>3.49612547169811</v>
      </c>
      <c r="AJ102" s="401" t="n">
        <f aca="false">Peak!AJ104</f>
        <v>0</v>
      </c>
      <c r="AK102" s="401" t="n">
        <f aca="false">Peak!AK104</f>
        <v>0</v>
      </c>
      <c r="AL102" s="1"/>
    </row>
    <row r="103" customFormat="false" ht="12.75" hidden="false" customHeight="false" outlineLevel="0" collapsed="false">
      <c r="A103" s="400" t="n">
        <f aca="false">A102+30.417</f>
        <v>39399.198</v>
      </c>
      <c r="B103" s="401" t="n">
        <f aca="false">IF($B$7="Coal",AG103,IF($B$7="Gas",AH103,IF($B$7="Oil",AI103,0)))</f>
        <v>3.98205649533514</v>
      </c>
      <c r="C103" s="402" t="n">
        <f aca="false">(B103*$B$1*1000)/1000000</f>
        <v>45.0161319844884</v>
      </c>
      <c r="D103" s="401" t="n">
        <f aca="false">AB103+AC103</f>
        <v>0.705180256224467</v>
      </c>
      <c r="E103" s="401" t="n">
        <f aca="false">(($AJ103*$B$1*AD103*1000)/2000)/1000000</f>
        <v>0</v>
      </c>
      <c r="F103" s="401" t="n">
        <f aca="false">AF103*(($AK103*$B$1*AE103*1000)/2000)/1000000</f>
        <v>0</v>
      </c>
      <c r="G103" s="403" t="str">
        <f aca="false">IF(IS!$C$2="Peak","-",SUM(C103:F103))</f>
        <v>-</v>
      </c>
      <c r="H103" s="411" t="n">
        <v>87.263224619697</v>
      </c>
      <c r="I103" s="411" t="n">
        <v>84.6548405639863</v>
      </c>
      <c r="J103" s="411" t="n">
        <v>81.3098023754129</v>
      </c>
      <c r="K103" s="411" t="n">
        <v>76.7877053162773</v>
      </c>
      <c r="L103" s="411" t="n">
        <v>73.2018079489619</v>
      </c>
      <c r="M103" s="411" t="n">
        <v>72.8869999512556</v>
      </c>
      <c r="N103" s="411" t="n">
        <v>68.0079646753532</v>
      </c>
      <c r="O103" s="411" t="n">
        <v>51.5580724289582</v>
      </c>
      <c r="P103" s="411" t="n">
        <v>47.0453493306991</v>
      </c>
      <c r="Q103" s="411" t="n">
        <v>41.2814387165807</v>
      </c>
      <c r="R103" s="411" t="n">
        <v>40.8951508716439</v>
      </c>
      <c r="S103" s="411" t="n">
        <v>38.2904940699877</v>
      </c>
      <c r="T103" s="411" t="n">
        <v>36.7522760462758</v>
      </c>
      <c r="U103" s="411" t="n">
        <v>36.1003287014065</v>
      </c>
      <c r="V103" s="411" t="n">
        <v>36.0920993187704</v>
      </c>
      <c r="W103" s="411" t="n">
        <v>36.0920993187704</v>
      </c>
      <c r="X103" s="411" t="n">
        <v>36.0920993187704</v>
      </c>
      <c r="Y103" s="411" t="n">
        <v>36.0920993187704</v>
      </c>
      <c r="Z103" s="411" t="n">
        <v>35.5679112300922</v>
      </c>
      <c r="AA103" s="411" t="n">
        <v>33.6848049363259</v>
      </c>
      <c r="AB103" s="401" t="n">
        <f aca="false">Peak!AB105</f>
        <v>0.705180256224467</v>
      </c>
      <c r="AC103" s="401" t="n">
        <f aca="false">Peak!AC105</f>
        <v>0</v>
      </c>
      <c r="AD103" s="405" t="n">
        <f aca="false">Peak!AD105</f>
        <v>354.611014578236</v>
      </c>
      <c r="AE103" s="405" t="n">
        <f aca="false">Peak!AE105</f>
        <v>2147.65438044863</v>
      </c>
      <c r="AF103" s="401" t="n">
        <f aca="false">Peak!AF105</f>
        <v>1</v>
      </c>
      <c r="AG103" s="406" t="n">
        <f aca="false">Peak!AG105</f>
        <v>0</v>
      </c>
      <c r="AH103" s="401" t="n">
        <f aca="false">Peak!AH105</f>
        <v>3.98205649533514</v>
      </c>
      <c r="AI103" s="401" t="n">
        <f aca="false">Peak!AI105</f>
        <v>3.79053603773585</v>
      </c>
      <c r="AJ103" s="401" t="n">
        <f aca="false">Peak!AJ105</f>
        <v>0</v>
      </c>
      <c r="AK103" s="401" t="n">
        <f aca="false">Peak!AK105</f>
        <v>0</v>
      </c>
      <c r="AL103" s="1"/>
    </row>
    <row r="104" customFormat="false" ht="12.75" hidden="false" customHeight="false" outlineLevel="0" collapsed="false">
      <c r="A104" s="400" t="n">
        <f aca="false">A103+30.417</f>
        <v>39429.615</v>
      </c>
      <c r="B104" s="401" t="n">
        <f aca="false">IF($B$7="Coal",AG104,IF($B$7="Gas",AH104,IF($B$7="Oil",AI104,0)))</f>
        <v>4.30929844185853</v>
      </c>
      <c r="C104" s="402" t="n">
        <f aca="false">(B104*$B$1*1000)/1000000</f>
        <v>48.7155186388</v>
      </c>
      <c r="D104" s="401" t="n">
        <f aca="false">AB104+AC104</f>
        <v>0.706355556651508</v>
      </c>
      <c r="E104" s="401" t="n">
        <f aca="false">(($AJ104*$B$1*AD104*1000)/2000)/1000000</f>
        <v>0</v>
      </c>
      <c r="F104" s="401" t="n">
        <f aca="false">AF104*(($AK104*$B$1*AE104*1000)/2000)/1000000</f>
        <v>0</v>
      </c>
      <c r="G104" s="403" t="str">
        <f aca="false">IF(IS!$C$2="Peak","-",SUM(C104:F104))</f>
        <v>-</v>
      </c>
      <c r="H104" s="411" t="n">
        <v>98.5969311533446</v>
      </c>
      <c r="I104" s="411" t="n">
        <v>94.5463270706084</v>
      </c>
      <c r="J104" s="411" t="n">
        <v>91.8800164957103</v>
      </c>
      <c r="K104" s="411" t="n">
        <v>87.5909219188252</v>
      </c>
      <c r="L104" s="411" t="n">
        <v>83.571852132411</v>
      </c>
      <c r="M104" s="411" t="n">
        <v>83.1974549484653</v>
      </c>
      <c r="N104" s="411" t="n">
        <v>78.5416383045441</v>
      </c>
      <c r="O104" s="411" t="n">
        <v>60.6699492800952</v>
      </c>
      <c r="P104" s="411" t="n">
        <v>53.300910015785</v>
      </c>
      <c r="Q104" s="411" t="n">
        <v>46.8655252026663</v>
      </c>
      <c r="R104" s="411" t="n">
        <v>44.9483357907637</v>
      </c>
      <c r="S104" s="411" t="n">
        <v>40.810361049346</v>
      </c>
      <c r="T104" s="411" t="n">
        <v>40.7059985017276</v>
      </c>
      <c r="U104" s="411" t="n">
        <v>39.931842557013</v>
      </c>
      <c r="V104" s="411" t="n">
        <v>39.8068508347269</v>
      </c>
      <c r="W104" s="411" t="n">
        <v>39.8067715335631</v>
      </c>
      <c r="X104" s="411" t="n">
        <v>39.8066988943664</v>
      </c>
      <c r="Y104" s="411" t="n">
        <v>39.8066232132133</v>
      </c>
      <c r="Z104" s="411" t="n">
        <v>39.4064806391788</v>
      </c>
      <c r="AA104" s="411" t="n">
        <v>33.9970468900387</v>
      </c>
      <c r="AB104" s="401" t="n">
        <f aca="false">Peak!AB106</f>
        <v>0.706355556651508</v>
      </c>
      <c r="AC104" s="401" t="n">
        <f aca="false">Peak!AC106</f>
        <v>0</v>
      </c>
      <c r="AD104" s="405" t="n">
        <f aca="false">Peak!AD106</f>
        <v>354.611014578236</v>
      </c>
      <c r="AE104" s="405" t="n">
        <f aca="false">Peak!AE106</f>
        <v>2147.65438044863</v>
      </c>
      <c r="AF104" s="401" t="n">
        <f aca="false">Peak!AF106</f>
        <v>1</v>
      </c>
      <c r="AG104" s="406" t="n">
        <f aca="false">Peak!AG106</f>
        <v>0</v>
      </c>
      <c r="AH104" s="401" t="n">
        <f aca="false">Peak!AH106</f>
        <v>4.30929844185853</v>
      </c>
      <c r="AI104" s="401" t="n">
        <f aca="false">Peak!AI106</f>
        <v>3.97454264150944</v>
      </c>
      <c r="AJ104" s="401" t="n">
        <f aca="false">Peak!AJ106</f>
        <v>0</v>
      </c>
      <c r="AK104" s="401" t="n">
        <f aca="false">Peak!AK106</f>
        <v>0</v>
      </c>
      <c r="AL104" s="1"/>
    </row>
    <row r="105" customFormat="false" ht="12.75" hidden="false" customHeight="false" outlineLevel="0" collapsed="false">
      <c r="A105" s="400" t="n">
        <f aca="false">A104+30.417</f>
        <v>39460.032</v>
      </c>
      <c r="B105" s="401" t="n">
        <f aca="false">IF($B$7="Coal",AG105,IF($B$7="Gas",AH105,IF($B$7="Oil",AI105,0)))</f>
        <v>3.84715821646559</v>
      </c>
      <c r="C105" s="402" t="n">
        <f aca="false">(B105*$B$1*1000)/1000000</f>
        <v>43.4911413839818</v>
      </c>
      <c r="D105" s="401" t="n">
        <f aca="false">AB105+AC105</f>
        <v>0.707532815912594</v>
      </c>
      <c r="E105" s="401" t="n">
        <f aca="false">(($AJ105*$B$1*AD105*1000)/2000)/1000000</f>
        <v>0</v>
      </c>
      <c r="F105" s="401" t="n">
        <f aca="false">AF105*(($AK105*$B$1*AE105*1000)/2000)/1000000</f>
        <v>0</v>
      </c>
      <c r="G105" s="403" t="str">
        <f aca="false">IF(IS!$C$2="Peak","-",SUM(C105:F105))</f>
        <v>-</v>
      </c>
      <c r="H105" s="411" t="n">
        <v>146.051973414102</v>
      </c>
      <c r="I105" s="411" t="n">
        <v>121.01996621179</v>
      </c>
      <c r="J105" s="411" t="n">
        <v>103.847295029235</v>
      </c>
      <c r="K105" s="411" t="n">
        <v>81.9671691898091</v>
      </c>
      <c r="L105" s="411" t="n">
        <v>76.5835965648752</v>
      </c>
      <c r="M105" s="411" t="n">
        <v>71.1955109149701</v>
      </c>
      <c r="N105" s="411" t="n">
        <v>69.2480454044045</v>
      </c>
      <c r="O105" s="411" t="n">
        <v>67.516656196681</v>
      </c>
      <c r="P105" s="411" t="n">
        <v>55.2909474222889</v>
      </c>
      <c r="Q105" s="411" t="n">
        <v>47.7320307001832</v>
      </c>
      <c r="R105" s="411" t="n">
        <v>40.9010041768386</v>
      </c>
      <c r="S105" s="411" t="n">
        <v>39.2656242156824</v>
      </c>
      <c r="T105" s="411" t="n">
        <v>37.6404351643203</v>
      </c>
      <c r="U105" s="411" t="n">
        <v>35.6620905869027</v>
      </c>
      <c r="V105" s="411" t="n">
        <v>34.3269259157122</v>
      </c>
      <c r="W105" s="411" t="n">
        <v>34.0317672211651</v>
      </c>
      <c r="X105" s="411" t="n">
        <v>33.8458661524893</v>
      </c>
      <c r="Y105" s="411" t="n">
        <v>33.7574285791416</v>
      </c>
      <c r="Z105" s="411" t="n">
        <v>33.739556866998</v>
      </c>
      <c r="AA105" s="411" t="n">
        <v>32.3419221941179</v>
      </c>
      <c r="AB105" s="401" t="n">
        <f aca="false">Peak!AB107</f>
        <v>0.707532815912594</v>
      </c>
      <c r="AC105" s="401" t="n">
        <f aca="false">Peak!AC107</f>
        <v>0</v>
      </c>
      <c r="AD105" s="405" t="n">
        <f aca="false">Peak!AD107</f>
        <v>391.298518710194</v>
      </c>
      <c r="AE105" s="405" t="n">
        <f aca="false">Peak!AE107</f>
        <v>1807.34213002761</v>
      </c>
      <c r="AF105" s="401" t="n">
        <f aca="false">Peak!AF107</f>
        <v>1</v>
      </c>
      <c r="AG105" s="406" t="n">
        <f aca="false">Peak!AG107</f>
        <v>0</v>
      </c>
      <c r="AH105" s="401" t="n">
        <f aca="false">Peak!AH107</f>
        <v>3.84715821646559</v>
      </c>
      <c r="AI105" s="401" t="n">
        <f aca="false">Peak!AI107</f>
        <v>3.58363281184659</v>
      </c>
      <c r="AJ105" s="401" t="n">
        <f aca="false">Peak!AJ107</f>
        <v>0</v>
      </c>
      <c r="AK105" s="401" t="n">
        <f aca="false">Peak!AK107</f>
        <v>0</v>
      </c>
      <c r="AL105" s="1"/>
    </row>
    <row r="106" customFormat="false" ht="12.75" hidden="false" customHeight="false" outlineLevel="0" collapsed="false">
      <c r="A106" s="400" t="n">
        <f aca="false">A105+30.417</f>
        <v>39490.449</v>
      </c>
      <c r="B106" s="401" t="n">
        <f aca="false">IF($B$7="Coal",AG106,IF($B$7="Gas",AH106,IF($B$7="Oil",AI106,0)))</f>
        <v>3.44811786954496</v>
      </c>
      <c r="C106" s="402" t="n">
        <f aca="false">(B106*$B$1*1000)/1000000</f>
        <v>38.9800921446858</v>
      </c>
      <c r="D106" s="401" t="n">
        <f aca="false">AB106+AC106</f>
        <v>0.708712037272448</v>
      </c>
      <c r="E106" s="401" t="n">
        <f aca="false">(($AJ106*$B$1*AD106*1000)/2000)/1000000</f>
        <v>0</v>
      </c>
      <c r="F106" s="401" t="n">
        <f aca="false">AF106*(($AK106*$B$1*AE106*1000)/2000)/1000000</f>
        <v>0</v>
      </c>
      <c r="G106" s="403" t="str">
        <f aca="false">IF(IS!$C$2="Peak","-",SUM(C106:F106))</f>
        <v>-</v>
      </c>
      <c r="H106" s="411" t="n">
        <v>109.760014642747</v>
      </c>
      <c r="I106" s="411" t="n">
        <v>99.3607949241146</v>
      </c>
      <c r="J106" s="411" t="n">
        <v>94.8178062200768</v>
      </c>
      <c r="K106" s="411" t="n">
        <v>90.6511430981504</v>
      </c>
      <c r="L106" s="411" t="n">
        <v>85.7972641254591</v>
      </c>
      <c r="M106" s="411" t="n">
        <v>84.7309092209246</v>
      </c>
      <c r="N106" s="411" t="n">
        <v>81.5685867295906</v>
      </c>
      <c r="O106" s="411" t="n">
        <v>67.980651483205</v>
      </c>
      <c r="P106" s="411" t="n">
        <v>56.6679163836537</v>
      </c>
      <c r="Q106" s="411" t="n">
        <v>47.5231515844931</v>
      </c>
      <c r="R106" s="411" t="n">
        <v>45.226616956867</v>
      </c>
      <c r="S106" s="411" t="n">
        <v>40.502323768521</v>
      </c>
      <c r="T106" s="411" t="n">
        <v>37.211593383779</v>
      </c>
      <c r="U106" s="411" t="n">
        <v>34.6034225843657</v>
      </c>
      <c r="V106" s="411" t="n">
        <v>33.5759577390779</v>
      </c>
      <c r="W106" s="411" t="n">
        <v>32.6685049773595</v>
      </c>
      <c r="X106" s="411" t="n">
        <v>31.4533450992899</v>
      </c>
      <c r="Y106" s="411" t="n">
        <v>29.9963143988791</v>
      </c>
      <c r="Z106" s="411" t="n">
        <v>28.8116767655808</v>
      </c>
      <c r="AA106" s="411" t="n">
        <v>27.4727613083134</v>
      </c>
      <c r="AB106" s="401" t="n">
        <f aca="false">Peak!AB108</f>
        <v>0.708712037272448</v>
      </c>
      <c r="AC106" s="401" t="n">
        <f aca="false">Peak!AC108</f>
        <v>0</v>
      </c>
      <c r="AD106" s="405" t="n">
        <f aca="false">Peak!AD108</f>
        <v>391.298518710194</v>
      </c>
      <c r="AE106" s="405" t="n">
        <f aca="false">Peak!AE108</f>
        <v>1807.34213002761</v>
      </c>
      <c r="AF106" s="401" t="n">
        <f aca="false">Peak!AF108</f>
        <v>1</v>
      </c>
      <c r="AG106" s="406" t="n">
        <f aca="false">Peak!AG108</f>
        <v>0</v>
      </c>
      <c r="AH106" s="401" t="n">
        <f aca="false">Peak!AH108</f>
        <v>3.44811786954496</v>
      </c>
      <c r="AI106" s="401" t="n">
        <f aca="false">Peak!AI108</f>
        <v>3.55045102655171</v>
      </c>
      <c r="AJ106" s="401" t="n">
        <f aca="false">Peak!AJ108</f>
        <v>0</v>
      </c>
      <c r="AK106" s="401" t="n">
        <f aca="false">Peak!AK108</f>
        <v>0</v>
      </c>
      <c r="AL106" s="1"/>
    </row>
    <row r="107" customFormat="false" ht="12.75" hidden="false" customHeight="false" outlineLevel="0" collapsed="false">
      <c r="A107" s="400" t="n">
        <f aca="false">A106+30.417</f>
        <v>39520.866</v>
      </c>
      <c r="B107" s="401" t="n">
        <f aca="false">IF($B$7="Coal",AG107,IF($B$7="Gas",AH107,IF($B$7="Oil",AI107,0)))</f>
        <v>3.39013764819751</v>
      </c>
      <c r="C107" s="402" t="n">
        <f aca="false">(B107*$B$1*1000)/1000000</f>
        <v>38.3246405458138</v>
      </c>
      <c r="D107" s="401" t="n">
        <f aca="false">AB107+AC107</f>
        <v>0.709893224001236</v>
      </c>
      <c r="E107" s="401" t="n">
        <f aca="false">(($AJ107*$B$1*AD107*1000)/2000)/1000000</f>
        <v>0</v>
      </c>
      <c r="F107" s="401" t="n">
        <f aca="false">AF107*(($AK107*$B$1*AE107*1000)/2000)/1000000</f>
        <v>0</v>
      </c>
      <c r="G107" s="403" t="str">
        <f aca="false">IF(IS!$C$2="Peak","-",SUM(C107:F107))</f>
        <v>-</v>
      </c>
      <c r="H107" s="411" t="n">
        <v>97.7067984441272</v>
      </c>
      <c r="I107" s="411" t="n">
        <v>97.2532879232073</v>
      </c>
      <c r="J107" s="411" t="n">
        <v>94.7258164194452</v>
      </c>
      <c r="K107" s="411" t="n">
        <v>82.6101059247711</v>
      </c>
      <c r="L107" s="411" t="n">
        <v>66.0885109318289</v>
      </c>
      <c r="M107" s="411" t="n">
        <v>57.2368960095928</v>
      </c>
      <c r="N107" s="411" t="n">
        <v>53.422169575201</v>
      </c>
      <c r="O107" s="411" t="n">
        <v>47.5995598930121</v>
      </c>
      <c r="P107" s="411" t="n">
        <v>47.5995598930121</v>
      </c>
      <c r="Q107" s="411" t="n">
        <v>47.5505241600361</v>
      </c>
      <c r="R107" s="411" t="n">
        <v>47.2036029616163</v>
      </c>
      <c r="S107" s="411" t="n">
        <v>47.2036029616163</v>
      </c>
      <c r="T107" s="411" t="n">
        <v>47.2036029616163</v>
      </c>
      <c r="U107" s="411" t="n">
        <v>47.2036029616163</v>
      </c>
      <c r="V107" s="411" t="n">
        <v>43.2266153421918</v>
      </c>
      <c r="W107" s="411" t="n">
        <v>36.9800789058407</v>
      </c>
      <c r="X107" s="411" t="n">
        <v>35.6552572427067</v>
      </c>
      <c r="Y107" s="411" t="n">
        <v>33.8794908175167</v>
      </c>
      <c r="Z107" s="411" t="n">
        <v>32.3699053997893</v>
      </c>
      <c r="AA107" s="411" t="n">
        <v>29.6866717076693</v>
      </c>
      <c r="AB107" s="401" t="n">
        <f aca="false">Peak!AB109</f>
        <v>0.709893224001236</v>
      </c>
      <c r="AC107" s="401" t="n">
        <f aca="false">Peak!AC109</f>
        <v>0</v>
      </c>
      <c r="AD107" s="405" t="n">
        <f aca="false">Peak!AD109</f>
        <v>394.505273919202</v>
      </c>
      <c r="AE107" s="405" t="n">
        <f aca="false">Peak!AE109</f>
        <v>1822.19384246207</v>
      </c>
      <c r="AF107" s="401" t="n">
        <f aca="false">Peak!AF109</f>
        <v>1</v>
      </c>
      <c r="AG107" s="406" t="n">
        <f aca="false">Peak!AG109</f>
        <v>0</v>
      </c>
      <c r="AH107" s="401" t="n">
        <f aca="false">Peak!AH109</f>
        <v>3.39013764819751</v>
      </c>
      <c r="AI107" s="401" t="n">
        <f aca="false">Peak!AI109</f>
        <v>3.41772388537221</v>
      </c>
      <c r="AJ107" s="401" t="n">
        <f aca="false">Peak!AJ109</f>
        <v>0</v>
      </c>
      <c r="AK107" s="401" t="n">
        <f aca="false">Peak!AK109</f>
        <v>0</v>
      </c>
      <c r="AL107" s="1"/>
    </row>
    <row r="108" customFormat="false" ht="12.75" hidden="false" customHeight="false" outlineLevel="0" collapsed="false">
      <c r="A108" s="400" t="n">
        <f aca="false">A107+30.417</f>
        <v>39551.283</v>
      </c>
      <c r="B108" s="401" t="n">
        <f aca="false">IF($B$7="Coal",AG108,IF($B$7="Gas",AH108,IF($B$7="Oil",AI108,0)))</f>
        <v>3.22301818666665</v>
      </c>
      <c r="C108" s="402" t="n">
        <f aca="false">(B108*$B$1*1000)/1000000</f>
        <v>36.4353977020061</v>
      </c>
      <c r="D108" s="401" t="n">
        <f aca="false">AB108+AC108</f>
        <v>0.711076379374571</v>
      </c>
      <c r="E108" s="401" t="n">
        <f aca="false">(($AJ108*$B$1*AD108*1000)/2000)/1000000</f>
        <v>0</v>
      </c>
      <c r="F108" s="401" t="n">
        <f aca="false">AF108*(($AK108*$B$1*AE108*1000)/2000)/1000000</f>
        <v>0</v>
      </c>
      <c r="G108" s="403" t="str">
        <f aca="false">IF(IS!$C$2="Peak","-",SUM(C108:F108))</f>
        <v>-</v>
      </c>
      <c r="H108" s="411" t="n">
        <v>78.8106889987144</v>
      </c>
      <c r="I108" s="411" t="n">
        <v>75.646753067233</v>
      </c>
      <c r="J108" s="411" t="n">
        <v>72.4119381580518</v>
      </c>
      <c r="K108" s="411" t="n">
        <v>68.873504115855</v>
      </c>
      <c r="L108" s="411" t="n">
        <v>64.5192783479698</v>
      </c>
      <c r="M108" s="411" t="n">
        <v>63.1776772644983</v>
      </c>
      <c r="N108" s="411" t="n">
        <v>62.6186973966399</v>
      </c>
      <c r="O108" s="411" t="n">
        <v>54.1425993105354</v>
      </c>
      <c r="P108" s="411" t="n">
        <v>44.2247257606127</v>
      </c>
      <c r="Q108" s="411" t="n">
        <v>38.9055973701138</v>
      </c>
      <c r="R108" s="411" t="n">
        <v>36.0280945410658</v>
      </c>
      <c r="S108" s="411" t="n">
        <v>35.2058522128254</v>
      </c>
      <c r="T108" s="411" t="n">
        <v>32.4591594548723</v>
      </c>
      <c r="U108" s="411" t="n">
        <v>31.1753192510961</v>
      </c>
      <c r="V108" s="411" t="n">
        <v>30.9548838242671</v>
      </c>
      <c r="W108" s="411" t="n">
        <v>30.2558785249007</v>
      </c>
      <c r="X108" s="411" t="n">
        <v>29.436097548765</v>
      </c>
      <c r="Y108" s="411" t="n">
        <v>28.1639588733298</v>
      </c>
      <c r="Z108" s="411" t="n">
        <v>27.6773144758465</v>
      </c>
      <c r="AA108" s="411" t="n">
        <v>26.1662050300291</v>
      </c>
      <c r="AB108" s="401" t="n">
        <f aca="false">Peak!AB110</f>
        <v>0.711076379374571</v>
      </c>
      <c r="AC108" s="401" t="n">
        <f aca="false">Peak!AC110</f>
        <v>0</v>
      </c>
      <c r="AD108" s="405" t="n">
        <f aca="false">Peak!AD110</f>
        <v>397.71202912821</v>
      </c>
      <c r="AE108" s="405" t="n">
        <f aca="false">Peak!AE110</f>
        <v>1837.04555489653</v>
      </c>
      <c r="AF108" s="401" t="n">
        <f aca="false">Peak!AF110</f>
        <v>1</v>
      </c>
      <c r="AG108" s="406" t="n">
        <f aca="false">Peak!AG110</f>
        <v>0</v>
      </c>
      <c r="AH108" s="401" t="n">
        <f aca="false">Peak!AH110</f>
        <v>3.22301818666665</v>
      </c>
      <c r="AI108" s="401" t="n">
        <f aca="false">Peak!AI110</f>
        <v>3.28499674419271</v>
      </c>
      <c r="AJ108" s="401" t="n">
        <f aca="false">Peak!AJ110</f>
        <v>0</v>
      </c>
      <c r="AK108" s="401" t="n">
        <f aca="false">Peak!AK110</f>
        <v>0</v>
      </c>
      <c r="AL108" s="1"/>
    </row>
    <row r="109" customFormat="false" ht="12.75" hidden="false" customHeight="false" outlineLevel="0" collapsed="false">
      <c r="A109" s="400" t="n">
        <f aca="false">A108+30.417</f>
        <v>39581.7</v>
      </c>
      <c r="B109" s="401" t="n">
        <f aca="false">IF($B$7="Coal",AG109,IF($B$7="Gas",AH109,IF($B$7="Oil",AI109,0)))</f>
        <v>3.39354824945325</v>
      </c>
      <c r="C109" s="402" t="n">
        <f aca="false">(B109*$B$1*1000)/1000000</f>
        <v>38.363196522218</v>
      </c>
      <c r="D109" s="401" t="n">
        <f aca="false">AB109+AC109</f>
        <v>0.712261506673529</v>
      </c>
      <c r="E109" s="401" t="n">
        <f aca="false">(($AJ109*$B$1*AD109*1000)/2000)/1000000</f>
        <v>0</v>
      </c>
      <c r="F109" s="401" t="n">
        <f aca="false">AF109*(($AK109*$B$1*AE109*1000)/2000)/1000000</f>
        <v>0</v>
      </c>
      <c r="G109" s="403" t="str">
        <f aca="false">IF(IS!$C$2="Peak","-",SUM(C109:F109))</f>
        <v>-</v>
      </c>
      <c r="H109" s="411" t="n">
        <v>74.0187072663073</v>
      </c>
      <c r="I109" s="411" t="n">
        <v>70.0549504737015</v>
      </c>
      <c r="J109" s="411" t="n">
        <v>65.8008896983349</v>
      </c>
      <c r="K109" s="411" t="n">
        <v>63.5448298570013</v>
      </c>
      <c r="L109" s="411" t="n">
        <v>63.0995168593843</v>
      </c>
      <c r="M109" s="411" t="n">
        <v>52.6349972119107</v>
      </c>
      <c r="N109" s="411" t="n">
        <v>44.3239430818279</v>
      </c>
      <c r="O109" s="411" t="n">
        <v>41.0788342463543</v>
      </c>
      <c r="P109" s="411" t="n">
        <v>38.5049466130781</v>
      </c>
      <c r="Q109" s="411" t="n">
        <v>36.581000615821</v>
      </c>
      <c r="R109" s="411" t="n">
        <v>36.2068579681415</v>
      </c>
      <c r="S109" s="411" t="n">
        <v>35.9015995666735</v>
      </c>
      <c r="T109" s="411" t="n">
        <v>34.9986187592811</v>
      </c>
      <c r="U109" s="411" t="n">
        <v>33.4581911311779</v>
      </c>
      <c r="V109" s="411" t="n">
        <v>32.8259994815639</v>
      </c>
      <c r="W109" s="411" t="n">
        <v>32.0173285182342</v>
      </c>
      <c r="X109" s="411" t="n">
        <v>31.633284806231</v>
      </c>
      <c r="Y109" s="411" t="n">
        <v>31.6300937035669</v>
      </c>
      <c r="Z109" s="411" t="n">
        <v>31.3945875644997</v>
      </c>
      <c r="AA109" s="411" t="n">
        <v>30.0772978092684</v>
      </c>
      <c r="AB109" s="401" t="n">
        <f aca="false">Peak!AB111</f>
        <v>0.712261506673529</v>
      </c>
      <c r="AC109" s="401" t="n">
        <f aca="false">Peak!AC111</f>
        <v>0</v>
      </c>
      <c r="AD109" s="405" t="n">
        <f aca="false">Peak!AD111</f>
        <v>400.918784337218</v>
      </c>
      <c r="AE109" s="405" t="n">
        <f aca="false">Peak!AE111</f>
        <v>1851.89726733099</v>
      </c>
      <c r="AF109" s="401" t="n">
        <f aca="false">Peak!AF111</f>
        <v>1</v>
      </c>
      <c r="AG109" s="406" t="n">
        <f aca="false">Peak!AG111</f>
        <v>0</v>
      </c>
      <c r="AH109" s="401" t="n">
        <f aca="false">Peak!AH111</f>
        <v>3.39354824945325</v>
      </c>
      <c r="AI109" s="401" t="n">
        <f aca="false">Peak!AI111</f>
        <v>3.1522696030132</v>
      </c>
      <c r="AJ109" s="401" t="n">
        <f aca="false">Peak!AJ111</f>
        <v>0</v>
      </c>
      <c r="AK109" s="401" t="n">
        <f aca="false">Peak!AK111</f>
        <v>0</v>
      </c>
      <c r="AL109" s="1"/>
    </row>
    <row r="110" customFormat="false" ht="12.75" hidden="false" customHeight="false" outlineLevel="0" collapsed="false">
      <c r="A110" s="400" t="n">
        <f aca="false">A109+30.417</f>
        <v>39612.117</v>
      </c>
      <c r="B110" s="401" t="n">
        <f aca="false">IF($B$7="Coal",AG110,IF($B$7="Gas",AH110,IF($B$7="Oil",AI110,0)))</f>
        <v>3.23324999043385</v>
      </c>
      <c r="C110" s="402" t="n">
        <f aca="false">(B110*$B$1*1000)/1000000</f>
        <v>36.5510656312188</v>
      </c>
      <c r="D110" s="401" t="n">
        <f aca="false">AB110+AC110</f>
        <v>0.713448609184651</v>
      </c>
      <c r="E110" s="401" t="n">
        <f aca="false">(($AJ110*$B$1*AD110*1000)/2000)/1000000</f>
        <v>0</v>
      </c>
      <c r="F110" s="401" t="n">
        <f aca="false">AF110*(($AK110*$B$1*AE110*1000)/2000)/1000000</f>
        <v>0</v>
      </c>
      <c r="G110" s="403" t="str">
        <f aca="false">IF(IS!$C$2="Peak","-",SUM(C110:F110))</f>
        <v>-</v>
      </c>
      <c r="H110" s="411" t="n">
        <v>169.775408584118</v>
      </c>
      <c r="I110" s="411" t="n">
        <v>153.3144269207</v>
      </c>
      <c r="J110" s="411" t="n">
        <v>140.516470501751</v>
      </c>
      <c r="K110" s="411" t="n">
        <v>92.2439436968547</v>
      </c>
      <c r="L110" s="411" t="n">
        <v>71.2499278121761</v>
      </c>
      <c r="M110" s="411" t="n">
        <v>63.7128736590179</v>
      </c>
      <c r="N110" s="411" t="n">
        <v>57.0965002106511</v>
      </c>
      <c r="O110" s="411" t="n">
        <v>55.5744117069568</v>
      </c>
      <c r="P110" s="411" t="n">
        <v>45.758470155698</v>
      </c>
      <c r="Q110" s="411" t="n">
        <v>40.2730649610714</v>
      </c>
      <c r="R110" s="411" t="n">
        <v>38.8256023324992</v>
      </c>
      <c r="S110" s="411" t="n">
        <v>36.6876075791308</v>
      </c>
      <c r="T110" s="411" t="n">
        <v>35.3794842032541</v>
      </c>
      <c r="U110" s="411" t="n">
        <v>32.1435681545568</v>
      </c>
      <c r="V110" s="411" t="n">
        <v>29.1903025725812</v>
      </c>
      <c r="W110" s="411" t="n">
        <v>28.5611941749659</v>
      </c>
      <c r="X110" s="411" t="n">
        <v>28.1016329858862</v>
      </c>
      <c r="Y110" s="411" t="n">
        <v>27.9478709221834</v>
      </c>
      <c r="Z110" s="411" t="n">
        <v>27.9028376120951</v>
      </c>
      <c r="AA110" s="411" t="n">
        <v>26.7527788385406</v>
      </c>
      <c r="AB110" s="401" t="n">
        <f aca="false">Peak!AB112</f>
        <v>0.713448609184651</v>
      </c>
      <c r="AC110" s="401" t="n">
        <f aca="false">Peak!AC112</f>
        <v>0</v>
      </c>
      <c r="AD110" s="405" t="n">
        <f aca="false">Peak!AD112</f>
        <v>404.125539546226</v>
      </c>
      <c r="AE110" s="405" t="n">
        <f aca="false">Peak!AE112</f>
        <v>1866.74897976546</v>
      </c>
      <c r="AF110" s="401" t="n">
        <f aca="false">Peak!AF112</f>
        <v>1</v>
      </c>
      <c r="AG110" s="406" t="n">
        <f aca="false">Peak!AG112</f>
        <v>0</v>
      </c>
      <c r="AH110" s="401" t="n">
        <f aca="false">Peak!AH112</f>
        <v>3.23324999043385</v>
      </c>
      <c r="AI110" s="401" t="n">
        <f aca="false">Peak!AI112</f>
        <v>3.1522696030132</v>
      </c>
      <c r="AJ110" s="401" t="n">
        <f aca="false">Peak!AJ112</f>
        <v>0</v>
      </c>
      <c r="AK110" s="401" t="n">
        <f aca="false">Peak!AK112</f>
        <v>0</v>
      </c>
      <c r="AL110" s="1"/>
    </row>
    <row r="111" customFormat="false" ht="12.75" hidden="false" customHeight="false" outlineLevel="0" collapsed="false">
      <c r="A111" s="400" t="n">
        <f aca="false">A110+30.417</f>
        <v>39642.534</v>
      </c>
      <c r="B111" s="401" t="n">
        <f aca="false">IF($B$7="Coal",AG111,IF($B$7="Gas",AH111,IF($B$7="Oil",AI111,0)))</f>
        <v>3.22301818666665</v>
      </c>
      <c r="C111" s="402" t="n">
        <f aca="false">(B111*$B$1*1000)/1000000</f>
        <v>36.4353977020061</v>
      </c>
      <c r="D111" s="401" t="n">
        <f aca="false">AB111+AC111</f>
        <v>0.714637690199959</v>
      </c>
      <c r="E111" s="401" t="n">
        <f aca="false">(($AJ111*$B$1*AD111*1000)/2000)/1000000</f>
        <v>0</v>
      </c>
      <c r="F111" s="401" t="n">
        <f aca="false">AF111*(($AK111*$B$1*AE111*1000)/2000)/1000000</f>
        <v>0</v>
      </c>
      <c r="G111" s="403" t="str">
        <f aca="false">IF(IS!$C$2="Peak","-",SUM(C111:F111))</f>
        <v>-</v>
      </c>
      <c r="H111" s="411" t="n">
        <v>309.553229451162</v>
      </c>
      <c r="I111" s="411" t="n">
        <v>247.618984578282</v>
      </c>
      <c r="J111" s="411" t="n">
        <v>206.908554792505</v>
      </c>
      <c r="K111" s="411" t="n">
        <v>168.194048875395</v>
      </c>
      <c r="L111" s="411" t="n">
        <v>140.638000088281</v>
      </c>
      <c r="M111" s="411" t="n">
        <v>102.199858702842</v>
      </c>
      <c r="N111" s="411" t="n">
        <v>69.3254629747601</v>
      </c>
      <c r="O111" s="411" t="n">
        <v>60.2629470458474</v>
      </c>
      <c r="P111" s="411" t="n">
        <v>58.7237218863699</v>
      </c>
      <c r="Q111" s="411" t="n">
        <v>57.7173604236486</v>
      </c>
      <c r="R111" s="411" t="n">
        <v>52.072525979703</v>
      </c>
      <c r="S111" s="411" t="n">
        <v>40.9881900435605</v>
      </c>
      <c r="T111" s="411" t="n">
        <v>38.0157194053938</v>
      </c>
      <c r="U111" s="411" t="n">
        <v>35.2563580353236</v>
      </c>
      <c r="V111" s="411" t="n">
        <v>33.8538100122789</v>
      </c>
      <c r="W111" s="411" t="n">
        <v>31.6362218328942</v>
      </c>
      <c r="X111" s="411" t="n">
        <v>30.2263124448232</v>
      </c>
      <c r="Y111" s="411" t="n">
        <v>29.3364499501397</v>
      </c>
      <c r="Z111" s="411" t="n">
        <v>28.9812181259926</v>
      </c>
      <c r="AA111" s="411" t="n">
        <v>27.8461977713712</v>
      </c>
      <c r="AB111" s="401" t="n">
        <f aca="false">Peak!AB113</f>
        <v>0.714637690199959</v>
      </c>
      <c r="AC111" s="401" t="n">
        <f aca="false">Peak!AC113</f>
        <v>0</v>
      </c>
      <c r="AD111" s="405" t="n">
        <f aca="false">Peak!AD113</f>
        <v>407.332294755234</v>
      </c>
      <c r="AE111" s="405" t="n">
        <f aca="false">Peak!AE113</f>
        <v>1881.60069219992</v>
      </c>
      <c r="AF111" s="401" t="n">
        <f aca="false">Peak!AF113</f>
        <v>1</v>
      </c>
      <c r="AG111" s="406" t="n">
        <f aca="false">Peak!AG113</f>
        <v>0</v>
      </c>
      <c r="AH111" s="401" t="n">
        <f aca="false">Peak!AH113</f>
        <v>3.22301818666665</v>
      </c>
      <c r="AI111" s="401" t="n">
        <f aca="false">Peak!AI113</f>
        <v>3.1522696030132</v>
      </c>
      <c r="AJ111" s="401" t="n">
        <f aca="false">Peak!AJ113</f>
        <v>0</v>
      </c>
      <c r="AK111" s="401" t="n">
        <f aca="false">Peak!AK113</f>
        <v>0</v>
      </c>
      <c r="AL111" s="1"/>
    </row>
    <row r="112" customFormat="false" ht="12.75" hidden="false" customHeight="false" outlineLevel="0" collapsed="false">
      <c r="A112" s="400" t="n">
        <f aca="false">A111+30.417</f>
        <v>39672.951</v>
      </c>
      <c r="B112" s="401" t="n">
        <f aca="false">IF($B$7="Coal",AG112,IF($B$7="Gas",AH112,IF($B$7="Oil",AI112,0)))</f>
        <v>3.05589872513579</v>
      </c>
      <c r="C112" s="402" t="n">
        <f aca="false">(B112*$B$1*1000)/1000000</f>
        <v>34.5461548581983</v>
      </c>
      <c r="D112" s="401" t="n">
        <f aca="false">AB112+AC112</f>
        <v>0.715828753016959</v>
      </c>
      <c r="E112" s="401" t="n">
        <f aca="false">(($AJ112*$B$1*AD112*1000)/2000)/1000000</f>
        <v>0</v>
      </c>
      <c r="F112" s="401" t="n">
        <f aca="false">AF112*(($AK112*$B$1*AE112*1000)/2000)/1000000</f>
        <v>0</v>
      </c>
      <c r="G112" s="403" t="str">
        <f aca="false">IF(IS!$C$2="Peak","-",SUM(C112:F112))</f>
        <v>-</v>
      </c>
      <c r="H112" s="411" t="n">
        <v>540.516782336027</v>
      </c>
      <c r="I112" s="411" t="n">
        <v>354.257590975319</v>
      </c>
      <c r="J112" s="411" t="n">
        <v>285.635990338836</v>
      </c>
      <c r="K112" s="411" t="n">
        <v>218.501790537106</v>
      </c>
      <c r="L112" s="411" t="n">
        <v>171.517341534082</v>
      </c>
      <c r="M112" s="411" t="n">
        <v>128.190893307871</v>
      </c>
      <c r="N112" s="411" t="n">
        <v>72.2493769705581</v>
      </c>
      <c r="O112" s="411" t="n">
        <v>64.6262206668301</v>
      </c>
      <c r="P112" s="411" t="n">
        <v>54.8086646875864</v>
      </c>
      <c r="Q112" s="411" t="n">
        <v>41.0531269826428</v>
      </c>
      <c r="R112" s="411" t="n">
        <v>36.3354119339297</v>
      </c>
      <c r="S112" s="411" t="n">
        <v>33.4882603108301</v>
      </c>
      <c r="T112" s="411" t="n">
        <v>32.3129661137027</v>
      </c>
      <c r="U112" s="411" t="n">
        <v>32.2607988844174</v>
      </c>
      <c r="V112" s="411" t="n">
        <v>32.0246178874171</v>
      </c>
      <c r="W112" s="411" t="n">
        <v>31.7529904296543</v>
      </c>
      <c r="X112" s="411" t="n">
        <v>31.3232570758875</v>
      </c>
      <c r="Y112" s="411" t="n">
        <v>30.2750042406009</v>
      </c>
      <c r="Z112" s="411" t="n">
        <v>29.313933948741</v>
      </c>
      <c r="AA112" s="411" t="n">
        <v>26.8882909374008</v>
      </c>
      <c r="AB112" s="401" t="n">
        <f aca="false">Peak!AB114</f>
        <v>0.715828753016959</v>
      </c>
      <c r="AC112" s="401" t="n">
        <f aca="false">Peak!AC114</f>
        <v>0</v>
      </c>
      <c r="AD112" s="405" t="n">
        <f aca="false">Peak!AD114</f>
        <v>410.539049964243</v>
      </c>
      <c r="AE112" s="405" t="n">
        <f aca="false">Peak!AE114</f>
        <v>1896.45240463438</v>
      </c>
      <c r="AF112" s="401" t="n">
        <f aca="false">Peak!AF114</f>
        <v>1</v>
      </c>
      <c r="AG112" s="406" t="n">
        <f aca="false">Peak!AG114</f>
        <v>0</v>
      </c>
      <c r="AH112" s="401" t="n">
        <f aca="false">Peak!AH114</f>
        <v>3.05589872513579</v>
      </c>
      <c r="AI112" s="401" t="n">
        <f aca="false">Peak!AI114</f>
        <v>3.1522696030132</v>
      </c>
      <c r="AJ112" s="401" t="n">
        <f aca="false">Peak!AJ114</f>
        <v>0</v>
      </c>
      <c r="AK112" s="401" t="n">
        <f aca="false">Peak!AK114</f>
        <v>0</v>
      </c>
      <c r="AL112" s="1"/>
    </row>
    <row r="113" customFormat="false" ht="12.75" hidden="false" customHeight="false" outlineLevel="0" collapsed="false">
      <c r="A113" s="400" t="n">
        <f aca="false">A112+30.417</f>
        <v>39703.368</v>
      </c>
      <c r="B113" s="401" t="n">
        <f aca="false">IF($B$7="Coal",AG113,IF($B$7="Gas",AH113,IF($B$7="Oil",AI113,0)))</f>
        <v>3.04566692136859</v>
      </c>
      <c r="C113" s="402" t="n">
        <f aca="false">(B113*$B$1*1000)/1000000</f>
        <v>34.4304869289856</v>
      </c>
      <c r="D113" s="401" t="n">
        <f aca="false">AB113+AC113</f>
        <v>0.717021800938654</v>
      </c>
      <c r="E113" s="401" t="n">
        <f aca="false">(($AJ113*$B$1*AD113*1000)/2000)/1000000</f>
        <v>0</v>
      </c>
      <c r="F113" s="401" t="n">
        <f aca="false">AF113*(($AK113*$B$1*AE113*1000)/2000)/1000000</f>
        <v>0</v>
      </c>
      <c r="G113" s="403" t="str">
        <f aca="false">IF(IS!$C$2="Peak","-",SUM(C113:F113))</f>
        <v>-</v>
      </c>
      <c r="H113" s="411" t="n">
        <v>179.943011219524</v>
      </c>
      <c r="I113" s="411" t="n">
        <v>155.864630999922</v>
      </c>
      <c r="J113" s="411" t="n">
        <v>114.663385039252</v>
      </c>
      <c r="K113" s="411" t="n">
        <v>86.268677788859</v>
      </c>
      <c r="L113" s="411" t="n">
        <v>68.1064350242074</v>
      </c>
      <c r="M113" s="411" t="n">
        <v>58.989533120427</v>
      </c>
      <c r="N113" s="411" t="n">
        <v>55.2422570210869</v>
      </c>
      <c r="O113" s="411" t="n">
        <v>52.8428444436543</v>
      </c>
      <c r="P113" s="411" t="n">
        <v>50.3484243208513</v>
      </c>
      <c r="Q113" s="411" t="n">
        <v>42.1593775128397</v>
      </c>
      <c r="R113" s="411" t="n">
        <v>38.5866004708007</v>
      </c>
      <c r="S113" s="411" t="n">
        <v>35.1030822889655</v>
      </c>
      <c r="T113" s="411" t="n">
        <v>33.3146550353182</v>
      </c>
      <c r="U113" s="411" t="n">
        <v>31.6802317093528</v>
      </c>
      <c r="V113" s="411" t="n">
        <v>30.1433444995163</v>
      </c>
      <c r="W113" s="411" t="n">
        <v>29.192688133667</v>
      </c>
      <c r="X113" s="411" t="n">
        <v>28.2981392630781</v>
      </c>
      <c r="Y113" s="411" t="n">
        <v>27.9454656512427</v>
      </c>
      <c r="Z113" s="411" t="n">
        <v>27.7323048487686</v>
      </c>
      <c r="AA113" s="411" t="n">
        <v>27.0337968683791</v>
      </c>
      <c r="AB113" s="401" t="n">
        <f aca="false">Peak!AB115</f>
        <v>0.717021800938654</v>
      </c>
      <c r="AC113" s="401" t="n">
        <f aca="false">Peak!AC115</f>
        <v>0</v>
      </c>
      <c r="AD113" s="405" t="n">
        <f aca="false">Peak!AD115</f>
        <v>413.745805173251</v>
      </c>
      <c r="AE113" s="405" t="n">
        <f aca="false">Peak!AE115</f>
        <v>1911.30411706884</v>
      </c>
      <c r="AF113" s="401" t="n">
        <f aca="false">Peak!AF115</f>
        <v>1</v>
      </c>
      <c r="AG113" s="406" t="n">
        <f aca="false">Peak!AG115</f>
        <v>0</v>
      </c>
      <c r="AH113" s="401" t="n">
        <f aca="false">Peak!AH115</f>
        <v>3.04566692136859</v>
      </c>
      <c r="AI113" s="401" t="n">
        <f aca="false">Peak!AI115</f>
        <v>3.1522696030132</v>
      </c>
      <c r="AJ113" s="401" t="n">
        <f aca="false">Peak!AJ115</f>
        <v>0</v>
      </c>
      <c r="AK113" s="401" t="n">
        <f aca="false">Peak!AK115</f>
        <v>0</v>
      </c>
      <c r="AL113" s="1"/>
    </row>
    <row r="114" customFormat="false" ht="12.75" hidden="false" customHeight="false" outlineLevel="0" collapsed="false">
      <c r="A114" s="400" t="n">
        <f aca="false">A113+30.417</f>
        <v>39733.785</v>
      </c>
      <c r="B114" s="401" t="n">
        <f aca="false">IF($B$7="Coal",AG114,IF($B$7="Gas",AH114,IF($B$7="Oil",AI114,0)))</f>
        <v>3.37308464191885</v>
      </c>
      <c r="C114" s="402" t="n">
        <f aca="false">(B114*$B$1*1000)/1000000</f>
        <v>38.1318606637926</v>
      </c>
      <c r="D114" s="401" t="n">
        <f aca="false">AB114+AC114</f>
        <v>0.718216837273552</v>
      </c>
      <c r="E114" s="401" t="n">
        <f aca="false">(($AJ114*$B$1*AD114*1000)/2000)/1000000</f>
        <v>0</v>
      </c>
      <c r="F114" s="401" t="n">
        <f aca="false">AF114*(($AK114*$B$1*AE114*1000)/2000)/1000000</f>
        <v>0</v>
      </c>
      <c r="G114" s="403" t="str">
        <f aca="false">IF(IS!$C$2="Peak","-",SUM(C114:F114))</f>
        <v>-</v>
      </c>
      <c r="H114" s="411" t="n">
        <v>78.4661887816398</v>
      </c>
      <c r="I114" s="411" t="n">
        <v>74.5411955588133</v>
      </c>
      <c r="J114" s="411" t="n">
        <v>72.4771298640136</v>
      </c>
      <c r="K114" s="411" t="n">
        <v>67.8386990959187</v>
      </c>
      <c r="L114" s="411" t="n">
        <v>66.6724589994324</v>
      </c>
      <c r="M114" s="411" t="n">
        <v>66.0918628020147</v>
      </c>
      <c r="N114" s="411" t="n">
        <v>55.4521257133922</v>
      </c>
      <c r="O114" s="411" t="n">
        <v>46.456681054082</v>
      </c>
      <c r="P114" s="411" t="n">
        <v>41.4608896141359</v>
      </c>
      <c r="Q114" s="411" t="n">
        <v>37.8919781330306</v>
      </c>
      <c r="R114" s="411" t="n">
        <v>37.5305964310159</v>
      </c>
      <c r="S114" s="411" t="n">
        <v>35.395494380177</v>
      </c>
      <c r="T114" s="411" t="n">
        <v>34.4824698526298</v>
      </c>
      <c r="U114" s="411" t="n">
        <v>33.4524935929611</v>
      </c>
      <c r="V114" s="411" t="n">
        <v>33.1896390306586</v>
      </c>
      <c r="W114" s="411" t="n">
        <v>33.1896390306586</v>
      </c>
      <c r="X114" s="411" t="n">
        <v>33.1896390306586</v>
      </c>
      <c r="Y114" s="411" t="n">
        <v>33.1896390306586</v>
      </c>
      <c r="Z114" s="411" t="n">
        <v>33.1896390306586</v>
      </c>
      <c r="AA114" s="411" t="n">
        <v>32.5499635338238</v>
      </c>
      <c r="AB114" s="401" t="n">
        <f aca="false">Peak!AB116</f>
        <v>0.718216837273552</v>
      </c>
      <c r="AC114" s="401" t="n">
        <f aca="false">Peak!AC116</f>
        <v>0</v>
      </c>
      <c r="AD114" s="405" t="n">
        <f aca="false">Peak!AD116</f>
        <v>416.952560382259</v>
      </c>
      <c r="AE114" s="405" t="n">
        <f aca="false">Peak!AE116</f>
        <v>1926.1558295033</v>
      </c>
      <c r="AF114" s="401" t="n">
        <f aca="false">Peak!AF116</f>
        <v>1</v>
      </c>
      <c r="AG114" s="406" t="n">
        <f aca="false">Peak!AG116</f>
        <v>0</v>
      </c>
      <c r="AH114" s="401" t="n">
        <f aca="false">Peak!AH116</f>
        <v>3.37308464191885</v>
      </c>
      <c r="AI114" s="401" t="n">
        <f aca="false">Peak!AI116</f>
        <v>3.1522696030132</v>
      </c>
      <c r="AJ114" s="401" t="n">
        <f aca="false">Peak!AJ116</f>
        <v>0</v>
      </c>
      <c r="AK114" s="401" t="n">
        <f aca="false">Peak!AK116</f>
        <v>0</v>
      </c>
      <c r="AL114" s="1"/>
    </row>
    <row r="115" customFormat="false" ht="12.75" hidden="false" customHeight="false" outlineLevel="0" collapsed="false">
      <c r="A115" s="400" t="n">
        <f aca="false">A114+30.417</f>
        <v>39764.202</v>
      </c>
      <c r="B115" s="401" t="n">
        <f aca="false">IF($B$7="Coal",AG115,IF($B$7="Gas",AH115,IF($B$7="Oil",AI115,0)))</f>
        <v>3.69368115995765</v>
      </c>
      <c r="C115" s="402" t="n">
        <f aca="false">(B115*$B$1*1000)/1000000</f>
        <v>41.7561224457911</v>
      </c>
      <c r="D115" s="401" t="n">
        <f aca="false">AB115+AC115</f>
        <v>0.719413865335674</v>
      </c>
      <c r="E115" s="401" t="n">
        <f aca="false">(($AJ115*$B$1*AD115*1000)/2000)/1000000</f>
        <v>0</v>
      </c>
      <c r="F115" s="401" t="n">
        <f aca="false">AF115*(($AK115*$B$1*AE115*1000)/2000)/1000000</f>
        <v>0</v>
      </c>
      <c r="G115" s="403" t="str">
        <f aca="false">IF(IS!$C$2="Peak","-",SUM(C115:F115))</f>
        <v>-</v>
      </c>
      <c r="H115" s="411" t="n">
        <v>95.4525204392079</v>
      </c>
      <c r="I115" s="411" t="n">
        <v>88.5059075629026</v>
      </c>
      <c r="J115" s="411" t="n">
        <v>84.2043552823744</v>
      </c>
      <c r="K115" s="411" t="n">
        <v>79.0239314614264</v>
      </c>
      <c r="L115" s="411" t="n">
        <v>75.8651746057875</v>
      </c>
      <c r="M115" s="411" t="n">
        <v>75.4247680407112</v>
      </c>
      <c r="N115" s="411" t="n">
        <v>66.9039849236822</v>
      </c>
      <c r="O115" s="411" t="n">
        <v>52.2930053559926</v>
      </c>
      <c r="P115" s="411" t="n">
        <v>45.413413774099</v>
      </c>
      <c r="Q115" s="411" t="n">
        <v>42.7947597897534</v>
      </c>
      <c r="R115" s="411" t="n">
        <v>41.3389525672664</v>
      </c>
      <c r="S115" s="411" t="n">
        <v>37.3082277523182</v>
      </c>
      <c r="T115" s="411" t="n">
        <v>36.6560210664226</v>
      </c>
      <c r="U115" s="411" t="n">
        <v>36.655784213846</v>
      </c>
      <c r="V115" s="411" t="n">
        <v>36.655784213846</v>
      </c>
      <c r="W115" s="411" t="n">
        <v>36.655784213846</v>
      </c>
      <c r="X115" s="411" t="n">
        <v>36.4026310372427</v>
      </c>
      <c r="Y115" s="411" t="n">
        <v>34.408823634092</v>
      </c>
      <c r="Z115" s="411" t="n">
        <v>33.5462005948767</v>
      </c>
      <c r="AA115" s="411" t="n">
        <v>31.0245913795083</v>
      </c>
      <c r="AB115" s="401" t="n">
        <f aca="false">Peak!AB117</f>
        <v>0.719413865335674</v>
      </c>
      <c r="AC115" s="401" t="n">
        <f aca="false">Peak!AC117</f>
        <v>0</v>
      </c>
      <c r="AD115" s="405" t="n">
        <f aca="false">Peak!AD117</f>
        <v>420.159315591267</v>
      </c>
      <c r="AE115" s="405" t="n">
        <f aca="false">Peak!AE117</f>
        <v>1941.00754193777</v>
      </c>
      <c r="AF115" s="401" t="n">
        <f aca="false">Peak!AF117</f>
        <v>1</v>
      </c>
      <c r="AG115" s="406" t="n">
        <f aca="false">Peak!AG117</f>
        <v>0</v>
      </c>
      <c r="AH115" s="401" t="n">
        <f aca="false">Peak!AH117</f>
        <v>3.69368115995765</v>
      </c>
      <c r="AI115" s="401" t="n">
        <f aca="false">Peak!AI117</f>
        <v>3.41772388537221</v>
      </c>
      <c r="AJ115" s="401" t="n">
        <f aca="false">Peak!AJ117</f>
        <v>0</v>
      </c>
      <c r="AK115" s="401" t="n">
        <f aca="false">Peak!AK117</f>
        <v>0</v>
      </c>
      <c r="AL115" s="1"/>
    </row>
    <row r="116" customFormat="false" ht="12.75" hidden="false" customHeight="false" outlineLevel="0" collapsed="false">
      <c r="A116" s="400" t="n">
        <f aca="false">A115+30.417</f>
        <v>39794.619</v>
      </c>
      <c r="B116" s="401" t="n">
        <f aca="false">IF($B$7="Coal",AG116,IF($B$7="Gas",AH116,IF($B$7="Oil",AI116,0)))</f>
        <v>3.99722467171779</v>
      </c>
      <c r="C116" s="402" t="n">
        <f aca="false">(B116*$B$1*1000)/1000000</f>
        <v>45.1876043457684</v>
      </c>
      <c r="D116" s="401" t="n">
        <f aca="false">AB116+AC116</f>
        <v>0.720612888444567</v>
      </c>
      <c r="E116" s="401" t="n">
        <f aca="false">(($AJ116*$B$1*AD116*1000)/2000)/1000000</f>
        <v>0</v>
      </c>
      <c r="F116" s="401" t="n">
        <f aca="false">AF116*(($AK116*$B$1*AE116*1000)/2000)/1000000</f>
        <v>0</v>
      </c>
      <c r="G116" s="403" t="str">
        <f aca="false">IF(IS!$C$2="Peak","-",SUM(C116:F116))</f>
        <v>-</v>
      </c>
      <c r="H116" s="411" t="n">
        <v>178.840327185123</v>
      </c>
      <c r="I116" s="411" t="n">
        <v>163.980167518134</v>
      </c>
      <c r="J116" s="411" t="n">
        <v>155.545720563154</v>
      </c>
      <c r="K116" s="411" t="n">
        <v>115.618757537638</v>
      </c>
      <c r="L116" s="411" t="n">
        <v>87.7173516392862</v>
      </c>
      <c r="M116" s="411" t="n">
        <v>74.4756814214207</v>
      </c>
      <c r="N116" s="411" t="n">
        <v>67.4844795188602</v>
      </c>
      <c r="O116" s="411" t="n">
        <v>63.3236348917582</v>
      </c>
      <c r="P116" s="411" t="n">
        <v>60.1678929408086</v>
      </c>
      <c r="Q116" s="411" t="n">
        <v>60.0475153276794</v>
      </c>
      <c r="R116" s="411" t="n">
        <v>58.6839517186038</v>
      </c>
      <c r="S116" s="411" t="n">
        <v>47.9813990174906</v>
      </c>
      <c r="T116" s="411" t="n">
        <v>41.5903450381535</v>
      </c>
      <c r="U116" s="411" t="n">
        <v>34.8699476160647</v>
      </c>
      <c r="V116" s="411" t="n">
        <v>34.2719617878004</v>
      </c>
      <c r="W116" s="411" t="n">
        <v>31.8106649742243</v>
      </c>
      <c r="X116" s="411" t="n">
        <v>29.9502199501421</v>
      </c>
      <c r="Y116" s="411" t="n">
        <v>29.8301349311459</v>
      </c>
      <c r="Z116" s="411" t="n">
        <v>29.6177574969808</v>
      </c>
      <c r="AA116" s="411" t="n">
        <v>27.6993034467687</v>
      </c>
      <c r="AB116" s="401" t="n">
        <f aca="false">Peak!AB118</f>
        <v>0.720612888444567</v>
      </c>
      <c r="AC116" s="401" t="n">
        <f aca="false">Peak!AC118</f>
        <v>0</v>
      </c>
      <c r="AD116" s="405" t="n">
        <f aca="false">Peak!AD118</f>
        <v>423.366070800275</v>
      </c>
      <c r="AE116" s="405" t="n">
        <f aca="false">Peak!AE118</f>
        <v>1955.85925437223</v>
      </c>
      <c r="AF116" s="401" t="n">
        <f aca="false">Peak!AF118</f>
        <v>1</v>
      </c>
      <c r="AG116" s="406" t="n">
        <f aca="false">Peak!AG118</f>
        <v>0</v>
      </c>
      <c r="AH116" s="401" t="n">
        <f aca="false">Peak!AH118</f>
        <v>3.99722467171779</v>
      </c>
      <c r="AI116" s="401" t="n">
        <f aca="false">Peak!AI118</f>
        <v>3.58363281184659</v>
      </c>
      <c r="AJ116" s="401" t="n">
        <f aca="false">Peak!AJ118</f>
        <v>0</v>
      </c>
      <c r="AK116" s="401" t="n">
        <f aca="false">Peak!AK118</f>
        <v>0</v>
      </c>
      <c r="AL116" s="1"/>
    </row>
    <row r="117" customFormat="false" ht="12.75" hidden="false" customHeight="false" outlineLevel="0" collapsed="false">
      <c r="A117" s="400" t="n">
        <f aca="false">A116+30.417</f>
        <v>39825.036</v>
      </c>
      <c r="B117" s="401" t="n">
        <f aca="false">IF($B$7="Coal",AG117,IF($B$7="Gas",AH117,IF($B$7="Oil",AI117,0)))</f>
        <v>3.988309596277</v>
      </c>
      <c r="C117" s="402" t="n">
        <f aca="false">(B117*$B$1*1000)/1000000</f>
        <v>45.0868216940997</v>
      </c>
      <c r="D117" s="401" t="n">
        <f aca="false">AB117+AC117</f>
        <v>0.721813909925308</v>
      </c>
      <c r="E117" s="401" t="n">
        <f aca="false">(($AJ117*$B$1*AD117*1000)/2000)/1000000</f>
        <v>0</v>
      </c>
      <c r="F117" s="401" t="n">
        <f aca="false">AF117*(($AK117*$B$1*AE117*1000)/2000)/1000000</f>
        <v>0</v>
      </c>
      <c r="G117" s="403" t="str">
        <f aca="false">IF(IS!$C$2="Peak","-",SUM(C117:F117))</f>
        <v>-</v>
      </c>
      <c r="H117" s="411" t="n">
        <v>116.70897413267</v>
      </c>
      <c r="I117" s="411" t="n">
        <v>105.59586960243</v>
      </c>
      <c r="J117" s="411" t="n">
        <v>93.4193368864329</v>
      </c>
      <c r="K117" s="411" t="n">
        <v>86.8923168629584</v>
      </c>
      <c r="L117" s="411" t="n">
        <v>82.2627638123439</v>
      </c>
      <c r="M117" s="411" t="n">
        <v>76.7217616795618</v>
      </c>
      <c r="N117" s="411" t="n">
        <v>76.0012972815167</v>
      </c>
      <c r="O117" s="411" t="n">
        <v>70.4370052806804</v>
      </c>
      <c r="P117" s="411" t="n">
        <v>53.806516308452</v>
      </c>
      <c r="Q117" s="411" t="n">
        <v>46.8429805706928</v>
      </c>
      <c r="R117" s="411" t="n">
        <v>43.0271748149685</v>
      </c>
      <c r="S117" s="411" t="n">
        <v>39.9437652008457</v>
      </c>
      <c r="T117" s="411" t="n">
        <v>37.4579515740665</v>
      </c>
      <c r="U117" s="411" t="n">
        <v>37.4579515740665</v>
      </c>
      <c r="V117" s="411" t="n">
        <v>37.4579515740665</v>
      </c>
      <c r="W117" s="411" t="n">
        <v>37.4579515740665</v>
      </c>
      <c r="X117" s="411" t="n">
        <v>35.8032376420004</v>
      </c>
      <c r="Y117" s="411" t="n">
        <v>33.1031405089133</v>
      </c>
      <c r="Z117" s="411" t="n">
        <v>32.2949363789468</v>
      </c>
      <c r="AA117" s="411" t="n">
        <v>29.7248266393652</v>
      </c>
      <c r="AB117" s="401" t="n">
        <f aca="false">Peak!AB119</f>
        <v>0.721813909925308</v>
      </c>
      <c r="AC117" s="401" t="n">
        <f aca="false">Peak!AC119</f>
        <v>0</v>
      </c>
      <c r="AD117" s="405" t="n">
        <f aca="false">Peak!AD119</f>
        <v>429.779581218291</v>
      </c>
      <c r="AE117" s="405" t="n">
        <f aca="false">Peak!AE119</f>
        <v>1985.56267924115</v>
      </c>
      <c r="AF117" s="401" t="n">
        <f aca="false">Peak!AF119</f>
        <v>1</v>
      </c>
      <c r="AG117" s="406" t="n">
        <f aca="false">Peak!AG119</f>
        <v>0</v>
      </c>
      <c r="AH117" s="401" t="n">
        <f aca="false">Peak!AH119</f>
        <v>3.988309596277</v>
      </c>
      <c r="AI117" s="401" t="n">
        <f aca="false">Peak!AI119</f>
        <v>3.71422184671917</v>
      </c>
      <c r="AJ117" s="401" t="n">
        <f aca="false">Peak!AJ119</f>
        <v>0</v>
      </c>
      <c r="AK117" s="401" t="n">
        <f aca="false">Peak!AK119</f>
        <v>0</v>
      </c>
      <c r="AL117" s="1"/>
    </row>
    <row r="118" customFormat="false" ht="12.75" hidden="false" customHeight="false" outlineLevel="0" collapsed="false">
      <c r="A118" s="400" t="n">
        <f aca="false">A117+30.417</f>
        <v>39855.453</v>
      </c>
      <c r="B118" s="401" t="n">
        <f aca="false">IF($B$7="Coal",AG118,IF($B$7="Gas",AH118,IF($B$7="Oil",AI118,0)))</f>
        <v>3.57462854772699</v>
      </c>
      <c r="C118" s="402" t="n">
        <f aca="false">(B118*$B$1*1000)/1000000</f>
        <v>40.4102630609351</v>
      </c>
      <c r="D118" s="401" t="n">
        <f aca="false">AB118+AC118</f>
        <v>0.723016933108517</v>
      </c>
      <c r="E118" s="401" t="n">
        <f aca="false">(($AJ118*$B$1*AD118*1000)/2000)/1000000</f>
        <v>0</v>
      </c>
      <c r="F118" s="401" t="n">
        <f aca="false">AF118*(($AK118*$B$1*AE118*1000)/2000)/1000000</f>
        <v>0</v>
      </c>
      <c r="G118" s="403" t="str">
        <f aca="false">IF(IS!$C$2="Peak","-",SUM(C118:F118))</f>
        <v>-</v>
      </c>
      <c r="H118" s="411" t="n">
        <v>163.033365423984</v>
      </c>
      <c r="I118" s="411" t="n">
        <v>153.038203554134</v>
      </c>
      <c r="J118" s="411" t="n">
        <v>119.98118214244</v>
      </c>
      <c r="K118" s="411" t="n">
        <v>88.3556634717744</v>
      </c>
      <c r="L118" s="411" t="n">
        <v>82.4056014072101</v>
      </c>
      <c r="M118" s="411" t="n">
        <v>77.6096508467753</v>
      </c>
      <c r="N118" s="411" t="n">
        <v>73.6064661054518</v>
      </c>
      <c r="O118" s="411" t="n">
        <v>72.3564000624202</v>
      </c>
      <c r="P118" s="411" t="n">
        <v>58.5859148793691</v>
      </c>
      <c r="Q118" s="411" t="n">
        <v>48.8724879342889</v>
      </c>
      <c r="R118" s="411" t="n">
        <v>41.5824099969591</v>
      </c>
      <c r="S118" s="411" t="n">
        <v>39.3820198525268</v>
      </c>
      <c r="T118" s="411" t="n">
        <v>36.1042855043048</v>
      </c>
      <c r="U118" s="411" t="n">
        <v>36.0881340935171</v>
      </c>
      <c r="V118" s="411" t="n">
        <v>35.5326244215531</v>
      </c>
      <c r="W118" s="411" t="n">
        <v>35.3560081336772</v>
      </c>
      <c r="X118" s="411" t="n">
        <v>33.8018671646285</v>
      </c>
      <c r="Y118" s="411" t="n">
        <v>33.0794761442253</v>
      </c>
      <c r="Z118" s="411" t="n">
        <v>32.2144486796199</v>
      </c>
      <c r="AA118" s="411" t="n">
        <v>29.4440396546625</v>
      </c>
      <c r="AB118" s="401" t="n">
        <f aca="false">Peak!AB120</f>
        <v>0.723016933108517</v>
      </c>
      <c r="AC118" s="401" t="n">
        <f aca="false">Peak!AC120</f>
        <v>0</v>
      </c>
      <c r="AD118" s="405" t="n">
        <f aca="false">Peak!AD120</f>
        <v>429.779581218291</v>
      </c>
      <c r="AE118" s="405" t="n">
        <f aca="false">Peak!AE120</f>
        <v>1985.56267924115</v>
      </c>
      <c r="AF118" s="401" t="n">
        <f aca="false">Peak!AF120</f>
        <v>1</v>
      </c>
      <c r="AG118" s="406" t="n">
        <f aca="false">Peak!AG120</f>
        <v>0</v>
      </c>
      <c r="AH118" s="401" t="n">
        <f aca="false">Peak!AH120</f>
        <v>3.57462854772699</v>
      </c>
      <c r="AI118" s="401" t="n">
        <f aca="false">Peak!AI120</f>
        <v>3.67983090369399</v>
      </c>
      <c r="AJ118" s="401" t="n">
        <f aca="false">Peak!AJ120</f>
        <v>0</v>
      </c>
      <c r="AK118" s="401" t="n">
        <f aca="false">Peak!AK120</f>
        <v>0</v>
      </c>
      <c r="AL118" s="1"/>
    </row>
    <row r="119" customFormat="false" ht="12.75" hidden="false" customHeight="false" outlineLevel="0" collapsed="false">
      <c r="A119" s="400" t="n">
        <f aca="false">A118+30.417</f>
        <v>39885.87</v>
      </c>
      <c r="B119" s="401" t="n">
        <f aca="false">IF($B$7="Coal",AG119,IF($B$7="Gas",AH119,IF($B$7="Oil",AI119,0)))</f>
        <v>3.51452104494622</v>
      </c>
      <c r="C119" s="402" t="n">
        <f aca="false">(B119*$B$1*1000)/1000000</f>
        <v>39.730763088595</v>
      </c>
      <c r="D119" s="401" t="n">
        <f aca="false">AB119+AC119</f>
        <v>0.724221961330365</v>
      </c>
      <c r="E119" s="401" t="n">
        <f aca="false">(($AJ119*$B$1*AD119*1000)/2000)/1000000</f>
        <v>0</v>
      </c>
      <c r="F119" s="401" t="n">
        <f aca="false">AF119*(($AK119*$B$1*AE119*1000)/2000)/1000000</f>
        <v>0</v>
      </c>
      <c r="G119" s="403" t="str">
        <f aca="false">IF(IS!$C$2="Peak","-",SUM(C119:F119))</f>
        <v>-</v>
      </c>
      <c r="H119" s="411" t="n">
        <v>98.2197352729794</v>
      </c>
      <c r="I119" s="411" t="n">
        <v>87.3496412278129</v>
      </c>
      <c r="J119" s="411" t="n">
        <v>84.1573091273744</v>
      </c>
      <c r="K119" s="411" t="n">
        <v>79.3545340181988</v>
      </c>
      <c r="L119" s="411" t="n">
        <v>73.8458815445744</v>
      </c>
      <c r="M119" s="411" t="n">
        <v>72.8930474929207</v>
      </c>
      <c r="N119" s="411" t="n">
        <v>70.3655151018946</v>
      </c>
      <c r="O119" s="411" t="n">
        <v>55.7218752486978</v>
      </c>
      <c r="P119" s="411" t="n">
        <v>49.6714752584513</v>
      </c>
      <c r="Q119" s="411" t="n">
        <v>43.0157846844102</v>
      </c>
      <c r="R119" s="411" t="n">
        <v>41.2096253295577</v>
      </c>
      <c r="S119" s="411" t="n">
        <v>40.8643659278359</v>
      </c>
      <c r="T119" s="411" t="n">
        <v>38.3124842246029</v>
      </c>
      <c r="U119" s="411" t="n">
        <v>36.2061334558885</v>
      </c>
      <c r="V119" s="411" t="n">
        <v>36.1617389194446</v>
      </c>
      <c r="W119" s="411" t="n">
        <v>35.6864356558131</v>
      </c>
      <c r="X119" s="411" t="n">
        <v>35.3543694641358</v>
      </c>
      <c r="Y119" s="411" t="n">
        <v>35.3212151974709</v>
      </c>
      <c r="Z119" s="411" t="n">
        <v>35.3211717794941</v>
      </c>
      <c r="AA119" s="411" t="n">
        <v>34.8694721892564</v>
      </c>
      <c r="AB119" s="401" t="n">
        <f aca="false">Peak!AB121</f>
        <v>0.724221961330365</v>
      </c>
      <c r="AC119" s="401" t="n">
        <f aca="false">Peak!AC121</f>
        <v>0</v>
      </c>
      <c r="AD119" s="405" t="n">
        <f aca="false">Peak!AD121</f>
        <v>429.779581218291</v>
      </c>
      <c r="AE119" s="405" t="n">
        <f aca="false">Peak!AE121</f>
        <v>1985.56267924115</v>
      </c>
      <c r="AF119" s="401" t="n">
        <f aca="false">Peak!AF121</f>
        <v>1</v>
      </c>
      <c r="AG119" s="406" t="n">
        <f aca="false">Peak!AG121</f>
        <v>0</v>
      </c>
      <c r="AH119" s="401" t="n">
        <f aca="false">Peak!AH121</f>
        <v>3.51452104494622</v>
      </c>
      <c r="AI119" s="401" t="n">
        <f aca="false">Peak!AI121</f>
        <v>3.54226713159328</v>
      </c>
      <c r="AJ119" s="401" t="n">
        <f aca="false">Peak!AJ121</f>
        <v>0</v>
      </c>
      <c r="AK119" s="401" t="n">
        <f aca="false">Peak!AK121</f>
        <v>0</v>
      </c>
      <c r="AL119" s="1"/>
    </row>
    <row r="120" customFormat="false" ht="12.75" hidden="false" customHeight="false" outlineLevel="0" collapsed="false">
      <c r="A120" s="400" t="n">
        <f aca="false">A119+30.417</f>
        <v>39916.287</v>
      </c>
      <c r="B120" s="401" t="n">
        <f aca="false">IF($B$7="Coal",AG120,IF($B$7="Gas",AH120,IF($B$7="Oil",AI120,0)))</f>
        <v>3.3412700075193</v>
      </c>
      <c r="C120" s="402" t="n">
        <f aca="false">(B120*$B$1*1000)/1000000</f>
        <v>37.772204344791</v>
      </c>
      <c r="D120" s="401" t="n">
        <f aca="false">AB120+AC120</f>
        <v>0.725428997932582</v>
      </c>
      <c r="E120" s="401" t="n">
        <f aca="false">(($AJ120*$B$1*AD120*1000)/2000)/1000000</f>
        <v>0</v>
      </c>
      <c r="F120" s="401" t="n">
        <f aca="false">AF120*(($AK120*$B$1*AE120*1000)/2000)/1000000</f>
        <v>0</v>
      </c>
      <c r="G120" s="403" t="str">
        <f aca="false">IF(IS!$C$2="Peak","-",SUM(C120:F120))</f>
        <v>-</v>
      </c>
      <c r="H120" s="411" t="n">
        <v>79.6016830983471</v>
      </c>
      <c r="I120" s="411" t="n">
        <v>76.8643023326274</v>
      </c>
      <c r="J120" s="411" t="n">
        <v>72.9933222893613</v>
      </c>
      <c r="K120" s="411" t="n">
        <v>69.8639935204755</v>
      </c>
      <c r="L120" s="411" t="n">
        <v>69.7109588055339</v>
      </c>
      <c r="M120" s="411" t="n">
        <v>63.3621119629306</v>
      </c>
      <c r="N120" s="411" t="n">
        <v>48.4654775026336</v>
      </c>
      <c r="O120" s="411" t="n">
        <v>44.4232919344186</v>
      </c>
      <c r="P120" s="411" t="n">
        <v>40.0881631945627</v>
      </c>
      <c r="Q120" s="411" t="n">
        <v>39.5509257226379</v>
      </c>
      <c r="R120" s="411" t="n">
        <v>38.5003835417312</v>
      </c>
      <c r="S120" s="411" t="n">
        <v>36.2495613024209</v>
      </c>
      <c r="T120" s="411" t="n">
        <v>35.2560605868808</v>
      </c>
      <c r="U120" s="411" t="n">
        <v>34.7951530918657</v>
      </c>
      <c r="V120" s="411" t="n">
        <v>34.7577728437079</v>
      </c>
      <c r="W120" s="411" t="n">
        <v>34.284895032991</v>
      </c>
      <c r="X120" s="411" t="n">
        <v>33.9319891950155</v>
      </c>
      <c r="Y120" s="411" t="n">
        <v>33.9318192877341</v>
      </c>
      <c r="Z120" s="411" t="n">
        <v>33.9317648619132</v>
      </c>
      <c r="AA120" s="411" t="n">
        <v>33.5581519622318</v>
      </c>
      <c r="AB120" s="401" t="n">
        <f aca="false">Peak!AB122</f>
        <v>0.725428997932582</v>
      </c>
      <c r="AC120" s="401" t="n">
        <f aca="false">Peak!AC122</f>
        <v>0</v>
      </c>
      <c r="AD120" s="405" t="n">
        <f aca="false">Peak!AD122</f>
        <v>429.779581218291</v>
      </c>
      <c r="AE120" s="405" t="n">
        <f aca="false">Peak!AE122</f>
        <v>1985.56267924115</v>
      </c>
      <c r="AF120" s="401" t="n">
        <f aca="false">Peak!AF122</f>
        <v>1</v>
      </c>
      <c r="AG120" s="406" t="n">
        <f aca="false">Peak!AG122</f>
        <v>0</v>
      </c>
      <c r="AH120" s="401" t="n">
        <f aca="false">Peak!AH122</f>
        <v>3.3412700075193</v>
      </c>
      <c r="AI120" s="401" t="n">
        <f aca="false">Peak!AI122</f>
        <v>3.40470335949257</v>
      </c>
      <c r="AJ120" s="401" t="n">
        <f aca="false">Peak!AJ122</f>
        <v>0</v>
      </c>
      <c r="AK120" s="401" t="n">
        <f aca="false">Peak!AK122</f>
        <v>0</v>
      </c>
      <c r="AL120" s="1"/>
    </row>
    <row r="121" customFormat="false" ht="12.75" hidden="false" customHeight="false" outlineLevel="0" collapsed="false">
      <c r="A121" s="400" t="n">
        <f aca="false">A120+30.417</f>
        <v>39946.704</v>
      </c>
      <c r="B121" s="401" t="n">
        <f aca="false">IF($B$7="Coal",AG121,IF($B$7="Gas",AH121,IF($B$7="Oil",AI121,0)))</f>
        <v>3.51805678040392</v>
      </c>
      <c r="C121" s="402" t="n">
        <f aca="false">(B121*$B$1*1000)/1000000</f>
        <v>39.7707336752032</v>
      </c>
      <c r="D121" s="401" t="n">
        <f aca="false">AB121+AC121</f>
        <v>0.72663804626247</v>
      </c>
      <c r="E121" s="401" t="n">
        <f aca="false">(($AJ121*$B$1*AD121*1000)/2000)/1000000</f>
        <v>0</v>
      </c>
      <c r="F121" s="401" t="n">
        <f aca="false">AF121*(($AK121*$B$1*AE121*1000)/2000)/1000000</f>
        <v>0</v>
      </c>
      <c r="G121" s="403" t="str">
        <f aca="false">IF(IS!$C$2="Peak","-",SUM(C121:F121))</f>
        <v>-</v>
      </c>
      <c r="H121" s="411" t="n">
        <v>109.965544695188</v>
      </c>
      <c r="I121" s="411" t="n">
        <v>85.0438552573645</v>
      </c>
      <c r="J121" s="411" t="n">
        <v>77.02061952249</v>
      </c>
      <c r="K121" s="411" t="n">
        <v>71.5314031208575</v>
      </c>
      <c r="L121" s="411" t="n">
        <v>70.350873172778</v>
      </c>
      <c r="M121" s="411" t="n">
        <v>58.6708093386757</v>
      </c>
      <c r="N121" s="411" t="n">
        <v>48.6514297010047</v>
      </c>
      <c r="O121" s="411" t="n">
        <v>44.6789428171856</v>
      </c>
      <c r="P121" s="411" t="n">
        <v>40.8053331426066</v>
      </c>
      <c r="Q121" s="411" t="n">
        <v>35.2133991768637</v>
      </c>
      <c r="R121" s="411" t="n">
        <v>34.888553465205</v>
      </c>
      <c r="S121" s="411" t="n">
        <v>34.5515652302024</v>
      </c>
      <c r="T121" s="411" t="n">
        <v>34.058953588325</v>
      </c>
      <c r="U121" s="411" t="n">
        <v>34.058953588325</v>
      </c>
      <c r="V121" s="411" t="n">
        <v>34.058953588325</v>
      </c>
      <c r="W121" s="411" t="n">
        <v>34.0588737409668</v>
      </c>
      <c r="X121" s="411" t="n">
        <v>34.0586441211913</v>
      </c>
      <c r="Y121" s="411" t="n">
        <v>33.5905198021737</v>
      </c>
      <c r="Z121" s="411" t="n">
        <v>32.130376982335</v>
      </c>
      <c r="AA121" s="411" t="n">
        <v>29.9778949441585</v>
      </c>
      <c r="AB121" s="401" t="n">
        <f aca="false">Peak!AB123</f>
        <v>0.72663804626247</v>
      </c>
      <c r="AC121" s="401" t="n">
        <f aca="false">Peak!AC123</f>
        <v>0</v>
      </c>
      <c r="AD121" s="405" t="n">
        <f aca="false">Peak!AD123</f>
        <v>429.779581218291</v>
      </c>
      <c r="AE121" s="405" t="n">
        <f aca="false">Peak!AE123</f>
        <v>1985.56267924115</v>
      </c>
      <c r="AF121" s="401" t="n">
        <f aca="false">Peak!AF123</f>
        <v>1</v>
      </c>
      <c r="AG121" s="406" t="n">
        <f aca="false">Peak!AG123</f>
        <v>0</v>
      </c>
      <c r="AH121" s="401" t="n">
        <f aca="false">Peak!AH123</f>
        <v>3.51805678040392</v>
      </c>
      <c r="AI121" s="401" t="n">
        <f aca="false">Peak!AI123</f>
        <v>3.26713958739186</v>
      </c>
      <c r="AJ121" s="401" t="n">
        <f aca="false">Peak!AJ123</f>
        <v>0</v>
      </c>
      <c r="AK121" s="401" t="n">
        <f aca="false">Peak!AK123</f>
        <v>0</v>
      </c>
      <c r="AL121" s="1"/>
    </row>
    <row r="122" customFormat="false" ht="12.75" hidden="false" customHeight="false" outlineLevel="0" collapsed="false">
      <c r="A122" s="400" t="n">
        <f aca="false">A121+30.417</f>
        <v>39977.121</v>
      </c>
      <c r="B122" s="401" t="n">
        <f aca="false">IF($B$7="Coal",AG122,IF($B$7="Gas",AH122,IF($B$7="Oil",AI122,0)))</f>
        <v>3.35187721389237</v>
      </c>
      <c r="C122" s="402" t="n">
        <f aca="false">(B122*$B$1*1000)/1000000</f>
        <v>37.8921161046157</v>
      </c>
      <c r="D122" s="401" t="n">
        <f aca="false">AB122+AC122</f>
        <v>0.727849109672907</v>
      </c>
      <c r="E122" s="401" t="n">
        <f aca="false">(($AJ122*$B$1*AD122*1000)/2000)/1000000</f>
        <v>0</v>
      </c>
      <c r="F122" s="401" t="n">
        <f aca="false">AF122*(($AK122*$B$1*AE122*1000)/2000)/1000000</f>
        <v>0</v>
      </c>
      <c r="G122" s="403" t="str">
        <f aca="false">IF(IS!$C$2="Peak","-",SUM(C122:F122))</f>
        <v>-</v>
      </c>
      <c r="H122" s="411" t="n">
        <v>204.555529341286</v>
      </c>
      <c r="I122" s="411" t="n">
        <v>174.684803070809</v>
      </c>
      <c r="J122" s="411" t="n">
        <v>157.338454463593</v>
      </c>
      <c r="K122" s="411" t="n">
        <v>127.799473280931</v>
      </c>
      <c r="L122" s="411" t="n">
        <v>78.2126151720929</v>
      </c>
      <c r="M122" s="411" t="n">
        <v>65.0214746962999</v>
      </c>
      <c r="N122" s="411" t="n">
        <v>60.6872196787493</v>
      </c>
      <c r="O122" s="411" t="n">
        <v>52.2880330354215</v>
      </c>
      <c r="P122" s="411" t="n">
        <v>42.4895835490293</v>
      </c>
      <c r="Q122" s="411" t="n">
        <v>38.9067859811989</v>
      </c>
      <c r="R122" s="411" t="n">
        <v>35.7738716291731</v>
      </c>
      <c r="S122" s="411" t="n">
        <v>34.7800950052518</v>
      </c>
      <c r="T122" s="411" t="n">
        <v>34.5997928339591</v>
      </c>
      <c r="U122" s="411" t="n">
        <v>33.6822336196856</v>
      </c>
      <c r="V122" s="411" t="n">
        <v>32.3777463746248</v>
      </c>
      <c r="W122" s="411" t="n">
        <v>31.3827610397705</v>
      </c>
      <c r="X122" s="411" t="n">
        <v>30.7973260181737</v>
      </c>
      <c r="Y122" s="411" t="n">
        <v>30.625912669057</v>
      </c>
      <c r="Z122" s="411" t="n">
        <v>30.1284051215853</v>
      </c>
      <c r="AA122" s="411" t="n">
        <v>29.956098317305</v>
      </c>
      <c r="AB122" s="401" t="n">
        <f aca="false">Peak!AB124</f>
        <v>0.727849109672907</v>
      </c>
      <c r="AC122" s="401" t="n">
        <f aca="false">Peak!AC124</f>
        <v>0</v>
      </c>
      <c r="AD122" s="405" t="n">
        <f aca="false">Peak!AD124</f>
        <v>429.779581218291</v>
      </c>
      <c r="AE122" s="405" t="n">
        <f aca="false">Peak!AE124</f>
        <v>1985.56267924115</v>
      </c>
      <c r="AF122" s="401" t="n">
        <f aca="false">Peak!AF124</f>
        <v>1</v>
      </c>
      <c r="AG122" s="406" t="n">
        <f aca="false">Peak!AG124</f>
        <v>0</v>
      </c>
      <c r="AH122" s="401" t="n">
        <f aca="false">Peak!AH124</f>
        <v>3.35187721389237</v>
      </c>
      <c r="AI122" s="401" t="n">
        <f aca="false">Peak!AI124</f>
        <v>3.26713958739186</v>
      </c>
      <c r="AJ122" s="401" t="n">
        <f aca="false">Peak!AJ124</f>
        <v>0</v>
      </c>
      <c r="AK122" s="401" t="n">
        <f aca="false">Peak!AK124</f>
        <v>0</v>
      </c>
      <c r="AL122" s="1"/>
    </row>
    <row r="123" customFormat="false" ht="12.75" hidden="false" customHeight="false" outlineLevel="0" collapsed="false">
      <c r="A123" s="400" t="n">
        <f aca="false">A122+30.417</f>
        <v>40007.538</v>
      </c>
      <c r="B123" s="401" t="n">
        <f aca="false">IF($B$7="Coal",AG123,IF($B$7="Gas",AH123,IF($B$7="Oil",AI123,0)))</f>
        <v>3.3412700075193</v>
      </c>
      <c r="C123" s="402" t="n">
        <f aca="false">(B123*$B$1*1000)/1000000</f>
        <v>37.772204344791</v>
      </c>
      <c r="D123" s="401" t="n">
        <f aca="false">AB123+AC123</f>
        <v>0.729062191522362</v>
      </c>
      <c r="E123" s="401" t="n">
        <f aca="false">(($AJ123*$B$1*AD123*1000)/2000)/1000000</f>
        <v>0</v>
      </c>
      <c r="F123" s="401" t="n">
        <f aca="false">AF123*(($AK123*$B$1*AE123*1000)/2000)/1000000</f>
        <v>0</v>
      </c>
      <c r="G123" s="403" t="str">
        <f aca="false">IF(IS!$C$2="Peak","-",SUM(C123:F123))</f>
        <v>-</v>
      </c>
      <c r="H123" s="411" t="n">
        <v>320.918824138048</v>
      </c>
      <c r="I123" s="411" t="n">
        <v>266.074319608184</v>
      </c>
      <c r="J123" s="411" t="n">
        <v>228.673492023405</v>
      </c>
      <c r="K123" s="411" t="n">
        <v>189.845676194382</v>
      </c>
      <c r="L123" s="411" t="n">
        <v>162.312287922639</v>
      </c>
      <c r="M123" s="411" t="n">
        <v>134.206041174145</v>
      </c>
      <c r="N123" s="411" t="n">
        <v>74.2172363012052</v>
      </c>
      <c r="O123" s="411" t="n">
        <v>64.104110591916</v>
      </c>
      <c r="P123" s="411" t="n">
        <v>61.359504663729</v>
      </c>
      <c r="Q123" s="411" t="n">
        <v>53.0027625661275</v>
      </c>
      <c r="R123" s="411" t="n">
        <v>40.4438459363946</v>
      </c>
      <c r="S123" s="411" t="n">
        <v>35.0742914518878</v>
      </c>
      <c r="T123" s="411" t="n">
        <v>32.4125640754553</v>
      </c>
      <c r="U123" s="411" t="n">
        <v>30.6383572239241</v>
      </c>
      <c r="V123" s="411" t="n">
        <v>30.4693467422202</v>
      </c>
      <c r="W123" s="411" t="n">
        <v>30.4691366847279</v>
      </c>
      <c r="X123" s="411" t="n">
        <v>30.4691366847279</v>
      </c>
      <c r="Y123" s="411" t="n">
        <v>30.3057139502586</v>
      </c>
      <c r="Z123" s="411" t="n">
        <v>29.0873983319597</v>
      </c>
      <c r="AA123" s="411" t="n">
        <v>26.1507688670526</v>
      </c>
      <c r="AB123" s="401" t="n">
        <f aca="false">Peak!AB125</f>
        <v>0.729062191522362</v>
      </c>
      <c r="AC123" s="401" t="n">
        <f aca="false">Peak!AC125</f>
        <v>0</v>
      </c>
      <c r="AD123" s="405" t="n">
        <f aca="false">Peak!AD125</f>
        <v>429.779581218291</v>
      </c>
      <c r="AE123" s="405" t="n">
        <f aca="false">Peak!AE125</f>
        <v>1985.56267924115</v>
      </c>
      <c r="AF123" s="401" t="n">
        <f aca="false">Peak!AF125</f>
        <v>1</v>
      </c>
      <c r="AG123" s="406" t="n">
        <f aca="false">Peak!AG125</f>
        <v>0</v>
      </c>
      <c r="AH123" s="401" t="n">
        <f aca="false">Peak!AH125</f>
        <v>3.3412700075193</v>
      </c>
      <c r="AI123" s="401" t="n">
        <f aca="false">Peak!AI125</f>
        <v>3.26713958739186</v>
      </c>
      <c r="AJ123" s="401" t="n">
        <f aca="false">Peak!AJ125</f>
        <v>0</v>
      </c>
      <c r="AK123" s="401" t="n">
        <f aca="false">Peak!AK125</f>
        <v>0</v>
      </c>
      <c r="AL123" s="1"/>
    </row>
    <row r="124" customFormat="false" ht="12.75" hidden="false" customHeight="false" outlineLevel="0" collapsed="false">
      <c r="A124" s="400" t="n">
        <f aca="false">A123+30.417</f>
        <v>40037.955</v>
      </c>
      <c r="B124" s="401" t="n">
        <f aca="false">IF($B$7="Coal",AG124,IF($B$7="Gas",AH124,IF($B$7="Oil",AI124,0)))</f>
        <v>3.16801897009237</v>
      </c>
      <c r="C124" s="402" t="n">
        <f aca="false">(B124*$B$1*1000)/1000000</f>
        <v>35.813645600987</v>
      </c>
      <c r="D124" s="401" t="n">
        <f aca="false">AB124+AC124</f>
        <v>0.730277295174899</v>
      </c>
      <c r="E124" s="401" t="n">
        <f aca="false">(($AJ124*$B$1*AD124*1000)/2000)/1000000</f>
        <v>0</v>
      </c>
      <c r="F124" s="401" t="n">
        <f aca="false">AF124*(($AK124*$B$1*AE124*1000)/2000)/1000000</f>
        <v>0</v>
      </c>
      <c r="G124" s="403" t="str">
        <f aca="false">IF(IS!$C$2="Peak","-",SUM(C124:F124))</f>
        <v>-</v>
      </c>
      <c r="H124" s="411" t="n">
        <v>366.551774773457</v>
      </c>
      <c r="I124" s="411" t="n">
        <v>275.827329542567</v>
      </c>
      <c r="J124" s="411" t="n">
        <v>230.096535492214</v>
      </c>
      <c r="K124" s="411" t="n">
        <v>183.707581454316</v>
      </c>
      <c r="L124" s="411" t="n">
        <v>155.088589571967</v>
      </c>
      <c r="M124" s="411" t="n">
        <v>108.067403351374</v>
      </c>
      <c r="N124" s="411" t="n">
        <v>81.1036587467405</v>
      </c>
      <c r="O124" s="411" t="n">
        <v>75.1252957623927</v>
      </c>
      <c r="P124" s="411" t="n">
        <v>57.5239733283817</v>
      </c>
      <c r="Q124" s="411" t="n">
        <v>43.7411497347594</v>
      </c>
      <c r="R124" s="411" t="n">
        <v>40.7338018063147</v>
      </c>
      <c r="S124" s="411" t="n">
        <v>37.9369162656756</v>
      </c>
      <c r="T124" s="411" t="n">
        <v>36.633781572769</v>
      </c>
      <c r="U124" s="411" t="n">
        <v>36.633671236703</v>
      </c>
      <c r="V124" s="411" t="n">
        <v>36.6335673032983</v>
      </c>
      <c r="W124" s="411" t="n">
        <v>36.6334315433217</v>
      </c>
      <c r="X124" s="411" t="n">
        <v>36.5887124200335</v>
      </c>
      <c r="Y124" s="411" t="n">
        <v>35.0779145714197</v>
      </c>
      <c r="Z124" s="411" t="n">
        <v>33.6223603091934</v>
      </c>
      <c r="AA124" s="411" t="n">
        <v>30.0283737210275</v>
      </c>
      <c r="AB124" s="401" t="n">
        <f aca="false">Peak!AB126</f>
        <v>0.730277295174899</v>
      </c>
      <c r="AC124" s="401" t="n">
        <f aca="false">Peak!AC126</f>
        <v>0</v>
      </c>
      <c r="AD124" s="405" t="n">
        <f aca="false">Peak!AD126</f>
        <v>429.779581218291</v>
      </c>
      <c r="AE124" s="405" t="n">
        <f aca="false">Peak!AE126</f>
        <v>1985.56267924115</v>
      </c>
      <c r="AF124" s="401" t="n">
        <f aca="false">Peak!AF126</f>
        <v>1</v>
      </c>
      <c r="AG124" s="406" t="n">
        <f aca="false">Peak!AG126</f>
        <v>0</v>
      </c>
      <c r="AH124" s="401" t="n">
        <f aca="false">Peak!AH126</f>
        <v>3.16801897009237</v>
      </c>
      <c r="AI124" s="401" t="n">
        <f aca="false">Peak!AI126</f>
        <v>3.26713958739186</v>
      </c>
      <c r="AJ124" s="401" t="n">
        <f aca="false">Peak!AJ126</f>
        <v>0</v>
      </c>
      <c r="AK124" s="401" t="n">
        <f aca="false">Peak!AK126</f>
        <v>0</v>
      </c>
      <c r="AL124" s="1"/>
    </row>
    <row r="125" customFormat="false" ht="12.75" hidden="false" customHeight="false" outlineLevel="0" collapsed="false">
      <c r="A125" s="400" t="n">
        <f aca="false">A124+30.417</f>
        <v>40068.372</v>
      </c>
      <c r="B125" s="401" t="n">
        <f aca="false">IF($B$7="Coal",AG125,IF($B$7="Gas",AH125,IF($B$7="Oil",AI125,0)))</f>
        <v>3.15741176371929</v>
      </c>
      <c r="C125" s="402" t="n">
        <f aca="false">(B125*$B$1*1000)/1000000</f>
        <v>35.6937338411623</v>
      </c>
      <c r="D125" s="401" t="n">
        <f aca="false">AB125+AC125</f>
        <v>0.731494424000191</v>
      </c>
      <c r="E125" s="401" t="n">
        <f aca="false">(($AJ125*$B$1*AD125*1000)/2000)/1000000</f>
        <v>0</v>
      </c>
      <c r="F125" s="401" t="n">
        <f aca="false">AF125*(($AK125*$B$1*AE125*1000)/2000)/1000000</f>
        <v>0</v>
      </c>
      <c r="G125" s="403" t="str">
        <f aca="false">IF(IS!$C$2="Peak","-",SUM(C125:F125))</f>
        <v>-</v>
      </c>
      <c r="H125" s="411" t="n">
        <v>199.22425601418</v>
      </c>
      <c r="I125" s="411" t="n">
        <v>175.834353505107</v>
      </c>
      <c r="J125" s="411" t="n">
        <v>162.302429160971</v>
      </c>
      <c r="K125" s="411" t="n">
        <v>135.702595645389</v>
      </c>
      <c r="L125" s="411" t="n">
        <v>68.8118883841161</v>
      </c>
      <c r="M125" s="411" t="n">
        <v>61.4503049258702</v>
      </c>
      <c r="N125" s="411" t="n">
        <v>57.9351943189599</v>
      </c>
      <c r="O125" s="411" t="n">
        <v>48.8547392620814</v>
      </c>
      <c r="P125" s="411" t="n">
        <v>37.3549164783886</v>
      </c>
      <c r="Q125" s="411" t="n">
        <v>33.0673474213951</v>
      </c>
      <c r="R125" s="411" t="n">
        <v>30.0890137014915</v>
      </c>
      <c r="S125" s="411" t="n">
        <v>29.885361401224</v>
      </c>
      <c r="T125" s="411" t="n">
        <v>29.8061674447722</v>
      </c>
      <c r="U125" s="411" t="n">
        <v>29.6600771737048</v>
      </c>
      <c r="V125" s="411" t="n">
        <v>29.6600771737048</v>
      </c>
      <c r="W125" s="411" t="n">
        <v>29.6600771737048</v>
      </c>
      <c r="X125" s="411" t="n">
        <v>29.4033552681145</v>
      </c>
      <c r="Y125" s="411" t="n">
        <v>29.0559481752639</v>
      </c>
      <c r="Z125" s="411" t="n">
        <v>28.9825759257235</v>
      </c>
      <c r="AA125" s="411" t="n">
        <v>26.6911884165693</v>
      </c>
      <c r="AB125" s="401" t="n">
        <f aca="false">Peak!AB127</f>
        <v>0.731494424000191</v>
      </c>
      <c r="AC125" s="401" t="n">
        <f aca="false">Peak!AC127</f>
        <v>0</v>
      </c>
      <c r="AD125" s="405" t="n">
        <f aca="false">Peak!AD127</f>
        <v>429.779581218291</v>
      </c>
      <c r="AE125" s="405" t="n">
        <f aca="false">Peak!AE127</f>
        <v>1985.56267924115</v>
      </c>
      <c r="AF125" s="401" t="n">
        <f aca="false">Peak!AF127</f>
        <v>1</v>
      </c>
      <c r="AG125" s="406" t="n">
        <f aca="false">Peak!AG127</f>
        <v>0</v>
      </c>
      <c r="AH125" s="401" t="n">
        <f aca="false">Peak!AH127</f>
        <v>3.15741176371929</v>
      </c>
      <c r="AI125" s="401" t="n">
        <f aca="false">Peak!AI127</f>
        <v>3.26713958739186</v>
      </c>
      <c r="AJ125" s="401" t="n">
        <f aca="false">Peak!AJ127</f>
        <v>0</v>
      </c>
      <c r="AK125" s="401" t="n">
        <f aca="false">Peak!AK127</f>
        <v>0</v>
      </c>
      <c r="AL125" s="1"/>
    </row>
    <row r="126" customFormat="false" ht="12.75" hidden="false" customHeight="false" outlineLevel="0" collapsed="false">
      <c r="A126" s="400" t="n">
        <f aca="false">A125+30.417</f>
        <v>40098.789</v>
      </c>
      <c r="B126" s="401" t="n">
        <f aca="false">IF($B$7="Coal",AG126,IF($B$7="Gas",AH126,IF($B$7="Oil",AI126,0)))</f>
        <v>3.49684236765776</v>
      </c>
      <c r="C126" s="402" t="n">
        <f aca="false">(B126*$B$1*1000)/1000000</f>
        <v>39.5309101555537</v>
      </c>
      <c r="D126" s="401" t="n">
        <f aca="false">AB126+AC126</f>
        <v>0.732713581373525</v>
      </c>
      <c r="E126" s="401" t="n">
        <f aca="false">(($AJ126*$B$1*AD126*1000)/2000)/1000000</f>
        <v>0</v>
      </c>
      <c r="F126" s="401" t="n">
        <f aca="false">AF126*(($AK126*$B$1*AE126*1000)/2000)/1000000</f>
        <v>0</v>
      </c>
      <c r="G126" s="403" t="str">
        <f aca="false">IF(IS!$C$2="Peak","-",SUM(C126:F126))</f>
        <v>-</v>
      </c>
      <c r="H126" s="411" t="n">
        <v>80.0440249165833</v>
      </c>
      <c r="I126" s="411" t="n">
        <v>79.1795998164564</v>
      </c>
      <c r="J126" s="411" t="n">
        <v>79.1795998164564</v>
      </c>
      <c r="K126" s="411" t="n">
        <v>78.487608541609</v>
      </c>
      <c r="L126" s="411" t="n">
        <v>73.787205828114</v>
      </c>
      <c r="M126" s="411" t="n">
        <v>56.5975265965649</v>
      </c>
      <c r="N126" s="411" t="n">
        <v>47.8334484808567</v>
      </c>
      <c r="O126" s="411" t="n">
        <v>44.5624532354434</v>
      </c>
      <c r="P126" s="411" t="n">
        <v>41.9733675949565</v>
      </c>
      <c r="Q126" s="411" t="n">
        <v>39.3571607403944</v>
      </c>
      <c r="R126" s="411" t="n">
        <v>39.3571607403944</v>
      </c>
      <c r="S126" s="411" t="n">
        <v>39.1679254515967</v>
      </c>
      <c r="T126" s="411" t="n">
        <v>39.0409892382604</v>
      </c>
      <c r="U126" s="411" t="n">
        <v>39.0409892382604</v>
      </c>
      <c r="V126" s="411" t="n">
        <v>38.9438721570868</v>
      </c>
      <c r="W126" s="411" t="n">
        <v>36.121063848197</v>
      </c>
      <c r="X126" s="411" t="n">
        <v>34.1180490085631</v>
      </c>
      <c r="Y126" s="411" t="n">
        <v>32.6794363275006</v>
      </c>
      <c r="Z126" s="411" t="n">
        <v>31.5659561479779</v>
      </c>
      <c r="AA126" s="411" t="n">
        <v>29.6877073663508</v>
      </c>
      <c r="AB126" s="401" t="n">
        <f aca="false">Peak!AB128</f>
        <v>0.732713581373525</v>
      </c>
      <c r="AC126" s="401" t="n">
        <f aca="false">Peak!AC128</f>
        <v>0</v>
      </c>
      <c r="AD126" s="405" t="n">
        <f aca="false">Peak!AD128</f>
        <v>429.779581218291</v>
      </c>
      <c r="AE126" s="405" t="n">
        <f aca="false">Peak!AE128</f>
        <v>1985.56267924115</v>
      </c>
      <c r="AF126" s="401" t="n">
        <f aca="false">Peak!AF128</f>
        <v>1</v>
      </c>
      <c r="AG126" s="406" t="n">
        <f aca="false">Peak!AG128</f>
        <v>0</v>
      </c>
      <c r="AH126" s="401" t="n">
        <f aca="false">Peak!AH128</f>
        <v>3.49684236765776</v>
      </c>
      <c r="AI126" s="401" t="n">
        <f aca="false">Peak!AI128</f>
        <v>3.26713958739186</v>
      </c>
      <c r="AJ126" s="401" t="n">
        <f aca="false">Peak!AJ128</f>
        <v>0</v>
      </c>
      <c r="AK126" s="401" t="n">
        <f aca="false">Peak!AK128</f>
        <v>0</v>
      </c>
      <c r="AL126" s="1"/>
    </row>
    <row r="127" customFormat="false" ht="12.75" hidden="false" customHeight="false" outlineLevel="0" collapsed="false">
      <c r="A127" s="400" t="n">
        <f aca="false">A126+30.417</f>
        <v>40129.206</v>
      </c>
      <c r="B127" s="401" t="n">
        <f aca="false">IF($B$7="Coal",AG127,IF($B$7="Gas",AH127,IF($B$7="Oil",AI127,0)))</f>
        <v>3.82920150068085</v>
      </c>
      <c r="C127" s="402" t="n">
        <f aca="false">(B127*$B$1*1000)/1000000</f>
        <v>43.2881452967287</v>
      </c>
      <c r="D127" s="401" t="n">
        <f aca="false">AB127+AC127</f>
        <v>0.733934770675814</v>
      </c>
      <c r="E127" s="401" t="n">
        <f aca="false">(($AJ127*$B$1*AD127*1000)/2000)/1000000</f>
        <v>0</v>
      </c>
      <c r="F127" s="401" t="n">
        <f aca="false">AF127*(($AK127*$B$1*AE127*1000)/2000)/1000000</f>
        <v>0</v>
      </c>
      <c r="G127" s="403" t="str">
        <f aca="false">IF(IS!$C$2="Peak","-",SUM(C127:F127))</f>
        <v>-</v>
      </c>
      <c r="H127" s="411" t="n">
        <v>152.402767683703</v>
      </c>
      <c r="I127" s="411" t="n">
        <v>141.028225755341</v>
      </c>
      <c r="J127" s="411" t="n">
        <v>115.451037888026</v>
      </c>
      <c r="K127" s="411" t="n">
        <v>83.1107575237405</v>
      </c>
      <c r="L127" s="411" t="n">
        <v>74.9107726955768</v>
      </c>
      <c r="M127" s="411" t="n">
        <v>71.9116872402433</v>
      </c>
      <c r="N127" s="411" t="n">
        <v>66.6745203713818</v>
      </c>
      <c r="O127" s="411" t="n">
        <v>51.1874939294737</v>
      </c>
      <c r="P127" s="411" t="n">
        <v>50.8510364366554</v>
      </c>
      <c r="Q127" s="411" t="n">
        <v>49.8375565175534</v>
      </c>
      <c r="R127" s="411" t="n">
        <v>41.561921882879</v>
      </c>
      <c r="S127" s="411" t="n">
        <v>40.2377448785699</v>
      </c>
      <c r="T127" s="411" t="n">
        <v>35.900520007424</v>
      </c>
      <c r="U127" s="411" t="n">
        <v>35.5597322808519</v>
      </c>
      <c r="V127" s="411" t="n">
        <v>35.4056285498909</v>
      </c>
      <c r="W127" s="411" t="n">
        <v>35.4056285498909</v>
      </c>
      <c r="X127" s="411" t="n">
        <v>35.4056285498909</v>
      </c>
      <c r="Y127" s="411" t="n">
        <v>35.0510348808427</v>
      </c>
      <c r="Z127" s="411" t="n">
        <v>33.0784830153125</v>
      </c>
      <c r="AA127" s="411" t="n">
        <v>27.6825704406614</v>
      </c>
      <c r="AB127" s="401" t="n">
        <f aca="false">Peak!AB129</f>
        <v>0.733934770675814</v>
      </c>
      <c r="AC127" s="401" t="n">
        <f aca="false">Peak!AC129</f>
        <v>0</v>
      </c>
      <c r="AD127" s="405" t="n">
        <f aca="false">Peak!AD129</f>
        <v>429.779581218291</v>
      </c>
      <c r="AE127" s="405" t="n">
        <f aca="false">Peak!AE129</f>
        <v>1985.56267924115</v>
      </c>
      <c r="AF127" s="401" t="n">
        <f aca="false">Peak!AF129</f>
        <v>1</v>
      </c>
      <c r="AG127" s="406" t="n">
        <f aca="false">Peak!AG129</f>
        <v>0</v>
      </c>
      <c r="AH127" s="401" t="n">
        <f aca="false">Peak!AH129</f>
        <v>3.82920150068085</v>
      </c>
      <c r="AI127" s="401" t="n">
        <f aca="false">Peak!AI129</f>
        <v>3.54226713159328</v>
      </c>
      <c r="AJ127" s="401" t="n">
        <f aca="false">Peak!AJ129</f>
        <v>0</v>
      </c>
      <c r="AK127" s="401" t="n">
        <f aca="false">Peak!AK129</f>
        <v>0</v>
      </c>
      <c r="AL127" s="1"/>
    </row>
    <row r="128" customFormat="false" ht="12.75" hidden="false" customHeight="false" outlineLevel="0" collapsed="false">
      <c r="A128" s="400" t="n">
        <f aca="false">A127+30.417</f>
        <v>40159.623</v>
      </c>
      <c r="B128" s="401" t="n">
        <f aca="false">IF($B$7="Coal",AG128,IF($B$7="Gas",AH128,IF($B$7="Oil",AI128,0)))</f>
        <v>4.14388195641547</v>
      </c>
      <c r="C128" s="402" t="n">
        <f aca="false">(B128*$B$1*1000)/1000000</f>
        <v>46.8455275048624</v>
      </c>
      <c r="D128" s="401" t="n">
        <f aca="false">AB128+AC128</f>
        <v>0.735157995293607</v>
      </c>
      <c r="E128" s="401" t="n">
        <f aca="false">(($AJ128*$B$1*AD128*1000)/2000)/1000000</f>
        <v>0</v>
      </c>
      <c r="F128" s="401" t="n">
        <f aca="false">AF128*(($AK128*$B$1*AE128*1000)/2000)/1000000</f>
        <v>0</v>
      </c>
      <c r="G128" s="403" t="str">
        <f aca="false">IF(IS!$C$2="Peak","-",SUM(C128:F128))</f>
        <v>-</v>
      </c>
      <c r="H128" s="411" t="n">
        <v>150.572910168724</v>
      </c>
      <c r="I128" s="411" t="n">
        <v>124.230131551373</v>
      </c>
      <c r="J128" s="411" t="n">
        <v>94.5189996202002</v>
      </c>
      <c r="K128" s="411" t="n">
        <v>87.8004939825933</v>
      </c>
      <c r="L128" s="411" t="n">
        <v>83.4027963779803</v>
      </c>
      <c r="M128" s="411" t="n">
        <v>78.1027319685323</v>
      </c>
      <c r="N128" s="411" t="n">
        <v>77.5578564154805</v>
      </c>
      <c r="O128" s="411" t="n">
        <v>73.7700313942502</v>
      </c>
      <c r="P128" s="411" t="n">
        <v>57.568422787227</v>
      </c>
      <c r="Q128" s="411" t="n">
        <v>51.4544088118514</v>
      </c>
      <c r="R128" s="411" t="n">
        <v>43.8017030661172</v>
      </c>
      <c r="S128" s="411" t="n">
        <v>43.0104635262734</v>
      </c>
      <c r="T128" s="411" t="n">
        <v>38.5087405091156</v>
      </c>
      <c r="U128" s="411" t="n">
        <v>38.433347265812</v>
      </c>
      <c r="V128" s="411" t="n">
        <v>38.433347265812</v>
      </c>
      <c r="W128" s="411" t="n">
        <v>38.433347265812</v>
      </c>
      <c r="X128" s="411" t="n">
        <v>37.8472983559423</v>
      </c>
      <c r="Y128" s="411" t="n">
        <v>36.1997612995381</v>
      </c>
      <c r="Z128" s="411" t="n">
        <v>33.5612236620277</v>
      </c>
      <c r="AA128" s="411" t="n">
        <v>30.6853050160215</v>
      </c>
      <c r="AB128" s="401" t="n">
        <f aca="false">Peak!AB130</f>
        <v>0.735157995293607</v>
      </c>
      <c r="AC128" s="401" t="n">
        <f aca="false">Peak!AC130</f>
        <v>0</v>
      </c>
      <c r="AD128" s="405" t="n">
        <f aca="false">Peak!AD130</f>
        <v>429.779581218291</v>
      </c>
      <c r="AE128" s="405" t="n">
        <f aca="false">Peak!AE130</f>
        <v>1985.56267924115</v>
      </c>
      <c r="AF128" s="401" t="n">
        <f aca="false">Peak!AF130</f>
        <v>1</v>
      </c>
      <c r="AG128" s="406" t="n">
        <f aca="false">Peak!AG130</f>
        <v>0</v>
      </c>
      <c r="AH128" s="401" t="n">
        <f aca="false">Peak!AH130</f>
        <v>4.14388195641547</v>
      </c>
      <c r="AI128" s="401" t="n">
        <f aca="false">Peak!AI130</f>
        <v>3.71422184671917</v>
      </c>
      <c r="AJ128" s="401" t="n">
        <f aca="false">Peak!AJ130</f>
        <v>0</v>
      </c>
      <c r="AK128" s="401" t="n">
        <f aca="false">Peak!AK130</f>
        <v>0</v>
      </c>
      <c r="AL128" s="1"/>
    </row>
    <row r="129" customFormat="false" ht="12.75" hidden="false" customHeight="false" outlineLevel="0" collapsed="false">
      <c r="A129" s="400" t="n">
        <f aca="false">A128+30.417</f>
        <v>40190.04</v>
      </c>
      <c r="B129" s="401" t="n">
        <f aca="false">IF($B$7="Coal",AG129,IF($B$7="Gas",AH129,IF($B$7="Oil",AI129,0)))</f>
        <v>4.1589984704214</v>
      </c>
      <c r="C129" s="402" t="n">
        <f aca="false">(B129*$B$1*1000)/1000000</f>
        <v>47.016415836164</v>
      </c>
      <c r="D129" s="401" t="n">
        <f aca="false">AB129+AC129</f>
        <v>0.736383258619096</v>
      </c>
      <c r="E129" s="401" t="n">
        <f aca="false">(($AJ129*$B$1*AD129*1000)/2000)/1000000</f>
        <v>0</v>
      </c>
      <c r="F129" s="401" t="n">
        <f aca="false">AF129*(($AK129*$B$1*AE129*1000)/2000)/1000000</f>
        <v>0</v>
      </c>
      <c r="G129" s="403" t="str">
        <f aca="false">IF(IS!$C$2="Peak","-",SUM(C129:F129))</f>
        <v>-</v>
      </c>
      <c r="H129" s="411" t="n">
        <v>95.6025554102031</v>
      </c>
      <c r="I129" s="411" t="n">
        <v>95.6025554102031</v>
      </c>
      <c r="J129" s="411" t="n">
        <v>94.8226239971705</v>
      </c>
      <c r="K129" s="411" t="n">
        <v>89.4374182657442</v>
      </c>
      <c r="L129" s="411" t="n">
        <v>85.8103620700702</v>
      </c>
      <c r="M129" s="411" t="n">
        <v>84.9571323981271</v>
      </c>
      <c r="N129" s="411" t="n">
        <v>63.1549964517165</v>
      </c>
      <c r="O129" s="411" t="n">
        <v>54.5963659926518</v>
      </c>
      <c r="P129" s="411" t="n">
        <v>45.8611990657024</v>
      </c>
      <c r="Q129" s="411" t="n">
        <v>42.8116521112744</v>
      </c>
      <c r="R129" s="411" t="n">
        <v>41.762290631437</v>
      </c>
      <c r="S129" s="411" t="n">
        <v>41.762290631437</v>
      </c>
      <c r="T129" s="411" t="n">
        <v>41.496629585311</v>
      </c>
      <c r="U129" s="411" t="n">
        <v>40.7734017286327</v>
      </c>
      <c r="V129" s="411" t="n">
        <v>40.7331670545946</v>
      </c>
      <c r="W129" s="411" t="n">
        <v>40.7331670545946</v>
      </c>
      <c r="X129" s="411" t="n">
        <v>40.7331567162064</v>
      </c>
      <c r="Y129" s="411" t="n">
        <v>40.7329189021156</v>
      </c>
      <c r="Z129" s="411" t="n">
        <v>40.6668852574826</v>
      </c>
      <c r="AA129" s="411" t="n">
        <v>32.2121869801348</v>
      </c>
      <c r="AB129" s="401" t="n">
        <f aca="false">Peak!AB131</f>
        <v>0.736383258619096</v>
      </c>
      <c r="AC129" s="401" t="n">
        <f aca="false">Peak!AC131</f>
        <v>0</v>
      </c>
      <c r="AD129" s="405" t="n">
        <f aca="false">Peak!AD131</f>
        <v>477.980973134443</v>
      </c>
      <c r="AE129" s="405" t="n">
        <f aca="false">Peak!AE131</f>
        <v>1889.33893428357</v>
      </c>
      <c r="AF129" s="401" t="n">
        <f aca="false">Peak!AF131</f>
        <v>1</v>
      </c>
      <c r="AG129" s="406" t="n">
        <f aca="false">Peak!AG131</f>
        <v>0</v>
      </c>
      <c r="AH129" s="401" t="n">
        <f aca="false">Peak!AH131</f>
        <v>4.1589984704214</v>
      </c>
      <c r="AI129" s="401" t="n">
        <f aca="false">Peak!AI131</f>
        <v>3.86649519301152</v>
      </c>
      <c r="AJ129" s="401" t="n">
        <f aca="false">Peak!AJ131</f>
        <v>0</v>
      </c>
      <c r="AK129" s="401" t="n">
        <f aca="false">Peak!AK131</f>
        <v>0</v>
      </c>
      <c r="AL129" s="1"/>
    </row>
    <row r="130" customFormat="false" ht="12.75" hidden="false" customHeight="false" outlineLevel="0" collapsed="false">
      <c r="A130" s="400" t="n">
        <f aca="false">A129+30.417</f>
        <v>40220.457</v>
      </c>
      <c r="B130" s="401" t="n">
        <f aca="false">IF($B$7="Coal",AG130,IF($B$7="Gas",AH130,IF($B$7="Oil",AI130,0)))</f>
        <v>3.72761299077662</v>
      </c>
      <c r="C130" s="402" t="n">
        <f aca="false">(B130*$B$1*1000)/1000000</f>
        <v>42.1397131297533</v>
      </c>
      <c r="D130" s="401" t="n">
        <f aca="false">AB130+AC130</f>
        <v>0.737610564050128</v>
      </c>
      <c r="E130" s="401" t="n">
        <f aca="false">(($AJ130*$B$1*AD130*1000)/2000)/1000000</f>
        <v>0</v>
      </c>
      <c r="F130" s="401" t="n">
        <f aca="false">AF130*(($AK130*$B$1*AE130*1000)/2000)/1000000</f>
        <v>0</v>
      </c>
      <c r="G130" s="403" t="str">
        <f aca="false">IF(IS!$C$2="Peak","-",SUM(C130:F130))</f>
        <v>-</v>
      </c>
      <c r="H130" s="411" t="n">
        <v>112.150966692416</v>
      </c>
      <c r="I130" s="411" t="n">
        <v>95.6114213528347</v>
      </c>
      <c r="J130" s="411" t="n">
        <v>92.2100037343748</v>
      </c>
      <c r="K130" s="411" t="n">
        <v>87.0795388482271</v>
      </c>
      <c r="L130" s="411" t="n">
        <v>82.5976074675294</v>
      </c>
      <c r="M130" s="411" t="n">
        <v>79.695117912866</v>
      </c>
      <c r="N130" s="411" t="n">
        <v>77.5310467262562</v>
      </c>
      <c r="O130" s="411" t="n">
        <v>64.1756751993417</v>
      </c>
      <c r="P130" s="411" t="n">
        <v>52.9019521791989</v>
      </c>
      <c r="Q130" s="411" t="n">
        <v>44.8373962201952</v>
      </c>
      <c r="R130" s="411" t="n">
        <v>42.3573349100529</v>
      </c>
      <c r="S130" s="411" t="n">
        <v>38.301203974297</v>
      </c>
      <c r="T130" s="411" t="n">
        <v>38.2987445048292</v>
      </c>
      <c r="U130" s="411" t="n">
        <v>38.2986493726943</v>
      </c>
      <c r="V130" s="411" t="n">
        <v>38.2985275682336</v>
      </c>
      <c r="W130" s="411" t="n">
        <v>36.0662049019493</v>
      </c>
      <c r="X130" s="411" t="n">
        <v>33.2305958750634</v>
      </c>
      <c r="Y130" s="411" t="n">
        <v>32.6008802756533</v>
      </c>
      <c r="Z130" s="411" t="n">
        <v>31.7153581526758</v>
      </c>
      <c r="AA130" s="411" t="n">
        <v>30.05450692065</v>
      </c>
      <c r="AB130" s="401" t="n">
        <f aca="false">Peak!AB132</f>
        <v>0.737610564050128</v>
      </c>
      <c r="AC130" s="401" t="n">
        <f aca="false">Peak!AC132</f>
        <v>0</v>
      </c>
      <c r="AD130" s="405" t="n">
        <f aca="false">Peak!AD132</f>
        <v>477.980973134443</v>
      </c>
      <c r="AE130" s="405" t="n">
        <f aca="false">Peak!AE132</f>
        <v>1889.33893428357</v>
      </c>
      <c r="AF130" s="401" t="n">
        <f aca="false">Peak!AF132</f>
        <v>1</v>
      </c>
      <c r="AG130" s="406" t="n">
        <f aca="false">Peak!AG132</f>
        <v>0</v>
      </c>
      <c r="AH130" s="401" t="n">
        <f aca="false">Peak!AH132</f>
        <v>3.72761299077662</v>
      </c>
      <c r="AI130" s="401" t="n">
        <f aca="false">Peak!AI132</f>
        <v>3.83069431159474</v>
      </c>
      <c r="AJ130" s="401" t="n">
        <f aca="false">Peak!AJ132</f>
        <v>0</v>
      </c>
      <c r="AK130" s="401" t="n">
        <f aca="false">Peak!AK132</f>
        <v>0</v>
      </c>
      <c r="AL130" s="1"/>
    </row>
    <row r="131" customFormat="false" ht="12.75" hidden="false" customHeight="false" outlineLevel="0" collapsed="false">
      <c r="A131" s="400" t="n">
        <f aca="false">A130+30.417</f>
        <v>40250.874</v>
      </c>
      <c r="B131" s="401" t="n">
        <f aca="false">IF($B$7="Coal",AG131,IF($B$7="Gas",AH131,IF($B$7="Oil",AI131,0)))</f>
        <v>3.66493304928978</v>
      </c>
      <c r="C131" s="402" t="n">
        <f aca="false">(B131*$B$1*1000)/1000000</f>
        <v>41.4311323946339</v>
      </c>
      <c r="D131" s="401" t="n">
        <f aca="false">AB131+AC131</f>
        <v>0.738839914990212</v>
      </c>
      <c r="E131" s="401" t="n">
        <f aca="false">(($AJ131*$B$1*AD131*1000)/2000)/1000000</f>
        <v>0</v>
      </c>
      <c r="F131" s="401" t="n">
        <f aca="false">AF131*(($AK131*$B$1*AE131*1000)/2000)/1000000</f>
        <v>0</v>
      </c>
      <c r="G131" s="403" t="str">
        <f aca="false">IF(IS!$C$2="Peak","-",SUM(C131:F131))</f>
        <v>-</v>
      </c>
      <c r="H131" s="411" t="n">
        <v>82.2327091873112</v>
      </c>
      <c r="I131" s="411" t="n">
        <v>79.1939675549518</v>
      </c>
      <c r="J131" s="411" t="n">
        <v>77.162058341011</v>
      </c>
      <c r="K131" s="411" t="n">
        <v>72.1651704336255</v>
      </c>
      <c r="L131" s="411" t="n">
        <v>70.0479832240028</v>
      </c>
      <c r="M131" s="411" t="n">
        <v>69.4285085543241</v>
      </c>
      <c r="N131" s="411" t="n">
        <v>60.1097699872383</v>
      </c>
      <c r="O131" s="411" t="n">
        <v>48.689183699882</v>
      </c>
      <c r="P131" s="411" t="n">
        <v>45.7022152577224</v>
      </c>
      <c r="Q131" s="411" t="n">
        <v>40.9552212506801</v>
      </c>
      <c r="R131" s="411" t="n">
        <v>39.6922577194681</v>
      </c>
      <c r="S131" s="411" t="n">
        <v>39.1097135383556</v>
      </c>
      <c r="T131" s="411" t="n">
        <v>37.0517394107308</v>
      </c>
      <c r="U131" s="411" t="n">
        <v>36.1511530534859</v>
      </c>
      <c r="V131" s="411" t="n">
        <v>35.1388231726317</v>
      </c>
      <c r="W131" s="411" t="n">
        <v>34.9285788741638</v>
      </c>
      <c r="X131" s="411" t="n">
        <v>34.9285788741638</v>
      </c>
      <c r="Y131" s="411" t="n">
        <v>34.9285788741638</v>
      </c>
      <c r="Z131" s="411" t="n">
        <v>34.9285788741638</v>
      </c>
      <c r="AA131" s="411" t="n">
        <v>34.297624617383</v>
      </c>
      <c r="AB131" s="401" t="n">
        <f aca="false">Peak!AB133</f>
        <v>0.738839914990212</v>
      </c>
      <c r="AC131" s="401" t="n">
        <f aca="false">Peak!AC133</f>
        <v>0</v>
      </c>
      <c r="AD131" s="405" t="n">
        <f aca="false">Peak!AD133</f>
        <v>477.980973134443</v>
      </c>
      <c r="AE131" s="405" t="n">
        <f aca="false">Peak!AE133</f>
        <v>1889.33893428357</v>
      </c>
      <c r="AF131" s="401" t="n">
        <f aca="false">Peak!AF133</f>
        <v>1</v>
      </c>
      <c r="AG131" s="406" t="n">
        <f aca="false">Peak!AG133</f>
        <v>0</v>
      </c>
      <c r="AH131" s="401" t="n">
        <f aca="false">Peak!AH133</f>
        <v>3.66493304928978</v>
      </c>
      <c r="AI131" s="401" t="n">
        <f aca="false">Peak!AI133</f>
        <v>3.68749078592765</v>
      </c>
      <c r="AJ131" s="401" t="n">
        <f aca="false">Peak!AJ133</f>
        <v>0</v>
      </c>
      <c r="AK131" s="401" t="n">
        <f aca="false">Peak!AK133</f>
        <v>0</v>
      </c>
      <c r="AL131" s="1"/>
    </row>
    <row r="132" customFormat="false" ht="12.75" hidden="false" customHeight="false" outlineLevel="0" collapsed="false">
      <c r="A132" s="400" t="n">
        <f aca="false">A131+30.417</f>
        <v>40281.291</v>
      </c>
      <c r="B132" s="401" t="n">
        <f aca="false">IF($B$7="Coal",AG132,IF($B$7="Gas",AH132,IF($B$7="Oil",AI132,0)))</f>
        <v>3.48426733559239</v>
      </c>
      <c r="C132" s="402" t="n">
        <f aca="false">(B132*$B$1*1000)/1000000</f>
        <v>39.3887526287012</v>
      </c>
      <c r="D132" s="401" t="n">
        <f aca="false">AB132+AC132</f>
        <v>0.740071314848529</v>
      </c>
      <c r="E132" s="401" t="n">
        <f aca="false">(($AJ132*$B$1*AD132*1000)/2000)/1000000</f>
        <v>0</v>
      </c>
      <c r="F132" s="401" t="n">
        <f aca="false">AF132*(($AK132*$B$1*AE132*1000)/2000)/1000000</f>
        <v>0</v>
      </c>
      <c r="G132" s="403" t="str">
        <f aca="false">IF(IS!$C$2="Peak","-",SUM(C132:F132))</f>
        <v>-</v>
      </c>
      <c r="H132" s="411" t="n">
        <v>76.5266840973848</v>
      </c>
      <c r="I132" s="411" t="n">
        <v>74.0137958115255</v>
      </c>
      <c r="J132" s="411" t="n">
        <v>70.7273097045749</v>
      </c>
      <c r="K132" s="411" t="n">
        <v>68.6233437049598</v>
      </c>
      <c r="L132" s="411" t="n">
        <v>68.3495988673988</v>
      </c>
      <c r="M132" s="411" t="n">
        <v>52.6005889372868</v>
      </c>
      <c r="N132" s="411" t="n">
        <v>45.4064734491212</v>
      </c>
      <c r="O132" s="411" t="n">
        <v>39.3698826378585</v>
      </c>
      <c r="P132" s="411" t="n">
        <v>37.722645854765</v>
      </c>
      <c r="Q132" s="411" t="n">
        <v>35.8608872768325</v>
      </c>
      <c r="R132" s="411" t="n">
        <v>34.8564110346887</v>
      </c>
      <c r="S132" s="411" t="n">
        <v>34.1693758140906</v>
      </c>
      <c r="T132" s="411" t="n">
        <v>34.1227759549502</v>
      </c>
      <c r="U132" s="411" t="n">
        <v>34.0302861188315</v>
      </c>
      <c r="V132" s="411" t="n">
        <v>33.699463685811</v>
      </c>
      <c r="W132" s="411" t="n">
        <v>33.3168136679045</v>
      </c>
      <c r="X132" s="411" t="n">
        <v>33.3164182095505</v>
      </c>
      <c r="Y132" s="411" t="n">
        <v>33.3164182095505</v>
      </c>
      <c r="Z132" s="411" t="n">
        <v>33.3163653588241</v>
      </c>
      <c r="AA132" s="411" t="n">
        <v>32.4121084270607</v>
      </c>
      <c r="AB132" s="401" t="n">
        <f aca="false">Peak!AB134</f>
        <v>0.740071314848529</v>
      </c>
      <c r="AC132" s="401" t="n">
        <f aca="false">Peak!AC134</f>
        <v>0</v>
      </c>
      <c r="AD132" s="405" t="n">
        <f aca="false">Peak!AD134</f>
        <v>477.980973134443</v>
      </c>
      <c r="AE132" s="405" t="n">
        <f aca="false">Peak!AE134</f>
        <v>1889.33893428357</v>
      </c>
      <c r="AF132" s="401" t="n">
        <f aca="false">Peak!AF134</f>
        <v>1</v>
      </c>
      <c r="AG132" s="406" t="n">
        <f aca="false">Peak!AG134</f>
        <v>0</v>
      </c>
      <c r="AH132" s="401" t="n">
        <f aca="false">Peak!AH134</f>
        <v>3.48426733559239</v>
      </c>
      <c r="AI132" s="401" t="n">
        <f aca="false">Peak!AI134</f>
        <v>3.54428726026056</v>
      </c>
      <c r="AJ132" s="401" t="n">
        <f aca="false">Peak!AJ134</f>
        <v>0</v>
      </c>
      <c r="AK132" s="401" t="n">
        <f aca="false">Peak!AK134</f>
        <v>0</v>
      </c>
      <c r="AL132" s="1"/>
    </row>
    <row r="133" customFormat="false" ht="12.75" hidden="false" customHeight="false" outlineLevel="0" collapsed="false">
      <c r="A133" s="400" t="n">
        <f aca="false">A132+30.417</f>
        <v>40311.708</v>
      </c>
      <c r="B133" s="401" t="n">
        <f aca="false">IF($B$7="Coal",AG133,IF($B$7="Gas",AH133,IF($B$7="Oil",AI133,0)))</f>
        <v>3.66862010467135</v>
      </c>
      <c r="C133" s="402" t="n">
        <f aca="false">(B133*$B$1*1000)/1000000</f>
        <v>41.4728136143468</v>
      </c>
      <c r="D133" s="401" t="n">
        <f aca="false">AB133+AC133</f>
        <v>0.741304767039943</v>
      </c>
      <c r="E133" s="401" t="n">
        <f aca="false">(($AJ133*$B$1*AD133*1000)/2000)/1000000</f>
        <v>0</v>
      </c>
      <c r="F133" s="401" t="n">
        <f aca="false">AF133*(($AK133*$B$1*AE133*1000)/2000)/1000000</f>
        <v>0</v>
      </c>
      <c r="G133" s="403" t="str">
        <f aca="false">IF(IS!$C$2="Peak","-",SUM(C133:F133))</f>
        <v>-</v>
      </c>
      <c r="H133" s="411" t="n">
        <v>124.933463616316</v>
      </c>
      <c r="I133" s="411" t="n">
        <v>73.592429241917</v>
      </c>
      <c r="J133" s="411" t="n">
        <v>69.0073821820216</v>
      </c>
      <c r="K133" s="411" t="n">
        <v>63.5277592043522</v>
      </c>
      <c r="L133" s="411" t="n">
        <v>61.1212980189872</v>
      </c>
      <c r="M133" s="411" t="n">
        <v>59.0467251681584</v>
      </c>
      <c r="N133" s="411" t="n">
        <v>45.4830709954117</v>
      </c>
      <c r="O133" s="411" t="n">
        <v>42.0600631815325</v>
      </c>
      <c r="P133" s="411" t="n">
        <v>38.9528288750761</v>
      </c>
      <c r="Q133" s="411" t="n">
        <v>36.9263279931822</v>
      </c>
      <c r="R133" s="411" t="n">
        <v>35.4400840829301</v>
      </c>
      <c r="S133" s="411" t="n">
        <v>34.9318375302529</v>
      </c>
      <c r="T133" s="411" t="n">
        <v>34.7445882701642</v>
      </c>
      <c r="U133" s="411" t="n">
        <v>34.3101527457333</v>
      </c>
      <c r="V133" s="411" t="n">
        <v>33.7671177497983</v>
      </c>
      <c r="W133" s="411" t="n">
        <v>32.8031792359196</v>
      </c>
      <c r="X133" s="411" t="n">
        <v>31.8781760188214</v>
      </c>
      <c r="Y133" s="411" t="n">
        <v>31.3479057667645</v>
      </c>
      <c r="Z133" s="411" t="n">
        <v>30.6630953672426</v>
      </c>
      <c r="AA133" s="411" t="n">
        <v>30.2662742361201</v>
      </c>
      <c r="AB133" s="401" t="n">
        <f aca="false">Peak!AB135</f>
        <v>0.741304767039943</v>
      </c>
      <c r="AC133" s="401" t="n">
        <f aca="false">Peak!AC135</f>
        <v>0</v>
      </c>
      <c r="AD133" s="405" t="n">
        <f aca="false">Peak!AD135</f>
        <v>477.980973134443</v>
      </c>
      <c r="AE133" s="405" t="n">
        <f aca="false">Peak!AE135</f>
        <v>1889.33893428357</v>
      </c>
      <c r="AF133" s="401" t="n">
        <f aca="false">Peak!AF135</f>
        <v>1</v>
      </c>
      <c r="AG133" s="406" t="n">
        <f aca="false">Peak!AG135</f>
        <v>0</v>
      </c>
      <c r="AH133" s="401" t="n">
        <f aca="false">Peak!AH135</f>
        <v>3.66862010467135</v>
      </c>
      <c r="AI133" s="401" t="n">
        <f aca="false">Peak!AI135</f>
        <v>3.40108373459346</v>
      </c>
      <c r="AJ133" s="401" t="n">
        <f aca="false">Peak!AJ135</f>
        <v>0</v>
      </c>
      <c r="AK133" s="401" t="n">
        <f aca="false">Peak!AK135</f>
        <v>0</v>
      </c>
      <c r="AL133" s="1"/>
    </row>
    <row r="134" customFormat="false" ht="12.75" hidden="false" customHeight="false" outlineLevel="0" collapsed="false">
      <c r="A134" s="400" t="n">
        <f aca="false">A133+30.417</f>
        <v>40342.125</v>
      </c>
      <c r="B134" s="401" t="n">
        <f aca="false">IF($B$7="Coal",AG134,IF($B$7="Gas",AH134,IF($B$7="Oil",AI134,0)))</f>
        <v>3.49532850173713</v>
      </c>
      <c r="C134" s="402" t="n">
        <f aca="false">(B134*$B$1*1000)/1000000</f>
        <v>39.5137962878399</v>
      </c>
      <c r="D134" s="401" t="n">
        <f aca="false">AB134+AC134</f>
        <v>0.742540274985009</v>
      </c>
      <c r="E134" s="401" t="n">
        <f aca="false">(($AJ134*$B$1*AD134*1000)/2000)/1000000</f>
        <v>0</v>
      </c>
      <c r="F134" s="401" t="n">
        <f aca="false">AF134*(($AK134*$B$1*AE134*1000)/2000)/1000000</f>
        <v>0</v>
      </c>
      <c r="G134" s="403" t="str">
        <f aca="false">IF(IS!$C$2="Peak","-",SUM(C134:F134))</f>
        <v>-</v>
      </c>
      <c r="H134" s="411" t="n">
        <v>165.514627428801</v>
      </c>
      <c r="I134" s="411" t="n">
        <v>151.366365991702</v>
      </c>
      <c r="J134" s="411" t="n">
        <v>112.007886528448</v>
      </c>
      <c r="K134" s="411" t="n">
        <v>93.0490897625631</v>
      </c>
      <c r="L134" s="411" t="n">
        <v>87.2326208313474</v>
      </c>
      <c r="M134" s="411" t="n">
        <v>59.3511766802688</v>
      </c>
      <c r="N134" s="411" t="n">
        <v>48.5871953183178</v>
      </c>
      <c r="O134" s="411" t="n">
        <v>43.6031336263459</v>
      </c>
      <c r="P134" s="411" t="n">
        <v>43.6031336263459</v>
      </c>
      <c r="Q134" s="411" t="n">
        <v>43.6030918471774</v>
      </c>
      <c r="R134" s="411" t="n">
        <v>43.6029099255629</v>
      </c>
      <c r="S134" s="411" t="n">
        <v>43.6027415227324</v>
      </c>
      <c r="T134" s="411" t="n">
        <v>43.6022898169064</v>
      </c>
      <c r="U134" s="411" t="n">
        <v>40.3134939096766</v>
      </c>
      <c r="V134" s="411" t="n">
        <v>36.5469220880002</v>
      </c>
      <c r="W134" s="411" t="n">
        <v>34.5454631899352</v>
      </c>
      <c r="X134" s="411" t="n">
        <v>33.2853991242965</v>
      </c>
      <c r="Y134" s="411" t="n">
        <v>32.3344114018824</v>
      </c>
      <c r="Z134" s="411" t="n">
        <v>30.9743906053807</v>
      </c>
      <c r="AA134" s="411" t="n">
        <v>28.7551484747306</v>
      </c>
      <c r="AB134" s="401" t="n">
        <f aca="false">Peak!AB136</f>
        <v>0.742540274985009</v>
      </c>
      <c r="AC134" s="401" t="n">
        <f aca="false">Peak!AC136</f>
        <v>0</v>
      </c>
      <c r="AD134" s="405" t="n">
        <f aca="false">Peak!AD136</f>
        <v>477.980973134443</v>
      </c>
      <c r="AE134" s="405" t="n">
        <f aca="false">Peak!AE136</f>
        <v>1889.33893428357</v>
      </c>
      <c r="AF134" s="401" t="n">
        <f aca="false">Peak!AF136</f>
        <v>1</v>
      </c>
      <c r="AG134" s="406" t="n">
        <f aca="false">Peak!AG136</f>
        <v>0</v>
      </c>
      <c r="AH134" s="401" t="n">
        <f aca="false">Peak!AH136</f>
        <v>3.49532850173713</v>
      </c>
      <c r="AI134" s="401" t="n">
        <f aca="false">Peak!AI136</f>
        <v>3.40108373459346</v>
      </c>
      <c r="AJ134" s="401" t="n">
        <f aca="false">Peak!AJ136</f>
        <v>0</v>
      </c>
      <c r="AK134" s="401" t="n">
        <f aca="false">Peak!AK136</f>
        <v>0</v>
      </c>
      <c r="AL134" s="1"/>
    </row>
    <row r="135" customFormat="false" ht="12.75" hidden="false" customHeight="false" outlineLevel="0" collapsed="false">
      <c r="A135" s="400" t="n">
        <f aca="false">A134+30.417</f>
        <v>40372.542</v>
      </c>
      <c r="B135" s="401" t="n">
        <f aca="false">IF($B$7="Coal",AG135,IF($B$7="Gas",AH135,IF($B$7="Oil",AI135,0)))</f>
        <v>3.48426733559239</v>
      </c>
      <c r="C135" s="402" t="n">
        <f aca="false">(B135*$B$1*1000)/1000000</f>
        <v>39.3887526287012</v>
      </c>
      <c r="D135" s="401" t="n">
        <f aca="false">AB135+AC135</f>
        <v>0.743777842109984</v>
      </c>
      <c r="E135" s="401" t="n">
        <f aca="false">(($AJ135*$B$1*AD135*1000)/2000)/1000000</f>
        <v>0</v>
      </c>
      <c r="F135" s="401" t="n">
        <f aca="false">AF135*(($AK135*$B$1*AE135*1000)/2000)/1000000</f>
        <v>0</v>
      </c>
      <c r="G135" s="403" t="str">
        <f aca="false">IF(IS!$C$2="Peak","-",SUM(C135:F135))</f>
        <v>-</v>
      </c>
      <c r="H135" s="411" t="n">
        <v>380.078034756938</v>
      </c>
      <c r="I135" s="411" t="n">
        <v>286.038643017168</v>
      </c>
      <c r="J135" s="411" t="n">
        <v>251.627063954912</v>
      </c>
      <c r="K135" s="411" t="n">
        <v>213.596215044171</v>
      </c>
      <c r="L135" s="411" t="n">
        <v>183.489655451168</v>
      </c>
      <c r="M135" s="411" t="n">
        <v>158.678703914355</v>
      </c>
      <c r="N135" s="411" t="n">
        <v>85.2681306302188</v>
      </c>
      <c r="O135" s="411" t="n">
        <v>49.9885641467706</v>
      </c>
      <c r="P135" s="411" t="n">
        <v>44.7854809215825</v>
      </c>
      <c r="Q135" s="411" t="n">
        <v>42.2556117554624</v>
      </c>
      <c r="R135" s="411" t="n">
        <v>40.1463968450161</v>
      </c>
      <c r="S135" s="411" t="n">
        <v>33.1858573484777</v>
      </c>
      <c r="T135" s="411" t="n">
        <v>30.9807702831469</v>
      </c>
      <c r="U135" s="411" t="n">
        <v>29.5888798481074</v>
      </c>
      <c r="V135" s="411" t="n">
        <v>28.5166606857771</v>
      </c>
      <c r="W135" s="411" t="n">
        <v>27.6435521657614</v>
      </c>
      <c r="X135" s="411" t="n">
        <v>26.8376654575224</v>
      </c>
      <c r="Y135" s="411" t="n">
        <v>26.3850515814716</v>
      </c>
      <c r="Z135" s="411" t="n">
        <v>25.5996689984451</v>
      </c>
      <c r="AA135" s="411" t="n">
        <v>24.3837081314761</v>
      </c>
      <c r="AB135" s="401" t="n">
        <f aca="false">Peak!AB137</f>
        <v>0.743777842109984</v>
      </c>
      <c r="AC135" s="401" t="n">
        <f aca="false">Peak!AC137</f>
        <v>0</v>
      </c>
      <c r="AD135" s="405" t="n">
        <f aca="false">Peak!AD137</f>
        <v>477.980973134443</v>
      </c>
      <c r="AE135" s="405" t="n">
        <f aca="false">Peak!AE137</f>
        <v>1889.33893428357</v>
      </c>
      <c r="AF135" s="401" t="n">
        <f aca="false">Peak!AF137</f>
        <v>1</v>
      </c>
      <c r="AG135" s="406" t="n">
        <f aca="false">Peak!AG137</f>
        <v>0</v>
      </c>
      <c r="AH135" s="401" t="n">
        <f aca="false">Peak!AH137</f>
        <v>3.48426733559239</v>
      </c>
      <c r="AI135" s="401" t="n">
        <f aca="false">Peak!AI137</f>
        <v>3.40108373459346</v>
      </c>
      <c r="AJ135" s="401" t="n">
        <f aca="false">Peak!AJ137</f>
        <v>0</v>
      </c>
      <c r="AK135" s="401" t="n">
        <f aca="false">Peak!AK137</f>
        <v>0</v>
      </c>
      <c r="AL135" s="1"/>
    </row>
    <row r="136" customFormat="false" ht="12.75" hidden="false" customHeight="false" outlineLevel="0" collapsed="false">
      <c r="A136" s="400" t="n">
        <f aca="false">A135+30.417</f>
        <v>40402.959</v>
      </c>
      <c r="B136" s="401" t="n">
        <f aca="false">IF($B$7="Coal",AG136,IF($B$7="Gas",AH136,IF($B$7="Oil",AI136,0)))</f>
        <v>3.30360162189501</v>
      </c>
      <c r="C136" s="402" t="n">
        <f aca="false">(B136*$B$1*1000)/1000000</f>
        <v>37.3463728627686</v>
      </c>
      <c r="D136" s="401" t="n">
        <f aca="false">AB136+AC136</f>
        <v>0.745017471846834</v>
      </c>
      <c r="E136" s="401" t="n">
        <f aca="false">(($AJ136*$B$1*AD136*1000)/2000)/1000000</f>
        <v>0</v>
      </c>
      <c r="F136" s="401" t="n">
        <f aca="false">AF136*(($AK136*$B$1*AE136*1000)/2000)/1000000</f>
        <v>0</v>
      </c>
      <c r="G136" s="403" t="str">
        <f aca="false">IF(IS!$C$2="Peak","-",SUM(C136:F136))</f>
        <v>-</v>
      </c>
      <c r="H136" s="411" t="n">
        <v>619.991464077945</v>
      </c>
      <c r="I136" s="411" t="n">
        <v>364.253969886852</v>
      </c>
      <c r="J136" s="411" t="n">
        <v>285.703458789859</v>
      </c>
      <c r="K136" s="411" t="n">
        <v>234.938770028132</v>
      </c>
      <c r="L136" s="411" t="n">
        <v>197.482641129477</v>
      </c>
      <c r="M136" s="411" t="n">
        <v>166.712042183629</v>
      </c>
      <c r="N136" s="411" t="n">
        <v>123.799550071151</v>
      </c>
      <c r="O136" s="411" t="n">
        <v>36.2823712513871</v>
      </c>
      <c r="P136" s="411" t="n">
        <v>32.9232922617225</v>
      </c>
      <c r="Q136" s="411" t="n">
        <v>31.679430643611</v>
      </c>
      <c r="R136" s="411" t="n">
        <v>30.7388597502372</v>
      </c>
      <c r="S136" s="411" t="n">
        <v>29.8166175165304</v>
      </c>
      <c r="T136" s="411" t="n">
        <v>29.2282988136019</v>
      </c>
      <c r="U136" s="411" t="n">
        <v>28.3385541409123</v>
      </c>
      <c r="V136" s="411" t="n">
        <v>27.7205230710244</v>
      </c>
      <c r="W136" s="411" t="n">
        <v>27.2204123806577</v>
      </c>
      <c r="X136" s="411" t="n">
        <v>26.8309260379645</v>
      </c>
      <c r="Y136" s="411" t="n">
        <v>26.5263608598484</v>
      </c>
      <c r="Z136" s="411" t="n">
        <v>26.3378694417258</v>
      </c>
      <c r="AA136" s="411" t="n">
        <v>25.6609253883134</v>
      </c>
      <c r="AB136" s="401" t="n">
        <f aca="false">Peak!AB138</f>
        <v>0.745017471846834</v>
      </c>
      <c r="AC136" s="401" t="n">
        <f aca="false">Peak!AC138</f>
        <v>0</v>
      </c>
      <c r="AD136" s="405" t="n">
        <f aca="false">Peak!AD138</f>
        <v>477.980973134443</v>
      </c>
      <c r="AE136" s="405" t="n">
        <f aca="false">Peak!AE138</f>
        <v>1889.33893428357</v>
      </c>
      <c r="AF136" s="401" t="n">
        <f aca="false">Peak!AF138</f>
        <v>1</v>
      </c>
      <c r="AG136" s="406" t="n">
        <f aca="false">Peak!AG138</f>
        <v>0</v>
      </c>
      <c r="AH136" s="401" t="n">
        <f aca="false">Peak!AH138</f>
        <v>3.30360162189501</v>
      </c>
      <c r="AI136" s="401" t="n">
        <f aca="false">Peak!AI138</f>
        <v>3.40108373459346</v>
      </c>
      <c r="AJ136" s="401" t="n">
        <f aca="false">Peak!AJ138</f>
        <v>0</v>
      </c>
      <c r="AK136" s="401" t="n">
        <f aca="false">Peak!AK138</f>
        <v>0</v>
      </c>
      <c r="AL136" s="1"/>
    </row>
    <row r="137" customFormat="false" ht="12.75" hidden="false" customHeight="false" outlineLevel="0" collapsed="false">
      <c r="A137" s="400" t="n">
        <f aca="false">A136+30.417</f>
        <v>40433.376</v>
      </c>
      <c r="B137" s="401" t="n">
        <f aca="false">IF($B$7="Coal",AG137,IF($B$7="Gas",AH137,IF($B$7="Oil",AI137,0)))</f>
        <v>3.29254045575027</v>
      </c>
      <c r="C137" s="402" t="n">
        <f aca="false">(B137*$B$1*1000)/1000000</f>
        <v>37.2213292036298</v>
      </c>
      <c r="D137" s="401" t="n">
        <f aca="false">AB137+AC137</f>
        <v>0.746259167633246</v>
      </c>
      <c r="E137" s="401" t="n">
        <f aca="false">(($AJ137*$B$1*AD137*1000)/2000)/1000000</f>
        <v>0</v>
      </c>
      <c r="F137" s="401" t="n">
        <f aca="false">AF137*(($AK137*$B$1*AE137*1000)/2000)/1000000</f>
        <v>0</v>
      </c>
      <c r="G137" s="403" t="str">
        <f aca="false">IF(IS!$C$2="Peak","-",SUM(C137:F137))</f>
        <v>-</v>
      </c>
      <c r="H137" s="411" t="n">
        <v>155.001651742823</v>
      </c>
      <c r="I137" s="411" t="n">
        <v>129.091026814139</v>
      </c>
      <c r="J137" s="411" t="n">
        <v>96.9026735287687</v>
      </c>
      <c r="K137" s="411" t="n">
        <v>85.6571081846676</v>
      </c>
      <c r="L137" s="411" t="n">
        <v>80.0685267383676</v>
      </c>
      <c r="M137" s="411" t="n">
        <v>78.0244793533686</v>
      </c>
      <c r="N137" s="411" t="n">
        <v>58.5822394633209</v>
      </c>
      <c r="O137" s="411" t="n">
        <v>47.3535158851922</v>
      </c>
      <c r="P137" s="411" t="n">
        <v>44.6570310724188</v>
      </c>
      <c r="Q137" s="411" t="n">
        <v>39.4253273258012</v>
      </c>
      <c r="R137" s="411" t="n">
        <v>38.8014543527265</v>
      </c>
      <c r="S137" s="411" t="n">
        <v>38.497102131758</v>
      </c>
      <c r="T137" s="411" t="n">
        <v>37.8724794831134</v>
      </c>
      <c r="U137" s="411" t="n">
        <v>35.986879270526</v>
      </c>
      <c r="V137" s="411" t="n">
        <v>34.7187717643896</v>
      </c>
      <c r="W137" s="411" t="n">
        <v>33.5945769716428</v>
      </c>
      <c r="X137" s="411" t="n">
        <v>32.4378449703665</v>
      </c>
      <c r="Y137" s="411" t="n">
        <v>32.0474936688798</v>
      </c>
      <c r="Z137" s="411" t="n">
        <v>30.9681008246323</v>
      </c>
      <c r="AA137" s="411" t="n">
        <v>29.0245181811891</v>
      </c>
      <c r="AB137" s="401" t="n">
        <f aca="false">Peak!AB139</f>
        <v>0.746259167633246</v>
      </c>
      <c r="AC137" s="401" t="n">
        <f aca="false">Peak!AC139</f>
        <v>0</v>
      </c>
      <c r="AD137" s="405" t="n">
        <f aca="false">Peak!AD139</f>
        <v>477.980973134443</v>
      </c>
      <c r="AE137" s="405" t="n">
        <f aca="false">Peak!AE139</f>
        <v>1889.33893428357</v>
      </c>
      <c r="AF137" s="401" t="n">
        <f aca="false">Peak!AF139</f>
        <v>1</v>
      </c>
      <c r="AG137" s="406" t="n">
        <f aca="false">Peak!AG139</f>
        <v>0</v>
      </c>
      <c r="AH137" s="401" t="n">
        <f aca="false">Peak!AH139</f>
        <v>3.29254045575027</v>
      </c>
      <c r="AI137" s="401" t="n">
        <f aca="false">Peak!AI139</f>
        <v>3.40108373459346</v>
      </c>
      <c r="AJ137" s="401" t="n">
        <f aca="false">Peak!AJ139</f>
        <v>0</v>
      </c>
      <c r="AK137" s="401" t="n">
        <f aca="false">Peak!AK139</f>
        <v>0</v>
      </c>
      <c r="AL137" s="1"/>
    </row>
    <row r="138" customFormat="false" ht="12.75" hidden="false" customHeight="false" outlineLevel="0" collapsed="false">
      <c r="A138" s="400" t="n">
        <f aca="false">A137+30.417</f>
        <v>40463.793</v>
      </c>
      <c r="B138" s="401" t="n">
        <f aca="false">IF($B$7="Coal",AG138,IF($B$7="Gas",AH138,IF($B$7="Oil",AI138,0)))</f>
        <v>3.64649777238188</v>
      </c>
      <c r="C138" s="402" t="n">
        <f aca="false">(B138*$B$1*1000)/1000000</f>
        <v>41.2227262960693</v>
      </c>
      <c r="D138" s="401" t="n">
        <f aca="false">AB138+AC138</f>
        <v>0.747502932912635</v>
      </c>
      <c r="E138" s="401" t="n">
        <f aca="false">(($AJ138*$B$1*AD138*1000)/2000)/1000000</f>
        <v>0</v>
      </c>
      <c r="F138" s="401" t="n">
        <f aca="false">AF138*(($AK138*$B$1*AE138*1000)/2000)/1000000</f>
        <v>0</v>
      </c>
      <c r="G138" s="403" t="str">
        <f aca="false">IF(IS!$C$2="Peak","-",SUM(C138:F138))</f>
        <v>-</v>
      </c>
      <c r="H138" s="411" t="n">
        <v>79.8233998917739</v>
      </c>
      <c r="I138" s="411" t="n">
        <v>74.5770637802549</v>
      </c>
      <c r="J138" s="411" t="n">
        <v>73.1052256770347</v>
      </c>
      <c r="K138" s="411" t="n">
        <v>69.038586315104</v>
      </c>
      <c r="L138" s="411" t="n">
        <v>66.2044102293481</v>
      </c>
      <c r="M138" s="411" t="n">
        <v>65.8585262850101</v>
      </c>
      <c r="N138" s="411" t="n">
        <v>62.671733782589</v>
      </c>
      <c r="O138" s="411" t="n">
        <v>46.9496453273172</v>
      </c>
      <c r="P138" s="411" t="n">
        <v>44.0053648138228</v>
      </c>
      <c r="Q138" s="411" t="n">
        <v>40.3830654424042</v>
      </c>
      <c r="R138" s="411" t="n">
        <v>39.881113804893</v>
      </c>
      <c r="S138" s="411" t="n">
        <v>36.1333810372189</v>
      </c>
      <c r="T138" s="411" t="n">
        <v>34.6091836832826</v>
      </c>
      <c r="U138" s="411" t="n">
        <v>33.308597994365</v>
      </c>
      <c r="V138" s="411" t="n">
        <v>32.5271745901256</v>
      </c>
      <c r="W138" s="411" t="n">
        <v>32.4801033816037</v>
      </c>
      <c r="X138" s="411" t="n">
        <v>32.4801033816037</v>
      </c>
      <c r="Y138" s="411" t="n">
        <v>32.4801033816037</v>
      </c>
      <c r="Z138" s="411" t="n">
        <v>32.2797948225474</v>
      </c>
      <c r="AA138" s="411" t="n">
        <v>31.2920836669095</v>
      </c>
      <c r="AB138" s="401" t="n">
        <f aca="false">Peak!AB140</f>
        <v>0.747502932912635</v>
      </c>
      <c r="AC138" s="401" t="n">
        <f aca="false">Peak!AC140</f>
        <v>0</v>
      </c>
      <c r="AD138" s="405" t="n">
        <f aca="false">Peak!AD140</f>
        <v>477.980973134443</v>
      </c>
      <c r="AE138" s="405" t="n">
        <f aca="false">Peak!AE140</f>
        <v>1889.33893428357</v>
      </c>
      <c r="AF138" s="401" t="n">
        <f aca="false">Peak!AF140</f>
        <v>1</v>
      </c>
      <c r="AG138" s="406" t="n">
        <f aca="false">Peak!AG140</f>
        <v>0</v>
      </c>
      <c r="AH138" s="401" t="n">
        <f aca="false">Peak!AH140</f>
        <v>3.64649777238188</v>
      </c>
      <c r="AI138" s="401" t="n">
        <f aca="false">Peak!AI140</f>
        <v>3.40108373459346</v>
      </c>
      <c r="AJ138" s="401" t="n">
        <f aca="false">Peak!AJ140</f>
        <v>0</v>
      </c>
      <c r="AK138" s="401" t="n">
        <f aca="false">Peak!AK140</f>
        <v>0</v>
      </c>
      <c r="AL138" s="1"/>
    </row>
    <row r="139" customFormat="false" ht="12.75" hidden="false" customHeight="false" outlineLevel="0" collapsed="false">
      <c r="A139" s="400" t="n">
        <f aca="false">A138+30.417</f>
        <v>40494.21</v>
      </c>
      <c r="B139" s="401" t="n">
        <f aca="false">IF($B$7="Coal",AG139,IF($B$7="Gas",AH139,IF($B$7="Oil",AI139,0)))</f>
        <v>3.99308097825033</v>
      </c>
      <c r="C139" s="402" t="n">
        <f aca="false">(B139*$B$1*1000)/1000000</f>
        <v>45.140760949083</v>
      </c>
      <c r="D139" s="401" t="n">
        <f aca="false">AB139+AC139</f>
        <v>0.748748771134156</v>
      </c>
      <c r="E139" s="401" t="n">
        <f aca="false">(($AJ139*$B$1*AD139*1000)/2000)/1000000</f>
        <v>0</v>
      </c>
      <c r="F139" s="401" t="n">
        <f aca="false">AF139*(($AK139*$B$1*AE139*1000)/2000)/1000000</f>
        <v>0</v>
      </c>
      <c r="G139" s="403" t="str">
        <f aca="false">IF(IS!$C$2="Peak","-",SUM(C139:F139))</f>
        <v>-</v>
      </c>
      <c r="H139" s="411" t="n">
        <v>118.541671089005</v>
      </c>
      <c r="I139" s="411" t="n">
        <v>118.540239478299</v>
      </c>
      <c r="J139" s="411" t="n">
        <v>117.981039456865</v>
      </c>
      <c r="K139" s="411" t="n">
        <v>108.083913594012</v>
      </c>
      <c r="L139" s="411" t="n">
        <v>82.0959321787963</v>
      </c>
      <c r="M139" s="411" t="n">
        <v>71.7041461183783</v>
      </c>
      <c r="N139" s="411" t="n">
        <v>65.554794388426</v>
      </c>
      <c r="O139" s="411" t="n">
        <v>55.5971667875635</v>
      </c>
      <c r="P139" s="411" t="n">
        <v>55.1182848953548</v>
      </c>
      <c r="Q139" s="411" t="n">
        <v>55.1181376116337</v>
      </c>
      <c r="R139" s="411" t="n">
        <v>55.1180292425369</v>
      </c>
      <c r="S139" s="411" t="n">
        <v>55.1180292425369</v>
      </c>
      <c r="T139" s="411" t="n">
        <v>43.6661200028783</v>
      </c>
      <c r="U139" s="411" t="n">
        <v>35.9311708041514</v>
      </c>
      <c r="V139" s="411" t="n">
        <v>34.2490378357025</v>
      </c>
      <c r="W139" s="411" t="n">
        <v>32.74796381839</v>
      </c>
      <c r="X139" s="411" t="n">
        <v>32.0411981444673</v>
      </c>
      <c r="Y139" s="411" t="n">
        <v>31.3394251763215</v>
      </c>
      <c r="Z139" s="411" t="n">
        <v>30.3216209456901</v>
      </c>
      <c r="AA139" s="411" t="n">
        <v>28.5236825604521</v>
      </c>
      <c r="AB139" s="401" t="n">
        <f aca="false">Peak!AB141</f>
        <v>0.748748771134156</v>
      </c>
      <c r="AC139" s="401" t="n">
        <f aca="false">Peak!AC141</f>
        <v>0</v>
      </c>
      <c r="AD139" s="405" t="n">
        <f aca="false">Peak!AD141</f>
        <v>477.980973134443</v>
      </c>
      <c r="AE139" s="405" t="n">
        <f aca="false">Peak!AE141</f>
        <v>1889.33893428357</v>
      </c>
      <c r="AF139" s="401" t="n">
        <f aca="false">Peak!AF141</f>
        <v>1</v>
      </c>
      <c r="AG139" s="406" t="n">
        <f aca="false">Peak!AG141</f>
        <v>0</v>
      </c>
      <c r="AH139" s="401" t="n">
        <f aca="false">Peak!AH141</f>
        <v>3.99308097825033</v>
      </c>
      <c r="AI139" s="401" t="n">
        <f aca="false">Peak!AI141</f>
        <v>3.68749078592765</v>
      </c>
      <c r="AJ139" s="401" t="n">
        <f aca="false">Peak!AJ141</f>
        <v>0</v>
      </c>
      <c r="AK139" s="401" t="n">
        <f aca="false">Peak!AK141</f>
        <v>0</v>
      </c>
      <c r="AL139" s="1"/>
    </row>
    <row r="140" customFormat="false" ht="12.75" hidden="false" customHeight="false" outlineLevel="0" collapsed="false">
      <c r="A140" s="400" t="n">
        <f aca="false">A139+30.417</f>
        <v>40524.627</v>
      </c>
      <c r="B140" s="401" t="n">
        <f aca="false">IF($B$7="Coal",AG140,IF($B$7="Gas",AH140,IF($B$7="Oil",AI140,0)))</f>
        <v>4.32122890721088</v>
      </c>
      <c r="C140" s="402" t="n">
        <f aca="false">(B140*$B$1*1000)/1000000</f>
        <v>48.8503895035321</v>
      </c>
      <c r="D140" s="401" t="n">
        <f aca="false">AB140+AC140</f>
        <v>0.749996685752713</v>
      </c>
      <c r="E140" s="401" t="n">
        <f aca="false">(($AJ140*$B$1*AD140*1000)/2000)/1000000</f>
        <v>0</v>
      </c>
      <c r="F140" s="401" t="n">
        <f aca="false">AF140*(($AK140*$B$1*AE140*1000)/2000)/1000000</f>
        <v>0</v>
      </c>
      <c r="G140" s="403" t="str">
        <f aca="false">IF(IS!$C$2="Peak","-",SUM(C140:F140))</f>
        <v>-</v>
      </c>
      <c r="H140" s="411" t="n">
        <v>135.748494353235</v>
      </c>
      <c r="I140" s="411" t="n">
        <v>116.129614459796</v>
      </c>
      <c r="J140" s="411" t="n">
        <v>99.4131586654313</v>
      </c>
      <c r="K140" s="411" t="n">
        <v>92.2969651601339</v>
      </c>
      <c r="L140" s="411" t="n">
        <v>86.8072447343186</v>
      </c>
      <c r="M140" s="411" t="n">
        <v>82.788418355184</v>
      </c>
      <c r="N140" s="411" t="n">
        <v>82.1902579517233</v>
      </c>
      <c r="O140" s="411" t="n">
        <v>75.8215485948568</v>
      </c>
      <c r="P140" s="411" t="n">
        <v>58.1734092617695</v>
      </c>
      <c r="Q140" s="411" t="n">
        <v>52.0955668572179</v>
      </c>
      <c r="R140" s="411" t="n">
        <v>46.4195209911367</v>
      </c>
      <c r="S140" s="411" t="n">
        <v>44.5493427040888</v>
      </c>
      <c r="T140" s="411" t="n">
        <v>40.29550267534</v>
      </c>
      <c r="U140" s="411" t="n">
        <v>40.035693551103</v>
      </c>
      <c r="V140" s="411" t="n">
        <v>39.7280997833513</v>
      </c>
      <c r="W140" s="411" t="n">
        <v>39.6316690397017</v>
      </c>
      <c r="X140" s="411" t="n">
        <v>39.6316361061611</v>
      </c>
      <c r="Y140" s="411" t="n">
        <v>39.6316361061611</v>
      </c>
      <c r="Z140" s="411" t="n">
        <v>37.9481260448358</v>
      </c>
      <c r="AA140" s="411" t="n">
        <v>33.5211646137141</v>
      </c>
      <c r="AB140" s="401" t="n">
        <f aca="false">Peak!AB142</f>
        <v>0.749996685752713</v>
      </c>
      <c r="AC140" s="401" t="n">
        <f aca="false">Peak!AC142</f>
        <v>0</v>
      </c>
      <c r="AD140" s="405" t="n">
        <f aca="false">Peak!AD142</f>
        <v>477.980973134443</v>
      </c>
      <c r="AE140" s="405" t="n">
        <f aca="false">Peak!AE142</f>
        <v>1889.33893428357</v>
      </c>
      <c r="AF140" s="401" t="n">
        <f aca="false">Peak!AF142</f>
        <v>1</v>
      </c>
      <c r="AG140" s="406" t="n">
        <f aca="false">Peak!AG142</f>
        <v>0</v>
      </c>
      <c r="AH140" s="401" t="n">
        <f aca="false">Peak!AH142</f>
        <v>4.32122890721088</v>
      </c>
      <c r="AI140" s="401" t="n">
        <f aca="false">Peak!AI142</f>
        <v>3.86649519301152</v>
      </c>
      <c r="AJ140" s="401" t="n">
        <f aca="false">Peak!AJ142</f>
        <v>0</v>
      </c>
      <c r="AK140" s="401" t="n">
        <f aca="false">Peak!AK142</f>
        <v>0</v>
      </c>
      <c r="AL140" s="1"/>
    </row>
    <row r="141" customFormat="false" ht="12.75" hidden="false" customHeight="false" outlineLevel="0" collapsed="false">
      <c r="A141" s="400" t="n">
        <f aca="false">A140+30.417</f>
        <v>40555.044</v>
      </c>
      <c r="B141" s="401" t="n">
        <f aca="false">IF($B$7="Coal",AG141,IF($B$7="Gas",AH141,IF($B$7="Oil",AI141,0)))</f>
        <v>4.24512467799262</v>
      </c>
      <c r="C141" s="402" t="n">
        <f aca="false">(B141*$B$1*1000)/1000000</f>
        <v>47.9900506230867</v>
      </c>
      <c r="D141" s="401" t="n">
        <f aca="false">AB141+AC141</f>
        <v>0.751246680228967</v>
      </c>
      <c r="E141" s="401" t="n">
        <f aca="false">(($AJ141*$B$1*AD141*1000)/2000)/1000000</f>
        <v>0</v>
      </c>
      <c r="F141" s="401" t="n">
        <f aca="false">AF141*(($AK141*$B$1*AE141*1000)/2000)/1000000</f>
        <v>0</v>
      </c>
      <c r="G141" s="403" t="str">
        <f aca="false">IF(IS!$C$2="Peak","-",SUM(C141:F141))</f>
        <v>-</v>
      </c>
      <c r="H141" s="411" t="n">
        <v>164.237199540038</v>
      </c>
      <c r="I141" s="411" t="n">
        <v>157.931540797701</v>
      </c>
      <c r="J141" s="411" t="n">
        <v>153.199741749686</v>
      </c>
      <c r="K141" s="411" t="n">
        <v>124.755987763585</v>
      </c>
      <c r="L141" s="411" t="n">
        <v>81.889860366993</v>
      </c>
      <c r="M141" s="411" t="n">
        <v>75.9565051322466</v>
      </c>
      <c r="N141" s="411" t="n">
        <v>69.8203665512464</v>
      </c>
      <c r="O141" s="411" t="n">
        <v>69.2151476734145</v>
      </c>
      <c r="P141" s="411" t="n">
        <v>65.6585763803376</v>
      </c>
      <c r="Q141" s="411" t="n">
        <v>50.458494230946</v>
      </c>
      <c r="R141" s="411" t="n">
        <v>44.6329226574977</v>
      </c>
      <c r="S141" s="411" t="n">
        <v>39.3110779481137</v>
      </c>
      <c r="T141" s="411" t="n">
        <v>38.1203602886031</v>
      </c>
      <c r="U141" s="411" t="n">
        <v>34.8117916991727</v>
      </c>
      <c r="V141" s="411" t="n">
        <v>34.4817634591779</v>
      </c>
      <c r="W141" s="411" t="n">
        <v>34.135650992188</v>
      </c>
      <c r="X141" s="411" t="n">
        <v>33.9327115710927</v>
      </c>
      <c r="Y141" s="411" t="n">
        <v>33.9326599069239</v>
      </c>
      <c r="Z141" s="411" t="n">
        <v>33.9326297880465</v>
      </c>
      <c r="AA141" s="411" t="n">
        <v>32.2514407161036</v>
      </c>
      <c r="AB141" s="401" t="n">
        <f aca="false">Peak!AB143</f>
        <v>0.751246680228967</v>
      </c>
      <c r="AC141" s="401" t="n">
        <f aca="false">Peak!AC143</f>
        <v>0</v>
      </c>
      <c r="AD141" s="405" t="n">
        <f aca="false">Peak!AD143</f>
        <v>526.532188626439</v>
      </c>
      <c r="AE141" s="405" t="n">
        <f aca="false">Peak!AE143</f>
        <v>1943.45115851308</v>
      </c>
      <c r="AF141" s="401" t="n">
        <f aca="false">Peak!AF143</f>
        <v>1</v>
      </c>
      <c r="AG141" s="406" t="n">
        <f aca="false">Peak!AG143</f>
        <v>0</v>
      </c>
      <c r="AH141" s="401" t="n">
        <f aca="false">Peak!AH143</f>
        <v>4.24512467799262</v>
      </c>
      <c r="AI141" s="401" t="n">
        <f aca="false">Peak!AI143</f>
        <v>3.94838378071003</v>
      </c>
      <c r="AJ141" s="401" t="n">
        <f aca="false">Peak!AJ143</f>
        <v>0</v>
      </c>
      <c r="AK141" s="401" t="n">
        <f aca="false">Peak!AK143</f>
        <v>0</v>
      </c>
      <c r="AL141" s="1"/>
    </row>
    <row r="142" customFormat="false" ht="12.75" hidden="false" customHeight="false" outlineLevel="0" collapsed="false">
      <c r="A142" s="400" t="n">
        <f aca="false">A141+30.417</f>
        <v>40585.461</v>
      </c>
      <c r="B142" s="401" t="n">
        <f aca="false">IF($B$7="Coal",AG142,IF($B$7="Gas",AH142,IF($B$7="Oil",AI142,0)))</f>
        <v>3.80480589490296</v>
      </c>
      <c r="C142" s="402" t="n">
        <f aca="false">(B142*$B$1*1000)/1000000</f>
        <v>43.012359202075</v>
      </c>
      <c r="D142" s="401" t="n">
        <f aca="false">AB142+AC142</f>
        <v>0.752498758029349</v>
      </c>
      <c r="E142" s="401" t="n">
        <f aca="false">(($AJ142*$B$1*AD142*1000)/2000)/1000000</f>
        <v>0</v>
      </c>
      <c r="F142" s="401" t="n">
        <f aca="false">AF142*(($AK142*$B$1*AE142*1000)/2000)/1000000</f>
        <v>0</v>
      </c>
      <c r="G142" s="403" t="str">
        <f aca="false">IF(IS!$C$2="Peak","-",SUM(C142:F142))</f>
        <v>-</v>
      </c>
      <c r="H142" s="411" t="n">
        <v>144.146558672512</v>
      </c>
      <c r="I142" s="411" t="n">
        <v>114.520216600622</v>
      </c>
      <c r="J142" s="411" t="n">
        <v>96.8820184596581</v>
      </c>
      <c r="K142" s="411" t="n">
        <v>90.2980126701195</v>
      </c>
      <c r="L142" s="411" t="n">
        <v>85.2628750642648</v>
      </c>
      <c r="M142" s="411" t="n">
        <v>78.9265960813505</v>
      </c>
      <c r="N142" s="411" t="n">
        <v>77.684068530986</v>
      </c>
      <c r="O142" s="411" t="n">
        <v>68.0358902413605</v>
      </c>
      <c r="P142" s="411" t="n">
        <v>54.098774829249</v>
      </c>
      <c r="Q142" s="411" t="n">
        <v>49.791658875064</v>
      </c>
      <c r="R142" s="411" t="n">
        <v>44.9241734612463</v>
      </c>
      <c r="S142" s="411" t="n">
        <v>44.0474106686574</v>
      </c>
      <c r="T142" s="411" t="n">
        <v>42.5258153714536</v>
      </c>
      <c r="U142" s="411" t="n">
        <v>41.3723275437759</v>
      </c>
      <c r="V142" s="411" t="n">
        <v>40.4668927004639</v>
      </c>
      <c r="W142" s="411" t="n">
        <v>38.8248520820223</v>
      </c>
      <c r="X142" s="411" t="n">
        <v>38.6119715485139</v>
      </c>
      <c r="Y142" s="411" t="n">
        <v>38.6119715485139</v>
      </c>
      <c r="Z142" s="411" t="n">
        <v>38.6119715485139</v>
      </c>
      <c r="AA142" s="411" t="n">
        <v>38.0083193278819</v>
      </c>
      <c r="AB142" s="401" t="n">
        <f aca="false">Peak!AB144</f>
        <v>0.752498758029349</v>
      </c>
      <c r="AC142" s="401" t="n">
        <f aca="false">Peak!AC144</f>
        <v>0</v>
      </c>
      <c r="AD142" s="405" t="n">
        <f aca="false">Peak!AD144</f>
        <v>526.532188626439</v>
      </c>
      <c r="AE142" s="405" t="n">
        <f aca="false">Peak!AE144</f>
        <v>1943.45115851308</v>
      </c>
      <c r="AF142" s="401" t="n">
        <f aca="false">Peak!AF144</f>
        <v>1</v>
      </c>
      <c r="AG142" s="406" t="n">
        <f aca="false">Peak!AG144</f>
        <v>0</v>
      </c>
      <c r="AH142" s="401" t="n">
        <f aca="false">Peak!AH144</f>
        <v>3.80480589490296</v>
      </c>
      <c r="AI142" s="401" t="n">
        <f aca="false">Peak!AI144</f>
        <v>3.91182467162938</v>
      </c>
      <c r="AJ142" s="401" t="n">
        <f aca="false">Peak!AJ144</f>
        <v>0</v>
      </c>
      <c r="AK142" s="401" t="n">
        <f aca="false">Peak!AK144</f>
        <v>0</v>
      </c>
      <c r="AL142" s="1"/>
    </row>
    <row r="143" customFormat="false" ht="12.75" hidden="false" customHeight="false" outlineLevel="0" collapsed="false">
      <c r="A143" s="400" t="n">
        <f aca="false">A142+30.417</f>
        <v>40615.878</v>
      </c>
      <c r="B143" s="401" t="n">
        <f aca="false">IF($B$7="Coal",AG143,IF($B$7="Gas",AH143,IF($B$7="Oil",AI143,0)))</f>
        <v>3.74082795206087</v>
      </c>
      <c r="C143" s="402" t="n">
        <f aca="false">(B143*$B$1*1000)/1000000</f>
        <v>42.2891048930391</v>
      </c>
      <c r="D143" s="401" t="n">
        <f aca="false">AB143+AC143</f>
        <v>0.753752922626064</v>
      </c>
      <c r="E143" s="401" t="n">
        <f aca="false">(($AJ143*$B$1*AD143*1000)/2000)/1000000</f>
        <v>0</v>
      </c>
      <c r="F143" s="401" t="n">
        <f aca="false">AF143*(($AK143*$B$1*AE143*1000)/2000)/1000000</f>
        <v>0</v>
      </c>
      <c r="G143" s="403" t="str">
        <f aca="false">IF(IS!$C$2="Peak","-",SUM(C143:F143))</f>
        <v>-</v>
      </c>
      <c r="H143" s="411" t="n">
        <v>135.100606666631</v>
      </c>
      <c r="I143" s="411" t="n">
        <v>110.980835189247</v>
      </c>
      <c r="J143" s="411" t="n">
        <v>85.2132782540585</v>
      </c>
      <c r="K143" s="411" t="n">
        <v>75.9220009358449</v>
      </c>
      <c r="L143" s="411" t="n">
        <v>71.5744139272024</v>
      </c>
      <c r="M143" s="411" t="n">
        <v>67.1714113081573</v>
      </c>
      <c r="N143" s="411" t="n">
        <v>66.8036554777112</v>
      </c>
      <c r="O143" s="411" t="n">
        <v>62.7585806038726</v>
      </c>
      <c r="P143" s="411" t="n">
        <v>50.0979675357266</v>
      </c>
      <c r="Q143" s="411" t="n">
        <v>46.7405487446355</v>
      </c>
      <c r="R143" s="411" t="n">
        <v>44.4063255682259</v>
      </c>
      <c r="S143" s="411" t="n">
        <v>41.3381564062768</v>
      </c>
      <c r="T143" s="411" t="n">
        <v>39.2528416041281</v>
      </c>
      <c r="U143" s="411" t="n">
        <v>38.4776927819574</v>
      </c>
      <c r="V143" s="411" t="n">
        <v>38.0108947148368</v>
      </c>
      <c r="W143" s="411" t="n">
        <v>37.8829269633036</v>
      </c>
      <c r="X143" s="411" t="n">
        <v>37.1215385816065</v>
      </c>
      <c r="Y143" s="411" t="n">
        <v>35.9345559846</v>
      </c>
      <c r="Z143" s="411" t="n">
        <v>34.124396210103</v>
      </c>
      <c r="AA143" s="411" t="n">
        <v>32.9993949237108</v>
      </c>
      <c r="AB143" s="401" t="n">
        <f aca="false">Peak!AB145</f>
        <v>0.753752922626064</v>
      </c>
      <c r="AC143" s="401" t="n">
        <f aca="false">Peak!AC145</f>
        <v>0</v>
      </c>
      <c r="AD143" s="405" t="n">
        <f aca="false">Peak!AD145</f>
        <v>526.532188626439</v>
      </c>
      <c r="AE143" s="405" t="n">
        <f aca="false">Peak!AE145</f>
        <v>1943.45115851308</v>
      </c>
      <c r="AF143" s="401" t="n">
        <f aca="false">Peak!AF145</f>
        <v>1</v>
      </c>
      <c r="AG143" s="406" t="n">
        <f aca="false">Peak!AG145</f>
        <v>0</v>
      </c>
      <c r="AH143" s="401" t="n">
        <f aca="false">Peak!AH145</f>
        <v>3.74082795206087</v>
      </c>
      <c r="AI143" s="401" t="n">
        <f aca="false">Peak!AI145</f>
        <v>3.76558823530679</v>
      </c>
      <c r="AJ143" s="401" t="n">
        <f aca="false">Peak!AJ145</f>
        <v>0</v>
      </c>
      <c r="AK143" s="401" t="n">
        <f aca="false">Peak!AK145</f>
        <v>0</v>
      </c>
      <c r="AL143" s="1"/>
    </row>
    <row r="144" customFormat="false" ht="12.75" hidden="false" customHeight="false" outlineLevel="0" collapsed="false">
      <c r="A144" s="400" t="n">
        <f aca="false">A143+30.417</f>
        <v>40646.295</v>
      </c>
      <c r="B144" s="401" t="n">
        <f aca="false">IF($B$7="Coal",AG144,IF($B$7="Gas",AH144,IF($B$7="Oil",AI144,0)))</f>
        <v>3.55642094033956</v>
      </c>
      <c r="C144" s="402" t="n">
        <f aca="false">(B144*$B$1*1000)/1000000</f>
        <v>40.204430708171</v>
      </c>
      <c r="D144" s="401" t="n">
        <f aca="false">AB144+AC144</f>
        <v>0.755009177497108</v>
      </c>
      <c r="E144" s="401" t="n">
        <f aca="false">(($AJ144*$B$1*AD144*1000)/2000)/1000000</f>
        <v>0</v>
      </c>
      <c r="F144" s="401" t="n">
        <f aca="false">AF144*(($AK144*$B$1*AE144*1000)/2000)/1000000</f>
        <v>0</v>
      </c>
      <c r="G144" s="403" t="str">
        <f aca="false">IF(IS!$C$2="Peak","-",SUM(C144:F144))</f>
        <v>-</v>
      </c>
      <c r="H144" s="411" t="n">
        <v>80.4768766502151</v>
      </c>
      <c r="I144" s="411" t="n">
        <v>77.5576881063369</v>
      </c>
      <c r="J144" s="411" t="n">
        <v>72.8237973389405</v>
      </c>
      <c r="K144" s="411" t="n">
        <v>70.3293386131993</v>
      </c>
      <c r="L144" s="411" t="n">
        <v>70.1520852764676</v>
      </c>
      <c r="M144" s="411" t="n">
        <v>61.4828096845933</v>
      </c>
      <c r="N144" s="411" t="n">
        <v>48.9280060012031</v>
      </c>
      <c r="O144" s="411" t="n">
        <v>42.6127781638044</v>
      </c>
      <c r="P144" s="411" t="n">
        <v>39.8423139270397</v>
      </c>
      <c r="Q144" s="411" t="n">
        <v>39.4336123407505</v>
      </c>
      <c r="R144" s="411" t="n">
        <v>37.5318688897095</v>
      </c>
      <c r="S144" s="411" t="n">
        <v>36.4021240465606</v>
      </c>
      <c r="T144" s="411" t="n">
        <v>35.4558593657244</v>
      </c>
      <c r="U144" s="411" t="n">
        <v>34.7501551728502</v>
      </c>
      <c r="V144" s="411" t="n">
        <v>34.3178424542043</v>
      </c>
      <c r="W144" s="411" t="n">
        <v>34.2762550552166</v>
      </c>
      <c r="X144" s="411" t="n">
        <v>34.2762550552166</v>
      </c>
      <c r="Y144" s="411" t="n">
        <v>34.2762550552166</v>
      </c>
      <c r="Z144" s="411" t="n">
        <v>34.2762550552166</v>
      </c>
      <c r="AA144" s="411" t="n">
        <v>33.8490718264082</v>
      </c>
      <c r="AB144" s="401" t="n">
        <f aca="false">Peak!AB146</f>
        <v>0.755009177497108</v>
      </c>
      <c r="AC144" s="401" t="n">
        <f aca="false">Peak!AC146</f>
        <v>0</v>
      </c>
      <c r="AD144" s="405" t="n">
        <f aca="false">Peak!AD146</f>
        <v>526.532188626439</v>
      </c>
      <c r="AE144" s="405" t="n">
        <f aca="false">Peak!AE146</f>
        <v>1943.45115851308</v>
      </c>
      <c r="AF144" s="401" t="n">
        <f aca="false">Peak!AF146</f>
        <v>1</v>
      </c>
      <c r="AG144" s="406" t="n">
        <f aca="false">Peak!AG146</f>
        <v>0</v>
      </c>
      <c r="AH144" s="401" t="n">
        <f aca="false">Peak!AH146</f>
        <v>3.55642094033956</v>
      </c>
      <c r="AI144" s="401" t="n">
        <f aca="false">Peak!AI146</f>
        <v>3.6193517989842</v>
      </c>
      <c r="AJ144" s="401" t="n">
        <f aca="false">Peak!AJ146</f>
        <v>0</v>
      </c>
      <c r="AK144" s="401" t="n">
        <f aca="false">Peak!AK146</f>
        <v>0</v>
      </c>
      <c r="AL144" s="1"/>
    </row>
    <row r="145" customFormat="false" ht="12.75" hidden="false" customHeight="false" outlineLevel="0" collapsed="false">
      <c r="A145" s="400" t="n">
        <f aca="false">A144+30.417</f>
        <v>40676.712</v>
      </c>
      <c r="B145" s="401" t="n">
        <f aca="false">IF($B$7="Coal",AG145,IF($B$7="Gas",AH145,IF($B$7="Oil",AI145,0)))</f>
        <v>3.74459136046335</v>
      </c>
      <c r="C145" s="402" t="n">
        <f aca="false">(B145*$B$1*1000)/1000000</f>
        <v>42.3316492641589</v>
      </c>
      <c r="D145" s="401" t="n">
        <f aca="false">AB145+AC145</f>
        <v>0.75626752612627</v>
      </c>
      <c r="E145" s="401" t="n">
        <f aca="false">(($AJ145*$B$1*AD145*1000)/2000)/1000000</f>
        <v>0</v>
      </c>
      <c r="F145" s="401" t="n">
        <f aca="false">AF145*(($AK145*$B$1*AE145*1000)/2000)/1000000</f>
        <v>0</v>
      </c>
      <c r="G145" s="403" t="str">
        <f aca="false">IF(IS!$C$2="Peak","-",SUM(C145:F145))</f>
        <v>-</v>
      </c>
      <c r="H145" s="411" t="n">
        <v>101.896362115948</v>
      </c>
      <c r="I145" s="411" t="n">
        <v>79.5263954447232</v>
      </c>
      <c r="J145" s="411" t="n">
        <v>68.2358620488695</v>
      </c>
      <c r="K145" s="411" t="n">
        <v>64.850996088116</v>
      </c>
      <c r="L145" s="411" t="n">
        <v>64.0154415401869</v>
      </c>
      <c r="M145" s="411" t="n">
        <v>60.6317135045456</v>
      </c>
      <c r="N145" s="411" t="n">
        <v>58.1000426983527</v>
      </c>
      <c r="O145" s="411" t="n">
        <v>45.4033582353446</v>
      </c>
      <c r="P145" s="411" t="n">
        <v>42.5038608012972</v>
      </c>
      <c r="Q145" s="411" t="n">
        <v>40.6210870329647</v>
      </c>
      <c r="R145" s="411" t="n">
        <v>38.2543301830855</v>
      </c>
      <c r="S145" s="411" t="n">
        <v>37.113603240667</v>
      </c>
      <c r="T145" s="411" t="n">
        <v>36.0795335559253</v>
      </c>
      <c r="U145" s="411" t="n">
        <v>35.0102151252071</v>
      </c>
      <c r="V145" s="411" t="n">
        <v>34.2174766451213</v>
      </c>
      <c r="W145" s="411" t="n">
        <v>32.1254898264012</v>
      </c>
      <c r="X145" s="411" t="n">
        <v>30.3947465993686</v>
      </c>
      <c r="Y145" s="411" t="n">
        <v>30.0885430036144</v>
      </c>
      <c r="Z145" s="411" t="n">
        <v>29.9569111323494</v>
      </c>
      <c r="AA145" s="411" t="n">
        <v>29.9411110744053</v>
      </c>
      <c r="AB145" s="401" t="n">
        <f aca="false">Peak!AB147</f>
        <v>0.75626752612627</v>
      </c>
      <c r="AC145" s="401" t="n">
        <f aca="false">Peak!AC147</f>
        <v>0</v>
      </c>
      <c r="AD145" s="405" t="n">
        <f aca="false">Peak!AD147</f>
        <v>526.532188626439</v>
      </c>
      <c r="AE145" s="405" t="n">
        <f aca="false">Peak!AE147</f>
        <v>1943.45115851308</v>
      </c>
      <c r="AF145" s="401" t="n">
        <f aca="false">Peak!AF147</f>
        <v>1</v>
      </c>
      <c r="AG145" s="406" t="n">
        <f aca="false">Peak!AG147</f>
        <v>0</v>
      </c>
      <c r="AH145" s="401" t="n">
        <f aca="false">Peak!AH147</f>
        <v>3.74459136046335</v>
      </c>
      <c r="AI145" s="401" t="n">
        <f aca="false">Peak!AI147</f>
        <v>3.4731153626616</v>
      </c>
      <c r="AJ145" s="401" t="n">
        <f aca="false">Peak!AJ147</f>
        <v>0</v>
      </c>
      <c r="AK145" s="401" t="n">
        <f aca="false">Peak!AK147</f>
        <v>0</v>
      </c>
      <c r="AL145" s="1"/>
    </row>
    <row r="146" customFormat="false" ht="12.75" hidden="false" customHeight="false" outlineLevel="0" collapsed="false">
      <c r="A146" s="400" t="n">
        <f aca="false">A145+30.417</f>
        <v>40707.129</v>
      </c>
      <c r="B146" s="401" t="n">
        <f aca="false">IF($B$7="Coal",AG146,IF($B$7="Gas",AH146,IF($B$7="Oil",AI146,0)))</f>
        <v>3.56771116554699</v>
      </c>
      <c r="C146" s="402" t="n">
        <f aca="false">(B146*$B$1*1000)/1000000</f>
        <v>40.3320638215303</v>
      </c>
      <c r="D146" s="401" t="n">
        <f aca="false">AB146+AC146</f>
        <v>0.757527972003147</v>
      </c>
      <c r="E146" s="401" t="n">
        <f aca="false">(($AJ146*$B$1*AD146*1000)/2000)/1000000</f>
        <v>0</v>
      </c>
      <c r="F146" s="401" t="n">
        <f aca="false">AF146*(($AK146*$B$1*AE146*1000)/2000)/1000000</f>
        <v>0</v>
      </c>
      <c r="G146" s="403" t="str">
        <f aca="false">IF(IS!$C$2="Peak","-",SUM(C146:F146))</f>
        <v>-</v>
      </c>
      <c r="H146" s="411" t="n">
        <v>234.594055317646</v>
      </c>
      <c r="I146" s="411" t="n">
        <v>207.937871881237</v>
      </c>
      <c r="J146" s="411" t="n">
        <v>187.215817705235</v>
      </c>
      <c r="K146" s="411" t="n">
        <v>163.562014003337</v>
      </c>
      <c r="L146" s="411" t="n">
        <v>146.55180574253</v>
      </c>
      <c r="M146" s="411" t="n">
        <v>81.528927733096</v>
      </c>
      <c r="N146" s="411" t="n">
        <v>52.6759706837713</v>
      </c>
      <c r="O146" s="411" t="n">
        <v>46.9787474897598</v>
      </c>
      <c r="P146" s="411" t="n">
        <v>45.5883031665843</v>
      </c>
      <c r="Q146" s="411" t="n">
        <v>38.4940063373125</v>
      </c>
      <c r="R146" s="411" t="n">
        <v>33.4153815571578</v>
      </c>
      <c r="S146" s="411" t="n">
        <v>32.1302553652468</v>
      </c>
      <c r="T146" s="411" t="n">
        <v>31.120053424882</v>
      </c>
      <c r="U146" s="411" t="n">
        <v>30.0494015884297</v>
      </c>
      <c r="V146" s="411" t="n">
        <v>28.7670801114864</v>
      </c>
      <c r="W146" s="411" t="n">
        <v>27.2832553695923</v>
      </c>
      <c r="X146" s="411" t="n">
        <v>26.844215424461</v>
      </c>
      <c r="Y146" s="411" t="n">
        <v>26.454376341362</v>
      </c>
      <c r="Z146" s="411" t="n">
        <v>25.1999664642375</v>
      </c>
      <c r="AA146" s="411" t="n">
        <v>24.0811924604468</v>
      </c>
      <c r="AB146" s="401" t="n">
        <f aca="false">Peak!AB148</f>
        <v>0.757527972003147</v>
      </c>
      <c r="AC146" s="401" t="n">
        <f aca="false">Peak!AC148</f>
        <v>0</v>
      </c>
      <c r="AD146" s="405" t="n">
        <f aca="false">Peak!AD148</f>
        <v>526.532188626439</v>
      </c>
      <c r="AE146" s="405" t="n">
        <f aca="false">Peak!AE148</f>
        <v>1943.45115851308</v>
      </c>
      <c r="AF146" s="401" t="n">
        <f aca="false">Peak!AF148</f>
        <v>1</v>
      </c>
      <c r="AG146" s="406" t="n">
        <f aca="false">Peak!AG148</f>
        <v>0</v>
      </c>
      <c r="AH146" s="401" t="n">
        <f aca="false">Peak!AH148</f>
        <v>3.56771116554699</v>
      </c>
      <c r="AI146" s="401" t="n">
        <f aca="false">Peak!AI148</f>
        <v>3.4731153626616</v>
      </c>
      <c r="AJ146" s="401" t="n">
        <f aca="false">Peak!AJ148</f>
        <v>0</v>
      </c>
      <c r="AK146" s="401" t="n">
        <f aca="false">Peak!AK148</f>
        <v>0</v>
      </c>
      <c r="AL146" s="1"/>
    </row>
    <row r="147" customFormat="false" ht="12.75" hidden="false" customHeight="false" outlineLevel="0" collapsed="false">
      <c r="A147" s="400" t="n">
        <f aca="false">A146+30.417</f>
        <v>40737.546</v>
      </c>
      <c r="B147" s="401" t="n">
        <f aca="false">IF($B$7="Coal",AG147,IF($B$7="Gas",AH147,IF($B$7="Oil",AI147,0)))</f>
        <v>3.55642094033956</v>
      </c>
      <c r="C147" s="402" t="n">
        <f aca="false">(B147*$B$1*1000)/1000000</f>
        <v>40.204430708171</v>
      </c>
      <c r="D147" s="401" t="n">
        <f aca="false">AB147+AC147</f>
        <v>0.758790518623152</v>
      </c>
      <c r="E147" s="401" t="n">
        <f aca="false">(($AJ147*$B$1*AD147*1000)/2000)/1000000</f>
        <v>0</v>
      </c>
      <c r="F147" s="401" t="n">
        <f aca="false">AF147*(($AK147*$B$1*AE147*1000)/2000)/1000000</f>
        <v>0</v>
      </c>
      <c r="G147" s="403" t="str">
        <f aca="false">IF(IS!$C$2="Peak","-",SUM(C147:F147))</f>
        <v>-</v>
      </c>
      <c r="H147" s="411" t="n">
        <v>230.276582851048</v>
      </c>
      <c r="I147" s="411" t="n">
        <v>199.32503320901</v>
      </c>
      <c r="J147" s="411" t="n">
        <v>178.128002972166</v>
      </c>
      <c r="K147" s="411" t="n">
        <v>156.564425940489</v>
      </c>
      <c r="L147" s="411" t="n">
        <v>131.55866241571</v>
      </c>
      <c r="M147" s="411" t="n">
        <v>101.290157527854</v>
      </c>
      <c r="N147" s="411" t="n">
        <v>94.8833206116587</v>
      </c>
      <c r="O147" s="411" t="n">
        <v>75.8993902895595</v>
      </c>
      <c r="P147" s="411" t="n">
        <v>58.1237106841853</v>
      </c>
      <c r="Q147" s="411" t="n">
        <v>51.8680006123192</v>
      </c>
      <c r="R147" s="411" t="n">
        <v>45.4199889198901</v>
      </c>
      <c r="S147" s="411" t="n">
        <v>45.2437904163296</v>
      </c>
      <c r="T147" s="411" t="n">
        <v>45.2435837418994</v>
      </c>
      <c r="U147" s="411" t="n">
        <v>44.5251204564536</v>
      </c>
      <c r="V147" s="411" t="n">
        <v>40.2670160469926</v>
      </c>
      <c r="W147" s="411" t="n">
        <v>38.0701086336774</v>
      </c>
      <c r="X147" s="411" t="n">
        <v>36.4736384102222</v>
      </c>
      <c r="Y147" s="411" t="n">
        <v>35.529340407522</v>
      </c>
      <c r="Z147" s="411" t="n">
        <v>34.8941759005725</v>
      </c>
      <c r="AA147" s="411" t="n">
        <v>31.4650203548195</v>
      </c>
      <c r="AB147" s="401" t="n">
        <f aca="false">Peak!AB149</f>
        <v>0.758790518623152</v>
      </c>
      <c r="AC147" s="401" t="n">
        <f aca="false">Peak!AC149</f>
        <v>0</v>
      </c>
      <c r="AD147" s="405" t="n">
        <f aca="false">Peak!AD149</f>
        <v>526.532188626439</v>
      </c>
      <c r="AE147" s="405" t="n">
        <f aca="false">Peak!AE149</f>
        <v>1943.45115851308</v>
      </c>
      <c r="AF147" s="401" t="n">
        <f aca="false">Peak!AF149</f>
        <v>1</v>
      </c>
      <c r="AG147" s="406" t="n">
        <f aca="false">Peak!AG149</f>
        <v>0</v>
      </c>
      <c r="AH147" s="401" t="n">
        <f aca="false">Peak!AH149</f>
        <v>3.55642094033956</v>
      </c>
      <c r="AI147" s="401" t="n">
        <f aca="false">Peak!AI149</f>
        <v>3.4731153626616</v>
      </c>
      <c r="AJ147" s="401" t="n">
        <f aca="false">Peak!AJ149</f>
        <v>0</v>
      </c>
      <c r="AK147" s="401" t="n">
        <f aca="false">Peak!AK149</f>
        <v>0</v>
      </c>
      <c r="AL147" s="1"/>
    </row>
    <row r="148" customFormat="false" ht="12.75" hidden="false" customHeight="false" outlineLevel="0" collapsed="false">
      <c r="A148" s="400" t="n">
        <f aca="false">A147+30.417</f>
        <v>40767.963</v>
      </c>
      <c r="B148" s="401" t="n">
        <f aca="false">IF($B$7="Coal",AG148,IF($B$7="Gas",AH148,IF($B$7="Oil",AI148,0)))</f>
        <v>3.37201392861825</v>
      </c>
      <c r="C148" s="402" t="n">
        <f aca="false">(B148*$B$1*1000)/1000000</f>
        <v>38.1197565233029</v>
      </c>
      <c r="D148" s="401" t="n">
        <f aca="false">AB148+AC148</f>
        <v>0.760055169487524</v>
      </c>
      <c r="E148" s="401" t="n">
        <f aca="false">(($AJ148*$B$1*AD148*1000)/2000)/1000000</f>
        <v>0</v>
      </c>
      <c r="F148" s="401" t="n">
        <f aca="false">AF148*(($AK148*$B$1*AE148*1000)/2000)/1000000</f>
        <v>0</v>
      </c>
      <c r="G148" s="403" t="str">
        <f aca="false">IF(IS!$C$2="Peak","-",SUM(C148:F148))</f>
        <v>-</v>
      </c>
      <c r="H148" s="411" t="n">
        <v>228.539088875988</v>
      </c>
      <c r="I148" s="411" t="n">
        <v>196.066491346142</v>
      </c>
      <c r="J148" s="411" t="n">
        <v>176.712251126733</v>
      </c>
      <c r="K148" s="411" t="n">
        <v>156.531278227988</v>
      </c>
      <c r="L148" s="411" t="n">
        <v>143.561045076481</v>
      </c>
      <c r="M148" s="411" t="n">
        <v>128.054973003431</v>
      </c>
      <c r="N148" s="411" t="n">
        <v>81.5019604131697</v>
      </c>
      <c r="O148" s="411" t="n">
        <v>66.7657411075663</v>
      </c>
      <c r="P148" s="411" t="n">
        <v>62.8628663274451</v>
      </c>
      <c r="Q148" s="411" t="n">
        <v>61.5345615118132</v>
      </c>
      <c r="R148" s="411" t="n">
        <v>61.2210018949378</v>
      </c>
      <c r="S148" s="411" t="n">
        <v>59.3220591338769</v>
      </c>
      <c r="T148" s="411" t="n">
        <v>46.7513012666199</v>
      </c>
      <c r="U148" s="411" t="n">
        <v>43.2935393037007</v>
      </c>
      <c r="V148" s="411" t="n">
        <v>41.5067140097253</v>
      </c>
      <c r="W148" s="411" t="n">
        <v>39.8643906543049</v>
      </c>
      <c r="X148" s="411" t="n">
        <v>39.0283953742631</v>
      </c>
      <c r="Y148" s="411" t="n">
        <v>36.7578003127172</v>
      </c>
      <c r="Z148" s="411" t="n">
        <v>33.8308517727119</v>
      </c>
      <c r="AA148" s="411" t="n">
        <v>31.1163878454866</v>
      </c>
      <c r="AB148" s="401" t="n">
        <f aca="false">Peak!AB150</f>
        <v>0.760055169487524</v>
      </c>
      <c r="AC148" s="401" t="n">
        <f aca="false">Peak!AC150</f>
        <v>0</v>
      </c>
      <c r="AD148" s="405" t="n">
        <f aca="false">Peak!AD150</f>
        <v>526.532188626439</v>
      </c>
      <c r="AE148" s="405" t="n">
        <f aca="false">Peak!AE150</f>
        <v>1943.45115851308</v>
      </c>
      <c r="AF148" s="401" t="n">
        <f aca="false">Peak!AF150</f>
        <v>1</v>
      </c>
      <c r="AG148" s="406" t="n">
        <f aca="false">Peak!AG150</f>
        <v>0</v>
      </c>
      <c r="AH148" s="401" t="n">
        <f aca="false">Peak!AH150</f>
        <v>3.37201392861825</v>
      </c>
      <c r="AI148" s="401" t="n">
        <f aca="false">Peak!AI150</f>
        <v>3.4731153626616</v>
      </c>
      <c r="AJ148" s="401" t="n">
        <f aca="false">Peak!AJ150</f>
        <v>0</v>
      </c>
      <c r="AK148" s="401" t="n">
        <f aca="false">Peak!AK150</f>
        <v>0</v>
      </c>
      <c r="AL148" s="1"/>
    </row>
    <row r="149" customFormat="false" ht="12.75" hidden="false" customHeight="false" outlineLevel="0" collapsed="false">
      <c r="A149" s="400" t="n">
        <f aca="false">A148+30.417</f>
        <v>40798.38</v>
      </c>
      <c r="B149" s="401" t="n">
        <f aca="false">IF($B$7="Coal",AG149,IF($B$7="Gas",AH149,IF($B$7="Oil",AI149,0)))</f>
        <v>3.36072370341083</v>
      </c>
      <c r="C149" s="402" t="n">
        <f aca="false">(B149*$B$1*1000)/1000000</f>
        <v>37.9921234099436</v>
      </c>
      <c r="D149" s="401" t="n">
        <f aca="false">AB149+AC149</f>
        <v>0.761321928103337</v>
      </c>
      <c r="E149" s="401" t="n">
        <f aca="false">(($AJ149*$B$1*AD149*1000)/2000)/1000000</f>
        <v>0</v>
      </c>
      <c r="F149" s="401" t="n">
        <f aca="false">AF149*(($AK149*$B$1*AE149*1000)/2000)/1000000</f>
        <v>0</v>
      </c>
      <c r="G149" s="403" t="str">
        <f aca="false">IF(IS!$C$2="Peak","-",SUM(C149:F149))</f>
        <v>-</v>
      </c>
      <c r="H149" s="411" t="n">
        <v>153.403120883351</v>
      </c>
      <c r="I149" s="411" t="n">
        <v>103.53622109051</v>
      </c>
      <c r="J149" s="411" t="n">
        <v>80.8086355585736</v>
      </c>
      <c r="K149" s="411" t="n">
        <v>73.9360993072683</v>
      </c>
      <c r="L149" s="411" t="n">
        <v>68.5831120439839</v>
      </c>
      <c r="M149" s="411" t="n">
        <v>67.0462427679022</v>
      </c>
      <c r="N149" s="411" t="n">
        <v>54.8443751715741</v>
      </c>
      <c r="O149" s="411" t="n">
        <v>47.581302190241</v>
      </c>
      <c r="P149" s="411" t="n">
        <v>44.8884004324694</v>
      </c>
      <c r="Q149" s="411" t="n">
        <v>42.3158550518782</v>
      </c>
      <c r="R149" s="411" t="n">
        <v>40.6147604469418</v>
      </c>
      <c r="S149" s="411" t="n">
        <v>39.1407177805737</v>
      </c>
      <c r="T149" s="411" t="n">
        <v>38.6726704653392</v>
      </c>
      <c r="U149" s="411" t="n">
        <v>37.3660079892731</v>
      </c>
      <c r="V149" s="411" t="n">
        <v>34.5164076183809</v>
      </c>
      <c r="W149" s="411" t="n">
        <v>33.7921787826486</v>
      </c>
      <c r="X149" s="411" t="n">
        <v>33.4474650204773</v>
      </c>
      <c r="Y149" s="411" t="n">
        <v>33.4474650204773</v>
      </c>
      <c r="Z149" s="411" t="n">
        <v>33.4474650204773</v>
      </c>
      <c r="AA149" s="411" t="n">
        <v>33.2423244300875</v>
      </c>
      <c r="AB149" s="401" t="n">
        <f aca="false">Peak!AB151</f>
        <v>0.761321928103337</v>
      </c>
      <c r="AC149" s="401" t="n">
        <f aca="false">Peak!AC151</f>
        <v>0</v>
      </c>
      <c r="AD149" s="405" t="n">
        <f aca="false">Peak!AD151</f>
        <v>526.532188626439</v>
      </c>
      <c r="AE149" s="405" t="n">
        <f aca="false">Peak!AE151</f>
        <v>1943.45115851308</v>
      </c>
      <c r="AF149" s="401" t="n">
        <f aca="false">Peak!AF151</f>
        <v>1</v>
      </c>
      <c r="AG149" s="406" t="n">
        <f aca="false">Peak!AG151</f>
        <v>0</v>
      </c>
      <c r="AH149" s="401" t="n">
        <f aca="false">Peak!AH151</f>
        <v>3.36072370341083</v>
      </c>
      <c r="AI149" s="401" t="n">
        <f aca="false">Peak!AI151</f>
        <v>3.4731153626616</v>
      </c>
      <c r="AJ149" s="401" t="n">
        <f aca="false">Peak!AJ151</f>
        <v>0</v>
      </c>
      <c r="AK149" s="401" t="n">
        <f aca="false">Peak!AK151</f>
        <v>0</v>
      </c>
      <c r="AL149" s="1"/>
    </row>
    <row r="150" customFormat="false" ht="12.75" hidden="false" customHeight="false" outlineLevel="0" collapsed="false">
      <c r="A150" s="400" t="n">
        <f aca="false">A149+30.417</f>
        <v>40828.797</v>
      </c>
      <c r="B150" s="401" t="n">
        <f aca="false">IF($B$7="Coal",AG150,IF($B$7="Gas",AH150,IF($B$7="Oil",AI150,0)))</f>
        <v>3.72201091004849</v>
      </c>
      <c r="C150" s="402" t="n">
        <f aca="false">(B150*$B$1*1000)/1000000</f>
        <v>42.0763830374403</v>
      </c>
      <c r="D150" s="401" t="n">
        <f aca="false">AB150+AC150</f>
        <v>0.762590797983509</v>
      </c>
      <c r="E150" s="401" t="n">
        <f aca="false">(($AJ150*$B$1*AD150*1000)/2000)/1000000</f>
        <v>0</v>
      </c>
      <c r="F150" s="401" t="n">
        <f aca="false">AF150*(($AK150*$B$1*AE150*1000)/2000)/1000000</f>
        <v>0</v>
      </c>
      <c r="G150" s="403" t="str">
        <f aca="false">IF(IS!$C$2="Peak","-",SUM(C150:F150))</f>
        <v>-</v>
      </c>
      <c r="H150" s="411" t="n">
        <v>80.9893110619081</v>
      </c>
      <c r="I150" s="411" t="n">
        <v>79.4881468604577</v>
      </c>
      <c r="J150" s="411" t="n">
        <v>77.5722567438738</v>
      </c>
      <c r="K150" s="411" t="n">
        <v>72.9252920489716</v>
      </c>
      <c r="L150" s="411" t="n">
        <v>70.4493841263327</v>
      </c>
      <c r="M150" s="411" t="n">
        <v>69.5187710852644</v>
      </c>
      <c r="N150" s="411" t="n">
        <v>52.5515039815781</v>
      </c>
      <c r="O150" s="411" t="n">
        <v>49.1918197653395</v>
      </c>
      <c r="P150" s="411" t="n">
        <v>44.6037772196463</v>
      </c>
      <c r="Q150" s="411" t="n">
        <v>37.8292350336836</v>
      </c>
      <c r="R150" s="411" t="n">
        <v>35.4917472270248</v>
      </c>
      <c r="S150" s="411" t="n">
        <v>35.0187825413795</v>
      </c>
      <c r="T150" s="411" t="n">
        <v>34.8034479978783</v>
      </c>
      <c r="U150" s="411" t="n">
        <v>34.5817135815727</v>
      </c>
      <c r="V150" s="411" t="n">
        <v>34.4623945935477</v>
      </c>
      <c r="W150" s="411" t="n">
        <v>34.1903480244073</v>
      </c>
      <c r="X150" s="411" t="n">
        <v>34.1880536411815</v>
      </c>
      <c r="Y150" s="411" t="n">
        <v>34.1880536411815</v>
      </c>
      <c r="Z150" s="411" t="n">
        <v>34.1880536411815</v>
      </c>
      <c r="AA150" s="411" t="n">
        <v>32.0266065099923</v>
      </c>
      <c r="AB150" s="401" t="n">
        <f aca="false">Peak!AB152</f>
        <v>0.762590797983509</v>
      </c>
      <c r="AC150" s="401" t="n">
        <f aca="false">Peak!AC152</f>
        <v>0</v>
      </c>
      <c r="AD150" s="405" t="n">
        <f aca="false">Peak!AD152</f>
        <v>526.532188626439</v>
      </c>
      <c r="AE150" s="405" t="n">
        <f aca="false">Peak!AE152</f>
        <v>1943.45115851308</v>
      </c>
      <c r="AF150" s="401" t="n">
        <f aca="false">Peak!AF152</f>
        <v>1</v>
      </c>
      <c r="AG150" s="406" t="n">
        <f aca="false">Peak!AG152</f>
        <v>0</v>
      </c>
      <c r="AH150" s="401" t="n">
        <f aca="false">Peak!AH152</f>
        <v>3.72201091004849</v>
      </c>
      <c r="AI150" s="401" t="n">
        <f aca="false">Peak!AI152</f>
        <v>3.4731153626616</v>
      </c>
      <c r="AJ150" s="401" t="n">
        <f aca="false">Peak!AJ152</f>
        <v>0</v>
      </c>
      <c r="AK150" s="401" t="n">
        <f aca="false">Peak!AK152</f>
        <v>0</v>
      </c>
      <c r="AL150" s="1"/>
    </row>
    <row r="151" customFormat="false" ht="12.75" hidden="false" customHeight="false" outlineLevel="0" collapsed="false">
      <c r="A151" s="400" t="n">
        <f aca="false">A150+30.417</f>
        <v>40859.214</v>
      </c>
      <c r="B151" s="401" t="n">
        <f aca="false">IF($B$7="Coal",AG151,IF($B$7="Gas",AH151,IF($B$7="Oil",AI151,0)))</f>
        <v>4.07577129988121</v>
      </c>
      <c r="C151" s="402" t="n">
        <f aca="false">(B151*$B$1*1000)/1000000</f>
        <v>46.0755539226976</v>
      </c>
      <c r="D151" s="401" t="n">
        <f aca="false">AB151+AC151</f>
        <v>0.763861782646815</v>
      </c>
      <c r="E151" s="401" t="n">
        <f aca="false">(($AJ151*$B$1*AD151*1000)/2000)/1000000</f>
        <v>0</v>
      </c>
      <c r="F151" s="401" t="n">
        <f aca="false">AF151*(($AK151*$B$1*AE151*1000)/2000)/1000000</f>
        <v>0</v>
      </c>
      <c r="G151" s="403" t="str">
        <f aca="false">IF(IS!$C$2="Peak","-",SUM(C151:F151))</f>
        <v>-</v>
      </c>
      <c r="H151" s="411" t="n">
        <v>154.006678312362</v>
      </c>
      <c r="I151" s="411" t="n">
        <v>149.112454055402</v>
      </c>
      <c r="J151" s="411" t="n">
        <v>94.5642318636084</v>
      </c>
      <c r="K151" s="411" t="n">
        <v>81.0463522839925</v>
      </c>
      <c r="L151" s="411" t="n">
        <v>68.701238971476</v>
      </c>
      <c r="M151" s="411" t="n">
        <v>64.9424902410387</v>
      </c>
      <c r="N151" s="411" t="n">
        <v>60.6490228566676</v>
      </c>
      <c r="O151" s="411" t="n">
        <v>59.0638143416162</v>
      </c>
      <c r="P151" s="411" t="n">
        <v>57.7752581212473</v>
      </c>
      <c r="Q151" s="411" t="n">
        <v>47.4130627178408</v>
      </c>
      <c r="R151" s="411" t="n">
        <v>42.1398795328752</v>
      </c>
      <c r="S151" s="411" t="n">
        <v>41.4646933900188</v>
      </c>
      <c r="T151" s="411" t="n">
        <v>41.129353314868</v>
      </c>
      <c r="U151" s="411" t="n">
        <v>40.0190528886538</v>
      </c>
      <c r="V151" s="411" t="n">
        <v>38.6803662441177</v>
      </c>
      <c r="W151" s="411" t="n">
        <v>37.1478881182146</v>
      </c>
      <c r="X151" s="411" t="n">
        <v>35.0637835933313</v>
      </c>
      <c r="Y151" s="411" t="n">
        <v>32.0248811368178</v>
      </c>
      <c r="Z151" s="411" t="n">
        <v>30.1375627266171</v>
      </c>
      <c r="AA151" s="411" t="n">
        <v>29.4409956425704</v>
      </c>
      <c r="AB151" s="401" t="n">
        <f aca="false">Peak!AB153</f>
        <v>0.763861782646815</v>
      </c>
      <c r="AC151" s="401" t="n">
        <f aca="false">Peak!AC153</f>
        <v>0</v>
      </c>
      <c r="AD151" s="405" t="n">
        <f aca="false">Peak!AD153</f>
        <v>526.532188626439</v>
      </c>
      <c r="AE151" s="405" t="n">
        <f aca="false">Peak!AE153</f>
        <v>1943.45115851308</v>
      </c>
      <c r="AF151" s="401" t="n">
        <f aca="false">Peak!AF153</f>
        <v>1</v>
      </c>
      <c r="AG151" s="406" t="n">
        <f aca="false">Peak!AG153</f>
        <v>0</v>
      </c>
      <c r="AH151" s="401" t="n">
        <f aca="false">Peak!AH153</f>
        <v>4.07577129988121</v>
      </c>
      <c r="AI151" s="401" t="n">
        <f aca="false">Peak!AI153</f>
        <v>3.76558823530679</v>
      </c>
      <c r="AJ151" s="401" t="n">
        <f aca="false">Peak!AJ153</f>
        <v>0</v>
      </c>
      <c r="AK151" s="401" t="n">
        <f aca="false">Peak!AK153</f>
        <v>0</v>
      </c>
      <c r="AL151" s="1"/>
    </row>
    <row r="152" customFormat="false" ht="12.75" hidden="false" customHeight="false" outlineLevel="0" collapsed="false">
      <c r="A152" s="400" t="n">
        <f aca="false">A151+30.417</f>
        <v>40889.631</v>
      </c>
      <c r="B152" s="401" t="n">
        <f aca="false">IF($B$7="Coal",AG152,IF($B$7="Gas",AH152,IF($B$7="Oil",AI152,0)))</f>
        <v>4.41071464770155</v>
      </c>
      <c r="C152" s="402" t="n">
        <f aca="false">(B152*$B$1*1000)/1000000</f>
        <v>49.862002952356</v>
      </c>
      <c r="D152" s="401" t="n">
        <f aca="false">AB152+AC152</f>
        <v>0.765134885617893</v>
      </c>
      <c r="E152" s="401" t="n">
        <f aca="false">(($AJ152*$B$1*AD152*1000)/2000)/1000000</f>
        <v>0</v>
      </c>
      <c r="F152" s="401" t="n">
        <f aca="false">AF152*(($AK152*$B$1*AE152*1000)/2000)/1000000</f>
        <v>0</v>
      </c>
      <c r="G152" s="403" t="str">
        <f aca="false">IF(IS!$C$2="Peak","-",SUM(C152:F152))</f>
        <v>-</v>
      </c>
      <c r="H152" s="411" t="n">
        <v>100.693933392476</v>
      </c>
      <c r="I152" s="411" t="n">
        <v>95.4098680078245</v>
      </c>
      <c r="J152" s="411" t="n">
        <v>92.265422456539</v>
      </c>
      <c r="K152" s="411" t="n">
        <v>86.1714485927579</v>
      </c>
      <c r="L152" s="411" t="n">
        <v>84.6211187899635</v>
      </c>
      <c r="M152" s="411" t="n">
        <v>83.1420999132728</v>
      </c>
      <c r="N152" s="411" t="n">
        <v>67.2827352500506</v>
      </c>
      <c r="O152" s="411" t="n">
        <v>57.3875078169424</v>
      </c>
      <c r="P152" s="411" t="n">
        <v>48.6704888154531</v>
      </c>
      <c r="Q152" s="411" t="n">
        <v>47.4645966879805</v>
      </c>
      <c r="R152" s="411" t="n">
        <v>45.3005324728873</v>
      </c>
      <c r="S152" s="411" t="n">
        <v>41.9471244320128</v>
      </c>
      <c r="T152" s="411" t="n">
        <v>41.1969837552519</v>
      </c>
      <c r="U152" s="411" t="n">
        <v>41.0506543064359</v>
      </c>
      <c r="V152" s="411" t="n">
        <v>40.929050903643</v>
      </c>
      <c r="W152" s="411" t="n">
        <v>40.591899809762</v>
      </c>
      <c r="X152" s="411" t="n">
        <v>40.3729128091258</v>
      </c>
      <c r="Y152" s="411" t="n">
        <v>40.3729128091258</v>
      </c>
      <c r="Z152" s="411" t="n">
        <v>40.3729128091258</v>
      </c>
      <c r="AA152" s="411" t="n">
        <v>38.6553725108667</v>
      </c>
      <c r="AB152" s="401" t="n">
        <f aca="false">Peak!AB154</f>
        <v>0.765134885617893</v>
      </c>
      <c r="AC152" s="401" t="n">
        <f aca="false">Peak!AC154</f>
        <v>0</v>
      </c>
      <c r="AD152" s="405" t="n">
        <f aca="false">Peak!AD154</f>
        <v>526.532188626439</v>
      </c>
      <c r="AE152" s="405" t="n">
        <f aca="false">Peak!AE154</f>
        <v>1943.45115851308</v>
      </c>
      <c r="AF152" s="401" t="n">
        <f aca="false">Peak!AF154</f>
        <v>1</v>
      </c>
      <c r="AG152" s="406" t="n">
        <f aca="false">Peak!AG154</f>
        <v>0</v>
      </c>
      <c r="AH152" s="401" t="n">
        <f aca="false">Peak!AH154</f>
        <v>4.41071464770155</v>
      </c>
      <c r="AI152" s="401" t="n">
        <f aca="false">Peak!AI154</f>
        <v>3.94838378071003</v>
      </c>
      <c r="AJ152" s="401" t="n">
        <f aca="false">Peak!AJ154</f>
        <v>0</v>
      </c>
      <c r="AK152" s="401" t="n">
        <f aca="false">Peak!AK154</f>
        <v>0</v>
      </c>
      <c r="AL152" s="1"/>
    </row>
    <row r="153" customFormat="false" ht="12.75" hidden="false" customHeight="false" outlineLevel="0" collapsed="false">
      <c r="A153" s="400" t="n">
        <f aca="false">A152+30.417</f>
        <v>40920.048</v>
      </c>
      <c r="B153" s="401" t="n">
        <f aca="false">IF($B$7="Coal",AG153,IF($B$7="Gas",AH153,IF($B$7="Oil",AI153,0)))</f>
        <v>4.2352224987668</v>
      </c>
      <c r="C153" s="402" t="n">
        <f aca="false">(B153*$B$1*1000)/1000000</f>
        <v>47.8781090151547</v>
      </c>
      <c r="D153" s="401" t="n">
        <f aca="false">AB153+AC153</f>
        <v>0.766410110427256</v>
      </c>
      <c r="E153" s="401" t="n">
        <f aca="false">(($AJ153*$B$1*AD153*1000)/2000)/1000000</f>
        <v>0</v>
      </c>
      <c r="F153" s="401" t="n">
        <f aca="false">AF153*(($AK153*$B$1*AE153*1000)/2000)/1000000</f>
        <v>0</v>
      </c>
      <c r="G153" s="403" t="str">
        <f aca="false">IF(IS!$C$2="Peak","-",SUM(C153:F153))</f>
        <v>-</v>
      </c>
      <c r="H153" s="411" t="n">
        <v>101.801389627972</v>
      </c>
      <c r="I153" s="411" t="n">
        <v>98.8927380755018</v>
      </c>
      <c r="J153" s="411" t="n">
        <v>98.8792412858267</v>
      </c>
      <c r="K153" s="411" t="n">
        <v>96.6143718001058</v>
      </c>
      <c r="L153" s="411" t="n">
        <v>82.1096629421818</v>
      </c>
      <c r="M153" s="411" t="n">
        <v>64.1581155948531</v>
      </c>
      <c r="N153" s="411" t="n">
        <v>55.0689286857742</v>
      </c>
      <c r="O153" s="411" t="n">
        <v>49.9039833592945</v>
      </c>
      <c r="P153" s="411" t="n">
        <v>47.5457606356368</v>
      </c>
      <c r="Q153" s="411" t="n">
        <v>47.5457606356368</v>
      </c>
      <c r="R153" s="411" t="n">
        <v>47.5457606356368</v>
      </c>
      <c r="S153" s="411" t="n">
        <v>47.5457606356368</v>
      </c>
      <c r="T153" s="411" t="n">
        <v>47.3681203704845</v>
      </c>
      <c r="U153" s="411" t="n">
        <v>47.1436003999455</v>
      </c>
      <c r="V153" s="411" t="n">
        <v>47.1436003999455</v>
      </c>
      <c r="W153" s="411" t="n">
        <v>47.1436003999455</v>
      </c>
      <c r="X153" s="411" t="n">
        <v>47.083803592242</v>
      </c>
      <c r="Y153" s="411" t="n">
        <v>42.4393489006279</v>
      </c>
      <c r="Z153" s="411" t="n">
        <v>38.4399509509983</v>
      </c>
      <c r="AA153" s="411" t="n">
        <v>35.3928331093313</v>
      </c>
      <c r="AB153" s="401" t="n">
        <f aca="false">Peak!AB155</f>
        <v>0.766410110427256</v>
      </c>
      <c r="AC153" s="401" t="n">
        <f aca="false">Peak!AC155</f>
        <v>0</v>
      </c>
      <c r="AD153" s="405" t="n">
        <f aca="false">Peak!AD155</f>
        <v>583.381879085728</v>
      </c>
      <c r="AE153" s="405" t="n">
        <f aca="false">Peak!AE155</f>
        <v>1993.84654167091</v>
      </c>
      <c r="AF153" s="401" t="n">
        <f aca="false">Peak!AF155</f>
        <v>1</v>
      </c>
      <c r="AG153" s="406" t="n">
        <f aca="false">Peak!AG155</f>
        <v>0</v>
      </c>
      <c r="AH153" s="401" t="n">
        <f aca="false">Peak!AH155</f>
        <v>4.2352224987668</v>
      </c>
      <c r="AI153" s="401" t="n">
        <f aca="false">Peak!AI155</f>
        <v>3.94149986752944</v>
      </c>
      <c r="AJ153" s="401" t="n">
        <f aca="false">Peak!AJ155</f>
        <v>0</v>
      </c>
      <c r="AK153" s="401" t="n">
        <f aca="false">Peak!AK155</f>
        <v>0</v>
      </c>
      <c r="AL153" s="1"/>
    </row>
    <row r="154" customFormat="false" ht="12.75" hidden="false" customHeight="false" outlineLevel="0" collapsed="false">
      <c r="A154" s="400" t="n">
        <f aca="false">A153+30.417</f>
        <v>40950.465</v>
      </c>
      <c r="B154" s="401" t="n">
        <f aca="false">IF($B$7="Coal",AG154,IF($B$7="Gas",AH154,IF($B$7="Oil",AI154,0)))</f>
        <v>3.79593080341599</v>
      </c>
      <c r="C154" s="402" t="n">
        <f aca="false">(B154*$B$1*1000)/1000000</f>
        <v>42.9120285587956</v>
      </c>
      <c r="D154" s="401" t="n">
        <f aca="false">AB154+AC154</f>
        <v>0.767687460611302</v>
      </c>
      <c r="E154" s="401" t="n">
        <f aca="false">(($AJ154*$B$1*AD154*1000)/2000)/1000000</f>
        <v>0</v>
      </c>
      <c r="F154" s="401" t="n">
        <f aca="false">AF154*(($AK154*$B$1*AE154*1000)/2000)/1000000</f>
        <v>0</v>
      </c>
      <c r="G154" s="403" t="str">
        <f aca="false">IF(IS!$C$2="Peak","-",SUM(C154:F154))</f>
        <v>-</v>
      </c>
      <c r="H154" s="411" t="n">
        <v>116.747265327382</v>
      </c>
      <c r="I154" s="411" t="n">
        <v>102.549429480985</v>
      </c>
      <c r="J154" s="411" t="n">
        <v>97.8277818078427</v>
      </c>
      <c r="K154" s="411" t="n">
        <v>91.1010321612483</v>
      </c>
      <c r="L154" s="411" t="n">
        <v>85.6157268743164</v>
      </c>
      <c r="M154" s="411" t="n">
        <v>84.9485253063347</v>
      </c>
      <c r="N154" s="411" t="n">
        <v>74.6399955012936</v>
      </c>
      <c r="O154" s="411" t="n">
        <v>57.8798104840654</v>
      </c>
      <c r="P154" s="411" t="n">
        <v>48.0350702539667</v>
      </c>
      <c r="Q154" s="411" t="n">
        <v>45.6933735678042</v>
      </c>
      <c r="R154" s="411" t="n">
        <v>41.7663349322073</v>
      </c>
      <c r="S154" s="411" t="n">
        <v>41.4022231716286</v>
      </c>
      <c r="T154" s="411" t="n">
        <v>41.2042082034892</v>
      </c>
      <c r="U154" s="411" t="n">
        <v>40.9607478214066</v>
      </c>
      <c r="V154" s="411" t="n">
        <v>40.861099538486</v>
      </c>
      <c r="W154" s="411" t="n">
        <v>40.8610313797158</v>
      </c>
      <c r="X154" s="411" t="n">
        <v>38.7486883596275</v>
      </c>
      <c r="Y154" s="411" t="n">
        <v>35.1409880791691</v>
      </c>
      <c r="Z154" s="411" t="n">
        <v>33.4303753971308</v>
      </c>
      <c r="AA154" s="411" t="n">
        <v>31.0764640305168</v>
      </c>
      <c r="AB154" s="401" t="n">
        <f aca="false">Peak!AB156</f>
        <v>0.767687460611302</v>
      </c>
      <c r="AC154" s="401" t="n">
        <f aca="false">Peak!AC156</f>
        <v>0</v>
      </c>
      <c r="AD154" s="405" t="n">
        <f aca="false">Peak!AD156</f>
        <v>583.381879085728</v>
      </c>
      <c r="AE154" s="405" t="n">
        <f aca="false">Peak!AE156</f>
        <v>1993.84654167091</v>
      </c>
      <c r="AF154" s="401" t="n">
        <f aca="false">Peak!AF156</f>
        <v>1</v>
      </c>
      <c r="AG154" s="406" t="n">
        <f aca="false">Peak!AG156</f>
        <v>0</v>
      </c>
      <c r="AH154" s="401" t="n">
        <f aca="false">Peak!AH156</f>
        <v>3.79593080341599</v>
      </c>
      <c r="AI154" s="401" t="n">
        <f aca="false">Peak!AI156</f>
        <v>3.90500449838565</v>
      </c>
      <c r="AJ154" s="401" t="n">
        <f aca="false">Peak!AJ156</f>
        <v>0</v>
      </c>
      <c r="AK154" s="401" t="n">
        <f aca="false">Peak!AK156</f>
        <v>0</v>
      </c>
      <c r="AL154" s="1"/>
    </row>
    <row r="155" customFormat="false" ht="12.75" hidden="false" customHeight="false" outlineLevel="0" collapsed="false">
      <c r="A155" s="400" t="n">
        <f aca="false">A154+30.417</f>
        <v>40980.882</v>
      </c>
      <c r="B155" s="401" t="n">
        <f aca="false">IF($B$7="Coal",AG155,IF($B$7="Gas",AH155,IF($B$7="Oil",AI155,0)))</f>
        <v>3.7321020955445</v>
      </c>
      <c r="C155" s="402" t="n">
        <f aca="false">(B155*$B$1*1000)/1000000</f>
        <v>42.1904613129998</v>
      </c>
      <c r="D155" s="401" t="n">
        <f aca="false">AB155+AC155</f>
        <v>0.76896693971232</v>
      </c>
      <c r="E155" s="401" t="n">
        <f aca="false">(($AJ155*$B$1*AD155*1000)/2000)/1000000</f>
        <v>0</v>
      </c>
      <c r="F155" s="401" t="n">
        <f aca="false">AF155*(($AK155*$B$1*AE155*1000)/2000)/1000000</f>
        <v>0</v>
      </c>
      <c r="G155" s="403" t="str">
        <f aca="false">IF(IS!$C$2="Peak","-",SUM(C155:F155))</f>
        <v>-</v>
      </c>
      <c r="H155" s="411" t="n">
        <v>106.085242239615</v>
      </c>
      <c r="I155" s="411" t="n">
        <v>93.855913290548</v>
      </c>
      <c r="J155" s="411" t="n">
        <v>89.5388488257669</v>
      </c>
      <c r="K155" s="411" t="n">
        <v>83.6490455066075</v>
      </c>
      <c r="L155" s="411" t="n">
        <v>78.4624181091638</v>
      </c>
      <c r="M155" s="411" t="n">
        <v>78.1447868717683</v>
      </c>
      <c r="N155" s="411" t="n">
        <v>67.2650397714909</v>
      </c>
      <c r="O155" s="411" t="n">
        <v>53.9156147590772</v>
      </c>
      <c r="P155" s="411" t="n">
        <v>44.4742164953661</v>
      </c>
      <c r="Q155" s="411" t="n">
        <v>44.0625414961207</v>
      </c>
      <c r="R155" s="411" t="n">
        <v>40.8702142448769</v>
      </c>
      <c r="S155" s="411" t="n">
        <v>38.5395007982005</v>
      </c>
      <c r="T155" s="411" t="n">
        <v>38.190640227855</v>
      </c>
      <c r="U155" s="411" t="n">
        <v>37.823806687179</v>
      </c>
      <c r="V155" s="411" t="n">
        <v>37.823806687179</v>
      </c>
      <c r="W155" s="411" t="n">
        <v>37.8234790659411</v>
      </c>
      <c r="X155" s="411" t="n">
        <v>37.8226970978074</v>
      </c>
      <c r="Y155" s="411" t="n">
        <v>37.2381696253379</v>
      </c>
      <c r="Z155" s="411" t="n">
        <v>35.0514733300629</v>
      </c>
      <c r="AA155" s="411" t="n">
        <v>31.4229661105989</v>
      </c>
      <c r="AB155" s="401" t="n">
        <f aca="false">Peak!AB157</f>
        <v>0.76896693971232</v>
      </c>
      <c r="AC155" s="401" t="n">
        <f aca="false">Peak!AC157</f>
        <v>0</v>
      </c>
      <c r="AD155" s="405" t="n">
        <f aca="false">Peak!AD157</f>
        <v>583.381879085728</v>
      </c>
      <c r="AE155" s="405" t="n">
        <f aca="false">Peak!AE157</f>
        <v>1993.84654167091</v>
      </c>
      <c r="AF155" s="401" t="n">
        <f aca="false">Peak!AF157</f>
        <v>1</v>
      </c>
      <c r="AG155" s="406" t="n">
        <f aca="false">Peak!AG157</f>
        <v>0</v>
      </c>
      <c r="AH155" s="401" t="n">
        <f aca="false">Peak!AH157</f>
        <v>3.7321020955445</v>
      </c>
      <c r="AI155" s="401" t="n">
        <f aca="false">Peak!AI157</f>
        <v>3.75902302181049</v>
      </c>
      <c r="AJ155" s="401" t="n">
        <f aca="false">Peak!AJ157</f>
        <v>0</v>
      </c>
      <c r="AK155" s="401" t="n">
        <f aca="false">Peak!AK157</f>
        <v>0</v>
      </c>
      <c r="AL155" s="1"/>
    </row>
    <row r="156" customFormat="false" ht="12.75" hidden="false" customHeight="false" outlineLevel="0" collapsed="false">
      <c r="A156" s="400" t="n">
        <f aca="false">A155+30.417</f>
        <v>41011.299</v>
      </c>
      <c r="B156" s="401" t="n">
        <f aca="false">IF($B$7="Coal",AG156,IF($B$7="Gas",AH156,IF($B$7="Oil",AI156,0)))</f>
        <v>3.54812523167963</v>
      </c>
      <c r="C156" s="402" t="n">
        <f aca="false">(B156*$B$1*1000)/1000000</f>
        <v>40.1106498398238</v>
      </c>
      <c r="D156" s="401" t="n">
        <f aca="false">AB156+AC156</f>
        <v>0.770248551278508</v>
      </c>
      <c r="E156" s="401" t="n">
        <f aca="false">(($AJ156*$B$1*AD156*1000)/2000)/1000000</f>
        <v>0</v>
      </c>
      <c r="F156" s="401" t="n">
        <f aca="false">AF156*(($AK156*$B$1*AE156*1000)/2000)/1000000</f>
        <v>0</v>
      </c>
      <c r="G156" s="403" t="str">
        <f aca="false">IF(IS!$C$2="Peak","-",SUM(C156:F156))</f>
        <v>-</v>
      </c>
      <c r="H156" s="411" t="n">
        <v>79.4991882811073</v>
      </c>
      <c r="I156" s="411" t="n">
        <v>77.8463720797826</v>
      </c>
      <c r="J156" s="411" t="n">
        <v>77.8463720797826</v>
      </c>
      <c r="K156" s="411" t="n">
        <v>71.4993527147873</v>
      </c>
      <c r="L156" s="411" t="n">
        <v>54.2270778965613</v>
      </c>
      <c r="M156" s="411" t="n">
        <v>50.2315058443108</v>
      </c>
      <c r="N156" s="411" t="n">
        <v>43.9136900537527</v>
      </c>
      <c r="O156" s="411" t="n">
        <v>43.5877214509485</v>
      </c>
      <c r="P156" s="411" t="n">
        <v>40.5562870585412</v>
      </c>
      <c r="Q156" s="411" t="n">
        <v>39.0286801732244</v>
      </c>
      <c r="R156" s="411" t="n">
        <v>38.3736003639405</v>
      </c>
      <c r="S156" s="411" t="n">
        <v>37.967651696111</v>
      </c>
      <c r="T156" s="411" t="n">
        <v>37.8358785670465</v>
      </c>
      <c r="U156" s="411" t="n">
        <v>37.8358785670465</v>
      </c>
      <c r="V156" s="411" t="n">
        <v>37.5475184580849</v>
      </c>
      <c r="W156" s="411" t="n">
        <v>37.5255883538044</v>
      </c>
      <c r="X156" s="411" t="n">
        <v>37.5255883538044</v>
      </c>
      <c r="Y156" s="411" t="n">
        <v>37.5255883538044</v>
      </c>
      <c r="Z156" s="411" t="n">
        <v>37.5255088746498</v>
      </c>
      <c r="AA156" s="411" t="n">
        <v>34.6385167324445</v>
      </c>
      <c r="AB156" s="401" t="n">
        <f aca="false">Peak!AB158</f>
        <v>0.770248551278508</v>
      </c>
      <c r="AC156" s="401" t="n">
        <f aca="false">Peak!AC158</f>
        <v>0</v>
      </c>
      <c r="AD156" s="405" t="n">
        <f aca="false">Peak!AD158</f>
        <v>583.381879085728</v>
      </c>
      <c r="AE156" s="405" t="n">
        <f aca="false">Peak!AE158</f>
        <v>1993.84654167091</v>
      </c>
      <c r="AF156" s="401" t="n">
        <f aca="false">Peak!AF158</f>
        <v>1</v>
      </c>
      <c r="AG156" s="406" t="n">
        <f aca="false">Peak!AG158</f>
        <v>0</v>
      </c>
      <c r="AH156" s="401" t="n">
        <f aca="false">Peak!AH158</f>
        <v>3.54812523167963</v>
      </c>
      <c r="AI156" s="401" t="n">
        <f aca="false">Peak!AI158</f>
        <v>3.61304154523532</v>
      </c>
      <c r="AJ156" s="401" t="n">
        <f aca="false">Peak!AJ158</f>
        <v>0</v>
      </c>
      <c r="AK156" s="401" t="n">
        <f aca="false">Peak!AK158</f>
        <v>0</v>
      </c>
      <c r="AL156" s="1"/>
    </row>
    <row r="157" customFormat="false" ht="12.75" hidden="false" customHeight="false" outlineLevel="0" collapsed="false">
      <c r="A157" s="400" t="n">
        <f aca="false">A156+30.417</f>
        <v>41041.716</v>
      </c>
      <c r="B157" s="401" t="n">
        <f aca="false">IF($B$7="Coal",AG157,IF($B$7="Gas",AH157,IF($B$7="Oil",AI157,0)))</f>
        <v>3.7358567254193</v>
      </c>
      <c r="C157" s="402" t="n">
        <f aca="false">(B157*$B$1*1000)/1000000</f>
        <v>42.2329064451055</v>
      </c>
      <c r="D157" s="401" t="n">
        <f aca="false">AB157+AC157</f>
        <v>0.771532298863972</v>
      </c>
      <c r="E157" s="401" t="n">
        <f aca="false">(($AJ157*$B$1*AD157*1000)/2000)/1000000</f>
        <v>0</v>
      </c>
      <c r="F157" s="401" t="n">
        <f aca="false">AF157*(($AK157*$B$1*AE157*1000)/2000)/1000000</f>
        <v>0</v>
      </c>
      <c r="G157" s="403" t="str">
        <f aca="false">IF(IS!$C$2="Peak","-",SUM(C157:F157))</f>
        <v>-</v>
      </c>
      <c r="H157" s="411" t="n">
        <v>155.156415409754</v>
      </c>
      <c r="I157" s="411" t="n">
        <v>133.478599909044</v>
      </c>
      <c r="J157" s="411" t="n">
        <v>83.3640893707124</v>
      </c>
      <c r="K157" s="411" t="n">
        <v>72.4303999399094</v>
      </c>
      <c r="L157" s="411" t="n">
        <v>68.4632945934112</v>
      </c>
      <c r="M157" s="411" t="n">
        <v>63.6044878206807</v>
      </c>
      <c r="N157" s="411" t="n">
        <v>62.2475788144949</v>
      </c>
      <c r="O157" s="411" t="n">
        <v>51.3503986544234</v>
      </c>
      <c r="P157" s="411" t="n">
        <v>43.5363498814041</v>
      </c>
      <c r="Q157" s="411" t="n">
        <v>36.8163202813247</v>
      </c>
      <c r="R157" s="411" t="n">
        <v>35.5717871323945</v>
      </c>
      <c r="S157" s="411" t="n">
        <v>34.877770894106</v>
      </c>
      <c r="T157" s="411" t="n">
        <v>33.2015707778948</v>
      </c>
      <c r="U157" s="411" t="n">
        <v>32.130237995223</v>
      </c>
      <c r="V157" s="411" t="n">
        <v>31.099168162976</v>
      </c>
      <c r="W157" s="411" t="n">
        <v>30.9275108943032</v>
      </c>
      <c r="X157" s="411" t="n">
        <v>30.7727665871569</v>
      </c>
      <c r="Y157" s="411" t="n">
        <v>30.6983064716122</v>
      </c>
      <c r="Z157" s="411" t="n">
        <v>29.6455886138728</v>
      </c>
      <c r="AA157" s="411" t="n">
        <v>26.1803424380139</v>
      </c>
      <c r="AB157" s="401" t="n">
        <f aca="false">Peak!AB159</f>
        <v>0.771532298863972</v>
      </c>
      <c r="AC157" s="401" t="n">
        <f aca="false">Peak!AC159</f>
        <v>0</v>
      </c>
      <c r="AD157" s="405" t="n">
        <f aca="false">Peak!AD159</f>
        <v>583.381879085728</v>
      </c>
      <c r="AE157" s="405" t="n">
        <f aca="false">Peak!AE159</f>
        <v>1993.84654167091</v>
      </c>
      <c r="AF157" s="401" t="n">
        <f aca="false">Peak!AF159</f>
        <v>1</v>
      </c>
      <c r="AG157" s="406" t="n">
        <f aca="false">Peak!AG159</f>
        <v>0</v>
      </c>
      <c r="AH157" s="401" t="n">
        <f aca="false">Peak!AH159</f>
        <v>3.7358567254193</v>
      </c>
      <c r="AI157" s="401" t="n">
        <f aca="false">Peak!AI159</f>
        <v>3.46706006866016</v>
      </c>
      <c r="AJ157" s="401" t="n">
        <f aca="false">Peak!AJ159</f>
        <v>0</v>
      </c>
      <c r="AK157" s="401" t="n">
        <f aca="false">Peak!AK159</f>
        <v>0</v>
      </c>
      <c r="AL157" s="1"/>
    </row>
    <row r="158" customFormat="false" ht="12.75" hidden="false" customHeight="false" outlineLevel="0" collapsed="false">
      <c r="A158" s="400" t="n">
        <f aca="false">A157+30.417</f>
        <v>41072.133</v>
      </c>
      <c r="B158" s="401" t="n">
        <f aca="false">IF($B$7="Coal",AG158,IF($B$7="Gas",AH158,IF($B$7="Oil",AI158,0)))</f>
        <v>3.55938912130401</v>
      </c>
      <c r="C158" s="402" t="n">
        <f aca="false">(B158*$B$1*1000)/1000000</f>
        <v>40.2379852361407</v>
      </c>
      <c r="D158" s="401" t="n">
        <f aca="false">AB158+AC158</f>
        <v>0.772818186028745</v>
      </c>
      <c r="E158" s="401" t="n">
        <f aca="false">(($AJ158*$B$1*AD158*1000)/2000)/1000000</f>
        <v>0</v>
      </c>
      <c r="F158" s="401" t="n">
        <f aca="false">AF158*(($AK158*$B$1*AE158*1000)/2000)/1000000</f>
        <v>0</v>
      </c>
      <c r="G158" s="403" t="str">
        <f aca="false">IF(IS!$C$2="Peak","-",SUM(C158:F158))</f>
        <v>-</v>
      </c>
      <c r="H158" s="411" t="n">
        <v>193.413960226994</v>
      </c>
      <c r="I158" s="411" t="n">
        <v>175.450022720864</v>
      </c>
      <c r="J158" s="411" t="n">
        <v>160.137833056958</v>
      </c>
      <c r="K158" s="411" t="n">
        <v>134.013322525219</v>
      </c>
      <c r="L158" s="411" t="n">
        <v>89.9964297136724</v>
      </c>
      <c r="M158" s="411" t="n">
        <v>78.3772586065988</v>
      </c>
      <c r="N158" s="411" t="n">
        <v>52.7807948704341</v>
      </c>
      <c r="O158" s="411" t="n">
        <v>46.7640669410354</v>
      </c>
      <c r="P158" s="411" t="n">
        <v>41.9362707703631</v>
      </c>
      <c r="Q158" s="411" t="n">
        <v>41.3080217362945</v>
      </c>
      <c r="R158" s="411" t="n">
        <v>40.902587286564</v>
      </c>
      <c r="S158" s="411" t="n">
        <v>40.1547971720014</v>
      </c>
      <c r="T158" s="411" t="n">
        <v>37.6004751545003</v>
      </c>
      <c r="U158" s="411" t="n">
        <v>36.0661805481174</v>
      </c>
      <c r="V158" s="411" t="n">
        <v>34.4437218485778</v>
      </c>
      <c r="W158" s="411" t="n">
        <v>33.5982357251274</v>
      </c>
      <c r="X158" s="411" t="n">
        <v>32.8786637749589</v>
      </c>
      <c r="Y158" s="411" t="n">
        <v>31.9833373404742</v>
      </c>
      <c r="Z158" s="411" t="n">
        <v>30.4715699118893</v>
      </c>
      <c r="AA158" s="411" t="n">
        <v>27.4354217570112</v>
      </c>
      <c r="AB158" s="401" t="n">
        <f aca="false">Peak!AB160</f>
        <v>0.772818186028745</v>
      </c>
      <c r="AC158" s="401" t="n">
        <f aca="false">Peak!AC160</f>
        <v>0</v>
      </c>
      <c r="AD158" s="405" t="n">
        <f aca="false">Peak!AD160</f>
        <v>583.381879085728</v>
      </c>
      <c r="AE158" s="405" t="n">
        <f aca="false">Peak!AE160</f>
        <v>1993.84654167091</v>
      </c>
      <c r="AF158" s="401" t="n">
        <f aca="false">Peak!AF160</f>
        <v>1</v>
      </c>
      <c r="AG158" s="406" t="n">
        <f aca="false">Peak!AG160</f>
        <v>0</v>
      </c>
      <c r="AH158" s="401" t="n">
        <f aca="false">Peak!AH160</f>
        <v>3.55938912130401</v>
      </c>
      <c r="AI158" s="401" t="n">
        <f aca="false">Peak!AI160</f>
        <v>3.46706006866016</v>
      </c>
      <c r="AJ158" s="401" t="n">
        <f aca="false">Peak!AJ160</f>
        <v>0</v>
      </c>
      <c r="AK158" s="401" t="n">
        <f aca="false">Peak!AK160</f>
        <v>0</v>
      </c>
      <c r="AL158" s="1"/>
    </row>
    <row r="159" customFormat="false" ht="12.75" hidden="false" customHeight="false" outlineLevel="0" collapsed="false">
      <c r="A159" s="400" t="n">
        <f aca="false">A158+30.417</f>
        <v>41102.55</v>
      </c>
      <c r="B159" s="401" t="n">
        <f aca="false">IF($B$7="Coal",AG159,IF($B$7="Gas",AH159,IF($B$7="Oil",AI159,0)))</f>
        <v>3.54812523167963</v>
      </c>
      <c r="C159" s="402" t="n">
        <f aca="false">(B159*$B$1*1000)/1000000</f>
        <v>40.1106498398238</v>
      </c>
      <c r="D159" s="401" t="n">
        <f aca="false">AB159+AC159</f>
        <v>0.774106216338793</v>
      </c>
      <c r="E159" s="401" t="n">
        <f aca="false">(($AJ159*$B$1*AD159*1000)/2000)/1000000</f>
        <v>0</v>
      </c>
      <c r="F159" s="401" t="n">
        <f aca="false">AF159*(($AK159*$B$1*AE159*1000)/2000)/1000000</f>
        <v>0</v>
      </c>
      <c r="G159" s="403" t="str">
        <f aca="false">IF(IS!$C$2="Peak","-",SUM(C159:F159))</f>
        <v>-</v>
      </c>
      <c r="H159" s="411" t="n">
        <v>227.848629168848</v>
      </c>
      <c r="I159" s="411" t="n">
        <v>200.276901752613</v>
      </c>
      <c r="J159" s="411" t="n">
        <v>181.318021417567</v>
      </c>
      <c r="K159" s="411" t="n">
        <v>160.223398576201</v>
      </c>
      <c r="L159" s="411" t="n">
        <v>146.108402018609</v>
      </c>
      <c r="M159" s="411" t="n">
        <v>99.7804063671159</v>
      </c>
      <c r="N159" s="411" t="n">
        <v>84.7279139510807</v>
      </c>
      <c r="O159" s="411" t="n">
        <v>80.6823891944998</v>
      </c>
      <c r="P159" s="411" t="n">
        <v>69.8727202582408</v>
      </c>
      <c r="Q159" s="411" t="n">
        <v>53.7320295363837</v>
      </c>
      <c r="R159" s="411" t="n">
        <v>45.6109824191802</v>
      </c>
      <c r="S159" s="411" t="n">
        <v>43.780330708513</v>
      </c>
      <c r="T159" s="411" t="n">
        <v>40.5556140812837</v>
      </c>
      <c r="U159" s="411" t="n">
        <v>39.5015259627968</v>
      </c>
      <c r="V159" s="411" t="n">
        <v>39.277136673947</v>
      </c>
      <c r="W159" s="411" t="n">
        <v>39.2631035945507</v>
      </c>
      <c r="X159" s="411" t="n">
        <v>38.9583391672046</v>
      </c>
      <c r="Y159" s="411" t="n">
        <v>38.9132972762881</v>
      </c>
      <c r="Z159" s="411" t="n">
        <v>38.6345983764363</v>
      </c>
      <c r="AA159" s="411" t="n">
        <v>34.8739435834099</v>
      </c>
      <c r="AB159" s="401" t="n">
        <f aca="false">Peak!AB161</f>
        <v>0.774106216338793</v>
      </c>
      <c r="AC159" s="401" t="n">
        <f aca="false">Peak!AC161</f>
        <v>0</v>
      </c>
      <c r="AD159" s="405" t="n">
        <f aca="false">Peak!AD161</f>
        <v>583.381879085728</v>
      </c>
      <c r="AE159" s="405" t="n">
        <f aca="false">Peak!AE161</f>
        <v>1993.84654167091</v>
      </c>
      <c r="AF159" s="401" t="n">
        <f aca="false">Peak!AF161</f>
        <v>1</v>
      </c>
      <c r="AG159" s="406" t="n">
        <f aca="false">Peak!AG161</f>
        <v>0</v>
      </c>
      <c r="AH159" s="401" t="n">
        <f aca="false">Peak!AH161</f>
        <v>3.54812523167963</v>
      </c>
      <c r="AI159" s="401" t="n">
        <f aca="false">Peak!AI161</f>
        <v>3.46706006866016</v>
      </c>
      <c r="AJ159" s="401" t="n">
        <f aca="false">Peak!AJ161</f>
        <v>0</v>
      </c>
      <c r="AK159" s="401" t="n">
        <f aca="false">Peak!AK161</f>
        <v>0</v>
      </c>
      <c r="AL159" s="1"/>
    </row>
    <row r="160" customFormat="false" ht="12.75" hidden="false" customHeight="false" outlineLevel="0" collapsed="false">
      <c r="A160" s="400" t="n">
        <f aca="false">A159+30.417</f>
        <v>41132.967</v>
      </c>
      <c r="B160" s="401" t="n">
        <f aca="false">IF($B$7="Coal",AG160,IF($B$7="Gas",AH160,IF($B$7="Oil",AI160,0)))</f>
        <v>3.36414836781476</v>
      </c>
      <c r="C160" s="402" t="n">
        <f aca="false">(B160*$B$1*1000)/1000000</f>
        <v>38.0308383666477</v>
      </c>
      <c r="D160" s="401" t="n">
        <f aca="false">AB160+AC160</f>
        <v>0.775396393366025</v>
      </c>
      <c r="E160" s="401" t="n">
        <f aca="false">(($AJ160*$B$1*AD160*1000)/2000)/1000000</f>
        <v>0</v>
      </c>
      <c r="F160" s="401" t="n">
        <f aca="false">AF160*(($AK160*$B$1*AE160*1000)/2000)/1000000</f>
        <v>0</v>
      </c>
      <c r="G160" s="403" t="str">
        <f aca="false">IF(IS!$C$2="Peak","-",SUM(C160:F160))</f>
        <v>-</v>
      </c>
      <c r="H160" s="411" t="n">
        <v>454.149387568804</v>
      </c>
      <c r="I160" s="411" t="n">
        <v>290.03607276375</v>
      </c>
      <c r="J160" s="411" t="n">
        <v>242.263714807811</v>
      </c>
      <c r="K160" s="411" t="n">
        <v>207.853611516238</v>
      </c>
      <c r="L160" s="411" t="n">
        <v>180.585146226682</v>
      </c>
      <c r="M160" s="411" t="n">
        <v>156.773820733193</v>
      </c>
      <c r="N160" s="411" t="n">
        <v>104.496364900742</v>
      </c>
      <c r="O160" s="411" t="n">
        <v>57.4796412041283</v>
      </c>
      <c r="P160" s="411" t="n">
        <v>49.1252315322013</v>
      </c>
      <c r="Q160" s="411" t="n">
        <v>45.077428574059</v>
      </c>
      <c r="R160" s="411" t="n">
        <v>42.3747630340307</v>
      </c>
      <c r="S160" s="411" t="n">
        <v>38.9044022115688</v>
      </c>
      <c r="T160" s="411" t="n">
        <v>36.2423036831435</v>
      </c>
      <c r="U160" s="411" t="n">
        <v>34.606593865542</v>
      </c>
      <c r="V160" s="411" t="n">
        <v>33.346134325633</v>
      </c>
      <c r="W160" s="411" t="n">
        <v>32.482720559594</v>
      </c>
      <c r="X160" s="411" t="n">
        <v>30.4303157549552</v>
      </c>
      <c r="Y160" s="411" t="n">
        <v>29.0390016835112</v>
      </c>
      <c r="Z160" s="411" t="n">
        <v>28.0978637013363</v>
      </c>
      <c r="AA160" s="411" t="n">
        <v>26.6585830959907</v>
      </c>
      <c r="AB160" s="401" t="n">
        <f aca="false">Peak!AB162</f>
        <v>0.775396393366025</v>
      </c>
      <c r="AC160" s="401" t="n">
        <f aca="false">Peak!AC162</f>
        <v>0</v>
      </c>
      <c r="AD160" s="405" t="n">
        <f aca="false">Peak!AD162</f>
        <v>583.381879085728</v>
      </c>
      <c r="AE160" s="405" t="n">
        <f aca="false">Peak!AE162</f>
        <v>1993.84654167091</v>
      </c>
      <c r="AF160" s="401" t="n">
        <f aca="false">Peak!AF162</f>
        <v>1</v>
      </c>
      <c r="AG160" s="406" t="n">
        <f aca="false">Peak!AG162</f>
        <v>0</v>
      </c>
      <c r="AH160" s="401" t="n">
        <f aca="false">Peak!AH162</f>
        <v>3.36414836781476</v>
      </c>
      <c r="AI160" s="401" t="n">
        <f aca="false">Peak!AI162</f>
        <v>3.46706006866016</v>
      </c>
      <c r="AJ160" s="401" t="n">
        <f aca="false">Peak!AJ162</f>
        <v>0</v>
      </c>
      <c r="AK160" s="401" t="n">
        <f aca="false">Peak!AK162</f>
        <v>0</v>
      </c>
      <c r="AL160" s="1"/>
    </row>
    <row r="161" customFormat="false" ht="12.75" hidden="false" customHeight="false" outlineLevel="0" collapsed="false">
      <c r="A161" s="400" t="n">
        <f aca="false">A160+30.417</f>
        <v>41163.384</v>
      </c>
      <c r="B161" s="401" t="n">
        <f aca="false">IF($B$7="Coal",AG161,IF($B$7="Gas",AH161,IF($B$7="Oil",AI161,0)))</f>
        <v>3.35288447819038</v>
      </c>
      <c r="C161" s="402" t="n">
        <f aca="false">(B161*$B$1*1000)/1000000</f>
        <v>37.9035029703308</v>
      </c>
      <c r="D161" s="401" t="n">
        <f aca="false">AB161+AC161</f>
        <v>0.776688720688301</v>
      </c>
      <c r="E161" s="401" t="n">
        <f aca="false">(($AJ161*$B$1*AD161*1000)/2000)/1000000</f>
        <v>0</v>
      </c>
      <c r="F161" s="401" t="n">
        <f aca="false">AF161*(($AK161*$B$1*AE161*1000)/2000)/1000000</f>
        <v>0</v>
      </c>
      <c r="G161" s="403" t="str">
        <f aca="false">IF(IS!$C$2="Peak","-",SUM(C161:F161))</f>
        <v>-</v>
      </c>
      <c r="H161" s="411" t="n">
        <v>176.801958580697</v>
      </c>
      <c r="I161" s="411" t="n">
        <v>159.701145344276</v>
      </c>
      <c r="J161" s="411" t="n">
        <v>150.512591148028</v>
      </c>
      <c r="K161" s="411" t="n">
        <v>90.9472130137257</v>
      </c>
      <c r="L161" s="411" t="n">
        <v>76.6497181084447</v>
      </c>
      <c r="M161" s="411" t="n">
        <v>73.5500022790102</v>
      </c>
      <c r="N161" s="411" t="n">
        <v>54.2063235549584</v>
      </c>
      <c r="O161" s="411" t="n">
        <v>47.7457148814617</v>
      </c>
      <c r="P161" s="411" t="n">
        <v>42.3482188596407</v>
      </c>
      <c r="Q161" s="411" t="n">
        <v>41.8469444761479</v>
      </c>
      <c r="R161" s="411" t="n">
        <v>40.3447411095609</v>
      </c>
      <c r="S161" s="411" t="n">
        <v>39.4025905801356</v>
      </c>
      <c r="T161" s="411" t="n">
        <v>37.6830337676273</v>
      </c>
      <c r="U161" s="411" t="n">
        <v>36.5808580246118</v>
      </c>
      <c r="V161" s="411" t="n">
        <v>36.4214199279555</v>
      </c>
      <c r="W161" s="411" t="n">
        <v>36.2674329264967</v>
      </c>
      <c r="X161" s="411" t="n">
        <v>36.1252856679027</v>
      </c>
      <c r="Y161" s="411" t="n">
        <v>36.1252856679027</v>
      </c>
      <c r="Z161" s="411" t="n">
        <v>36.125273990002</v>
      </c>
      <c r="AA161" s="411" t="n">
        <v>34.554802150872</v>
      </c>
      <c r="AB161" s="401" t="n">
        <f aca="false">Peak!AB163</f>
        <v>0.776688720688301</v>
      </c>
      <c r="AC161" s="401" t="n">
        <f aca="false">Peak!AC163</f>
        <v>0</v>
      </c>
      <c r="AD161" s="405" t="n">
        <f aca="false">Peak!AD163</f>
        <v>583.381879085728</v>
      </c>
      <c r="AE161" s="405" t="n">
        <f aca="false">Peak!AE163</f>
        <v>1993.84654167091</v>
      </c>
      <c r="AF161" s="401" t="n">
        <f aca="false">Peak!AF163</f>
        <v>1</v>
      </c>
      <c r="AG161" s="406" t="n">
        <f aca="false">Peak!AG163</f>
        <v>0</v>
      </c>
      <c r="AH161" s="401" t="n">
        <f aca="false">Peak!AH163</f>
        <v>3.35288447819038</v>
      </c>
      <c r="AI161" s="401" t="n">
        <f aca="false">Peak!AI163</f>
        <v>3.46706006866016</v>
      </c>
      <c r="AJ161" s="401" t="n">
        <f aca="false">Peak!AJ163</f>
        <v>0</v>
      </c>
      <c r="AK161" s="401" t="n">
        <f aca="false">Peak!AK163</f>
        <v>0</v>
      </c>
      <c r="AL161" s="1"/>
    </row>
    <row r="162" customFormat="false" ht="12.75" hidden="false" customHeight="false" outlineLevel="0" collapsed="false">
      <c r="A162" s="400" t="n">
        <f aca="false">A161+30.417</f>
        <v>41193.801</v>
      </c>
      <c r="B162" s="401" t="n">
        <f aca="false">IF($B$7="Coal",AG162,IF($B$7="Gas",AH162,IF($B$7="Oil",AI162,0)))</f>
        <v>3.71332894617054</v>
      </c>
      <c r="C162" s="402" t="n">
        <f aca="false">(B162*$B$1*1000)/1000000</f>
        <v>41.9782356524717</v>
      </c>
      <c r="D162" s="401" t="n">
        <f aca="false">AB162+AC162</f>
        <v>0.777983201889448</v>
      </c>
      <c r="E162" s="401" t="n">
        <f aca="false">(($AJ162*$B$1*AD162*1000)/2000)/1000000</f>
        <v>0</v>
      </c>
      <c r="F162" s="401" t="n">
        <f aca="false">AF162*(($AK162*$B$1*AE162*1000)/2000)/1000000</f>
        <v>0</v>
      </c>
      <c r="G162" s="403" t="str">
        <f aca="false">IF(IS!$C$2="Peak","-",SUM(C162:F162))</f>
        <v>-</v>
      </c>
      <c r="H162" s="411" t="n">
        <v>113.976442483593</v>
      </c>
      <c r="I162" s="411" t="n">
        <v>95.7263483164316</v>
      </c>
      <c r="J162" s="411" t="n">
        <v>90.0323417587271</v>
      </c>
      <c r="K162" s="411" t="n">
        <v>78.9845409130256</v>
      </c>
      <c r="L162" s="411" t="n">
        <v>69.3872442193641</v>
      </c>
      <c r="M162" s="411" t="n">
        <v>65.0839291791098</v>
      </c>
      <c r="N162" s="411" t="n">
        <v>60.3049982108748</v>
      </c>
      <c r="O162" s="411" t="n">
        <v>59.7202634653761</v>
      </c>
      <c r="P162" s="411" t="n">
        <v>49.5973200122921</v>
      </c>
      <c r="Q162" s="411" t="n">
        <v>45.3977133578234</v>
      </c>
      <c r="R162" s="411" t="n">
        <v>42.4127463530395</v>
      </c>
      <c r="S162" s="411" t="n">
        <v>37.8992220996337</v>
      </c>
      <c r="T162" s="411" t="n">
        <v>32.8518920607408</v>
      </c>
      <c r="U162" s="411" t="n">
        <v>31.486190284038</v>
      </c>
      <c r="V162" s="411" t="n">
        <v>30.5144353216127</v>
      </c>
      <c r="W162" s="411" t="n">
        <v>30.4722107134295</v>
      </c>
      <c r="X162" s="411" t="n">
        <v>30.1726855201838</v>
      </c>
      <c r="Y162" s="411" t="n">
        <v>29.7751480967851</v>
      </c>
      <c r="Z162" s="411" t="n">
        <v>29.7751480967851</v>
      </c>
      <c r="AA162" s="411" t="n">
        <v>29.7671540270578</v>
      </c>
      <c r="AB162" s="401" t="n">
        <f aca="false">Peak!AB164</f>
        <v>0.777983201889448</v>
      </c>
      <c r="AC162" s="401" t="n">
        <f aca="false">Peak!AC164</f>
        <v>0</v>
      </c>
      <c r="AD162" s="405" t="n">
        <f aca="false">Peak!AD164</f>
        <v>583.381879085728</v>
      </c>
      <c r="AE162" s="405" t="n">
        <f aca="false">Peak!AE164</f>
        <v>1993.84654167091</v>
      </c>
      <c r="AF162" s="401" t="n">
        <f aca="false">Peak!AF164</f>
        <v>1</v>
      </c>
      <c r="AG162" s="406" t="n">
        <f aca="false">Peak!AG164</f>
        <v>0</v>
      </c>
      <c r="AH162" s="401" t="n">
        <f aca="false">Peak!AH164</f>
        <v>3.71332894617054</v>
      </c>
      <c r="AI162" s="401" t="n">
        <f aca="false">Peak!AI164</f>
        <v>3.46706006866016</v>
      </c>
      <c r="AJ162" s="401" t="n">
        <f aca="false">Peak!AJ164</f>
        <v>0</v>
      </c>
      <c r="AK162" s="401" t="n">
        <f aca="false">Peak!AK164</f>
        <v>0</v>
      </c>
      <c r="AL162" s="1"/>
    </row>
    <row r="163" customFormat="false" ht="12.75" hidden="false" customHeight="false" outlineLevel="0" collapsed="false">
      <c r="A163" s="400" t="n">
        <f aca="false">A162+30.417</f>
        <v>41224.218</v>
      </c>
      <c r="B163" s="401" t="n">
        <f aca="false">IF($B$7="Coal",AG163,IF($B$7="Gas",AH163,IF($B$7="Oil",AI163,0)))</f>
        <v>4.0662641544011</v>
      </c>
      <c r="C163" s="402" t="n">
        <f aca="false">(B163*$B$1*1000)/1000000</f>
        <v>45.9680780704012</v>
      </c>
      <c r="D163" s="401" t="n">
        <f aca="false">AB163+AC163</f>
        <v>0.779279840559264</v>
      </c>
      <c r="E163" s="401" t="n">
        <f aca="false">(($AJ163*$B$1*AD163*1000)/2000)/1000000</f>
        <v>0</v>
      </c>
      <c r="F163" s="401" t="n">
        <f aca="false">AF163*(($AK163*$B$1*AE163*1000)/2000)/1000000</f>
        <v>0</v>
      </c>
      <c r="G163" s="403" t="str">
        <f aca="false">IF(IS!$C$2="Peak","-",SUM(C163:F163))</f>
        <v>-</v>
      </c>
      <c r="H163" s="411" t="n">
        <v>150.943120741352</v>
      </c>
      <c r="I163" s="411" t="n">
        <v>141.873640048148</v>
      </c>
      <c r="J163" s="411" t="n">
        <v>117.834062941206</v>
      </c>
      <c r="K163" s="411" t="n">
        <v>86.0049264701614</v>
      </c>
      <c r="L163" s="411" t="n">
        <v>76.6443304635699</v>
      </c>
      <c r="M163" s="411" t="n">
        <v>73.0498816756578</v>
      </c>
      <c r="N163" s="411" t="n">
        <v>66.0298395367209</v>
      </c>
      <c r="O163" s="411" t="n">
        <v>51.7760362924603</v>
      </c>
      <c r="P163" s="411" t="n">
        <v>51.3897003933092</v>
      </c>
      <c r="Q163" s="411" t="n">
        <v>50.2233656285301</v>
      </c>
      <c r="R163" s="411" t="n">
        <v>41.5751415317088</v>
      </c>
      <c r="S163" s="411" t="n">
        <v>40.7063179053441</v>
      </c>
      <c r="T163" s="411" t="n">
        <v>37.0898936892925</v>
      </c>
      <c r="U163" s="411" t="n">
        <v>36.1004431765398</v>
      </c>
      <c r="V163" s="411" t="n">
        <v>35.8456022089377</v>
      </c>
      <c r="W163" s="411" t="n">
        <v>35.7961591892603</v>
      </c>
      <c r="X163" s="411" t="n">
        <v>35.7961591892603</v>
      </c>
      <c r="Y163" s="411" t="n">
        <v>35.7441396787658</v>
      </c>
      <c r="Z163" s="411" t="n">
        <v>35.2225483540496</v>
      </c>
      <c r="AA163" s="411" t="n">
        <v>34.5938996209995</v>
      </c>
      <c r="AB163" s="401" t="n">
        <f aca="false">Peak!AB165</f>
        <v>0.779279840559264</v>
      </c>
      <c r="AC163" s="401" t="n">
        <f aca="false">Peak!AC165</f>
        <v>0</v>
      </c>
      <c r="AD163" s="405" t="n">
        <f aca="false">Peak!AD165</f>
        <v>583.381879085728</v>
      </c>
      <c r="AE163" s="405" t="n">
        <f aca="false">Peak!AE165</f>
        <v>1993.84654167091</v>
      </c>
      <c r="AF163" s="401" t="n">
        <f aca="false">Peak!AF165</f>
        <v>1</v>
      </c>
      <c r="AG163" s="406" t="n">
        <f aca="false">Peak!AG165</f>
        <v>0</v>
      </c>
      <c r="AH163" s="401" t="n">
        <f aca="false">Peak!AH165</f>
        <v>4.0662641544011</v>
      </c>
      <c r="AI163" s="401" t="n">
        <f aca="false">Peak!AI165</f>
        <v>3.75902302181049</v>
      </c>
      <c r="AJ163" s="401" t="n">
        <f aca="false">Peak!AJ165</f>
        <v>0</v>
      </c>
      <c r="AK163" s="401" t="n">
        <f aca="false">Peak!AK165</f>
        <v>0</v>
      </c>
      <c r="AL163" s="1"/>
    </row>
    <row r="164" customFormat="false" ht="12.75" hidden="false" customHeight="false" outlineLevel="0" collapsed="false">
      <c r="A164" s="400" t="n">
        <f aca="false">A163+30.417</f>
        <v>41254.635</v>
      </c>
      <c r="B164" s="401" t="n">
        <f aca="false">IF($B$7="Coal",AG164,IF($B$7="Gas",AH164,IF($B$7="Oil",AI164,0)))</f>
        <v>4.4004262132577</v>
      </c>
      <c r="C164" s="402" t="n">
        <f aca="false">(B164*$B$1*1000)/1000000</f>
        <v>49.7456948278026</v>
      </c>
      <c r="D164" s="401" t="n">
        <f aca="false">AB164+AC164</f>
        <v>0.78057864029353</v>
      </c>
      <c r="E164" s="401" t="n">
        <f aca="false">(($AJ164*$B$1*AD164*1000)/2000)/1000000</f>
        <v>0</v>
      </c>
      <c r="F164" s="401" t="n">
        <f aca="false">AF164*(($AK164*$B$1*AE164*1000)/2000)/1000000</f>
        <v>0</v>
      </c>
      <c r="G164" s="403" t="str">
        <f aca="false">IF(IS!$C$2="Peak","-",SUM(C164:F164))</f>
        <v>-</v>
      </c>
      <c r="H164" s="411" t="n">
        <v>151.556277803106</v>
      </c>
      <c r="I164" s="411" t="n">
        <v>148.076907282405</v>
      </c>
      <c r="J164" s="411" t="n">
        <v>102.492877496416</v>
      </c>
      <c r="K164" s="411" t="n">
        <v>93.011128274355</v>
      </c>
      <c r="L164" s="411" t="n">
        <v>87.0675921055194</v>
      </c>
      <c r="M164" s="411" t="n">
        <v>84.0295235677024</v>
      </c>
      <c r="N164" s="411" t="n">
        <v>82.4634957264015</v>
      </c>
      <c r="O164" s="411" t="n">
        <v>68.281487727705</v>
      </c>
      <c r="P164" s="411" t="n">
        <v>57.1446416477819</v>
      </c>
      <c r="Q164" s="411" t="n">
        <v>47.6863652738208</v>
      </c>
      <c r="R164" s="411" t="n">
        <v>46.800225286186</v>
      </c>
      <c r="S164" s="411" t="n">
        <v>41.6457606667712</v>
      </c>
      <c r="T164" s="411" t="n">
        <v>41.0367426516392</v>
      </c>
      <c r="U164" s="411" t="n">
        <v>41.0367426516392</v>
      </c>
      <c r="V164" s="411" t="n">
        <v>41.0367426516392</v>
      </c>
      <c r="W164" s="411" t="n">
        <v>41.0367426516392</v>
      </c>
      <c r="X164" s="411" t="n">
        <v>40.7053904181436</v>
      </c>
      <c r="Y164" s="411" t="n">
        <v>40.698734579926</v>
      </c>
      <c r="Z164" s="411" t="n">
        <v>40.698734579926</v>
      </c>
      <c r="AA164" s="411" t="n">
        <v>37.3793601442251</v>
      </c>
      <c r="AB164" s="401" t="n">
        <f aca="false">Peak!AB166</f>
        <v>0.78057864029353</v>
      </c>
      <c r="AC164" s="401" t="n">
        <f aca="false">Peak!AC166</f>
        <v>0</v>
      </c>
      <c r="AD164" s="405" t="n">
        <f aca="false">Peak!AD166</f>
        <v>583.381879085728</v>
      </c>
      <c r="AE164" s="405" t="n">
        <f aca="false">Peak!AE166</f>
        <v>1993.84654167091</v>
      </c>
      <c r="AF164" s="401" t="n">
        <f aca="false">Peak!AF166</f>
        <v>1</v>
      </c>
      <c r="AG164" s="406" t="n">
        <f aca="false">Peak!AG166</f>
        <v>0</v>
      </c>
      <c r="AH164" s="401" t="n">
        <f aca="false">Peak!AH166</f>
        <v>4.4004262132577</v>
      </c>
      <c r="AI164" s="401" t="n">
        <f aca="false">Peak!AI166</f>
        <v>3.94149986752944</v>
      </c>
      <c r="AJ164" s="401" t="n">
        <f aca="false">Peak!AJ166</f>
        <v>0</v>
      </c>
      <c r="AK164" s="401" t="n">
        <f aca="false">Peak!AK166</f>
        <v>0</v>
      </c>
      <c r="AL164" s="1"/>
    </row>
    <row r="165" customFormat="false" ht="12.75" hidden="false" customHeight="false" outlineLevel="0" collapsed="false">
      <c r="A165" s="400" t="n">
        <f aca="false">A164+30.417</f>
        <v>41285.052</v>
      </c>
      <c r="B165" s="401" t="n">
        <f aca="false">IF($B$7="Coal",AG165,IF($B$7="Gas",AH165,IF($B$7="Oil",AI165,0)))</f>
        <v>4.42085380969163</v>
      </c>
      <c r="C165" s="402" t="n">
        <f aca="false">(B165*$B$1*1000)/1000000</f>
        <v>49.9766235899316</v>
      </c>
      <c r="D165" s="401" t="n">
        <f aca="false">AB165+AC165</f>
        <v>0.781879604694019</v>
      </c>
      <c r="E165" s="401" t="n">
        <f aca="false">(($AJ165*$B$1*AD165*1000)/2000)/1000000</f>
        <v>0</v>
      </c>
      <c r="F165" s="401" t="n">
        <f aca="false">AF165*(($AK165*$B$1*AE165*1000)/2000)/1000000</f>
        <v>0</v>
      </c>
      <c r="G165" s="403" t="str">
        <f aca="false">IF(IS!$C$2="Peak","-",SUM(C165:F165))</f>
        <v>-</v>
      </c>
      <c r="H165" s="411" t="n">
        <v>106.126190295588</v>
      </c>
      <c r="I165" s="411" t="n">
        <v>102.510699873313</v>
      </c>
      <c r="J165" s="411" t="n">
        <v>98.1227668437229</v>
      </c>
      <c r="K165" s="411" t="n">
        <v>93.8179473211383</v>
      </c>
      <c r="L165" s="411" t="n">
        <v>93.600351090236</v>
      </c>
      <c r="M165" s="411" t="n">
        <v>87.2400038314093</v>
      </c>
      <c r="N165" s="411" t="n">
        <v>63.6244507319783</v>
      </c>
      <c r="O165" s="411" t="n">
        <v>57.037917248631</v>
      </c>
      <c r="P165" s="411" t="n">
        <v>52.2944665058364</v>
      </c>
      <c r="Q165" s="411" t="n">
        <v>44.8841073618731</v>
      </c>
      <c r="R165" s="411" t="n">
        <v>44.8841073618731</v>
      </c>
      <c r="S165" s="411" t="n">
        <v>44.8841073618731</v>
      </c>
      <c r="T165" s="411" t="n">
        <v>44.8839759914509</v>
      </c>
      <c r="U165" s="411" t="n">
        <v>44.5060328062509</v>
      </c>
      <c r="V165" s="411" t="n">
        <v>44.5047102888222</v>
      </c>
      <c r="W165" s="411" t="n">
        <v>44.5047102888222</v>
      </c>
      <c r="X165" s="411" t="n">
        <v>44.5047102888222</v>
      </c>
      <c r="Y165" s="411" t="n">
        <v>44.5046881589176</v>
      </c>
      <c r="Z165" s="411" t="n">
        <v>44.5045505160718</v>
      </c>
      <c r="AA165" s="411" t="n">
        <v>37.5738138926447</v>
      </c>
      <c r="AB165" s="401" t="n">
        <f aca="false">Peak!AB167</f>
        <v>0.781879604694019</v>
      </c>
      <c r="AC165" s="401" t="n">
        <f aca="false">Peak!AC167</f>
        <v>0</v>
      </c>
      <c r="AD165" s="405" t="n">
        <f aca="false">Peak!AD167</f>
        <v>654.124550733522</v>
      </c>
      <c r="AE165" s="405" t="n">
        <f aca="false">Peak!AE167</f>
        <v>1780.92328465844</v>
      </c>
      <c r="AF165" s="401" t="n">
        <f aca="false">Peak!AF167</f>
        <v>1</v>
      </c>
      <c r="AG165" s="406" t="n">
        <f aca="false">Peak!AG167</f>
        <v>0</v>
      </c>
      <c r="AH165" s="401" t="n">
        <f aca="false">Peak!AH167</f>
        <v>4.42085380969163</v>
      </c>
      <c r="AI165" s="401" t="n">
        <f aca="false">Peak!AI167</f>
        <v>4.12318167912245</v>
      </c>
      <c r="AJ165" s="401" t="n">
        <f aca="false">Peak!AJ167</f>
        <v>0</v>
      </c>
      <c r="AK165" s="401" t="n">
        <f aca="false">Peak!AK167</f>
        <v>0</v>
      </c>
      <c r="AL165" s="1"/>
    </row>
    <row r="166" customFormat="false" ht="12.75" hidden="false" customHeight="false" outlineLevel="0" collapsed="false">
      <c r="A166" s="400" t="n">
        <f aca="false">A165+30.417</f>
        <v>41315.469</v>
      </c>
      <c r="B166" s="401" t="n">
        <f aca="false">IF($B$7="Coal",AG166,IF($B$7="Gas",AH166,IF($B$7="Oil",AI166,0)))</f>
        <v>3.96230780283532</v>
      </c>
      <c r="C166" s="402" t="n">
        <f aca="false">(B166*$B$1*1000)/1000000</f>
        <v>44.7928780579972</v>
      </c>
      <c r="D166" s="401" t="n">
        <f aca="false">AB166+AC166</f>
        <v>0.783182737368509</v>
      </c>
      <c r="E166" s="401" t="n">
        <f aca="false">(($AJ166*$B$1*AD166*1000)/2000)/1000000</f>
        <v>0</v>
      </c>
      <c r="F166" s="401" t="n">
        <f aca="false">AF166*(($AK166*$B$1*AE166*1000)/2000)/1000000</f>
        <v>0</v>
      </c>
      <c r="G166" s="403" t="str">
        <f aca="false">IF(IS!$C$2="Peak","-",SUM(C166:F166))</f>
        <v>-</v>
      </c>
      <c r="H166" s="411" t="n">
        <v>151.794122282919</v>
      </c>
      <c r="I166" s="411" t="n">
        <v>133.19880500864</v>
      </c>
      <c r="J166" s="411" t="n">
        <v>96.0776024823252</v>
      </c>
      <c r="K166" s="411" t="n">
        <v>80.6647476908499</v>
      </c>
      <c r="L166" s="411" t="n">
        <v>75.7571613946588</v>
      </c>
      <c r="M166" s="411" t="n">
        <v>70.5455633429244</v>
      </c>
      <c r="N166" s="411" t="n">
        <v>66.0547332082142</v>
      </c>
      <c r="O166" s="411" t="n">
        <v>65.7232985017911</v>
      </c>
      <c r="P166" s="411" t="n">
        <v>60.2219555298007</v>
      </c>
      <c r="Q166" s="411" t="n">
        <v>46.8408699457777</v>
      </c>
      <c r="R166" s="411" t="n">
        <v>45.1561170741881</v>
      </c>
      <c r="S166" s="411" t="n">
        <v>40.8635859894957</v>
      </c>
      <c r="T166" s="411" t="n">
        <v>38.7253400153931</v>
      </c>
      <c r="U166" s="411" t="n">
        <v>37.7205553753584</v>
      </c>
      <c r="V166" s="411" t="n">
        <v>37.4576703608638</v>
      </c>
      <c r="W166" s="411" t="n">
        <v>37.0274246415755</v>
      </c>
      <c r="X166" s="411" t="n">
        <v>36.0558100360089</v>
      </c>
      <c r="Y166" s="411" t="n">
        <v>35.2191470837697</v>
      </c>
      <c r="Z166" s="411" t="n">
        <v>33.7013011371997</v>
      </c>
      <c r="AA166" s="411" t="n">
        <v>32.6726720877659</v>
      </c>
      <c r="AB166" s="401" t="n">
        <f aca="false">Peak!AB168</f>
        <v>0.783182737368509</v>
      </c>
      <c r="AC166" s="401" t="n">
        <f aca="false">Peak!AC168</f>
        <v>0</v>
      </c>
      <c r="AD166" s="405" t="n">
        <f aca="false">Peak!AD168</f>
        <v>654.124550733522</v>
      </c>
      <c r="AE166" s="405" t="n">
        <f aca="false">Peak!AE168</f>
        <v>1780.92328465844</v>
      </c>
      <c r="AF166" s="401" t="n">
        <f aca="false">Peak!AF168</f>
        <v>1</v>
      </c>
      <c r="AG166" s="406" t="n">
        <f aca="false">Peak!AG168</f>
        <v>0</v>
      </c>
      <c r="AH166" s="401" t="n">
        <f aca="false">Peak!AH168</f>
        <v>3.96230780283532</v>
      </c>
      <c r="AI166" s="401" t="n">
        <f aca="false">Peak!AI168</f>
        <v>4.08500407098242</v>
      </c>
      <c r="AJ166" s="401" t="n">
        <f aca="false">Peak!AJ168</f>
        <v>0</v>
      </c>
      <c r="AK166" s="401" t="n">
        <f aca="false">Peak!AK168</f>
        <v>0</v>
      </c>
      <c r="AL166" s="1"/>
    </row>
    <row r="167" customFormat="false" ht="12.75" hidden="false" customHeight="false" outlineLevel="0" collapsed="false">
      <c r="A167" s="400" t="n">
        <f aca="false">A166+30.417</f>
        <v>41345.886</v>
      </c>
      <c r="B167" s="401" t="n">
        <f aca="false">IF($B$7="Coal",AG167,IF($B$7="Gas",AH167,IF($B$7="Oil",AI167,0)))</f>
        <v>3.89568145995876</v>
      </c>
      <c r="C167" s="402" t="n">
        <f aca="false">(B167*$B$1*1000)/1000000</f>
        <v>44.0396842627589</v>
      </c>
      <c r="D167" s="401" t="n">
        <f aca="false">AB167+AC167</f>
        <v>0.78448804193079</v>
      </c>
      <c r="E167" s="401" t="n">
        <f aca="false">(($AJ167*$B$1*AD167*1000)/2000)/1000000</f>
        <v>0</v>
      </c>
      <c r="F167" s="401" t="n">
        <f aca="false">AF167*(($AK167*$B$1*AE167*1000)/2000)/1000000</f>
        <v>0</v>
      </c>
      <c r="G167" s="403" t="str">
        <f aca="false">IF(IS!$C$2="Peak","-",SUM(C167:F167))</f>
        <v>-</v>
      </c>
      <c r="H167" s="411" t="n">
        <v>130.924902153296</v>
      </c>
      <c r="I167" s="411" t="n">
        <v>87.0010199706551</v>
      </c>
      <c r="J167" s="411" t="n">
        <v>79.4229785094042</v>
      </c>
      <c r="K167" s="411" t="n">
        <v>74.1638956606505</v>
      </c>
      <c r="L167" s="411" t="n">
        <v>68.9011908385868</v>
      </c>
      <c r="M167" s="411" t="n">
        <v>68.4074166472558</v>
      </c>
      <c r="N167" s="411" t="n">
        <v>65.035602548861</v>
      </c>
      <c r="O167" s="411" t="n">
        <v>52.6680810810109</v>
      </c>
      <c r="P167" s="411" t="n">
        <v>47.8641986814487</v>
      </c>
      <c r="Q167" s="411" t="n">
        <v>46.5262665278053</v>
      </c>
      <c r="R167" s="411" t="n">
        <v>43.4665902966621</v>
      </c>
      <c r="S167" s="411" t="n">
        <v>41.7481342653865</v>
      </c>
      <c r="T167" s="411" t="n">
        <v>40.2406180870426</v>
      </c>
      <c r="U167" s="411" t="n">
        <v>39.6001902752193</v>
      </c>
      <c r="V167" s="411" t="n">
        <v>38.982926102939</v>
      </c>
      <c r="W167" s="411" t="n">
        <v>38.8278606905973</v>
      </c>
      <c r="X167" s="411" t="n">
        <v>38.106203689253</v>
      </c>
      <c r="Y167" s="411" t="n">
        <v>37.055827372387</v>
      </c>
      <c r="Z167" s="411" t="n">
        <v>36.1848424116214</v>
      </c>
      <c r="AA167" s="411" t="n">
        <v>33.8242413858909</v>
      </c>
      <c r="AB167" s="401" t="n">
        <f aca="false">Peak!AB169</f>
        <v>0.78448804193079</v>
      </c>
      <c r="AC167" s="401" t="n">
        <f aca="false">Peak!AC169</f>
        <v>0</v>
      </c>
      <c r="AD167" s="405" t="n">
        <f aca="false">Peak!AD169</f>
        <v>654.124550733522</v>
      </c>
      <c r="AE167" s="405" t="n">
        <f aca="false">Peak!AE169</f>
        <v>1780.92328465844</v>
      </c>
      <c r="AF167" s="401" t="n">
        <f aca="false">Peak!AF169</f>
        <v>1</v>
      </c>
      <c r="AG167" s="406" t="n">
        <f aca="false">Peak!AG169</f>
        <v>0</v>
      </c>
      <c r="AH167" s="401" t="n">
        <f aca="false">Peak!AH169</f>
        <v>3.89568145995876</v>
      </c>
      <c r="AI167" s="401" t="n">
        <f aca="false">Peak!AI169</f>
        <v>3.93229363842233</v>
      </c>
      <c r="AJ167" s="401" t="n">
        <f aca="false">Peak!AJ169</f>
        <v>0</v>
      </c>
      <c r="AK167" s="401" t="n">
        <f aca="false">Peak!AK169</f>
        <v>0</v>
      </c>
      <c r="AL167" s="1"/>
    </row>
    <row r="168" customFormat="false" ht="12.75" hidden="false" customHeight="false" outlineLevel="0" collapsed="false">
      <c r="A168" s="400" t="n">
        <f aca="false">A167+30.417</f>
        <v>41376.303</v>
      </c>
      <c r="B168" s="401" t="n">
        <f aca="false">IF($B$7="Coal",AG168,IF($B$7="Gas",AH168,IF($B$7="Oil",AI168,0)))</f>
        <v>3.70364082460868</v>
      </c>
      <c r="C168" s="402" t="n">
        <f aca="false">(B168*$B$1*1000)/1000000</f>
        <v>41.8687139117778</v>
      </c>
      <c r="D168" s="401" t="n">
        <f aca="false">AB168+AC168</f>
        <v>0.785795522000675</v>
      </c>
      <c r="E168" s="401" t="n">
        <f aca="false">(($AJ168*$B$1*AD168*1000)/2000)/1000000</f>
        <v>0</v>
      </c>
      <c r="F168" s="401" t="n">
        <f aca="false">AF168*(($AK168*$B$1*AE168*1000)/2000)/1000000</f>
        <v>0</v>
      </c>
      <c r="G168" s="403" t="str">
        <f aca="false">IF(IS!$C$2="Peak","-",SUM(C168:F168))</f>
        <v>-</v>
      </c>
      <c r="H168" s="411" t="n">
        <v>75.2918920399411</v>
      </c>
      <c r="I168" s="411" t="n">
        <v>70.5812501417462</v>
      </c>
      <c r="J168" s="411" t="n">
        <v>68.311260737047</v>
      </c>
      <c r="K168" s="411" t="n">
        <v>65.2257377725208</v>
      </c>
      <c r="L168" s="411" t="n">
        <v>61.4049128347633</v>
      </c>
      <c r="M168" s="411" t="n">
        <v>58.6203579692403</v>
      </c>
      <c r="N168" s="411" t="n">
        <v>58.3615111521542</v>
      </c>
      <c r="O168" s="411" t="n">
        <v>53.6724108991361</v>
      </c>
      <c r="P168" s="411" t="n">
        <v>45.6081478863517</v>
      </c>
      <c r="Q168" s="411" t="n">
        <v>41.769217538051</v>
      </c>
      <c r="R168" s="411" t="n">
        <v>41.1153680108479</v>
      </c>
      <c r="S168" s="411" t="n">
        <v>39.3981845883466</v>
      </c>
      <c r="T168" s="411" t="n">
        <v>38.3389466310177</v>
      </c>
      <c r="U168" s="411" t="n">
        <v>37.3798651026295</v>
      </c>
      <c r="V168" s="411" t="n">
        <v>36.3719995111712</v>
      </c>
      <c r="W168" s="411" t="n">
        <v>35.4565653172166</v>
      </c>
      <c r="X168" s="411" t="n">
        <v>34.1120641381706</v>
      </c>
      <c r="Y168" s="411" t="n">
        <v>33.5057785283428</v>
      </c>
      <c r="Z168" s="411" t="n">
        <v>32.8027838945277</v>
      </c>
      <c r="AA168" s="411" t="n">
        <v>30.7195538128687</v>
      </c>
      <c r="AB168" s="401" t="n">
        <f aca="false">Peak!AB170</f>
        <v>0.785795522000675</v>
      </c>
      <c r="AC168" s="401" t="n">
        <f aca="false">Peak!AC170</f>
        <v>0</v>
      </c>
      <c r="AD168" s="405" t="n">
        <f aca="false">Peak!AD170</f>
        <v>654.124550733522</v>
      </c>
      <c r="AE168" s="405" t="n">
        <f aca="false">Peak!AE170</f>
        <v>1780.92328465844</v>
      </c>
      <c r="AF168" s="401" t="n">
        <f aca="false">Peak!AF170</f>
        <v>1</v>
      </c>
      <c r="AG168" s="406" t="n">
        <f aca="false">Peak!AG170</f>
        <v>0</v>
      </c>
      <c r="AH168" s="401" t="n">
        <f aca="false">Peak!AH170</f>
        <v>3.70364082460868</v>
      </c>
      <c r="AI168" s="401" t="n">
        <f aca="false">Peak!AI170</f>
        <v>3.77958320586224</v>
      </c>
      <c r="AJ168" s="401" t="n">
        <f aca="false">Peak!AJ170</f>
        <v>0</v>
      </c>
      <c r="AK168" s="401" t="n">
        <f aca="false">Peak!AK170</f>
        <v>0</v>
      </c>
      <c r="AL168" s="1"/>
    </row>
    <row r="169" customFormat="false" ht="12.75" hidden="false" customHeight="false" outlineLevel="0" collapsed="false">
      <c r="A169" s="400" t="n">
        <f aca="false">A168+30.417</f>
        <v>41406.72</v>
      </c>
      <c r="B169" s="401" t="n">
        <f aca="false">IF($B$7="Coal",AG169,IF($B$7="Gas",AH169,IF($B$7="Oil",AI169,0)))</f>
        <v>3.89960065659856</v>
      </c>
      <c r="C169" s="402" t="n">
        <f aca="false">(B169*$B$1*1000)/1000000</f>
        <v>44.0839897801258</v>
      </c>
      <c r="D169" s="401" t="n">
        <f aca="false">AB169+AC169</f>
        <v>0.787105181204009</v>
      </c>
      <c r="E169" s="401" t="n">
        <f aca="false">(($AJ169*$B$1*AD169*1000)/2000)/1000000</f>
        <v>0</v>
      </c>
      <c r="F169" s="401" t="n">
        <f aca="false">AF169*(($AK169*$B$1*AE169*1000)/2000)/1000000</f>
        <v>0</v>
      </c>
      <c r="G169" s="403" t="str">
        <f aca="false">IF(IS!$C$2="Peak","-",SUM(C169:F169))</f>
        <v>-</v>
      </c>
      <c r="H169" s="411" t="n">
        <v>132.282280710173</v>
      </c>
      <c r="I169" s="411" t="n">
        <v>80.1892515471132</v>
      </c>
      <c r="J169" s="411" t="n">
        <v>66.6380001164049</v>
      </c>
      <c r="K169" s="411" t="n">
        <v>63.279614137145</v>
      </c>
      <c r="L169" s="411" t="n">
        <v>55.7321110645336</v>
      </c>
      <c r="M169" s="411" t="n">
        <v>52.0094758704916</v>
      </c>
      <c r="N169" s="411" t="n">
        <v>49.2685754955573</v>
      </c>
      <c r="O169" s="411" t="n">
        <v>48.4844852037332</v>
      </c>
      <c r="P169" s="411" t="n">
        <v>45.5718942784494</v>
      </c>
      <c r="Q169" s="411" t="n">
        <v>43.9950926516765</v>
      </c>
      <c r="R169" s="411" t="n">
        <v>42.0517866280956</v>
      </c>
      <c r="S169" s="411" t="n">
        <v>40.8512036854061</v>
      </c>
      <c r="T169" s="411" t="n">
        <v>38.8396103998677</v>
      </c>
      <c r="U169" s="411" t="n">
        <v>36.1128501012809</v>
      </c>
      <c r="V169" s="411" t="n">
        <v>34.8782417019714</v>
      </c>
      <c r="W169" s="411" t="n">
        <v>33.3875478058862</v>
      </c>
      <c r="X169" s="411" t="n">
        <v>32.892617618124</v>
      </c>
      <c r="Y169" s="411" t="n">
        <v>32.3278008958598</v>
      </c>
      <c r="Z169" s="411" t="n">
        <v>31.8674612795213</v>
      </c>
      <c r="AA169" s="411" t="n">
        <v>31.1727427011523</v>
      </c>
      <c r="AB169" s="401" t="n">
        <f aca="false">Peak!AB171</f>
        <v>0.787105181204009</v>
      </c>
      <c r="AC169" s="401" t="n">
        <f aca="false">Peak!AC171</f>
        <v>0</v>
      </c>
      <c r="AD169" s="405" t="n">
        <f aca="false">Peak!AD171</f>
        <v>654.124550733522</v>
      </c>
      <c r="AE169" s="405" t="n">
        <f aca="false">Peak!AE171</f>
        <v>1780.92328465844</v>
      </c>
      <c r="AF169" s="401" t="n">
        <f aca="false">Peak!AF171</f>
        <v>1</v>
      </c>
      <c r="AG169" s="406" t="n">
        <f aca="false">Peak!AG171</f>
        <v>0</v>
      </c>
      <c r="AH169" s="401" t="n">
        <f aca="false">Peak!AH171</f>
        <v>3.89960065659856</v>
      </c>
      <c r="AI169" s="401" t="n">
        <f aca="false">Peak!AI171</f>
        <v>3.62687277330215</v>
      </c>
      <c r="AJ169" s="401" t="n">
        <f aca="false">Peak!AJ171</f>
        <v>0</v>
      </c>
      <c r="AK169" s="401" t="n">
        <f aca="false">Peak!AK171</f>
        <v>0</v>
      </c>
      <c r="AL169" s="1"/>
    </row>
    <row r="170" customFormat="false" ht="12.75" hidden="false" customHeight="false" outlineLevel="0" collapsed="false">
      <c r="A170" s="400" t="n">
        <f aca="false">A169+30.417</f>
        <v>41437.137</v>
      </c>
      <c r="B170" s="401" t="n">
        <f aca="false">IF($B$7="Coal",AG170,IF($B$7="Gas",AH170,IF($B$7="Oil",AI170,0)))</f>
        <v>3.71539841452807</v>
      </c>
      <c r="C170" s="402" t="n">
        <f aca="false">(B170*$B$1*1000)/1000000</f>
        <v>42.0016304638787</v>
      </c>
      <c r="D170" s="401" t="n">
        <f aca="false">AB170+AC170</f>
        <v>0.788417023172682</v>
      </c>
      <c r="E170" s="401" t="n">
        <f aca="false">(($AJ170*$B$1*AD170*1000)/2000)/1000000</f>
        <v>0</v>
      </c>
      <c r="F170" s="401" t="n">
        <f aca="false">AF170*(($AK170*$B$1*AE170*1000)/2000)/1000000</f>
        <v>0</v>
      </c>
      <c r="G170" s="403" t="str">
        <f aca="false">IF(IS!$C$2="Peak","-",SUM(C170:F170))</f>
        <v>-</v>
      </c>
      <c r="H170" s="411" t="n">
        <v>168.096063731654</v>
      </c>
      <c r="I170" s="411" t="n">
        <v>154.253273283718</v>
      </c>
      <c r="J170" s="411" t="n">
        <v>138.545276317221</v>
      </c>
      <c r="K170" s="411" t="n">
        <v>102.563480841163</v>
      </c>
      <c r="L170" s="411" t="n">
        <v>83.7933372792152</v>
      </c>
      <c r="M170" s="411" t="n">
        <v>75.5891303101941</v>
      </c>
      <c r="N170" s="411" t="n">
        <v>69.0844087187171</v>
      </c>
      <c r="O170" s="411" t="n">
        <v>55.6607133170526</v>
      </c>
      <c r="P170" s="411" t="n">
        <v>48.9152934255981</v>
      </c>
      <c r="Q170" s="411" t="n">
        <v>38.3765696065445</v>
      </c>
      <c r="R170" s="411" t="n">
        <v>36.1301958082415</v>
      </c>
      <c r="S170" s="411" t="n">
        <v>35.8065436894983</v>
      </c>
      <c r="T170" s="411" t="n">
        <v>35.8065334081606</v>
      </c>
      <c r="U170" s="411" t="n">
        <v>35.8065334081606</v>
      </c>
      <c r="V170" s="411" t="n">
        <v>35.8064478373935</v>
      </c>
      <c r="W170" s="411" t="n">
        <v>35.8061240318898</v>
      </c>
      <c r="X170" s="411" t="n">
        <v>35.8061240318898</v>
      </c>
      <c r="Y170" s="411" t="n">
        <v>35.7999296484378</v>
      </c>
      <c r="Z170" s="411" t="n">
        <v>34.6613703366675</v>
      </c>
      <c r="AA170" s="411" t="n">
        <v>30.6162809070696</v>
      </c>
      <c r="AB170" s="401" t="n">
        <f aca="false">Peak!AB172</f>
        <v>0.788417023172682</v>
      </c>
      <c r="AC170" s="401" t="n">
        <f aca="false">Peak!AC172</f>
        <v>0</v>
      </c>
      <c r="AD170" s="405" t="n">
        <f aca="false">Peak!AD172</f>
        <v>654.124550733522</v>
      </c>
      <c r="AE170" s="405" t="n">
        <f aca="false">Peak!AE172</f>
        <v>1780.92328465844</v>
      </c>
      <c r="AF170" s="401" t="n">
        <f aca="false">Peak!AF172</f>
        <v>1</v>
      </c>
      <c r="AG170" s="406" t="n">
        <f aca="false">Peak!AG172</f>
        <v>0</v>
      </c>
      <c r="AH170" s="401" t="n">
        <f aca="false">Peak!AH172</f>
        <v>3.71539841452807</v>
      </c>
      <c r="AI170" s="401" t="n">
        <f aca="false">Peak!AI172</f>
        <v>3.62687277330215</v>
      </c>
      <c r="AJ170" s="401" t="n">
        <f aca="false">Peak!AJ172</f>
        <v>0</v>
      </c>
      <c r="AK170" s="401" t="n">
        <f aca="false">Peak!AK172</f>
        <v>0</v>
      </c>
      <c r="AL170" s="1"/>
    </row>
    <row r="171" customFormat="false" ht="12.75" hidden="false" customHeight="false" outlineLevel="0" collapsed="false">
      <c r="A171" s="400" t="n">
        <f aca="false">A170+30.417</f>
        <v>41467.554</v>
      </c>
      <c r="B171" s="401" t="n">
        <f aca="false">IF($B$7="Coal",AG171,IF($B$7="Gas",AH171,IF($B$7="Oil",AI171,0)))</f>
        <v>3.70364082460868</v>
      </c>
      <c r="C171" s="402" t="n">
        <f aca="false">(B171*$B$1*1000)/1000000</f>
        <v>41.8687139117778</v>
      </c>
      <c r="D171" s="401" t="n">
        <f aca="false">AB171+AC171</f>
        <v>0.789731051544637</v>
      </c>
      <c r="E171" s="401" t="n">
        <f aca="false">(($AJ171*$B$1*AD171*1000)/2000)/1000000</f>
        <v>0</v>
      </c>
      <c r="F171" s="401" t="n">
        <f aca="false">AF171*(($AK171*$B$1*AE171*1000)/2000)/1000000</f>
        <v>0</v>
      </c>
      <c r="G171" s="403" t="str">
        <f aca="false">IF(IS!$C$2="Peak","-",SUM(C171:F171))</f>
        <v>-</v>
      </c>
      <c r="H171" s="411" t="n">
        <v>298.636614820828</v>
      </c>
      <c r="I171" s="411" t="n">
        <v>237.364725540343</v>
      </c>
      <c r="J171" s="411" t="n">
        <v>216.471806747227</v>
      </c>
      <c r="K171" s="411" t="n">
        <v>192.957656917917</v>
      </c>
      <c r="L171" s="411" t="n">
        <v>173.501743064563</v>
      </c>
      <c r="M171" s="411" t="n">
        <v>155.963243969938</v>
      </c>
      <c r="N171" s="411" t="n">
        <v>105.920854599673</v>
      </c>
      <c r="O171" s="411" t="n">
        <v>59.7397916656137</v>
      </c>
      <c r="P171" s="411" t="n">
        <v>50.6013608746705</v>
      </c>
      <c r="Q171" s="411" t="n">
        <v>47.357554626351</v>
      </c>
      <c r="R171" s="411" t="n">
        <v>43.9024707406269</v>
      </c>
      <c r="S171" s="411" t="n">
        <v>40.7361641397214</v>
      </c>
      <c r="T171" s="411" t="n">
        <v>36.7858350671236</v>
      </c>
      <c r="U171" s="411" t="n">
        <v>34.8133192773475</v>
      </c>
      <c r="V171" s="411" t="n">
        <v>34.4484050957865</v>
      </c>
      <c r="W171" s="411" t="n">
        <v>33.5105141699907</v>
      </c>
      <c r="X171" s="411" t="n">
        <v>32.0690699547267</v>
      </c>
      <c r="Y171" s="411" t="n">
        <v>30.2734517045882</v>
      </c>
      <c r="Z171" s="411" t="n">
        <v>28.5370903882632</v>
      </c>
      <c r="AA171" s="411" t="n">
        <v>26.4117423034665</v>
      </c>
      <c r="AB171" s="401" t="n">
        <f aca="false">Peak!AB173</f>
        <v>0.789731051544637</v>
      </c>
      <c r="AC171" s="401" t="n">
        <f aca="false">Peak!AC173</f>
        <v>0</v>
      </c>
      <c r="AD171" s="405" t="n">
        <f aca="false">Peak!AD173</f>
        <v>654.124550733522</v>
      </c>
      <c r="AE171" s="405" t="n">
        <f aca="false">Peak!AE173</f>
        <v>1780.92328465844</v>
      </c>
      <c r="AF171" s="401" t="n">
        <f aca="false">Peak!AF173</f>
        <v>1</v>
      </c>
      <c r="AG171" s="406" t="n">
        <f aca="false">Peak!AG173</f>
        <v>0</v>
      </c>
      <c r="AH171" s="401" t="n">
        <f aca="false">Peak!AH173</f>
        <v>3.70364082460868</v>
      </c>
      <c r="AI171" s="401" t="n">
        <f aca="false">Peak!AI173</f>
        <v>3.62687277330215</v>
      </c>
      <c r="AJ171" s="401" t="n">
        <f aca="false">Peak!AJ173</f>
        <v>0</v>
      </c>
      <c r="AK171" s="401" t="n">
        <f aca="false">Peak!AK173</f>
        <v>0</v>
      </c>
      <c r="AL171" s="1"/>
    </row>
    <row r="172" customFormat="false" ht="12.75" hidden="false" customHeight="false" outlineLevel="0" collapsed="false">
      <c r="A172" s="400" t="n">
        <f aca="false">A171+30.417</f>
        <v>41497.971</v>
      </c>
      <c r="B172" s="401" t="n">
        <f aca="false">IF($B$7="Coal",AG172,IF($B$7="Gas",AH172,IF($B$7="Oil",AI172,0)))</f>
        <v>3.5116001892586</v>
      </c>
      <c r="C172" s="402" t="n">
        <f aca="false">(B172*$B$1*1000)/1000000</f>
        <v>39.6977435607967</v>
      </c>
      <c r="D172" s="401" t="n">
        <f aca="false">AB172+AC172</f>
        <v>0.791047269963878</v>
      </c>
      <c r="E172" s="401" t="n">
        <f aca="false">(($AJ172*$B$1*AD172*1000)/2000)/1000000</f>
        <v>0</v>
      </c>
      <c r="F172" s="401" t="n">
        <f aca="false">AF172*(($AK172*$B$1*AE172*1000)/2000)/1000000</f>
        <v>0</v>
      </c>
      <c r="G172" s="403" t="str">
        <f aca="false">IF(IS!$C$2="Peak","-",SUM(C172:F172))</f>
        <v>-</v>
      </c>
      <c r="H172" s="411" t="n">
        <v>341.281139039479</v>
      </c>
      <c r="I172" s="411" t="n">
        <v>241.309517736842</v>
      </c>
      <c r="J172" s="411" t="n">
        <v>215.790569946173</v>
      </c>
      <c r="K172" s="411" t="n">
        <v>187.897591726777</v>
      </c>
      <c r="L172" s="411" t="n">
        <v>165.439968528877</v>
      </c>
      <c r="M172" s="411" t="n">
        <v>140.651232205255</v>
      </c>
      <c r="N172" s="411" t="n">
        <v>90.5472539166494</v>
      </c>
      <c r="O172" s="411" t="n">
        <v>74.4049625873217</v>
      </c>
      <c r="P172" s="411" t="n">
        <v>67.8903857799762</v>
      </c>
      <c r="Q172" s="411" t="n">
        <v>52.873303049155</v>
      </c>
      <c r="R172" s="411" t="n">
        <v>45.2510203606487</v>
      </c>
      <c r="S172" s="411" t="n">
        <v>37.9347969672296</v>
      </c>
      <c r="T172" s="411" t="n">
        <v>35.7622930253447</v>
      </c>
      <c r="U172" s="411" t="n">
        <v>34.8019377889127</v>
      </c>
      <c r="V172" s="411" t="n">
        <v>34.5890359956859</v>
      </c>
      <c r="W172" s="411" t="n">
        <v>34.5890359956859</v>
      </c>
      <c r="X172" s="411" t="n">
        <v>34.5890359956859</v>
      </c>
      <c r="Y172" s="411" t="n">
        <v>34.5888115022242</v>
      </c>
      <c r="Z172" s="411" t="n">
        <v>34.5886248977689</v>
      </c>
      <c r="AA172" s="411" t="n">
        <v>31.8870744462122</v>
      </c>
      <c r="AB172" s="401" t="n">
        <f aca="false">Peak!AB174</f>
        <v>0.791047269963878</v>
      </c>
      <c r="AC172" s="401" t="n">
        <f aca="false">Peak!AC174</f>
        <v>0</v>
      </c>
      <c r="AD172" s="405" t="n">
        <f aca="false">Peak!AD174</f>
        <v>654.124550733522</v>
      </c>
      <c r="AE172" s="405" t="n">
        <f aca="false">Peak!AE174</f>
        <v>1780.92328465844</v>
      </c>
      <c r="AF172" s="401" t="n">
        <f aca="false">Peak!AF174</f>
        <v>1</v>
      </c>
      <c r="AG172" s="406" t="n">
        <f aca="false">Peak!AG174</f>
        <v>0</v>
      </c>
      <c r="AH172" s="401" t="n">
        <f aca="false">Peak!AH174</f>
        <v>3.5116001892586</v>
      </c>
      <c r="AI172" s="401" t="n">
        <f aca="false">Peak!AI174</f>
        <v>3.62687277330215</v>
      </c>
      <c r="AJ172" s="401" t="n">
        <f aca="false">Peak!AJ174</f>
        <v>0</v>
      </c>
      <c r="AK172" s="401" t="n">
        <f aca="false">Peak!AK174</f>
        <v>0</v>
      </c>
      <c r="AL172" s="1"/>
    </row>
    <row r="173" customFormat="false" ht="12.75" hidden="false" customHeight="false" outlineLevel="0" collapsed="false">
      <c r="A173" s="400" t="n">
        <f aca="false">A172+30.417</f>
        <v>41528.388</v>
      </c>
      <c r="B173" s="401" t="n">
        <f aca="false">IF($B$7="Coal",AG173,IF($B$7="Gas",AH173,IF($B$7="Oil",AI173,0)))</f>
        <v>3.49984259933921</v>
      </c>
      <c r="C173" s="402" t="n">
        <f aca="false">(B173*$B$1*1000)/1000000</f>
        <v>39.5648270086958</v>
      </c>
      <c r="D173" s="401" t="n">
        <f aca="false">AB173+AC173</f>
        <v>0.792365682080485</v>
      </c>
      <c r="E173" s="401" t="n">
        <f aca="false">(($AJ173*$B$1*AD173*1000)/2000)/1000000</f>
        <v>0</v>
      </c>
      <c r="F173" s="401" t="n">
        <f aca="false">AF173*(($AK173*$B$1*AE173*1000)/2000)/1000000</f>
        <v>0</v>
      </c>
      <c r="G173" s="403" t="str">
        <f aca="false">IF(IS!$C$2="Peak","-",SUM(C173:F173))</f>
        <v>-</v>
      </c>
      <c r="H173" s="411" t="n">
        <v>165.291923871355</v>
      </c>
      <c r="I173" s="411" t="n">
        <v>152.625582545162</v>
      </c>
      <c r="J173" s="411" t="n">
        <v>127.272086422003</v>
      </c>
      <c r="K173" s="411" t="n">
        <v>92.3740208004919</v>
      </c>
      <c r="L173" s="411" t="n">
        <v>79.7389500262557</v>
      </c>
      <c r="M173" s="411" t="n">
        <v>73.8965112307162</v>
      </c>
      <c r="N173" s="411" t="n">
        <v>71.0528699230523</v>
      </c>
      <c r="O173" s="411" t="n">
        <v>51.1483592088037</v>
      </c>
      <c r="P173" s="411" t="n">
        <v>47.5471843380881</v>
      </c>
      <c r="Q173" s="411" t="n">
        <v>42.6429865065236</v>
      </c>
      <c r="R173" s="411" t="n">
        <v>37.1497688633783</v>
      </c>
      <c r="S173" s="411" t="n">
        <v>35.5173091095086</v>
      </c>
      <c r="T173" s="411" t="n">
        <v>35.4568653613756</v>
      </c>
      <c r="U173" s="411" t="n">
        <v>35.4568498112207</v>
      </c>
      <c r="V173" s="411" t="n">
        <v>35.4568498112207</v>
      </c>
      <c r="W173" s="411" t="n">
        <v>35.4568498112207</v>
      </c>
      <c r="X173" s="411" t="n">
        <v>35.4565879180898</v>
      </c>
      <c r="Y173" s="411" t="n">
        <v>35.4564378497674</v>
      </c>
      <c r="Z173" s="411" t="n">
        <v>35.4564378497674</v>
      </c>
      <c r="AA173" s="411" t="n">
        <v>33.4994715195979</v>
      </c>
      <c r="AB173" s="401" t="n">
        <f aca="false">Peak!AB175</f>
        <v>0.792365682080485</v>
      </c>
      <c r="AC173" s="401" t="n">
        <f aca="false">Peak!AC175</f>
        <v>0</v>
      </c>
      <c r="AD173" s="405" t="n">
        <f aca="false">Peak!AD175</f>
        <v>654.124550733522</v>
      </c>
      <c r="AE173" s="405" t="n">
        <f aca="false">Peak!AE175</f>
        <v>1780.92328465844</v>
      </c>
      <c r="AF173" s="401" t="n">
        <f aca="false">Peak!AF175</f>
        <v>1</v>
      </c>
      <c r="AG173" s="406" t="n">
        <f aca="false">Peak!AG175</f>
        <v>0</v>
      </c>
      <c r="AH173" s="401" t="n">
        <f aca="false">Peak!AH175</f>
        <v>3.49984259933921</v>
      </c>
      <c r="AI173" s="401" t="n">
        <f aca="false">Peak!AI175</f>
        <v>3.62687277330215</v>
      </c>
      <c r="AJ173" s="401" t="n">
        <f aca="false">Peak!AJ175</f>
        <v>0</v>
      </c>
      <c r="AK173" s="401" t="n">
        <f aca="false">Peak!AK175</f>
        <v>0</v>
      </c>
      <c r="AL173" s="1"/>
    </row>
    <row r="174" customFormat="false" ht="12.75" hidden="false" customHeight="false" outlineLevel="0" collapsed="false">
      <c r="A174" s="400" t="n">
        <f aca="false">A173+30.417</f>
        <v>41558.805</v>
      </c>
      <c r="B174" s="401" t="n">
        <f aca="false">IF($B$7="Coal",AG174,IF($B$7="Gas",AH174,IF($B$7="Oil",AI174,0)))</f>
        <v>3.87608547675977</v>
      </c>
      <c r="C174" s="402" t="n">
        <f aca="false">(B174*$B$1*1000)/1000000</f>
        <v>43.8181566759241</v>
      </c>
      <c r="D174" s="401" t="n">
        <f aca="false">AB174+AC174</f>
        <v>0.793686291550619</v>
      </c>
      <c r="E174" s="401" t="n">
        <f aca="false">(($AJ174*$B$1*AD174*1000)/2000)/1000000</f>
        <v>0</v>
      </c>
      <c r="F174" s="401" t="n">
        <f aca="false">AF174*(($AK174*$B$1*AE174*1000)/2000)/1000000</f>
        <v>0</v>
      </c>
      <c r="G174" s="403" t="str">
        <f aca="false">IF(IS!$C$2="Peak","-",SUM(C174:F174))</f>
        <v>-</v>
      </c>
      <c r="H174" s="411" t="n">
        <v>69.7077559304633</v>
      </c>
      <c r="I174" s="411" t="n">
        <v>67.3794776962106</v>
      </c>
      <c r="J174" s="411" t="n">
        <v>67.2016049020229</v>
      </c>
      <c r="K174" s="411" t="n">
        <v>67.017370820196</v>
      </c>
      <c r="L174" s="411" t="n">
        <v>59.8006655185536</v>
      </c>
      <c r="M174" s="411" t="n">
        <v>51.1566793754451</v>
      </c>
      <c r="N174" s="411" t="n">
        <v>47.2683891152593</v>
      </c>
      <c r="O174" s="411" t="n">
        <v>46.6332719293135</v>
      </c>
      <c r="P174" s="411" t="n">
        <v>44.8918501799374</v>
      </c>
      <c r="Q174" s="411" t="n">
        <v>44.2449819956923</v>
      </c>
      <c r="R174" s="411" t="n">
        <v>43.6554619671449</v>
      </c>
      <c r="S174" s="411" t="n">
        <v>43.1405123130313</v>
      </c>
      <c r="T174" s="411" t="n">
        <v>42.3877740216687</v>
      </c>
      <c r="U174" s="411" t="n">
        <v>40.556111916074</v>
      </c>
      <c r="V174" s="411" t="n">
        <v>38.4269450197283</v>
      </c>
      <c r="W174" s="411" t="n">
        <v>37.768700211907</v>
      </c>
      <c r="X174" s="411" t="n">
        <v>35.4709099917318</v>
      </c>
      <c r="Y174" s="411" t="n">
        <v>35.053390767422</v>
      </c>
      <c r="Z174" s="411" t="n">
        <v>34.3454737479501</v>
      </c>
      <c r="AA174" s="411" t="n">
        <v>33.409058290155</v>
      </c>
      <c r="AB174" s="401" t="n">
        <f aca="false">Peak!AB176</f>
        <v>0.793686291550619</v>
      </c>
      <c r="AC174" s="401" t="n">
        <f aca="false">Peak!AC176</f>
        <v>0</v>
      </c>
      <c r="AD174" s="405" t="n">
        <f aca="false">Peak!AD176</f>
        <v>654.124550733522</v>
      </c>
      <c r="AE174" s="405" t="n">
        <f aca="false">Peak!AE176</f>
        <v>1780.92328465844</v>
      </c>
      <c r="AF174" s="401" t="n">
        <f aca="false">Peak!AF176</f>
        <v>1</v>
      </c>
      <c r="AG174" s="406" t="n">
        <f aca="false">Peak!AG176</f>
        <v>0</v>
      </c>
      <c r="AH174" s="401" t="n">
        <f aca="false">Peak!AH176</f>
        <v>3.87608547675977</v>
      </c>
      <c r="AI174" s="401" t="n">
        <f aca="false">Peak!AI176</f>
        <v>3.62687277330215</v>
      </c>
      <c r="AJ174" s="401" t="n">
        <f aca="false">Peak!AJ176</f>
        <v>0</v>
      </c>
      <c r="AK174" s="401" t="n">
        <f aca="false">Peak!AK176</f>
        <v>0</v>
      </c>
      <c r="AL174" s="1"/>
    </row>
    <row r="175" customFormat="false" ht="12.75" hidden="false" customHeight="false" outlineLevel="0" collapsed="false">
      <c r="A175" s="400" t="n">
        <f aca="false">A174+30.417</f>
        <v>41589.222</v>
      </c>
      <c r="B175" s="401" t="n">
        <f aca="false">IF($B$7="Coal",AG175,IF($B$7="Gas",AH175,IF($B$7="Oil",AI175,0)))</f>
        <v>4.24448996090074</v>
      </c>
      <c r="C175" s="402" t="n">
        <f aca="false">(B175*$B$1*1000)/1000000</f>
        <v>47.9828753084184</v>
      </c>
      <c r="D175" s="401" t="n">
        <f aca="false">AB175+AC175</f>
        <v>0.795009102036536</v>
      </c>
      <c r="E175" s="401" t="n">
        <f aca="false">(($AJ175*$B$1*AD175*1000)/2000)/1000000</f>
        <v>0</v>
      </c>
      <c r="F175" s="401" t="n">
        <f aca="false">AF175*(($AK175*$B$1*AE175*1000)/2000)/1000000</f>
        <v>0</v>
      </c>
      <c r="G175" s="403" t="str">
        <f aca="false">IF(IS!$C$2="Peak","-",SUM(C175:F175))</f>
        <v>-</v>
      </c>
      <c r="H175" s="411" t="n">
        <v>164.424220530514</v>
      </c>
      <c r="I175" s="411" t="n">
        <v>156.805302256425</v>
      </c>
      <c r="J175" s="411" t="n">
        <v>151.610864472079</v>
      </c>
      <c r="K175" s="411" t="n">
        <v>119.152155392307</v>
      </c>
      <c r="L175" s="411" t="n">
        <v>82.6286182729625</v>
      </c>
      <c r="M175" s="411" t="n">
        <v>71.5592106207768</v>
      </c>
      <c r="N175" s="411" t="n">
        <v>65.6797388756896</v>
      </c>
      <c r="O175" s="411" t="n">
        <v>60.7649432682673</v>
      </c>
      <c r="P175" s="411" t="n">
        <v>59.9186625060055</v>
      </c>
      <c r="Q175" s="411" t="n">
        <v>57.3518604766038</v>
      </c>
      <c r="R175" s="411" t="n">
        <v>45.47297657021</v>
      </c>
      <c r="S175" s="411" t="n">
        <v>41.9603813387383</v>
      </c>
      <c r="T175" s="411" t="n">
        <v>37.3819880664136</v>
      </c>
      <c r="U175" s="411" t="n">
        <v>34.4835645369883</v>
      </c>
      <c r="V175" s="411" t="n">
        <v>34.2339238773377</v>
      </c>
      <c r="W175" s="411" t="n">
        <v>33.3554381512689</v>
      </c>
      <c r="X175" s="411" t="n">
        <v>32.3094160201127</v>
      </c>
      <c r="Y175" s="411" t="n">
        <v>31.4410697792365</v>
      </c>
      <c r="Z175" s="411" t="n">
        <v>30.7796106686066</v>
      </c>
      <c r="AA175" s="411" t="n">
        <v>30.3839549356997</v>
      </c>
      <c r="AB175" s="401" t="n">
        <f aca="false">Peak!AB177</f>
        <v>0.795009102036536</v>
      </c>
      <c r="AC175" s="401" t="n">
        <f aca="false">Peak!AC177</f>
        <v>0</v>
      </c>
      <c r="AD175" s="405" t="n">
        <f aca="false">Peak!AD177</f>
        <v>654.124550733522</v>
      </c>
      <c r="AE175" s="405" t="n">
        <f aca="false">Peak!AE177</f>
        <v>1780.92328465844</v>
      </c>
      <c r="AF175" s="401" t="n">
        <f aca="false">Peak!AF177</f>
        <v>1</v>
      </c>
      <c r="AG175" s="406" t="n">
        <f aca="false">Peak!AG177</f>
        <v>0</v>
      </c>
      <c r="AH175" s="401" t="n">
        <f aca="false">Peak!AH177</f>
        <v>4.24448996090074</v>
      </c>
      <c r="AI175" s="401" t="n">
        <f aca="false">Peak!AI177</f>
        <v>3.93229363842233</v>
      </c>
      <c r="AJ175" s="401" t="n">
        <f aca="false">Peak!AJ177</f>
        <v>0</v>
      </c>
      <c r="AK175" s="401" t="n">
        <f aca="false">Peak!AK177</f>
        <v>0</v>
      </c>
      <c r="AL175" s="1"/>
    </row>
    <row r="176" customFormat="false" ht="12.75" hidden="false" customHeight="false" outlineLevel="0" collapsed="false">
      <c r="A176" s="400" t="n">
        <f aca="false">A175+30.417</f>
        <v>41619.639</v>
      </c>
      <c r="B176" s="401" t="n">
        <f aca="false">IF($B$7="Coal",AG176,IF($B$7="Gas",AH176,IF($B$7="Oil",AI176,0)))</f>
        <v>4.59329846184272</v>
      </c>
      <c r="C176" s="402" t="n">
        <f aca="false">(B176*$B$1*1000)/1000000</f>
        <v>51.9260663540779</v>
      </c>
      <c r="D176" s="401" t="n">
        <f aca="false">AB176+AC176</f>
        <v>0.796334117206597</v>
      </c>
      <c r="E176" s="401" t="n">
        <f aca="false">(($AJ176*$B$1*AD176*1000)/2000)/1000000</f>
        <v>0</v>
      </c>
      <c r="F176" s="401" t="n">
        <f aca="false">AF176*(($AK176*$B$1*AE176*1000)/2000)/1000000</f>
        <v>0</v>
      </c>
      <c r="G176" s="403" t="str">
        <f aca="false">IF(IS!$C$2="Peak","-",SUM(C176:F176))</f>
        <v>-</v>
      </c>
      <c r="H176" s="411" t="n">
        <v>164.596915096147</v>
      </c>
      <c r="I176" s="411" t="n">
        <v>157.440732637368</v>
      </c>
      <c r="J176" s="411" t="n">
        <v>152.398079899687</v>
      </c>
      <c r="K176" s="411" t="n">
        <v>132.346052847185</v>
      </c>
      <c r="L176" s="411" t="n">
        <v>92.9715942039913</v>
      </c>
      <c r="M176" s="411" t="n">
        <v>80.1088007923171</v>
      </c>
      <c r="N176" s="411" t="n">
        <v>74.478592059869</v>
      </c>
      <c r="O176" s="411" t="n">
        <v>69.0442990534638</v>
      </c>
      <c r="P176" s="411" t="n">
        <v>67.220421680113</v>
      </c>
      <c r="Q176" s="411" t="n">
        <v>66.5413413638429</v>
      </c>
      <c r="R176" s="411" t="n">
        <v>57.0717781532139</v>
      </c>
      <c r="S176" s="411" t="n">
        <v>46.9325418365788</v>
      </c>
      <c r="T176" s="411" t="n">
        <v>40.9959056681318</v>
      </c>
      <c r="U176" s="411" t="n">
        <v>38.1842248960603</v>
      </c>
      <c r="V176" s="411" t="n">
        <v>36.5886518258764</v>
      </c>
      <c r="W176" s="411" t="n">
        <v>34.1524805557863</v>
      </c>
      <c r="X176" s="411" t="n">
        <v>33.9599126447614</v>
      </c>
      <c r="Y176" s="411" t="n">
        <v>33.7254763162694</v>
      </c>
      <c r="Z176" s="411" t="n">
        <v>33.6172767108378</v>
      </c>
      <c r="AA176" s="411" t="n">
        <v>33.2567387848796</v>
      </c>
      <c r="AB176" s="401" t="n">
        <f aca="false">Peak!AB178</f>
        <v>0.796334117206597</v>
      </c>
      <c r="AC176" s="401" t="n">
        <f aca="false">Peak!AC178</f>
        <v>0</v>
      </c>
      <c r="AD176" s="405" t="n">
        <f aca="false">Peak!AD178</f>
        <v>654.124550733522</v>
      </c>
      <c r="AE176" s="405" t="n">
        <f aca="false">Peak!AE178</f>
        <v>1780.92328465844</v>
      </c>
      <c r="AF176" s="401" t="n">
        <f aca="false">Peak!AF178</f>
        <v>1</v>
      </c>
      <c r="AG176" s="406" t="n">
        <f aca="false">Peak!AG178</f>
        <v>0</v>
      </c>
      <c r="AH176" s="401" t="n">
        <f aca="false">Peak!AH178</f>
        <v>4.59329846184272</v>
      </c>
      <c r="AI176" s="401" t="n">
        <f aca="false">Peak!AI178</f>
        <v>4.12318167912245</v>
      </c>
      <c r="AJ176" s="401" t="n">
        <f aca="false">Peak!AJ178</f>
        <v>0</v>
      </c>
      <c r="AK176" s="401" t="n">
        <f aca="false">Peak!AK178</f>
        <v>0</v>
      </c>
      <c r="AL176" s="1"/>
    </row>
    <row r="177" customFormat="false" ht="12.75" hidden="false" customHeight="false" outlineLevel="0" collapsed="false">
      <c r="A177" s="400" t="n">
        <f aca="false">A176+30.417</f>
        <v>41650.056</v>
      </c>
      <c r="B177" s="401" t="n">
        <f aca="false">IF($B$7="Coal",AG177,IF($B$7="Gas",AH177,IF($B$7="Oil",AI177,0)))</f>
        <v>4.44606979155667</v>
      </c>
      <c r="C177" s="402" t="n">
        <f aca="false">(B177*$B$1*1000)/1000000</f>
        <v>50.2616838267929</v>
      </c>
      <c r="D177" s="401" t="n">
        <f aca="false">AB177+AC177</f>
        <v>0.797661340735275</v>
      </c>
      <c r="E177" s="401" t="n">
        <f aca="false">(($AJ177*$B$1*AD177*1000)/2000)/1000000</f>
        <v>0</v>
      </c>
      <c r="F177" s="401" t="n">
        <f aca="false">AF177*(($AK177*$B$1*AE177*1000)/2000)/1000000</f>
        <v>0</v>
      </c>
      <c r="G177" s="403" t="str">
        <f aca="false">IF(IS!$C$2="Peak","-",SUM(C177:F177))</f>
        <v>-</v>
      </c>
      <c r="H177" s="411" t="n">
        <v>109.826033190456</v>
      </c>
      <c r="I177" s="411" t="n">
        <v>104.555850660256</v>
      </c>
      <c r="J177" s="411" t="n">
        <v>99.4948499709411</v>
      </c>
      <c r="K177" s="411" t="n">
        <v>93.0435314425725</v>
      </c>
      <c r="L177" s="411" t="n">
        <v>90.6340973340462</v>
      </c>
      <c r="M177" s="411" t="n">
        <v>88.8061119291921</v>
      </c>
      <c r="N177" s="411" t="n">
        <v>70.7726966204154</v>
      </c>
      <c r="O177" s="411" t="n">
        <v>60.1720645290395</v>
      </c>
      <c r="P177" s="411" t="n">
        <v>51.362452309757</v>
      </c>
      <c r="Q177" s="411" t="n">
        <v>50.5709271124831</v>
      </c>
      <c r="R177" s="411" t="n">
        <v>46.1259027519111</v>
      </c>
      <c r="S177" s="411" t="n">
        <v>43.4389260512395</v>
      </c>
      <c r="T177" s="411" t="n">
        <v>43.2209037137904</v>
      </c>
      <c r="U177" s="411" t="n">
        <v>43.2209002851635</v>
      </c>
      <c r="V177" s="411" t="n">
        <v>43.2209002851635</v>
      </c>
      <c r="W177" s="411" t="n">
        <v>43.2208143002468</v>
      </c>
      <c r="X177" s="411" t="n">
        <v>43.2207746384691</v>
      </c>
      <c r="Y177" s="411" t="n">
        <v>43.2205766914748</v>
      </c>
      <c r="Z177" s="411" t="n">
        <v>43.0927404695228</v>
      </c>
      <c r="AA177" s="411" t="n">
        <v>39.884316048371</v>
      </c>
      <c r="AB177" s="401" t="n">
        <f aca="false">Peak!AB179</f>
        <v>0.797661340735275</v>
      </c>
      <c r="AC177" s="401" t="n">
        <f aca="false">Peak!AC179</f>
        <v>0</v>
      </c>
      <c r="AD177" s="405" t="n">
        <f aca="false">Peak!AD179</f>
        <v>728.142699152122</v>
      </c>
      <c r="AE177" s="405" t="n">
        <f aca="false">Peak!AE179</f>
        <v>1844.59962418705</v>
      </c>
      <c r="AF177" s="401" t="n">
        <f aca="false">Peak!AF179</f>
        <v>1</v>
      </c>
      <c r="AG177" s="406" t="n">
        <f aca="false">Peak!AG179</f>
        <v>0</v>
      </c>
      <c r="AH177" s="401" t="n">
        <f aca="false">Peak!AH179</f>
        <v>4.44606979155667</v>
      </c>
      <c r="AI177" s="401" t="n">
        <f aca="false">Peak!AI179</f>
        <v>4.11706676822558</v>
      </c>
      <c r="AJ177" s="401" t="n">
        <f aca="false">Peak!AJ179</f>
        <v>0</v>
      </c>
      <c r="AK177" s="401" t="n">
        <f aca="false">Peak!AK179</f>
        <v>0</v>
      </c>
      <c r="AL177" s="1"/>
    </row>
    <row r="178" customFormat="false" ht="12.75" hidden="false" customHeight="false" outlineLevel="0" collapsed="false">
      <c r="A178" s="400" t="n">
        <f aca="false">A177+30.417</f>
        <v>41680.473</v>
      </c>
      <c r="B178" s="401" t="n">
        <f aca="false">IF($B$7="Coal",AG178,IF($B$7="Gas",AH178,IF($B$7="Oil",AI178,0)))</f>
        <v>3.98490829721968</v>
      </c>
      <c r="C178" s="402" t="n">
        <f aca="false">(B178*$B$1*1000)/1000000</f>
        <v>45.0483708766734</v>
      </c>
      <c r="D178" s="401" t="n">
        <f aca="false">AB178+AC178</f>
        <v>0.798990776303167</v>
      </c>
      <c r="E178" s="401" t="n">
        <f aca="false">(($AJ178*$B$1*AD178*1000)/2000)/1000000</f>
        <v>0</v>
      </c>
      <c r="F178" s="401" t="n">
        <f aca="false">AF178*(($AK178*$B$1*AE178*1000)/2000)/1000000</f>
        <v>0</v>
      </c>
      <c r="G178" s="403" t="str">
        <f aca="false">IF(IS!$C$2="Peak","-",SUM(C178:F178))</f>
        <v>-</v>
      </c>
      <c r="H178" s="411" t="n">
        <v>155.975912881104</v>
      </c>
      <c r="I178" s="411" t="n">
        <v>150.630597674267</v>
      </c>
      <c r="J178" s="411" t="n">
        <v>146.609126518782</v>
      </c>
      <c r="K178" s="411" t="n">
        <v>115.789115406064</v>
      </c>
      <c r="L178" s="411" t="n">
        <v>91.3162829859699</v>
      </c>
      <c r="M178" s="411" t="n">
        <v>83.743631408923</v>
      </c>
      <c r="N178" s="411" t="n">
        <v>79.250971427649</v>
      </c>
      <c r="O178" s="411" t="n">
        <v>77.4898718354542</v>
      </c>
      <c r="P178" s="411" t="n">
        <v>62.2178893594862</v>
      </c>
      <c r="Q178" s="411" t="n">
        <v>53.6934003172816</v>
      </c>
      <c r="R178" s="411" t="n">
        <v>45.866944944736</v>
      </c>
      <c r="S178" s="411" t="n">
        <v>44.5977260123658</v>
      </c>
      <c r="T178" s="411" t="n">
        <v>42.017699872432</v>
      </c>
      <c r="U178" s="411" t="n">
        <v>39.5958112217747</v>
      </c>
      <c r="V178" s="411" t="n">
        <v>39.0253437326016</v>
      </c>
      <c r="W178" s="411" t="n">
        <v>38.6914774756445</v>
      </c>
      <c r="X178" s="411" t="n">
        <v>38.6041066019851</v>
      </c>
      <c r="Y178" s="411" t="n">
        <v>38.317360727731</v>
      </c>
      <c r="Z178" s="411" t="n">
        <v>38.2899914366552</v>
      </c>
      <c r="AA178" s="411" t="n">
        <v>36.8194250873944</v>
      </c>
      <c r="AB178" s="401" t="n">
        <f aca="false">Peak!AB180</f>
        <v>0.798990776303167</v>
      </c>
      <c r="AC178" s="401" t="n">
        <f aca="false">Peak!AC180</f>
        <v>0</v>
      </c>
      <c r="AD178" s="405" t="n">
        <f aca="false">Peak!AD180</f>
        <v>728.142699152122</v>
      </c>
      <c r="AE178" s="405" t="n">
        <f aca="false">Peak!AE180</f>
        <v>1844.59962418705</v>
      </c>
      <c r="AF178" s="401" t="n">
        <f aca="false">Peak!AF180</f>
        <v>1</v>
      </c>
      <c r="AG178" s="406" t="n">
        <f aca="false">Peak!AG180</f>
        <v>0</v>
      </c>
      <c r="AH178" s="401" t="n">
        <f aca="false">Peak!AH180</f>
        <v>3.98490829721968</v>
      </c>
      <c r="AI178" s="401" t="n">
        <f aca="false">Peak!AI180</f>
        <v>4.0789457796309</v>
      </c>
      <c r="AJ178" s="401" t="n">
        <f aca="false">Peak!AJ180</f>
        <v>0</v>
      </c>
      <c r="AK178" s="401" t="n">
        <f aca="false">Peak!AK180</f>
        <v>0</v>
      </c>
      <c r="AL178" s="1"/>
    </row>
    <row r="179" customFormat="false" ht="12.75" hidden="false" customHeight="false" outlineLevel="0" collapsed="false">
      <c r="A179" s="400" t="n">
        <f aca="false">A178+30.417</f>
        <v>41710.89</v>
      </c>
      <c r="B179" s="401" t="n">
        <f aca="false">IF($B$7="Coal",AG179,IF($B$7="Gas",AH179,IF($B$7="Oil",AI179,0)))</f>
        <v>3.91790192624764</v>
      </c>
      <c r="C179" s="402" t="n">
        <f aca="false">(B179*$B$1*1000)/1000000</f>
        <v>44.2908809608441</v>
      </c>
      <c r="D179" s="401" t="n">
        <f aca="false">AB179+AC179</f>
        <v>0.800322427597006</v>
      </c>
      <c r="E179" s="401" t="n">
        <f aca="false">(($AJ179*$B$1*AD179*1000)/2000)/1000000</f>
        <v>0</v>
      </c>
      <c r="F179" s="401" t="n">
        <f aca="false">AF179*(($AK179*$B$1*AE179*1000)/2000)/1000000</f>
        <v>0</v>
      </c>
      <c r="G179" s="403" t="str">
        <f aca="false">IF(IS!$C$2="Peak","-",SUM(C179:F179))</f>
        <v>-</v>
      </c>
      <c r="H179" s="411" t="n">
        <v>100.78357170344</v>
      </c>
      <c r="I179" s="411" t="n">
        <v>97.0944780085285</v>
      </c>
      <c r="J179" s="411" t="n">
        <v>89.8321529786941</v>
      </c>
      <c r="K179" s="411" t="n">
        <v>80.3417224536171</v>
      </c>
      <c r="L179" s="411" t="n">
        <v>76.8859922871691</v>
      </c>
      <c r="M179" s="411" t="n">
        <v>72.3800593625283</v>
      </c>
      <c r="N179" s="411" t="n">
        <v>70.6668858542157</v>
      </c>
      <c r="O179" s="411" t="n">
        <v>69.6219278718487</v>
      </c>
      <c r="P179" s="411" t="n">
        <v>53.1692463104114</v>
      </c>
      <c r="Q179" s="411" t="n">
        <v>48.5622804849637</v>
      </c>
      <c r="R179" s="411" t="n">
        <v>46.9342936572097</v>
      </c>
      <c r="S179" s="411" t="n">
        <v>44.2602887189411</v>
      </c>
      <c r="T179" s="411" t="n">
        <v>36.6659106172728</v>
      </c>
      <c r="U179" s="411" t="n">
        <v>34.6819132059285</v>
      </c>
      <c r="V179" s="411" t="n">
        <v>34.6075591352703</v>
      </c>
      <c r="W179" s="411" t="n">
        <v>34.6075591352703</v>
      </c>
      <c r="X179" s="411" t="n">
        <v>34.6073614325961</v>
      </c>
      <c r="Y179" s="411" t="n">
        <v>34.6072940693039</v>
      </c>
      <c r="Z179" s="411" t="n">
        <v>34.6071748645948</v>
      </c>
      <c r="AA179" s="411" t="n">
        <v>32.3900988176336</v>
      </c>
      <c r="AB179" s="401" t="n">
        <f aca="false">Peak!AB181</f>
        <v>0.800322427597006</v>
      </c>
      <c r="AC179" s="401" t="n">
        <f aca="false">Peak!AC181</f>
        <v>0</v>
      </c>
      <c r="AD179" s="405" t="n">
        <f aca="false">Peak!AD181</f>
        <v>728.142699152122</v>
      </c>
      <c r="AE179" s="405" t="n">
        <f aca="false">Peak!AE181</f>
        <v>1844.59962418705</v>
      </c>
      <c r="AF179" s="401" t="n">
        <f aca="false">Peak!AF181</f>
        <v>1</v>
      </c>
      <c r="AG179" s="406" t="n">
        <f aca="false">Peak!AG181</f>
        <v>0</v>
      </c>
      <c r="AH179" s="401" t="n">
        <f aca="false">Peak!AH181</f>
        <v>3.91790192624764</v>
      </c>
      <c r="AI179" s="401" t="n">
        <f aca="false">Peak!AI181</f>
        <v>3.92646182525217</v>
      </c>
      <c r="AJ179" s="401" t="n">
        <f aca="false">Peak!AJ181</f>
        <v>0</v>
      </c>
      <c r="AK179" s="401" t="n">
        <f aca="false">Peak!AK181</f>
        <v>0</v>
      </c>
      <c r="AL179" s="1"/>
    </row>
    <row r="180" customFormat="false" ht="12.75" hidden="false" customHeight="false" outlineLevel="0" collapsed="false">
      <c r="A180" s="400" t="n">
        <f aca="false">A179+30.417</f>
        <v>41741.307</v>
      </c>
      <c r="B180" s="401" t="n">
        <f aca="false">IF($B$7="Coal",AG180,IF($B$7="Gas",AH180,IF($B$7="Oil",AI180,0)))</f>
        <v>3.72476591579881</v>
      </c>
      <c r="C180" s="402" t="n">
        <f aca="false">(B180*$B$1*1000)/1000000</f>
        <v>42.1075276740419</v>
      </c>
      <c r="D180" s="401" t="n">
        <f aca="false">AB180+AC180</f>
        <v>0.801656298309667</v>
      </c>
      <c r="E180" s="401" t="n">
        <f aca="false">(($AJ180*$B$1*AD180*1000)/2000)/1000000</f>
        <v>0</v>
      </c>
      <c r="F180" s="401" t="n">
        <f aca="false">AF180*(($AK180*$B$1*AE180*1000)/2000)/1000000</f>
        <v>0</v>
      </c>
      <c r="G180" s="403" t="str">
        <f aca="false">IF(IS!$C$2="Peak","-",SUM(C180:F180))</f>
        <v>-</v>
      </c>
      <c r="H180" s="411" t="n">
        <v>142.073626766752</v>
      </c>
      <c r="I180" s="411" t="n">
        <v>98.3609757116996</v>
      </c>
      <c r="J180" s="411" t="n">
        <v>70.319777232617</v>
      </c>
      <c r="K180" s="411" t="n">
        <v>65.1202439529773</v>
      </c>
      <c r="L180" s="411" t="n">
        <v>60.935432836931</v>
      </c>
      <c r="M180" s="411" t="n">
        <v>58.3640030518482</v>
      </c>
      <c r="N180" s="411" t="n">
        <v>57.8066507219746</v>
      </c>
      <c r="O180" s="411" t="n">
        <v>52.1017503536127</v>
      </c>
      <c r="P180" s="411" t="n">
        <v>46.3065054914597</v>
      </c>
      <c r="Q180" s="411" t="n">
        <v>42.4292781569401</v>
      </c>
      <c r="R180" s="411" t="n">
        <v>41.4917629139355</v>
      </c>
      <c r="S180" s="411" t="n">
        <v>40.6667472076199</v>
      </c>
      <c r="T180" s="411" t="n">
        <v>39.0058254853837</v>
      </c>
      <c r="U180" s="411" t="n">
        <v>37.1123681488675</v>
      </c>
      <c r="V180" s="411" t="n">
        <v>35.5022700968434</v>
      </c>
      <c r="W180" s="411" t="n">
        <v>34.1047204561994</v>
      </c>
      <c r="X180" s="411" t="n">
        <v>33.4075510269663</v>
      </c>
      <c r="Y180" s="411" t="n">
        <v>32.6080508300924</v>
      </c>
      <c r="Z180" s="411" t="n">
        <v>31.4039258888181</v>
      </c>
      <c r="AA180" s="411" t="n">
        <v>30.4031831310758</v>
      </c>
      <c r="AB180" s="401" t="n">
        <f aca="false">Peak!AB182</f>
        <v>0.801656298309667</v>
      </c>
      <c r="AC180" s="401" t="n">
        <f aca="false">Peak!AC182</f>
        <v>0</v>
      </c>
      <c r="AD180" s="405" t="n">
        <f aca="false">Peak!AD182</f>
        <v>728.142699152122</v>
      </c>
      <c r="AE180" s="405" t="n">
        <f aca="false">Peak!AE182</f>
        <v>1844.59962418705</v>
      </c>
      <c r="AF180" s="401" t="n">
        <f aca="false">Peak!AF182</f>
        <v>1</v>
      </c>
      <c r="AG180" s="406" t="n">
        <f aca="false">Peak!AG182</f>
        <v>0</v>
      </c>
      <c r="AH180" s="401" t="n">
        <f aca="false">Peak!AH182</f>
        <v>3.72476591579881</v>
      </c>
      <c r="AI180" s="401" t="n">
        <f aca="false">Peak!AI182</f>
        <v>3.77397787087345</v>
      </c>
      <c r="AJ180" s="401" t="n">
        <f aca="false">Peak!AJ182</f>
        <v>0</v>
      </c>
      <c r="AK180" s="401" t="n">
        <f aca="false">Peak!AK182</f>
        <v>0</v>
      </c>
      <c r="AL180" s="1"/>
    </row>
    <row r="181" customFormat="false" ht="12.75" hidden="false" customHeight="false" outlineLevel="0" collapsed="false">
      <c r="A181" s="400" t="n">
        <f aca="false">A180+30.417</f>
        <v>41771.724</v>
      </c>
      <c r="B181" s="401" t="n">
        <f aca="false">IF($B$7="Coal",AG181,IF($B$7="Gas",AH181,IF($B$7="Oil",AI181,0)))</f>
        <v>3.92184347748129</v>
      </c>
      <c r="C181" s="402" t="n">
        <f aca="false">(B181*$B$1*1000)/1000000</f>
        <v>44.335439191187</v>
      </c>
      <c r="D181" s="401" t="n">
        <f aca="false">AB181+AC181</f>
        <v>0.802992392140184</v>
      </c>
      <c r="E181" s="401" t="n">
        <f aca="false">(($AJ181*$B$1*AD181*1000)/2000)/1000000</f>
        <v>0</v>
      </c>
      <c r="F181" s="401" t="n">
        <f aca="false">AF181*(($AK181*$B$1*AE181*1000)/2000)/1000000</f>
        <v>0</v>
      </c>
      <c r="G181" s="403" t="str">
        <f aca="false">IF(IS!$C$2="Peak","-",SUM(C181:F181))</f>
        <v>-</v>
      </c>
      <c r="H181" s="411" t="n">
        <v>116.391545867172</v>
      </c>
      <c r="I181" s="411" t="n">
        <v>88.5867905788528</v>
      </c>
      <c r="J181" s="411" t="n">
        <v>72.1850905429504</v>
      </c>
      <c r="K181" s="411" t="n">
        <v>65.9116733629336</v>
      </c>
      <c r="L181" s="411" t="n">
        <v>60.5276876173624</v>
      </c>
      <c r="M181" s="411" t="n">
        <v>59.5660309372255</v>
      </c>
      <c r="N181" s="411" t="n">
        <v>52.5508185534577</v>
      </c>
      <c r="O181" s="411" t="n">
        <v>46.5186288965433</v>
      </c>
      <c r="P181" s="411" t="n">
        <v>43.6783769263151</v>
      </c>
      <c r="Q181" s="411" t="n">
        <v>42.5714035566061</v>
      </c>
      <c r="R181" s="411" t="n">
        <v>41.9664308884609</v>
      </c>
      <c r="S181" s="411" t="n">
        <v>40.6291997625634</v>
      </c>
      <c r="T181" s="411" t="n">
        <v>38.4722820502667</v>
      </c>
      <c r="U181" s="411" t="n">
        <v>36.0845957430726</v>
      </c>
      <c r="V181" s="411" t="n">
        <v>34.6779007001306</v>
      </c>
      <c r="W181" s="411" t="n">
        <v>34.305942226551</v>
      </c>
      <c r="X181" s="411" t="n">
        <v>34.0955004067526</v>
      </c>
      <c r="Y181" s="411" t="n">
        <v>33.5817855566301</v>
      </c>
      <c r="Z181" s="411" t="n">
        <v>33.1593004315143</v>
      </c>
      <c r="AA181" s="411" t="n">
        <v>32.3390174265859</v>
      </c>
      <c r="AB181" s="401" t="n">
        <f aca="false">Peak!AB183</f>
        <v>0.802992392140184</v>
      </c>
      <c r="AC181" s="401" t="n">
        <f aca="false">Peak!AC183</f>
        <v>0</v>
      </c>
      <c r="AD181" s="405" t="n">
        <f aca="false">Peak!AD183</f>
        <v>728.142699152122</v>
      </c>
      <c r="AE181" s="405" t="n">
        <f aca="false">Peak!AE183</f>
        <v>1844.59962418705</v>
      </c>
      <c r="AF181" s="401" t="n">
        <f aca="false">Peak!AF183</f>
        <v>1</v>
      </c>
      <c r="AG181" s="406" t="n">
        <f aca="false">Peak!AG183</f>
        <v>0</v>
      </c>
      <c r="AH181" s="401" t="n">
        <f aca="false">Peak!AH183</f>
        <v>3.92184347748129</v>
      </c>
      <c r="AI181" s="401" t="n">
        <f aca="false">Peak!AI183</f>
        <v>3.62149391649472</v>
      </c>
      <c r="AJ181" s="401" t="n">
        <f aca="false">Peak!AJ183</f>
        <v>0</v>
      </c>
      <c r="AK181" s="401" t="n">
        <f aca="false">Peak!AK183</f>
        <v>0</v>
      </c>
      <c r="AL181" s="1"/>
    </row>
    <row r="182" customFormat="false" ht="12.75" hidden="false" customHeight="false" outlineLevel="0" collapsed="false">
      <c r="A182" s="400" t="n">
        <f aca="false">A181+30.417</f>
        <v>41802.141</v>
      </c>
      <c r="B182" s="401" t="n">
        <f aca="false">IF($B$7="Coal",AG182,IF($B$7="Gas",AH182,IF($B$7="Oil",AI182,0)))</f>
        <v>3.73659056949976</v>
      </c>
      <c r="C182" s="402" t="n">
        <f aca="false">(B182*$B$1*1000)/1000000</f>
        <v>42.2412023650706</v>
      </c>
      <c r="D182" s="401" t="n">
        <f aca="false">AB182+AC182</f>
        <v>0.804330712793751</v>
      </c>
      <c r="E182" s="401" t="n">
        <f aca="false">(($AJ182*$B$1*AD182*1000)/2000)/1000000</f>
        <v>0</v>
      </c>
      <c r="F182" s="401" t="n">
        <f aca="false">AF182*(($AK182*$B$1*AE182*1000)/2000)/1000000</f>
        <v>0</v>
      </c>
      <c r="G182" s="403" t="str">
        <f aca="false">IF(IS!$C$2="Peak","-",SUM(C182:F182))</f>
        <v>-</v>
      </c>
      <c r="H182" s="411" t="n">
        <v>206.237076498385</v>
      </c>
      <c r="I182" s="411" t="n">
        <v>188.858693984259</v>
      </c>
      <c r="J182" s="411" t="n">
        <v>174.840678918967</v>
      </c>
      <c r="K182" s="411" t="n">
        <v>158.313920230229</v>
      </c>
      <c r="L182" s="411" t="n">
        <v>144.185392309176</v>
      </c>
      <c r="M182" s="411" t="n">
        <v>77.0033750880776</v>
      </c>
      <c r="N182" s="411" t="n">
        <v>62.8781928087567</v>
      </c>
      <c r="O182" s="411" t="n">
        <v>59.1307281883281</v>
      </c>
      <c r="P182" s="411" t="n">
        <v>44.7731463104909</v>
      </c>
      <c r="Q182" s="411" t="n">
        <v>38.8377452454943</v>
      </c>
      <c r="R182" s="411" t="n">
        <v>35.3366989119725</v>
      </c>
      <c r="S182" s="411" t="n">
        <v>34.8546946077916</v>
      </c>
      <c r="T182" s="411" t="n">
        <v>33.7645010593231</v>
      </c>
      <c r="U182" s="411" t="n">
        <v>32.2309035789795</v>
      </c>
      <c r="V182" s="411" t="n">
        <v>30.876866273163</v>
      </c>
      <c r="W182" s="411" t="n">
        <v>30.643844969095</v>
      </c>
      <c r="X182" s="411" t="n">
        <v>30.643827954183</v>
      </c>
      <c r="Y182" s="411" t="n">
        <v>30.6436584717348</v>
      </c>
      <c r="Z182" s="411" t="n">
        <v>30.6432925911657</v>
      </c>
      <c r="AA182" s="411" t="n">
        <v>29.9344770627262</v>
      </c>
      <c r="AB182" s="401" t="n">
        <f aca="false">Peak!AB184</f>
        <v>0.804330712793751</v>
      </c>
      <c r="AC182" s="401" t="n">
        <f aca="false">Peak!AC184</f>
        <v>0</v>
      </c>
      <c r="AD182" s="405" t="n">
        <f aca="false">Peak!AD184</f>
        <v>728.142699152122</v>
      </c>
      <c r="AE182" s="405" t="n">
        <f aca="false">Peak!AE184</f>
        <v>1844.59962418705</v>
      </c>
      <c r="AF182" s="401" t="n">
        <f aca="false">Peak!AF184</f>
        <v>1</v>
      </c>
      <c r="AG182" s="406" t="n">
        <f aca="false">Peak!AG184</f>
        <v>0</v>
      </c>
      <c r="AH182" s="401" t="n">
        <f aca="false">Peak!AH184</f>
        <v>3.73659056949976</v>
      </c>
      <c r="AI182" s="401" t="n">
        <f aca="false">Peak!AI184</f>
        <v>3.62149391649472</v>
      </c>
      <c r="AJ182" s="401" t="n">
        <f aca="false">Peak!AJ184</f>
        <v>0</v>
      </c>
      <c r="AK182" s="401" t="n">
        <f aca="false">Peak!AK184</f>
        <v>0</v>
      </c>
      <c r="AL182" s="1"/>
    </row>
    <row r="183" customFormat="false" ht="12.75" hidden="false" customHeight="false" outlineLevel="0" collapsed="false">
      <c r="A183" s="400" t="n">
        <f aca="false">A182+30.417</f>
        <v>41832.558</v>
      </c>
      <c r="B183" s="401" t="n">
        <f aca="false">IF($B$7="Coal",AG183,IF($B$7="Gas",AH183,IF($B$7="Oil",AI183,0)))</f>
        <v>3.72476591579881</v>
      </c>
      <c r="C183" s="402" t="n">
        <f aca="false">(B183*$B$1*1000)/1000000</f>
        <v>42.1075276740419</v>
      </c>
      <c r="D183" s="401" t="n">
        <f aca="false">AB183+AC183</f>
        <v>0.80567126398174</v>
      </c>
      <c r="E183" s="401" t="n">
        <f aca="false">(($AJ183*$B$1*AD183*1000)/2000)/1000000</f>
        <v>0</v>
      </c>
      <c r="F183" s="401" t="n">
        <f aca="false">AF183*(($AK183*$B$1*AE183*1000)/2000)/1000000</f>
        <v>0</v>
      </c>
      <c r="G183" s="403" t="str">
        <f aca="false">IF(IS!$C$2="Peak","-",SUM(C183:F183))</f>
        <v>-</v>
      </c>
      <c r="H183" s="411" t="n">
        <v>315.512426616239</v>
      </c>
      <c r="I183" s="411" t="n">
        <v>235.679468771443</v>
      </c>
      <c r="J183" s="411" t="n">
        <v>216.454387397608</v>
      </c>
      <c r="K183" s="411" t="n">
        <v>195.040033753732</v>
      </c>
      <c r="L183" s="411" t="n">
        <v>178.346055375474</v>
      </c>
      <c r="M183" s="411" t="n">
        <v>161.395167707968</v>
      </c>
      <c r="N183" s="411" t="n">
        <v>139.681419147346</v>
      </c>
      <c r="O183" s="411" t="n">
        <v>52.6481527124812</v>
      </c>
      <c r="P183" s="411" t="n">
        <v>47.2782127283804</v>
      </c>
      <c r="Q183" s="411" t="n">
        <v>45.2524866102374</v>
      </c>
      <c r="R183" s="411" t="n">
        <v>42.5442022309338</v>
      </c>
      <c r="S183" s="411" t="n">
        <v>38.5663799099725</v>
      </c>
      <c r="T183" s="411" t="n">
        <v>35.7730108273892</v>
      </c>
      <c r="U183" s="411" t="n">
        <v>34.6620393069931</v>
      </c>
      <c r="V183" s="411" t="n">
        <v>33.5620652611319</v>
      </c>
      <c r="W183" s="411" t="n">
        <v>33.0798381175274</v>
      </c>
      <c r="X183" s="411" t="n">
        <v>32.3618035399884</v>
      </c>
      <c r="Y183" s="411" t="n">
        <v>31.8337744047921</v>
      </c>
      <c r="Z183" s="411" t="n">
        <v>30.4978466553051</v>
      </c>
      <c r="AA183" s="411" t="n">
        <v>27.8217141057509</v>
      </c>
      <c r="AB183" s="401" t="n">
        <f aca="false">Peak!AB185</f>
        <v>0.80567126398174</v>
      </c>
      <c r="AC183" s="401" t="n">
        <f aca="false">Peak!AC185</f>
        <v>0</v>
      </c>
      <c r="AD183" s="405" t="n">
        <f aca="false">Peak!AD185</f>
        <v>728.142699152122</v>
      </c>
      <c r="AE183" s="405" t="n">
        <f aca="false">Peak!AE185</f>
        <v>1844.59962418705</v>
      </c>
      <c r="AF183" s="401" t="n">
        <f aca="false">Peak!AF185</f>
        <v>1</v>
      </c>
      <c r="AG183" s="406" t="n">
        <f aca="false">Peak!AG185</f>
        <v>0</v>
      </c>
      <c r="AH183" s="401" t="n">
        <f aca="false">Peak!AH185</f>
        <v>3.72476591579881</v>
      </c>
      <c r="AI183" s="401" t="n">
        <f aca="false">Peak!AI185</f>
        <v>3.62149391649472</v>
      </c>
      <c r="AJ183" s="401" t="n">
        <f aca="false">Peak!AJ185</f>
        <v>0</v>
      </c>
      <c r="AK183" s="401" t="n">
        <f aca="false">Peak!AK185</f>
        <v>0</v>
      </c>
      <c r="AL183" s="1"/>
    </row>
    <row r="184" customFormat="false" ht="12.75" hidden="false" customHeight="false" outlineLevel="0" collapsed="false">
      <c r="A184" s="400" t="n">
        <f aca="false">A183+30.417</f>
        <v>41862.975</v>
      </c>
      <c r="B184" s="401" t="n">
        <f aca="false">IF($B$7="Coal",AG184,IF($B$7="Gas",AH184,IF($B$7="Oil",AI184,0)))</f>
        <v>3.53162990534998</v>
      </c>
      <c r="C184" s="402" t="n">
        <f aca="false">(B184*$B$1*1000)/1000000</f>
        <v>39.9241743872398</v>
      </c>
      <c r="D184" s="401" t="n">
        <f aca="false">AB184+AC184</f>
        <v>0.80701404942171</v>
      </c>
      <c r="E184" s="401" t="n">
        <f aca="false">(($AJ184*$B$1*AD184*1000)/2000)/1000000</f>
        <v>0</v>
      </c>
      <c r="F184" s="401" t="n">
        <f aca="false">AF184*(($AK184*$B$1*AE184*1000)/2000)/1000000</f>
        <v>0</v>
      </c>
      <c r="G184" s="403" t="str">
        <f aca="false">IF(IS!$C$2="Peak","-",SUM(C184:F184))</f>
        <v>-</v>
      </c>
      <c r="H184" s="411" t="n">
        <v>323.761213661855</v>
      </c>
      <c r="I184" s="411" t="n">
        <v>230.99318060147</v>
      </c>
      <c r="J184" s="411" t="n">
        <v>208.410855759459</v>
      </c>
      <c r="K184" s="411" t="n">
        <v>183.490029192693</v>
      </c>
      <c r="L184" s="411" t="n">
        <v>163.197072161326</v>
      </c>
      <c r="M184" s="411" t="n">
        <v>144.271410049049</v>
      </c>
      <c r="N184" s="411" t="n">
        <v>103.146574484758</v>
      </c>
      <c r="O184" s="411" t="n">
        <v>92.3993567894365</v>
      </c>
      <c r="P184" s="411" t="n">
        <v>76.7619901048373</v>
      </c>
      <c r="Q184" s="411" t="n">
        <v>60.8448388265605</v>
      </c>
      <c r="R184" s="411" t="n">
        <v>52.6960280611812</v>
      </c>
      <c r="S184" s="411" t="n">
        <v>45.459716862602</v>
      </c>
      <c r="T184" s="411" t="n">
        <v>44.1664137347451</v>
      </c>
      <c r="U184" s="411" t="n">
        <v>41.1699118339015</v>
      </c>
      <c r="V184" s="411" t="n">
        <v>39.324026289178</v>
      </c>
      <c r="W184" s="411" t="n">
        <v>36.8918627426353</v>
      </c>
      <c r="X184" s="411" t="n">
        <v>34.8082360377641</v>
      </c>
      <c r="Y184" s="411" t="n">
        <v>33.5901558177332</v>
      </c>
      <c r="Z184" s="411" t="n">
        <v>30.7124212418967</v>
      </c>
      <c r="AA184" s="411" t="n">
        <v>28.7992312719781</v>
      </c>
      <c r="AB184" s="401" t="n">
        <f aca="false">Peak!AB186</f>
        <v>0.80701404942171</v>
      </c>
      <c r="AC184" s="401" t="n">
        <f aca="false">Peak!AC186</f>
        <v>0</v>
      </c>
      <c r="AD184" s="405" t="n">
        <f aca="false">Peak!AD186</f>
        <v>728.142699152122</v>
      </c>
      <c r="AE184" s="405" t="n">
        <f aca="false">Peak!AE186</f>
        <v>1844.59962418705</v>
      </c>
      <c r="AF184" s="401" t="n">
        <f aca="false">Peak!AF186</f>
        <v>1</v>
      </c>
      <c r="AG184" s="406" t="n">
        <f aca="false">Peak!AG186</f>
        <v>0</v>
      </c>
      <c r="AH184" s="401" t="n">
        <f aca="false">Peak!AH186</f>
        <v>3.53162990534998</v>
      </c>
      <c r="AI184" s="401" t="n">
        <f aca="false">Peak!AI186</f>
        <v>3.62149391649472</v>
      </c>
      <c r="AJ184" s="401" t="n">
        <f aca="false">Peak!AJ186</f>
        <v>0</v>
      </c>
      <c r="AK184" s="401" t="n">
        <f aca="false">Peak!AK186</f>
        <v>0</v>
      </c>
      <c r="AL184" s="1"/>
    </row>
    <row r="185" customFormat="false" ht="12.75" hidden="false" customHeight="false" outlineLevel="0" collapsed="false">
      <c r="A185" s="400" t="n">
        <f aca="false">A184+30.417</f>
        <v>41893.392</v>
      </c>
      <c r="B185" s="401" t="n">
        <f aca="false">IF($B$7="Coal",AG185,IF($B$7="Gas",AH185,IF($B$7="Oil",AI185,0)))</f>
        <v>3.51980525164903</v>
      </c>
      <c r="C185" s="402" t="n">
        <f aca="false">(B185*$B$1*1000)/1000000</f>
        <v>39.7904996962111</v>
      </c>
      <c r="D185" s="401" t="n">
        <f aca="false">AB185+AC185</f>
        <v>0.808359072837413</v>
      </c>
      <c r="E185" s="401" t="n">
        <f aca="false">(($AJ185*$B$1*AD185*1000)/2000)/1000000</f>
        <v>0</v>
      </c>
      <c r="F185" s="401" t="n">
        <f aca="false">AF185*(($AK185*$B$1*AE185*1000)/2000)/1000000</f>
        <v>0</v>
      </c>
      <c r="G185" s="403" t="str">
        <f aca="false">IF(IS!$C$2="Peak","-",SUM(C185:F185))</f>
        <v>-</v>
      </c>
      <c r="H185" s="411" t="n">
        <v>199.592823752983</v>
      </c>
      <c r="I185" s="411" t="n">
        <v>183.308733567052</v>
      </c>
      <c r="J185" s="411" t="n">
        <v>170.294582198679</v>
      </c>
      <c r="K185" s="411" t="n">
        <v>155.597262372033</v>
      </c>
      <c r="L185" s="411" t="n">
        <v>123.12222295518</v>
      </c>
      <c r="M185" s="411" t="n">
        <v>58.288024787662</v>
      </c>
      <c r="N185" s="411" t="n">
        <v>51.0990133089145</v>
      </c>
      <c r="O185" s="411" t="n">
        <v>47.3766528683458</v>
      </c>
      <c r="P185" s="411" t="n">
        <v>46.3299965156039</v>
      </c>
      <c r="Q185" s="411" t="n">
        <v>42.1006476419706</v>
      </c>
      <c r="R185" s="411" t="n">
        <v>38.5271359742244</v>
      </c>
      <c r="S185" s="411" t="n">
        <v>36.3002992013092</v>
      </c>
      <c r="T185" s="411" t="n">
        <v>35.1336269440289</v>
      </c>
      <c r="U185" s="411" t="n">
        <v>34.4405983631429</v>
      </c>
      <c r="V185" s="411" t="n">
        <v>33.9496638415872</v>
      </c>
      <c r="W185" s="411" t="n">
        <v>33.5425733265107</v>
      </c>
      <c r="X185" s="411" t="n">
        <v>32.2238099379468</v>
      </c>
      <c r="Y185" s="411" t="n">
        <v>30.5041743629455</v>
      </c>
      <c r="Z185" s="411" t="n">
        <v>29.8218751083956</v>
      </c>
      <c r="AA185" s="411" t="n">
        <v>28.3819010257166</v>
      </c>
      <c r="AB185" s="401" t="n">
        <f aca="false">Peak!AB187</f>
        <v>0.808359072837413</v>
      </c>
      <c r="AC185" s="401" t="n">
        <f aca="false">Peak!AC187</f>
        <v>0</v>
      </c>
      <c r="AD185" s="405" t="n">
        <f aca="false">Peak!AD187</f>
        <v>728.142699152122</v>
      </c>
      <c r="AE185" s="405" t="n">
        <f aca="false">Peak!AE187</f>
        <v>1844.59962418705</v>
      </c>
      <c r="AF185" s="401" t="n">
        <f aca="false">Peak!AF187</f>
        <v>1</v>
      </c>
      <c r="AG185" s="406" t="n">
        <f aca="false">Peak!AG187</f>
        <v>0</v>
      </c>
      <c r="AH185" s="401" t="n">
        <f aca="false">Peak!AH187</f>
        <v>3.51980525164903</v>
      </c>
      <c r="AI185" s="401" t="n">
        <f aca="false">Peak!AI187</f>
        <v>3.62149391649472</v>
      </c>
      <c r="AJ185" s="401" t="n">
        <f aca="false">Peak!AJ187</f>
        <v>0</v>
      </c>
      <c r="AK185" s="401" t="n">
        <f aca="false">Peak!AK187</f>
        <v>0</v>
      </c>
      <c r="AL185" s="1"/>
    </row>
    <row r="186" customFormat="false" ht="12.75" hidden="false" customHeight="false" outlineLevel="0" collapsed="false">
      <c r="A186" s="400" t="n">
        <f aca="false">A185+30.417</f>
        <v>41923.809</v>
      </c>
      <c r="B186" s="401" t="n">
        <f aca="false">IF($B$7="Coal",AG186,IF($B$7="Gas",AH186,IF($B$7="Oil",AI186,0)))</f>
        <v>3.89819417007939</v>
      </c>
      <c r="C186" s="402" t="n">
        <f aca="false">(B186*$B$1*1000)/1000000</f>
        <v>44.0680898091296</v>
      </c>
      <c r="D186" s="401" t="n">
        <f aca="false">AB186+AC186</f>
        <v>0.809706337958808</v>
      </c>
      <c r="E186" s="401" t="n">
        <f aca="false">(($AJ186*$B$1*AD186*1000)/2000)/1000000</f>
        <v>0</v>
      </c>
      <c r="F186" s="401" t="n">
        <f aca="false">AF186*(($AK186*$B$1*AE186*1000)/2000)/1000000</f>
        <v>0</v>
      </c>
      <c r="G186" s="403" t="str">
        <f aca="false">IF(IS!$C$2="Peak","-",SUM(C186:F186))</f>
        <v>-</v>
      </c>
      <c r="H186" s="411" t="n">
        <v>66.0979595408974</v>
      </c>
      <c r="I186" s="411" t="n">
        <v>64.501524253662</v>
      </c>
      <c r="J186" s="411" t="n">
        <v>58.2249308928623</v>
      </c>
      <c r="K186" s="411" t="n">
        <v>52.1008667376188</v>
      </c>
      <c r="L186" s="411" t="n">
        <v>50.8936937504256</v>
      </c>
      <c r="M186" s="411" t="n">
        <v>50.2977897908941</v>
      </c>
      <c r="N186" s="411" t="n">
        <v>49.5383844720795</v>
      </c>
      <c r="O186" s="411" t="n">
        <v>49.0292789868872</v>
      </c>
      <c r="P186" s="411" t="n">
        <v>48.7378296518452</v>
      </c>
      <c r="Q186" s="411" t="n">
        <v>48.3372334673088</v>
      </c>
      <c r="R186" s="411" t="n">
        <v>47.83201474534</v>
      </c>
      <c r="S186" s="411" t="n">
        <v>47.0922751951382</v>
      </c>
      <c r="T186" s="411" t="n">
        <v>46.3809428375525</v>
      </c>
      <c r="U186" s="411" t="n">
        <v>46.1915818092509</v>
      </c>
      <c r="V186" s="411" t="n">
        <v>45.4304246784462</v>
      </c>
      <c r="W186" s="411" t="n">
        <v>41.7806453646396</v>
      </c>
      <c r="X186" s="411" t="n">
        <v>40.0900349239435</v>
      </c>
      <c r="Y186" s="411" t="n">
        <v>38.3216700683579</v>
      </c>
      <c r="Z186" s="411" t="n">
        <v>37.5999798932218</v>
      </c>
      <c r="AA186" s="411" t="n">
        <v>35.9982058839304</v>
      </c>
      <c r="AB186" s="401" t="n">
        <f aca="false">Peak!AB188</f>
        <v>0.809706337958808</v>
      </c>
      <c r="AC186" s="401" t="n">
        <f aca="false">Peak!AC188</f>
        <v>0</v>
      </c>
      <c r="AD186" s="405" t="n">
        <f aca="false">Peak!AD188</f>
        <v>728.142699152122</v>
      </c>
      <c r="AE186" s="405" t="n">
        <f aca="false">Peak!AE188</f>
        <v>1844.59962418705</v>
      </c>
      <c r="AF186" s="401" t="n">
        <f aca="false">Peak!AF188</f>
        <v>1</v>
      </c>
      <c r="AG186" s="406" t="n">
        <f aca="false">Peak!AG188</f>
        <v>0</v>
      </c>
      <c r="AH186" s="401" t="n">
        <f aca="false">Peak!AH188</f>
        <v>3.89819417007939</v>
      </c>
      <c r="AI186" s="401" t="n">
        <f aca="false">Peak!AI188</f>
        <v>3.62149391649472</v>
      </c>
      <c r="AJ186" s="401" t="n">
        <f aca="false">Peak!AJ188</f>
        <v>0</v>
      </c>
      <c r="AK186" s="401" t="n">
        <f aca="false">Peak!AK188</f>
        <v>0</v>
      </c>
      <c r="AL186" s="1"/>
    </row>
    <row r="187" customFormat="false" ht="12.75" hidden="false" customHeight="false" outlineLevel="0" collapsed="false">
      <c r="A187" s="400" t="n">
        <f aca="false">A186+30.417</f>
        <v>41954.226</v>
      </c>
      <c r="B187" s="401" t="n">
        <f aca="false">IF($B$7="Coal",AG187,IF($B$7="Gas",AH187,IF($B$7="Oil",AI187,0)))</f>
        <v>4.26869998604245</v>
      </c>
      <c r="C187" s="402" t="n">
        <f aca="false">(B187*$B$1*1000)/1000000</f>
        <v>48.2565634613623</v>
      </c>
      <c r="D187" s="401" t="n">
        <f aca="false">AB187+AC187</f>
        <v>0.811055848522073</v>
      </c>
      <c r="E187" s="401" t="n">
        <f aca="false">(($AJ187*$B$1*AD187*1000)/2000)/1000000</f>
        <v>0</v>
      </c>
      <c r="F187" s="401" t="n">
        <f aca="false">AF187*(($AK187*$B$1*AE187*1000)/2000)/1000000</f>
        <v>0</v>
      </c>
      <c r="G187" s="403" t="str">
        <f aca="false">IF(IS!$C$2="Peak","-",SUM(C187:F187))</f>
        <v>-</v>
      </c>
      <c r="H187" s="411" t="n">
        <v>148.864826187792</v>
      </c>
      <c r="I187" s="411" t="n">
        <v>107.410316346407</v>
      </c>
      <c r="J187" s="411" t="n">
        <v>89.0377985687241</v>
      </c>
      <c r="K187" s="411" t="n">
        <v>83.5223212731131</v>
      </c>
      <c r="L187" s="411" t="n">
        <v>77.6828717693212</v>
      </c>
      <c r="M187" s="411" t="n">
        <v>76.9741244718925</v>
      </c>
      <c r="N187" s="411" t="n">
        <v>73.8028607572103</v>
      </c>
      <c r="O187" s="411" t="n">
        <v>57.0695181335303</v>
      </c>
      <c r="P187" s="411" t="n">
        <v>51.6147651406793</v>
      </c>
      <c r="Q187" s="411" t="n">
        <v>44.4464201318356</v>
      </c>
      <c r="R187" s="411" t="n">
        <v>43.3983271955239</v>
      </c>
      <c r="S187" s="411" t="n">
        <v>42.2413887298544</v>
      </c>
      <c r="T187" s="411" t="n">
        <v>40.0068802635069</v>
      </c>
      <c r="U187" s="411" t="n">
        <v>38.4330577050588</v>
      </c>
      <c r="V187" s="411" t="n">
        <v>37.9590542081006</v>
      </c>
      <c r="W187" s="411" t="n">
        <v>37.9472083200817</v>
      </c>
      <c r="X187" s="411" t="n">
        <v>37.6779367832559</v>
      </c>
      <c r="Y187" s="411" t="n">
        <v>37.3326572646381</v>
      </c>
      <c r="Z187" s="411" t="n">
        <v>37.3326572646381</v>
      </c>
      <c r="AA187" s="411" t="n">
        <v>34.2918368354987</v>
      </c>
      <c r="AB187" s="401" t="n">
        <f aca="false">Peak!AB189</f>
        <v>0.811055848522073</v>
      </c>
      <c r="AC187" s="401" t="n">
        <f aca="false">Peak!AC189</f>
        <v>0</v>
      </c>
      <c r="AD187" s="405" t="n">
        <f aca="false">Peak!AD189</f>
        <v>728.142699152122</v>
      </c>
      <c r="AE187" s="405" t="n">
        <f aca="false">Peak!AE189</f>
        <v>1844.59962418705</v>
      </c>
      <c r="AF187" s="401" t="n">
        <f aca="false">Peak!AF189</f>
        <v>1</v>
      </c>
      <c r="AG187" s="406" t="n">
        <f aca="false">Peak!AG189</f>
        <v>0</v>
      </c>
      <c r="AH187" s="401" t="n">
        <f aca="false">Peak!AH189</f>
        <v>4.26869998604245</v>
      </c>
      <c r="AI187" s="401" t="n">
        <f aca="false">Peak!AI189</f>
        <v>3.92646182525217</v>
      </c>
      <c r="AJ187" s="401" t="n">
        <f aca="false">Peak!AJ189</f>
        <v>0</v>
      </c>
      <c r="AK187" s="401" t="n">
        <f aca="false">Peak!AK189</f>
        <v>0</v>
      </c>
      <c r="AL187" s="1"/>
    </row>
    <row r="188" customFormat="false" ht="12.75" hidden="false" customHeight="false" outlineLevel="0" collapsed="false">
      <c r="A188" s="400" t="n">
        <f aca="false">A187+30.417</f>
        <v>41984.643</v>
      </c>
      <c r="B188" s="401" t="n">
        <f aca="false">IF($B$7="Coal",AG188,IF($B$7="Gas",AH188,IF($B$7="Oil",AI188,0)))</f>
        <v>4.61949804583725</v>
      </c>
      <c r="C188" s="402" t="n">
        <f aca="false">(B188*$B$1*1000)/1000000</f>
        <v>52.2222459618806</v>
      </c>
      <c r="D188" s="401" t="n">
        <f aca="false">AB188+AC188</f>
        <v>0.81240760826961</v>
      </c>
      <c r="E188" s="401" t="n">
        <f aca="false">(($AJ188*$B$1*AD188*1000)/2000)/1000000</f>
        <v>0</v>
      </c>
      <c r="F188" s="401" t="n">
        <f aca="false">AF188*(($AK188*$B$1*AE188*1000)/2000)/1000000</f>
        <v>0</v>
      </c>
      <c r="G188" s="403" t="str">
        <f aca="false">IF(IS!$C$2="Peak","-",SUM(C188:F188))</f>
        <v>-</v>
      </c>
      <c r="H188" s="411" t="n">
        <v>152.622908479504</v>
      </c>
      <c r="I188" s="411" t="n">
        <v>149.218395969462</v>
      </c>
      <c r="J188" s="411" t="n">
        <v>134.423058415114</v>
      </c>
      <c r="K188" s="411" t="n">
        <v>101.768367058792</v>
      </c>
      <c r="L188" s="411" t="n">
        <v>95.2412615379346</v>
      </c>
      <c r="M188" s="411" t="n">
        <v>88.262164633879</v>
      </c>
      <c r="N188" s="411" t="n">
        <v>86.3718071846</v>
      </c>
      <c r="O188" s="411" t="n">
        <v>79.8831611729778</v>
      </c>
      <c r="P188" s="411" t="n">
        <v>60.4764657077589</v>
      </c>
      <c r="Q188" s="411" t="n">
        <v>50.9261075347728</v>
      </c>
      <c r="R188" s="411" t="n">
        <v>47.3186868379912</v>
      </c>
      <c r="S188" s="411" t="n">
        <v>42.964530673871</v>
      </c>
      <c r="T188" s="411" t="n">
        <v>42.964530673871</v>
      </c>
      <c r="U188" s="411" t="n">
        <v>42.8458420165195</v>
      </c>
      <c r="V188" s="411" t="n">
        <v>42.6154165122705</v>
      </c>
      <c r="W188" s="411" t="n">
        <v>42.6154165122705</v>
      </c>
      <c r="X188" s="411" t="n">
        <v>42.6154165122705</v>
      </c>
      <c r="Y188" s="411" t="n">
        <v>42.4144939440556</v>
      </c>
      <c r="Z188" s="411" t="n">
        <v>41.7974519205122</v>
      </c>
      <c r="AA188" s="411" t="n">
        <v>41.4355873460968</v>
      </c>
      <c r="AB188" s="401" t="n">
        <f aca="false">Peak!AB190</f>
        <v>0.81240760826961</v>
      </c>
      <c r="AC188" s="401" t="n">
        <f aca="false">Peak!AC190</f>
        <v>0</v>
      </c>
      <c r="AD188" s="405" t="n">
        <f aca="false">Peak!AD190</f>
        <v>728.142699152122</v>
      </c>
      <c r="AE188" s="405" t="n">
        <f aca="false">Peak!AE190</f>
        <v>1844.59962418705</v>
      </c>
      <c r="AF188" s="401" t="n">
        <f aca="false">Peak!AF190</f>
        <v>1</v>
      </c>
      <c r="AG188" s="406" t="n">
        <f aca="false">Peak!AG190</f>
        <v>0</v>
      </c>
      <c r="AH188" s="401" t="n">
        <f aca="false">Peak!AH190</f>
        <v>4.61949804583725</v>
      </c>
      <c r="AI188" s="401" t="n">
        <f aca="false">Peak!AI190</f>
        <v>4.11706676822558</v>
      </c>
      <c r="AJ188" s="401" t="n">
        <f aca="false">Peak!AJ190</f>
        <v>0</v>
      </c>
      <c r="AK188" s="401" t="n">
        <f aca="false">Peak!AK190</f>
        <v>0</v>
      </c>
      <c r="AL188" s="1"/>
    </row>
    <row r="189" customFormat="false" ht="12.75" hidden="false" customHeight="false" outlineLevel="0" collapsed="false">
      <c r="A189" s="400" t="n">
        <f aca="false">A188+30.417</f>
        <v>42015.06</v>
      </c>
      <c r="B189" s="401" t="n">
        <f aca="false">IF($B$7="Coal",AG189,IF($B$7="Gas",AH189,IF($B$7="Oil",AI189,0)))</f>
        <v>4.85688500637169</v>
      </c>
      <c r="C189" s="402" t="n">
        <f aca="false">(B189*$B$1*1000)/1000000</f>
        <v>54.9058449412857</v>
      </c>
      <c r="D189" s="401" t="n">
        <f aca="false">AB189+AC189</f>
        <v>0.813761620950059</v>
      </c>
      <c r="E189" s="401" t="n">
        <f aca="false">(($AJ189*$B$1*AD189*1000)/2000)/1000000</f>
        <v>0</v>
      </c>
      <c r="F189" s="401" t="n">
        <f aca="false">AF189*(($AK189*$B$1*AE189*1000)/2000)/1000000</f>
        <v>0</v>
      </c>
      <c r="G189" s="403" t="str">
        <f aca="false">IF(IS!$C$2="Peak","-",SUM(C189:F189))</f>
        <v>-</v>
      </c>
      <c r="H189" s="411" t="n">
        <v>111.932261833028</v>
      </c>
      <c r="I189" s="411" t="n">
        <v>103.218297348142</v>
      </c>
      <c r="J189" s="411" t="n">
        <v>98.66360136209</v>
      </c>
      <c r="K189" s="411" t="n">
        <v>91.4231239351957</v>
      </c>
      <c r="L189" s="411" t="n">
        <v>90.912081896174</v>
      </c>
      <c r="M189" s="411" t="n">
        <v>83.0951480023415</v>
      </c>
      <c r="N189" s="411" t="n">
        <v>66.5083558533741</v>
      </c>
      <c r="O189" s="411" t="n">
        <v>65.8404441190462</v>
      </c>
      <c r="P189" s="411" t="n">
        <v>65.0830697553517</v>
      </c>
      <c r="Q189" s="411" t="n">
        <v>64.5099722453716</v>
      </c>
      <c r="R189" s="411" t="n">
        <v>62.5960466509096</v>
      </c>
      <c r="S189" s="411" t="n">
        <v>55.6977962738477</v>
      </c>
      <c r="T189" s="411" t="n">
        <v>49.1752252819134</v>
      </c>
      <c r="U189" s="411" t="n">
        <v>44.6659635791695</v>
      </c>
      <c r="V189" s="411" t="n">
        <v>44.3476836287119</v>
      </c>
      <c r="W189" s="411" t="n">
        <v>44.0524573261051</v>
      </c>
      <c r="X189" s="411" t="n">
        <v>43.6084887646453</v>
      </c>
      <c r="Y189" s="411" t="n">
        <v>43.6084690467831</v>
      </c>
      <c r="Z189" s="411" t="n">
        <v>43.6084601870877</v>
      </c>
      <c r="AA189" s="411" t="n">
        <v>43.5813354976073</v>
      </c>
      <c r="AB189" s="401" t="n">
        <f aca="false">Peak!AB191</f>
        <v>0.813761620950059</v>
      </c>
      <c r="AC189" s="401" t="n">
        <f aca="false">Peak!AC191</f>
        <v>0</v>
      </c>
      <c r="AD189" s="405" t="n">
        <f aca="false">Peak!AD191</f>
        <v>806.55967593313</v>
      </c>
      <c r="AE189" s="405" t="n">
        <f aca="false">Peak!AE191</f>
        <v>1882.71897858527</v>
      </c>
      <c r="AF189" s="401" t="n">
        <f aca="false">Peak!AF191</f>
        <v>1</v>
      </c>
      <c r="AG189" s="406" t="n">
        <f aca="false">Peak!AG191</f>
        <v>0</v>
      </c>
      <c r="AH189" s="401" t="n">
        <f aca="false">Peak!AH191</f>
        <v>4.85688500637169</v>
      </c>
      <c r="AI189" s="401" t="n">
        <f aca="false">Peak!AI191</f>
        <v>4.55315519264122</v>
      </c>
      <c r="AJ189" s="401" t="n">
        <f aca="false">Peak!AJ191</f>
        <v>0</v>
      </c>
      <c r="AK189" s="401" t="n">
        <f aca="false">Peak!AK191</f>
        <v>0</v>
      </c>
      <c r="AL189" s="1"/>
    </row>
    <row r="190" customFormat="false" ht="12.75" hidden="false" customHeight="false" outlineLevel="0" collapsed="false">
      <c r="A190" s="400" t="n">
        <f aca="false">A189+30.417</f>
        <v>42045.477</v>
      </c>
      <c r="B190" s="401" t="n">
        <f aca="false">IF($B$7="Coal",AG190,IF($B$7="Gas",AH190,IF($B$7="Oil",AI190,0)))</f>
        <v>4.3531123594342</v>
      </c>
      <c r="C190" s="402" t="n">
        <f aca="false">(B190*$B$1*1000)/1000000</f>
        <v>49.2108237904609</v>
      </c>
      <c r="D190" s="401" t="n">
        <f aca="false">AB190+AC190</f>
        <v>0.815117890318309</v>
      </c>
      <c r="E190" s="401" t="n">
        <f aca="false">(($AJ190*$B$1*AD190*1000)/2000)/1000000</f>
        <v>0</v>
      </c>
      <c r="F190" s="401" t="n">
        <f aca="false">AF190*(($AK190*$B$1*AE190*1000)/2000)/1000000</f>
        <v>0</v>
      </c>
      <c r="G190" s="403" t="str">
        <f aca="false">IF(IS!$C$2="Peak","-",SUM(C190:F190))</f>
        <v>-</v>
      </c>
      <c r="H190" s="411" t="n">
        <v>150.374363303336</v>
      </c>
      <c r="I190" s="411" t="n">
        <v>145.536921152612</v>
      </c>
      <c r="J190" s="411" t="n">
        <v>127.975602868551</v>
      </c>
      <c r="K190" s="411" t="n">
        <v>103.834096868872</v>
      </c>
      <c r="L190" s="411" t="n">
        <v>95.8375696898385</v>
      </c>
      <c r="M190" s="411" t="n">
        <v>89.6253639193208</v>
      </c>
      <c r="N190" s="411" t="n">
        <v>84.4957937280763</v>
      </c>
      <c r="O190" s="411" t="n">
        <v>62.9513082866226</v>
      </c>
      <c r="P190" s="411" t="n">
        <v>52.2683323763392</v>
      </c>
      <c r="Q190" s="411" t="n">
        <v>49.6220139659613</v>
      </c>
      <c r="R190" s="411" t="n">
        <v>45.0582121191519</v>
      </c>
      <c r="S190" s="411" t="n">
        <v>43.6042709445451</v>
      </c>
      <c r="T190" s="411" t="n">
        <v>43.6042709445451</v>
      </c>
      <c r="U190" s="411" t="n">
        <v>43.2514133206118</v>
      </c>
      <c r="V190" s="411" t="n">
        <v>43.1132017448314</v>
      </c>
      <c r="W190" s="411" t="n">
        <v>42.8797757547969</v>
      </c>
      <c r="X190" s="411" t="n">
        <v>42.879738822635</v>
      </c>
      <c r="Y190" s="411" t="n">
        <v>42.8797067945133</v>
      </c>
      <c r="Z190" s="411" t="n">
        <v>42.8795172819581</v>
      </c>
      <c r="AA190" s="411" t="n">
        <v>42.8579464736736</v>
      </c>
      <c r="AB190" s="401" t="n">
        <f aca="false">Peak!AB192</f>
        <v>0.815117890318309</v>
      </c>
      <c r="AC190" s="401" t="n">
        <f aca="false">Peak!AC192</f>
        <v>0</v>
      </c>
      <c r="AD190" s="405" t="n">
        <f aca="false">Peak!AD192</f>
        <v>806.55967593313</v>
      </c>
      <c r="AE190" s="405" t="n">
        <f aca="false">Peak!AE192</f>
        <v>1882.71897858527</v>
      </c>
      <c r="AF190" s="401" t="n">
        <f aca="false">Peak!AF192</f>
        <v>1</v>
      </c>
      <c r="AG190" s="406" t="n">
        <f aca="false">Peak!AG192</f>
        <v>0</v>
      </c>
      <c r="AH190" s="401" t="n">
        <f aca="false">Peak!AH192</f>
        <v>4.3531123594342</v>
      </c>
      <c r="AI190" s="401" t="n">
        <f aca="false">Peak!AI192</f>
        <v>4.51099634826491</v>
      </c>
      <c r="AJ190" s="401" t="n">
        <f aca="false">Peak!AJ192</f>
        <v>0</v>
      </c>
      <c r="AK190" s="401" t="n">
        <f aca="false">Peak!AK192</f>
        <v>0</v>
      </c>
      <c r="AL190" s="1"/>
    </row>
    <row r="191" customFormat="false" ht="12.75" hidden="false" customHeight="false" outlineLevel="0" collapsed="false">
      <c r="A191" s="400" t="n">
        <f aca="false">A190+30.417</f>
        <v>42075.894</v>
      </c>
      <c r="B191" s="401" t="n">
        <f aca="false">IF($B$7="Coal",AG191,IF($B$7="Gas",AH191,IF($B$7="Oil",AI191,0)))</f>
        <v>4.2799146244091</v>
      </c>
      <c r="C191" s="402" t="n">
        <f aca="false">(B191*$B$1*1000)/1000000</f>
        <v>48.3833420847855</v>
      </c>
      <c r="D191" s="401" t="n">
        <f aca="false">AB191+AC191</f>
        <v>0.816476420135507</v>
      </c>
      <c r="E191" s="401" t="n">
        <f aca="false">(($AJ191*$B$1*AD191*1000)/2000)/1000000</f>
        <v>0</v>
      </c>
      <c r="F191" s="401" t="n">
        <f aca="false">AF191*(($AK191*$B$1*AE191*1000)/2000)/1000000</f>
        <v>0</v>
      </c>
      <c r="G191" s="403" t="str">
        <f aca="false">IF(IS!$C$2="Peak","-",SUM(C191:F191))</f>
        <v>-</v>
      </c>
      <c r="H191" s="411" t="n">
        <v>100.133124265418</v>
      </c>
      <c r="I191" s="411" t="n">
        <v>96.3964747379344</v>
      </c>
      <c r="J191" s="411" t="n">
        <v>96.2310579887369</v>
      </c>
      <c r="K191" s="411" t="n">
        <v>94.621359697733</v>
      </c>
      <c r="L191" s="411" t="n">
        <v>82.8189616036872</v>
      </c>
      <c r="M191" s="411" t="n">
        <v>65.7310775484114</v>
      </c>
      <c r="N191" s="411" t="n">
        <v>57.1490430224969</v>
      </c>
      <c r="O191" s="411" t="n">
        <v>53.6565642606597</v>
      </c>
      <c r="P191" s="411" t="n">
        <v>53.0088147655414</v>
      </c>
      <c r="Q191" s="411" t="n">
        <v>49.2170903340844</v>
      </c>
      <c r="R191" s="411" t="n">
        <v>46.9564498437114</v>
      </c>
      <c r="S191" s="411" t="n">
        <v>46.6169204047836</v>
      </c>
      <c r="T191" s="411" t="n">
        <v>46.4484317643031</v>
      </c>
      <c r="U191" s="411" t="n">
        <v>46.4484317643031</v>
      </c>
      <c r="V191" s="411" t="n">
        <v>46.4202646873037</v>
      </c>
      <c r="W191" s="411" t="n">
        <v>45.7363491997467</v>
      </c>
      <c r="X191" s="411" t="n">
        <v>45.6674083277524</v>
      </c>
      <c r="Y191" s="411" t="n">
        <v>45.6674083277524</v>
      </c>
      <c r="Z191" s="411" t="n">
        <v>45.6674083277524</v>
      </c>
      <c r="AA191" s="411" t="n">
        <v>45.0802430606207</v>
      </c>
      <c r="AB191" s="401" t="n">
        <f aca="false">Peak!AB193</f>
        <v>0.816476420135507</v>
      </c>
      <c r="AC191" s="401" t="n">
        <f aca="false">Peak!AC193</f>
        <v>0</v>
      </c>
      <c r="AD191" s="405" t="n">
        <f aca="false">Peak!AD193</f>
        <v>806.55967593313</v>
      </c>
      <c r="AE191" s="405" t="n">
        <f aca="false">Peak!AE193</f>
        <v>1882.71897858527</v>
      </c>
      <c r="AF191" s="401" t="n">
        <f aca="false">Peak!AF193</f>
        <v>1</v>
      </c>
      <c r="AG191" s="406" t="n">
        <f aca="false">Peak!AG193</f>
        <v>0</v>
      </c>
      <c r="AH191" s="401" t="n">
        <f aca="false">Peak!AH193</f>
        <v>4.2799146244091</v>
      </c>
      <c r="AI191" s="401" t="n">
        <f aca="false">Peak!AI193</f>
        <v>4.34236097075968</v>
      </c>
      <c r="AJ191" s="401" t="n">
        <f aca="false">Peak!AJ193</f>
        <v>0</v>
      </c>
      <c r="AK191" s="401" t="n">
        <f aca="false">Peak!AK193</f>
        <v>0</v>
      </c>
      <c r="AL191" s="1"/>
    </row>
    <row r="192" customFormat="false" ht="12.75" hidden="false" customHeight="false" outlineLevel="0" collapsed="false">
      <c r="A192" s="400" t="n">
        <f aca="false">A191+30.417</f>
        <v>42106.311</v>
      </c>
      <c r="B192" s="401" t="n">
        <f aca="false">IF($B$7="Coal",AG192,IF($B$7="Gas",AH192,IF($B$7="Oil",AI192,0)))</f>
        <v>4.06893291757203</v>
      </c>
      <c r="C192" s="402" t="n">
        <f aca="false">(B192*$B$1*1000)/1000000</f>
        <v>45.9982477566622</v>
      </c>
      <c r="D192" s="401" t="n">
        <f aca="false">AB192+AC192</f>
        <v>0.817837214169066</v>
      </c>
      <c r="E192" s="401" t="n">
        <f aca="false">(($AJ192*$B$1*AD192*1000)/2000)/1000000</f>
        <v>0</v>
      </c>
      <c r="F192" s="401" t="n">
        <f aca="false">AF192*(($AK192*$B$1*AE192*1000)/2000)/1000000</f>
        <v>0</v>
      </c>
      <c r="G192" s="403" t="str">
        <f aca="false">IF(IS!$C$2="Peak","-",SUM(C192:F192))</f>
        <v>-</v>
      </c>
      <c r="H192" s="411" t="n">
        <v>77.2823405111719</v>
      </c>
      <c r="I192" s="411" t="n">
        <v>74.4547349637927</v>
      </c>
      <c r="J192" s="411" t="n">
        <v>71.6708026586025</v>
      </c>
      <c r="K192" s="411" t="n">
        <v>68.3328970182062</v>
      </c>
      <c r="L192" s="411" t="n">
        <v>63.8009302772213</v>
      </c>
      <c r="M192" s="411" t="n">
        <v>63.2565727852081</v>
      </c>
      <c r="N192" s="411" t="n">
        <v>59.3707244199754</v>
      </c>
      <c r="O192" s="411" t="n">
        <v>53.7751305104049</v>
      </c>
      <c r="P192" s="411" t="n">
        <v>50.9805232561006</v>
      </c>
      <c r="Q192" s="411" t="n">
        <v>49.4466396468115</v>
      </c>
      <c r="R192" s="411" t="n">
        <v>48.1108366647321</v>
      </c>
      <c r="S192" s="411" t="n">
        <v>46.3253087072626</v>
      </c>
      <c r="T192" s="411" t="n">
        <v>44.7691218567187</v>
      </c>
      <c r="U192" s="411" t="n">
        <v>42.4830610778323</v>
      </c>
      <c r="V192" s="411" t="n">
        <v>38.5447097591541</v>
      </c>
      <c r="W192" s="411" t="n">
        <v>37.2599957910336</v>
      </c>
      <c r="X192" s="411" t="n">
        <v>36.3310700751614</v>
      </c>
      <c r="Y192" s="411" t="n">
        <v>36.0928620623465</v>
      </c>
      <c r="Z192" s="411" t="n">
        <v>35.8057248944057</v>
      </c>
      <c r="AA192" s="411" t="n">
        <v>34.6064809642009</v>
      </c>
      <c r="AB192" s="401" t="n">
        <f aca="false">Peak!AB194</f>
        <v>0.817837214169066</v>
      </c>
      <c r="AC192" s="401" t="n">
        <f aca="false">Peak!AC194</f>
        <v>0</v>
      </c>
      <c r="AD192" s="405" t="n">
        <f aca="false">Peak!AD194</f>
        <v>806.55967593313</v>
      </c>
      <c r="AE192" s="405" t="n">
        <f aca="false">Peak!AE194</f>
        <v>1882.71897858527</v>
      </c>
      <c r="AF192" s="401" t="n">
        <f aca="false">Peak!AF194</f>
        <v>1</v>
      </c>
      <c r="AG192" s="406" t="n">
        <f aca="false">Peak!AG194</f>
        <v>0</v>
      </c>
      <c r="AH192" s="401" t="n">
        <f aca="false">Peak!AH194</f>
        <v>4.06893291757203</v>
      </c>
      <c r="AI192" s="401" t="n">
        <f aca="false">Peak!AI194</f>
        <v>4.17372559325445</v>
      </c>
      <c r="AJ192" s="401" t="n">
        <f aca="false">Peak!AJ194</f>
        <v>0</v>
      </c>
      <c r="AK192" s="401" t="n">
        <f aca="false">Peak!AK194</f>
        <v>0</v>
      </c>
      <c r="AL192" s="1"/>
    </row>
    <row r="193" customFormat="false" ht="12.75" hidden="false" customHeight="false" outlineLevel="0" collapsed="false">
      <c r="A193" s="400" t="n">
        <f aca="false">A192+30.417</f>
        <v>42136.728</v>
      </c>
      <c r="B193" s="401" t="n">
        <f aca="false">IF($B$7="Coal",AG193,IF($B$7="Gas",AH193,IF($B$7="Oil",AI193,0)))</f>
        <v>4.28422037352822</v>
      </c>
      <c r="C193" s="402" t="n">
        <f aca="false">(B193*$B$1*1000)/1000000</f>
        <v>48.432017479237</v>
      </c>
      <c r="D193" s="401" t="n">
        <f aca="false">AB193+AC193</f>
        <v>0.819200276192681</v>
      </c>
      <c r="E193" s="401" t="n">
        <f aca="false">(($AJ193*$B$1*AD193*1000)/2000)/1000000</f>
        <v>0</v>
      </c>
      <c r="F193" s="401" t="n">
        <f aca="false">AF193*(($AK193*$B$1*AE193*1000)/2000)/1000000</f>
        <v>0</v>
      </c>
      <c r="G193" s="403" t="str">
        <f aca="false">IF(IS!$C$2="Peak","-",SUM(C193:F193))</f>
        <v>-</v>
      </c>
      <c r="H193" s="411" t="n">
        <v>166.165608314353</v>
      </c>
      <c r="I193" s="411" t="n">
        <v>155.693761464286</v>
      </c>
      <c r="J193" s="411" t="n">
        <v>149.552826377326</v>
      </c>
      <c r="K193" s="411" t="n">
        <v>83.4402178665334</v>
      </c>
      <c r="L193" s="411" t="n">
        <v>68.663128732702</v>
      </c>
      <c r="M193" s="411" t="n">
        <v>63.1252650756414</v>
      </c>
      <c r="N193" s="411" t="n">
        <v>62.1459512104916</v>
      </c>
      <c r="O193" s="411" t="n">
        <v>53.6856720385284</v>
      </c>
      <c r="P193" s="411" t="n">
        <v>44.9856864730011</v>
      </c>
      <c r="Q193" s="411" t="n">
        <v>44.0312900760433</v>
      </c>
      <c r="R193" s="411" t="n">
        <v>42.7193840491031</v>
      </c>
      <c r="S193" s="411" t="n">
        <v>41.5377996617074</v>
      </c>
      <c r="T193" s="411" t="n">
        <v>39.8604142068113</v>
      </c>
      <c r="U193" s="411" t="n">
        <v>37.6693902181822</v>
      </c>
      <c r="V193" s="411" t="n">
        <v>36.2178535497074</v>
      </c>
      <c r="W193" s="411" t="n">
        <v>35.6195960077676</v>
      </c>
      <c r="X193" s="411" t="n">
        <v>34.7701959937204</v>
      </c>
      <c r="Y193" s="411" t="n">
        <v>32.3395205776795</v>
      </c>
      <c r="Z193" s="411" t="n">
        <v>31.5977157943918</v>
      </c>
      <c r="AA193" s="411" t="n">
        <v>31.2311415830919</v>
      </c>
      <c r="AB193" s="401" t="n">
        <f aca="false">Peak!AB195</f>
        <v>0.819200276192681</v>
      </c>
      <c r="AC193" s="401" t="n">
        <f aca="false">Peak!AC195</f>
        <v>0</v>
      </c>
      <c r="AD193" s="405" t="n">
        <f aca="false">Peak!AD195</f>
        <v>806.55967593313</v>
      </c>
      <c r="AE193" s="405" t="n">
        <f aca="false">Peak!AE195</f>
        <v>1882.71897858527</v>
      </c>
      <c r="AF193" s="401" t="n">
        <f aca="false">Peak!AF195</f>
        <v>1</v>
      </c>
      <c r="AG193" s="406" t="n">
        <f aca="false">Peak!AG195</f>
        <v>0</v>
      </c>
      <c r="AH193" s="401" t="n">
        <f aca="false">Peak!AH195</f>
        <v>4.28422037352822</v>
      </c>
      <c r="AI193" s="401" t="n">
        <f aca="false">Peak!AI195</f>
        <v>4.00509021574922</v>
      </c>
      <c r="AJ193" s="401" t="n">
        <f aca="false">Peak!AJ195</f>
        <v>0</v>
      </c>
      <c r="AK193" s="401" t="n">
        <f aca="false">Peak!AK195</f>
        <v>0</v>
      </c>
      <c r="AL193" s="1"/>
    </row>
    <row r="194" customFormat="false" ht="12.75" hidden="false" customHeight="false" outlineLevel="0" collapsed="false">
      <c r="A194" s="400" t="n">
        <f aca="false">A193+30.417</f>
        <v>42167.145</v>
      </c>
      <c r="B194" s="401" t="n">
        <f aca="false">IF($B$7="Coal",AG194,IF($B$7="Gas",AH194,IF($B$7="Oil",AI194,0)))</f>
        <v>4.0818501649294</v>
      </c>
      <c r="C194" s="402" t="n">
        <f aca="false">(B194*$B$1*1000)/1000000</f>
        <v>46.1442739400167</v>
      </c>
      <c r="D194" s="401" t="n">
        <f aca="false">AB194+AC194</f>
        <v>0.820565609986335</v>
      </c>
      <c r="E194" s="401" t="n">
        <f aca="false">(($AJ194*$B$1*AD194*1000)/2000)/1000000</f>
        <v>0</v>
      </c>
      <c r="F194" s="401" t="n">
        <f aca="false">AF194*(($AK194*$B$1*AE194*1000)/2000)/1000000</f>
        <v>0</v>
      </c>
      <c r="G194" s="403" t="str">
        <f aca="false">IF(IS!$C$2="Peak","-",SUM(C194:F194))</f>
        <v>-</v>
      </c>
      <c r="H194" s="411" t="n">
        <v>193.030103790655</v>
      </c>
      <c r="I194" s="411" t="n">
        <v>178.072272041577</v>
      </c>
      <c r="J194" s="411" t="n">
        <v>165.435246103444</v>
      </c>
      <c r="K194" s="411" t="n">
        <v>152.273261666669</v>
      </c>
      <c r="L194" s="411" t="n">
        <v>122.324688745811</v>
      </c>
      <c r="M194" s="411" t="n">
        <v>89.079918900294</v>
      </c>
      <c r="N194" s="411" t="n">
        <v>68.4511349760301</v>
      </c>
      <c r="O194" s="411" t="n">
        <v>61.7530047041107</v>
      </c>
      <c r="P194" s="411" t="n">
        <v>59.8942962058832</v>
      </c>
      <c r="Q194" s="411" t="n">
        <v>51.8221134000851</v>
      </c>
      <c r="R194" s="411" t="n">
        <v>47.1852448418874</v>
      </c>
      <c r="S194" s="411" t="n">
        <v>41.9790983475524</v>
      </c>
      <c r="T194" s="411" t="n">
        <v>38.2605604564715</v>
      </c>
      <c r="U194" s="411" t="n">
        <v>36.5381052325199</v>
      </c>
      <c r="V194" s="411" t="n">
        <v>35.2337403247372</v>
      </c>
      <c r="W194" s="411" t="n">
        <v>33.9466905810513</v>
      </c>
      <c r="X194" s="411" t="n">
        <v>32.1728791126191</v>
      </c>
      <c r="Y194" s="411" t="n">
        <v>30.6792526767881</v>
      </c>
      <c r="Z194" s="411" t="n">
        <v>30.535058037068</v>
      </c>
      <c r="AA194" s="411" t="n">
        <v>28.0992232447447</v>
      </c>
      <c r="AB194" s="401" t="n">
        <f aca="false">Peak!AB196</f>
        <v>0.820565609986335</v>
      </c>
      <c r="AC194" s="401" t="n">
        <f aca="false">Peak!AC196</f>
        <v>0</v>
      </c>
      <c r="AD194" s="405" t="n">
        <f aca="false">Peak!AD196</f>
        <v>806.55967593313</v>
      </c>
      <c r="AE194" s="405" t="n">
        <f aca="false">Peak!AE196</f>
        <v>1882.71897858527</v>
      </c>
      <c r="AF194" s="401" t="n">
        <f aca="false">Peak!AF196</f>
        <v>1</v>
      </c>
      <c r="AG194" s="406" t="n">
        <f aca="false">Peak!AG196</f>
        <v>0</v>
      </c>
      <c r="AH194" s="401" t="n">
        <f aca="false">Peak!AH196</f>
        <v>4.0818501649294</v>
      </c>
      <c r="AI194" s="401" t="n">
        <f aca="false">Peak!AI196</f>
        <v>4.00509021574922</v>
      </c>
      <c r="AJ194" s="401" t="n">
        <f aca="false">Peak!AJ196</f>
        <v>0</v>
      </c>
      <c r="AK194" s="401" t="n">
        <f aca="false">Peak!AK196</f>
        <v>0</v>
      </c>
      <c r="AL194" s="1"/>
    </row>
    <row r="195" customFormat="false" ht="12.75" hidden="false" customHeight="false" outlineLevel="0" collapsed="false">
      <c r="A195" s="400" t="n">
        <f aca="false">A194+30.417</f>
        <v>42197.562</v>
      </c>
      <c r="B195" s="401" t="n">
        <f aca="false">IF($B$7="Coal",AG195,IF($B$7="Gas",AH195,IF($B$7="Oil",AI195,0)))</f>
        <v>4.06893291757203</v>
      </c>
      <c r="C195" s="402" t="n">
        <f aca="false">(B195*$B$1*1000)/1000000</f>
        <v>45.9982477566622</v>
      </c>
      <c r="D195" s="401" t="n">
        <f aca="false">AB195+AC195</f>
        <v>0.821933219336313</v>
      </c>
      <c r="E195" s="401" t="n">
        <f aca="false">(($AJ195*$B$1*AD195*1000)/2000)/1000000</f>
        <v>0</v>
      </c>
      <c r="F195" s="401" t="n">
        <f aca="false">AF195*(($AK195*$B$1*AE195*1000)/2000)/1000000</f>
        <v>0</v>
      </c>
      <c r="G195" s="403" t="str">
        <f aca="false">IF(IS!$C$2="Peak","-",SUM(C195:F195))</f>
        <v>-</v>
      </c>
      <c r="H195" s="411" t="n">
        <v>323.697698425941</v>
      </c>
      <c r="I195" s="411" t="n">
        <v>237.366409721195</v>
      </c>
      <c r="J195" s="411" t="n">
        <v>214.715370265318</v>
      </c>
      <c r="K195" s="411" t="n">
        <v>195.017164221555</v>
      </c>
      <c r="L195" s="411" t="n">
        <v>178.440340762882</v>
      </c>
      <c r="M195" s="411" t="n">
        <v>161.913023567664</v>
      </c>
      <c r="N195" s="411" t="n">
        <v>148.312256700558</v>
      </c>
      <c r="O195" s="411" t="n">
        <v>76.185430812382</v>
      </c>
      <c r="P195" s="411" t="n">
        <v>59.3797731340177</v>
      </c>
      <c r="Q195" s="411" t="n">
        <v>53.533354174934</v>
      </c>
      <c r="R195" s="411" t="n">
        <v>49.2476547817257</v>
      </c>
      <c r="S195" s="411" t="n">
        <v>39.4467443597087</v>
      </c>
      <c r="T195" s="411" t="n">
        <v>38.3980998309656</v>
      </c>
      <c r="U195" s="411" t="n">
        <v>37.1386735758526</v>
      </c>
      <c r="V195" s="411" t="n">
        <v>35.8367153314875</v>
      </c>
      <c r="W195" s="411" t="n">
        <v>34.2311798587868</v>
      </c>
      <c r="X195" s="411" t="n">
        <v>32.2609676165584</v>
      </c>
      <c r="Y195" s="411" t="n">
        <v>30.9562881663433</v>
      </c>
      <c r="Z195" s="411" t="n">
        <v>28.620290117514</v>
      </c>
      <c r="AA195" s="411" t="n">
        <v>27.1176029107877</v>
      </c>
      <c r="AB195" s="401" t="n">
        <f aca="false">Peak!AB197</f>
        <v>0.821933219336313</v>
      </c>
      <c r="AC195" s="401" t="n">
        <f aca="false">Peak!AC197</f>
        <v>0</v>
      </c>
      <c r="AD195" s="405" t="n">
        <f aca="false">Peak!AD197</f>
        <v>806.55967593313</v>
      </c>
      <c r="AE195" s="405" t="n">
        <f aca="false">Peak!AE197</f>
        <v>1882.71897858527</v>
      </c>
      <c r="AF195" s="401" t="n">
        <f aca="false">Peak!AF197</f>
        <v>1</v>
      </c>
      <c r="AG195" s="406" t="n">
        <f aca="false">Peak!AG197</f>
        <v>0</v>
      </c>
      <c r="AH195" s="401" t="n">
        <f aca="false">Peak!AH197</f>
        <v>4.06893291757203</v>
      </c>
      <c r="AI195" s="401" t="n">
        <f aca="false">Peak!AI197</f>
        <v>4.00509021574922</v>
      </c>
      <c r="AJ195" s="401" t="n">
        <f aca="false">Peak!AJ197</f>
        <v>0</v>
      </c>
      <c r="AK195" s="401" t="n">
        <f aca="false">Peak!AK197</f>
        <v>0</v>
      </c>
      <c r="AL195" s="1"/>
    </row>
    <row r="196" customFormat="false" ht="12.75" hidden="false" customHeight="false" outlineLevel="0" collapsed="false">
      <c r="A196" s="400" t="n">
        <f aca="false">A195+30.417</f>
        <v>42227.979</v>
      </c>
      <c r="B196" s="401" t="n">
        <f aca="false">IF($B$7="Coal",AG196,IF($B$7="Gas",AH196,IF($B$7="Oil",AI196,0)))</f>
        <v>3.85795121073496</v>
      </c>
      <c r="C196" s="402" t="n">
        <f aca="false">(B196*$B$1*1000)/1000000</f>
        <v>43.613153428539</v>
      </c>
      <c r="D196" s="401" t="n">
        <f aca="false">AB196+AC196</f>
        <v>0.823303108035207</v>
      </c>
      <c r="E196" s="401" t="n">
        <f aca="false">(($AJ196*$B$1*AD196*1000)/2000)/1000000</f>
        <v>0</v>
      </c>
      <c r="F196" s="401" t="n">
        <f aca="false">AF196*(($AK196*$B$1*AE196*1000)/2000)/1000000</f>
        <v>0</v>
      </c>
      <c r="G196" s="403" t="str">
        <f aca="false">IF(IS!$C$2="Peak","-",SUM(C196:F196))</f>
        <v>-</v>
      </c>
      <c r="H196" s="411" t="n">
        <v>329.426610474636</v>
      </c>
      <c r="I196" s="411" t="n">
        <v>232.767344411932</v>
      </c>
      <c r="J196" s="411" t="n">
        <v>210.054190021319</v>
      </c>
      <c r="K196" s="411" t="n">
        <v>187.542030862887</v>
      </c>
      <c r="L196" s="411" t="n">
        <v>169.238646047617</v>
      </c>
      <c r="M196" s="411" t="n">
        <v>152.742662103072</v>
      </c>
      <c r="N196" s="411" t="n">
        <v>100.29037812739</v>
      </c>
      <c r="O196" s="411" t="n">
        <v>84.4156443622255</v>
      </c>
      <c r="P196" s="411" t="n">
        <v>57.7739622972649</v>
      </c>
      <c r="Q196" s="411" t="n">
        <v>49.317396925991</v>
      </c>
      <c r="R196" s="411" t="n">
        <v>46.5603798728132</v>
      </c>
      <c r="S196" s="411" t="n">
        <v>43.7132501520269</v>
      </c>
      <c r="T196" s="411" t="n">
        <v>43.1168572741799</v>
      </c>
      <c r="U196" s="411" t="n">
        <v>42.8448032717585</v>
      </c>
      <c r="V196" s="411" t="n">
        <v>42.8448032717585</v>
      </c>
      <c r="W196" s="411" t="n">
        <v>42.8448032717585</v>
      </c>
      <c r="X196" s="411" t="n">
        <v>42.3898510772351</v>
      </c>
      <c r="Y196" s="411" t="n">
        <v>42.1349412244642</v>
      </c>
      <c r="Z196" s="411" t="n">
        <v>42.1348820697886</v>
      </c>
      <c r="AA196" s="411" t="n">
        <v>40.8363204344349</v>
      </c>
      <c r="AB196" s="401" t="n">
        <f aca="false">Peak!AB198</f>
        <v>0.823303108035207</v>
      </c>
      <c r="AC196" s="401" t="n">
        <f aca="false">Peak!AC198</f>
        <v>0</v>
      </c>
      <c r="AD196" s="405" t="n">
        <f aca="false">Peak!AD198</f>
        <v>806.55967593313</v>
      </c>
      <c r="AE196" s="405" t="n">
        <f aca="false">Peak!AE198</f>
        <v>1882.71897858527</v>
      </c>
      <c r="AF196" s="401" t="n">
        <f aca="false">Peak!AF198</f>
        <v>1</v>
      </c>
      <c r="AG196" s="406" t="n">
        <f aca="false">Peak!AG198</f>
        <v>0</v>
      </c>
      <c r="AH196" s="401" t="n">
        <f aca="false">Peak!AH198</f>
        <v>3.85795121073496</v>
      </c>
      <c r="AI196" s="401" t="n">
        <f aca="false">Peak!AI198</f>
        <v>4.00509021574922</v>
      </c>
      <c r="AJ196" s="401" t="n">
        <f aca="false">Peak!AJ198</f>
        <v>0</v>
      </c>
      <c r="AK196" s="401" t="n">
        <f aca="false">Peak!AK198</f>
        <v>0</v>
      </c>
      <c r="AL196" s="1"/>
    </row>
    <row r="197" customFormat="false" ht="12.75" hidden="false" customHeight="false" outlineLevel="0" collapsed="false">
      <c r="A197" s="400" t="n">
        <f aca="false">A196+30.417</f>
        <v>42258.396</v>
      </c>
      <c r="B197" s="401" t="n">
        <f aca="false">IF($B$7="Coal",AG197,IF($B$7="Gas",AH197,IF($B$7="Oil",AI197,0)))</f>
        <v>3.84503396337759</v>
      </c>
      <c r="C197" s="402" t="n">
        <f aca="false">(B197*$B$1*1000)/1000000</f>
        <v>43.4671272451845</v>
      </c>
      <c r="D197" s="401" t="n">
        <f aca="false">AB197+AC197</f>
        <v>0.824675279881932</v>
      </c>
      <c r="E197" s="401" t="n">
        <f aca="false">(($AJ197*$B$1*AD197*1000)/2000)/1000000</f>
        <v>0</v>
      </c>
      <c r="F197" s="401" t="n">
        <f aca="false">AF197*(($AK197*$B$1*AE197*1000)/2000)/1000000</f>
        <v>0</v>
      </c>
      <c r="G197" s="403" t="str">
        <f aca="false">IF(IS!$C$2="Peak","-",SUM(C197:F197))</f>
        <v>-</v>
      </c>
      <c r="H197" s="411" t="n">
        <v>152.873695706852</v>
      </c>
      <c r="I197" s="411" t="n">
        <v>134.411318459205</v>
      </c>
      <c r="J197" s="411" t="n">
        <v>103.515366294886</v>
      </c>
      <c r="K197" s="411" t="n">
        <v>94.2669928592908</v>
      </c>
      <c r="L197" s="411" t="n">
        <v>82.9783609500998</v>
      </c>
      <c r="M197" s="411" t="n">
        <v>59.2664266578791</v>
      </c>
      <c r="N197" s="411" t="n">
        <v>52.1040187165778</v>
      </c>
      <c r="O197" s="411" t="n">
        <v>48.3494879661889</v>
      </c>
      <c r="P197" s="411" t="n">
        <v>46.1476627641513</v>
      </c>
      <c r="Q197" s="411" t="n">
        <v>45.7969014928954</v>
      </c>
      <c r="R197" s="411" t="n">
        <v>45.4378597772759</v>
      </c>
      <c r="S197" s="411" t="n">
        <v>45.4378597772759</v>
      </c>
      <c r="T197" s="411" t="n">
        <v>45.4378597772759</v>
      </c>
      <c r="U197" s="411" t="n">
        <v>45.3997300375531</v>
      </c>
      <c r="V197" s="411" t="n">
        <v>44.8418205364933</v>
      </c>
      <c r="W197" s="411" t="n">
        <v>44.6772166821549</v>
      </c>
      <c r="X197" s="411" t="n">
        <v>44.6772112340745</v>
      </c>
      <c r="Y197" s="411" t="n">
        <v>44.6770728157456</v>
      </c>
      <c r="Z197" s="411" t="n">
        <v>44.677065728967</v>
      </c>
      <c r="AA197" s="411" t="n">
        <v>43.6760482555956</v>
      </c>
      <c r="AB197" s="401" t="n">
        <f aca="false">Peak!AB199</f>
        <v>0.824675279881932</v>
      </c>
      <c r="AC197" s="401" t="n">
        <f aca="false">Peak!AC199</f>
        <v>0</v>
      </c>
      <c r="AD197" s="405" t="n">
        <f aca="false">Peak!AD199</f>
        <v>806.55967593313</v>
      </c>
      <c r="AE197" s="405" t="n">
        <f aca="false">Peak!AE199</f>
        <v>1882.71897858527</v>
      </c>
      <c r="AF197" s="401" t="n">
        <f aca="false">Peak!AF199</f>
        <v>1</v>
      </c>
      <c r="AG197" s="406" t="n">
        <f aca="false">Peak!AG199</f>
        <v>0</v>
      </c>
      <c r="AH197" s="401" t="n">
        <f aca="false">Peak!AH199</f>
        <v>3.84503396337759</v>
      </c>
      <c r="AI197" s="401" t="n">
        <f aca="false">Peak!AI199</f>
        <v>4.00509021574922</v>
      </c>
      <c r="AJ197" s="401" t="n">
        <f aca="false">Peak!AJ199</f>
        <v>0</v>
      </c>
      <c r="AK197" s="401" t="n">
        <f aca="false">Peak!AK199</f>
        <v>0</v>
      </c>
      <c r="AL197" s="1"/>
    </row>
    <row r="198" customFormat="false" ht="12.75" hidden="false" customHeight="false" outlineLevel="0" collapsed="false">
      <c r="A198" s="400" t="n">
        <f aca="false">A197+30.417</f>
        <v>42288.813</v>
      </c>
      <c r="B198" s="401" t="n">
        <f aca="false">IF($B$7="Coal",AG198,IF($B$7="Gas",AH198,IF($B$7="Oil",AI198,0)))</f>
        <v>4.25838587881348</v>
      </c>
      <c r="C198" s="402" t="n">
        <f aca="false">(B198*$B$1*1000)/1000000</f>
        <v>48.139965112528</v>
      </c>
      <c r="D198" s="401" t="n">
        <f aca="false">AB198+AC198</f>
        <v>0.826049738681735</v>
      </c>
      <c r="E198" s="401" t="n">
        <f aca="false">(($AJ198*$B$1*AD198*1000)/2000)/1000000</f>
        <v>0</v>
      </c>
      <c r="F198" s="401" t="n">
        <f aca="false">AF198*(($AK198*$B$1*AE198*1000)/2000)/1000000</f>
        <v>0</v>
      </c>
      <c r="G198" s="403" t="str">
        <f aca="false">IF(IS!$C$2="Peak","-",SUM(C198:F198))</f>
        <v>-</v>
      </c>
      <c r="H198" s="411" t="n">
        <v>149.279529510409</v>
      </c>
      <c r="I198" s="411" t="n">
        <v>143.293747512301</v>
      </c>
      <c r="J198" s="411" t="n">
        <v>105.95878367961</v>
      </c>
      <c r="K198" s="411" t="n">
        <v>89.6393486829296</v>
      </c>
      <c r="L198" s="411" t="n">
        <v>82.5611589065944</v>
      </c>
      <c r="M198" s="411" t="n">
        <v>81.9692227277457</v>
      </c>
      <c r="N198" s="411" t="n">
        <v>69.913721166388</v>
      </c>
      <c r="O198" s="411" t="n">
        <v>56.0638952039362</v>
      </c>
      <c r="P198" s="411" t="n">
        <v>46.5781086689618</v>
      </c>
      <c r="Q198" s="411" t="n">
        <v>46.0323259060781</v>
      </c>
      <c r="R198" s="411" t="n">
        <v>41.2109146577027</v>
      </c>
      <c r="S198" s="411" t="n">
        <v>39.6398320104918</v>
      </c>
      <c r="T198" s="411" t="n">
        <v>39.6398320104918</v>
      </c>
      <c r="U198" s="411" t="n">
        <v>39.6396583516683</v>
      </c>
      <c r="V198" s="411" t="n">
        <v>39.6390965972613</v>
      </c>
      <c r="W198" s="411" t="n">
        <v>39.6390965972613</v>
      </c>
      <c r="X198" s="411" t="n">
        <v>39.6390965972613</v>
      </c>
      <c r="Y198" s="411" t="n">
        <v>39.6390965972613</v>
      </c>
      <c r="Z198" s="411" t="n">
        <v>38.2333245780632</v>
      </c>
      <c r="AA198" s="411" t="n">
        <v>33.8081849626033</v>
      </c>
      <c r="AB198" s="401" t="n">
        <f aca="false">Peak!AB200</f>
        <v>0.826049738681735</v>
      </c>
      <c r="AC198" s="401" t="n">
        <f aca="false">Peak!AC200</f>
        <v>0</v>
      </c>
      <c r="AD198" s="405" t="n">
        <f aca="false">Peak!AD200</f>
        <v>806.55967593313</v>
      </c>
      <c r="AE198" s="405" t="n">
        <f aca="false">Peak!AE200</f>
        <v>1882.71897858527</v>
      </c>
      <c r="AF198" s="401" t="n">
        <f aca="false">Peak!AF200</f>
        <v>1</v>
      </c>
      <c r="AG198" s="406" t="n">
        <f aca="false">Peak!AG200</f>
        <v>0</v>
      </c>
      <c r="AH198" s="401" t="n">
        <f aca="false">Peak!AH200</f>
        <v>4.25838587881348</v>
      </c>
      <c r="AI198" s="401" t="n">
        <f aca="false">Peak!AI200</f>
        <v>4.00509021574922</v>
      </c>
      <c r="AJ198" s="401" t="n">
        <f aca="false">Peak!AJ200</f>
        <v>0</v>
      </c>
      <c r="AK198" s="401" t="n">
        <f aca="false">Peak!AK200</f>
        <v>0</v>
      </c>
      <c r="AL198" s="1"/>
    </row>
    <row r="199" customFormat="false" ht="12.75" hidden="false" customHeight="false" outlineLevel="0" collapsed="false">
      <c r="A199" s="400" t="n">
        <f aca="false">A198+30.417</f>
        <v>42319.23</v>
      </c>
      <c r="B199" s="401" t="n">
        <f aca="false">IF($B$7="Coal",AG199,IF($B$7="Gas",AH199,IF($B$7="Oil",AI199,0)))</f>
        <v>4.66312629601112</v>
      </c>
      <c r="C199" s="402" t="n">
        <f aca="false">(B199*$B$1*1000)/1000000</f>
        <v>52.7154521909685</v>
      </c>
      <c r="D199" s="401" t="n">
        <f aca="false">AB199+AC199</f>
        <v>0.827426488246205</v>
      </c>
      <c r="E199" s="401" t="n">
        <f aca="false">(($AJ199*$B$1*AD199*1000)/2000)/1000000</f>
        <v>0</v>
      </c>
      <c r="F199" s="401" t="n">
        <f aca="false">AF199*(($AK199*$B$1*AE199*1000)/2000)/1000000</f>
        <v>0</v>
      </c>
      <c r="G199" s="403" t="str">
        <f aca="false">IF(IS!$C$2="Peak","-",SUM(C199:F199))</f>
        <v>-</v>
      </c>
      <c r="H199" s="411" t="n">
        <v>105.972401293328</v>
      </c>
      <c r="I199" s="411" t="n">
        <v>101.368415849416</v>
      </c>
      <c r="J199" s="411" t="n">
        <v>97.9565559000838</v>
      </c>
      <c r="K199" s="411" t="n">
        <v>92.6772551397387</v>
      </c>
      <c r="L199" s="411" t="n">
        <v>91.7802936140653</v>
      </c>
      <c r="M199" s="411" t="n">
        <v>89.4149866713027</v>
      </c>
      <c r="N199" s="411" t="n">
        <v>68.60033849184</v>
      </c>
      <c r="O199" s="411" t="n">
        <v>61.7412217772196</v>
      </c>
      <c r="P199" s="411" t="n">
        <v>56.794869678319</v>
      </c>
      <c r="Q199" s="411" t="n">
        <v>56.2735116987616</v>
      </c>
      <c r="R199" s="411" t="n">
        <v>51.5810810498142</v>
      </c>
      <c r="S199" s="411" t="n">
        <v>48.8344614548699</v>
      </c>
      <c r="T199" s="411" t="n">
        <v>47.2986245554776</v>
      </c>
      <c r="U199" s="411" t="n">
        <v>45.2834883575824</v>
      </c>
      <c r="V199" s="411" t="n">
        <v>44.6176933340783</v>
      </c>
      <c r="W199" s="411" t="n">
        <v>44.6176933340783</v>
      </c>
      <c r="X199" s="411" t="n">
        <v>44.6176933340783</v>
      </c>
      <c r="Y199" s="411" t="n">
        <v>44.6176933340783</v>
      </c>
      <c r="Z199" s="411" t="n">
        <v>44.6176933340783</v>
      </c>
      <c r="AA199" s="411" t="n">
        <v>44.1721368879986</v>
      </c>
      <c r="AB199" s="401" t="n">
        <f aca="false">Peak!AB201</f>
        <v>0.827426488246205</v>
      </c>
      <c r="AC199" s="401" t="n">
        <f aca="false">Peak!AC201</f>
        <v>0</v>
      </c>
      <c r="AD199" s="405" t="n">
        <f aca="false">Peak!AD201</f>
        <v>806.55967593313</v>
      </c>
      <c r="AE199" s="405" t="n">
        <f aca="false">Peak!AE201</f>
        <v>1882.71897858527</v>
      </c>
      <c r="AF199" s="401" t="n">
        <f aca="false">Peak!AF201</f>
        <v>1</v>
      </c>
      <c r="AG199" s="406" t="n">
        <f aca="false">Peak!AG201</f>
        <v>0</v>
      </c>
      <c r="AH199" s="401" t="n">
        <f aca="false">Peak!AH201</f>
        <v>4.66312629601112</v>
      </c>
      <c r="AI199" s="401" t="n">
        <f aca="false">Peak!AI201</f>
        <v>4.34236097075968</v>
      </c>
      <c r="AJ199" s="401" t="n">
        <f aca="false">Peak!AJ201</f>
        <v>0</v>
      </c>
      <c r="AK199" s="401" t="n">
        <f aca="false">Peak!AK201</f>
        <v>0</v>
      </c>
      <c r="AL199" s="1"/>
    </row>
    <row r="200" customFormat="false" ht="12.75" hidden="false" customHeight="false" outlineLevel="0" collapsed="false">
      <c r="A200" s="400" t="n">
        <f aca="false">A199+30.417</f>
        <v>42349.647</v>
      </c>
      <c r="B200" s="401" t="n">
        <f aca="false">IF($B$7="Coal",AG200,IF($B$7="Gas",AH200,IF($B$7="Oil",AI200,0)))</f>
        <v>5.04633796761314</v>
      </c>
      <c r="C200" s="402" t="n">
        <f aca="false">(B200*$B$1*1000)/1000000</f>
        <v>57.0475622971515</v>
      </c>
      <c r="D200" s="401" t="n">
        <f aca="false">AB200+AC200</f>
        <v>0.828805532393282</v>
      </c>
      <c r="E200" s="401" t="n">
        <f aca="false">(($AJ200*$B$1*AD200*1000)/2000)/1000000</f>
        <v>0</v>
      </c>
      <c r="F200" s="401" t="n">
        <f aca="false">AF200*(($AK200*$B$1*AE200*1000)/2000)/1000000</f>
        <v>0</v>
      </c>
      <c r="G200" s="403" t="str">
        <f aca="false">IF(IS!$C$2="Peak","-",SUM(C200:F200))</f>
        <v>-</v>
      </c>
      <c r="H200" s="411" t="n">
        <v>112.522447063536</v>
      </c>
      <c r="I200" s="411" t="n">
        <v>105.841761221436</v>
      </c>
      <c r="J200" s="411" t="n">
        <v>103.743852067788</v>
      </c>
      <c r="K200" s="411" t="n">
        <v>97.6730765242028</v>
      </c>
      <c r="L200" s="411" t="n">
        <v>95.6886599523528</v>
      </c>
      <c r="M200" s="411" t="n">
        <v>95.0615825158743</v>
      </c>
      <c r="N200" s="411" t="n">
        <v>78.9386386689102</v>
      </c>
      <c r="O200" s="411" t="n">
        <v>65.2915591520601</v>
      </c>
      <c r="P200" s="411" t="n">
        <v>61.396313875135</v>
      </c>
      <c r="Q200" s="411" t="n">
        <v>60.4939811416447</v>
      </c>
      <c r="R200" s="411" t="n">
        <v>56.3258584305163</v>
      </c>
      <c r="S200" s="411" t="n">
        <v>51.5171721975872</v>
      </c>
      <c r="T200" s="411" t="n">
        <v>49.6500396487669</v>
      </c>
      <c r="U200" s="411" t="n">
        <v>47.7116577046201</v>
      </c>
      <c r="V200" s="411" t="n">
        <v>46.3415137552443</v>
      </c>
      <c r="W200" s="411" t="n">
        <v>46.3393917849637</v>
      </c>
      <c r="X200" s="411" t="n">
        <v>46.3393917849637</v>
      </c>
      <c r="Y200" s="411" t="n">
        <v>46.3393917849637</v>
      </c>
      <c r="Z200" s="411" t="n">
        <v>46.3393917849637</v>
      </c>
      <c r="AA200" s="411" t="n">
        <v>46.034217144583</v>
      </c>
      <c r="AB200" s="401" t="n">
        <f aca="false">Peak!AB202</f>
        <v>0.828805532393282</v>
      </c>
      <c r="AC200" s="401" t="n">
        <f aca="false">Peak!AC202</f>
        <v>0</v>
      </c>
      <c r="AD200" s="405" t="n">
        <f aca="false">Peak!AD202</f>
        <v>806.55967593313</v>
      </c>
      <c r="AE200" s="405" t="n">
        <f aca="false">Peak!AE202</f>
        <v>1882.71897858527</v>
      </c>
      <c r="AF200" s="401" t="n">
        <f aca="false">Peak!AF202</f>
        <v>1</v>
      </c>
      <c r="AG200" s="406" t="n">
        <f aca="false">Peak!AG202</f>
        <v>0</v>
      </c>
      <c r="AH200" s="401" t="n">
        <f aca="false">Peak!AH202</f>
        <v>5.04633796761314</v>
      </c>
      <c r="AI200" s="401" t="n">
        <f aca="false">Peak!AI202</f>
        <v>4.55315519264122</v>
      </c>
      <c r="AJ200" s="401" t="n">
        <f aca="false">Peak!AJ202</f>
        <v>0</v>
      </c>
      <c r="AK200" s="401" t="n">
        <f aca="false">Peak!AK202</f>
        <v>0</v>
      </c>
      <c r="AL200" s="1"/>
    </row>
    <row r="201" customFormat="false" ht="12.75" hidden="false" customHeight="false" outlineLevel="0" collapsed="false">
      <c r="A201" s="400" t="n">
        <f aca="false">A200+30.417</f>
        <v>42380.064</v>
      </c>
      <c r="B201" s="401" t="n">
        <f aca="false">IF($B$7="Coal",AG201,IF($B$7="Gas",AH201,IF($B$7="Oil",AI201,0)))</f>
        <v>5.07554634010301</v>
      </c>
      <c r="C201" s="402" t="n">
        <f aca="false">(B201*$B$1*1000)/1000000</f>
        <v>57.3777554906926</v>
      </c>
      <c r="D201" s="401" t="n">
        <f aca="false">AB201+AC201</f>
        <v>0.830186874947271</v>
      </c>
      <c r="E201" s="401" t="n">
        <f aca="false">(($AJ201*$B$1*AD201*1000)/2000)/1000000</f>
        <v>0</v>
      </c>
      <c r="F201" s="401" t="n">
        <f aca="false">AF201*(($AK201*$B$1*AE201*1000)/2000)/1000000</f>
        <v>0</v>
      </c>
      <c r="G201" s="403" t="str">
        <f aca="false">IF(IS!$C$2="Peak","-",SUM(C201:F201))</f>
        <v>-</v>
      </c>
      <c r="H201" s="411" t="n">
        <v>113.700470504813</v>
      </c>
      <c r="I201" s="411" t="n">
        <v>105.398022701955</v>
      </c>
      <c r="J201" s="411" t="n">
        <v>98.7105553976492</v>
      </c>
      <c r="K201" s="411" t="n">
        <v>93.3589061235442</v>
      </c>
      <c r="L201" s="411" t="n">
        <v>89.0234416441869</v>
      </c>
      <c r="M201" s="411" t="n">
        <v>87.7922181734062</v>
      </c>
      <c r="N201" s="411" t="n">
        <v>72.7679739912901</v>
      </c>
      <c r="O201" s="411" t="n">
        <v>60.9709684706457</v>
      </c>
      <c r="P201" s="411" t="n">
        <v>57.7630790243028</v>
      </c>
      <c r="Q201" s="411" t="n">
        <v>54.5838816248275</v>
      </c>
      <c r="R201" s="411" t="n">
        <v>54.2213877183494</v>
      </c>
      <c r="S201" s="411" t="n">
        <v>53.0263139120403</v>
      </c>
      <c r="T201" s="411" t="n">
        <v>51.0607225974721</v>
      </c>
      <c r="U201" s="411" t="n">
        <v>48.6864973782988</v>
      </c>
      <c r="V201" s="411" t="n">
        <v>45.092517094222</v>
      </c>
      <c r="W201" s="411" t="n">
        <v>43.3476486038154</v>
      </c>
      <c r="X201" s="411" t="n">
        <v>43.3476486038154</v>
      </c>
      <c r="Y201" s="411" t="n">
        <v>43.3476486038154</v>
      </c>
      <c r="Z201" s="411" t="n">
        <v>43.3476486038154</v>
      </c>
      <c r="AA201" s="411" t="n">
        <v>42.2791345055084</v>
      </c>
      <c r="AB201" s="401" t="n">
        <f aca="false">Peak!AB203</f>
        <v>0.830186874947271</v>
      </c>
      <c r="AC201" s="401" t="n">
        <f aca="false">Peak!AC203</f>
        <v>0</v>
      </c>
      <c r="AD201" s="405" t="n">
        <f aca="false">Peak!AD203</f>
        <v>885.601532299286</v>
      </c>
      <c r="AE201" s="405" t="n">
        <f aca="false">Peak!AE203</f>
        <v>1999.31527872019</v>
      </c>
      <c r="AF201" s="401" t="n">
        <f aca="false">Peak!AF203</f>
        <v>1</v>
      </c>
      <c r="AG201" s="406" t="n">
        <f aca="false">Peak!AG203</f>
        <v>0</v>
      </c>
      <c r="AH201" s="401" t="n">
        <f aca="false">Peak!AH203</f>
        <v>5.07554634010301</v>
      </c>
      <c r="AI201" s="401" t="n">
        <f aca="false">Peak!AI203</f>
        <v>4.73535374784809</v>
      </c>
      <c r="AJ201" s="401" t="n">
        <f aca="false">Peak!AJ203</f>
        <v>0</v>
      </c>
      <c r="AK201" s="401" t="n">
        <f aca="false">Peak!AK203</f>
        <v>0</v>
      </c>
      <c r="AL201" s="1"/>
    </row>
    <row r="202" customFormat="false" ht="12.75" hidden="false" customHeight="false" outlineLevel="0" collapsed="false">
      <c r="A202" s="400" t="n">
        <f aca="false">A201+30.417</f>
        <v>42410.481</v>
      </c>
      <c r="B202" s="401" t="n">
        <f aca="false">IF($B$7="Coal",AG202,IF($B$7="Gas",AH202,IF($B$7="Oil",AI202,0)))</f>
        <v>4.5490933952519</v>
      </c>
      <c r="C202" s="402" t="n">
        <f aca="false">(B202*$B$1*1000)/1000000</f>
        <v>51.4263393626687</v>
      </c>
      <c r="D202" s="401" t="n">
        <f aca="false">AB202+AC202</f>
        <v>0.831570519738849</v>
      </c>
      <c r="E202" s="401" t="n">
        <f aca="false">(($AJ202*$B$1*AD202*1000)/2000)/1000000</f>
        <v>0</v>
      </c>
      <c r="F202" s="401" t="n">
        <f aca="false">AF202*(($AK202*$B$1*AE202*1000)/2000)/1000000</f>
        <v>0</v>
      </c>
      <c r="G202" s="403" t="str">
        <f aca="false">IF(IS!$C$2="Peak","-",SUM(C202:F202))</f>
        <v>-</v>
      </c>
      <c r="H202" s="411" t="n">
        <v>152.284546134791</v>
      </c>
      <c r="I202" s="411" t="n">
        <v>147.99903550398</v>
      </c>
      <c r="J202" s="411" t="n">
        <v>132.876334016017</v>
      </c>
      <c r="K202" s="411" t="n">
        <v>105.208462993504</v>
      </c>
      <c r="L202" s="411" t="n">
        <v>96.7401771050181</v>
      </c>
      <c r="M202" s="411" t="n">
        <v>89.5000174470195</v>
      </c>
      <c r="N202" s="411" t="n">
        <v>86.3919565686536</v>
      </c>
      <c r="O202" s="411" t="n">
        <v>82.9721345816462</v>
      </c>
      <c r="P202" s="411" t="n">
        <v>64.6829122190996</v>
      </c>
      <c r="Q202" s="411" t="n">
        <v>55.8542352346629</v>
      </c>
      <c r="R202" s="411" t="n">
        <v>48.4090435032819</v>
      </c>
      <c r="S202" s="411" t="n">
        <v>47.2365662465628</v>
      </c>
      <c r="T202" s="411" t="n">
        <v>43.0809250270135</v>
      </c>
      <c r="U202" s="411" t="n">
        <v>41.7305932476655</v>
      </c>
      <c r="V202" s="411" t="n">
        <v>41.5326876822383</v>
      </c>
      <c r="W202" s="411" t="n">
        <v>41.5326847001113</v>
      </c>
      <c r="X202" s="411" t="n">
        <v>41.5325637839174</v>
      </c>
      <c r="Y202" s="411" t="n">
        <v>41.5324896714237</v>
      </c>
      <c r="Z202" s="411" t="n">
        <v>41.433763298252</v>
      </c>
      <c r="AA202" s="411" t="n">
        <v>38.7425505724296</v>
      </c>
      <c r="AB202" s="401" t="n">
        <f aca="false">Peak!AB204</f>
        <v>0.831570519738849</v>
      </c>
      <c r="AC202" s="401" t="n">
        <f aca="false">Peak!AC204</f>
        <v>0</v>
      </c>
      <c r="AD202" s="405" t="n">
        <f aca="false">Peak!AD204</f>
        <v>885.601532299286</v>
      </c>
      <c r="AE202" s="405" t="n">
        <f aca="false">Peak!AE204</f>
        <v>1999.31527872019</v>
      </c>
      <c r="AF202" s="401" t="n">
        <f aca="false">Peak!AF204</f>
        <v>1</v>
      </c>
      <c r="AG202" s="406" t="n">
        <f aca="false">Peak!AG204</f>
        <v>0</v>
      </c>
      <c r="AH202" s="401" t="n">
        <f aca="false">Peak!AH204</f>
        <v>4.5490933952519</v>
      </c>
      <c r="AI202" s="401" t="n">
        <f aca="false">Peak!AI204</f>
        <v>4.69150787981246</v>
      </c>
      <c r="AJ202" s="401" t="n">
        <f aca="false">Peak!AJ204</f>
        <v>0</v>
      </c>
      <c r="AK202" s="401" t="n">
        <f aca="false">Peak!AK204</f>
        <v>0</v>
      </c>
      <c r="AL202" s="1"/>
    </row>
    <row r="203" customFormat="false" ht="12.75" hidden="false" customHeight="false" outlineLevel="0" collapsed="false">
      <c r="A203" s="400" t="n">
        <f aca="false">A202+30.417</f>
        <v>42440.898</v>
      </c>
      <c r="B203" s="401" t="n">
        <f aca="false">IF($B$7="Coal",AG203,IF($B$7="Gas",AH203,IF($B$7="Oil",AI203,0)))</f>
        <v>4.47260023232482</v>
      </c>
      <c r="C203" s="402" t="n">
        <f aca="false">(B203*$B$1*1000)/1000000</f>
        <v>50.5616036859472</v>
      </c>
      <c r="D203" s="401" t="n">
        <f aca="false">AB203+AC203</f>
        <v>0.832956470605081</v>
      </c>
      <c r="E203" s="401" t="n">
        <f aca="false">(($AJ203*$B$1*AD203*1000)/2000)/1000000</f>
        <v>0</v>
      </c>
      <c r="F203" s="401" t="n">
        <f aca="false">AF203*(($AK203*$B$1*AE203*1000)/2000)/1000000</f>
        <v>0</v>
      </c>
      <c r="G203" s="403" t="str">
        <f aca="false">IF(IS!$C$2="Peak","-",SUM(C203:F203))</f>
        <v>-</v>
      </c>
      <c r="H203" s="411" t="n">
        <v>94.4480212473492</v>
      </c>
      <c r="I203" s="411" t="n">
        <v>92.3538444614559</v>
      </c>
      <c r="J203" s="411" t="n">
        <v>88.0493825914258</v>
      </c>
      <c r="K203" s="411" t="n">
        <v>83.9443314507802</v>
      </c>
      <c r="L203" s="411" t="n">
        <v>83.4446027456427</v>
      </c>
      <c r="M203" s="411" t="n">
        <v>80.6371407771729</v>
      </c>
      <c r="N203" s="411" t="n">
        <v>67.4742531735968</v>
      </c>
      <c r="O203" s="411" t="n">
        <v>57.6611537635314</v>
      </c>
      <c r="P203" s="411" t="n">
        <v>56.0011862146839</v>
      </c>
      <c r="Q203" s="411" t="n">
        <v>52.7729601335112</v>
      </c>
      <c r="R203" s="411" t="n">
        <v>50.4329601802439</v>
      </c>
      <c r="S203" s="411" t="n">
        <v>48.6074127406511</v>
      </c>
      <c r="T203" s="411" t="n">
        <v>47.6367792832831</v>
      </c>
      <c r="U203" s="411" t="n">
        <v>47.4459230132665</v>
      </c>
      <c r="V203" s="411" t="n">
        <v>47.1526515859057</v>
      </c>
      <c r="W203" s="411" t="n">
        <v>45.6681560516014</v>
      </c>
      <c r="X203" s="411" t="n">
        <v>44.0267207831478</v>
      </c>
      <c r="Y203" s="411" t="n">
        <v>42.7970042834305</v>
      </c>
      <c r="Z203" s="411" t="n">
        <v>40.9986285693304</v>
      </c>
      <c r="AA203" s="411" t="n">
        <v>40.8823632416194</v>
      </c>
      <c r="AB203" s="401" t="n">
        <f aca="false">Peak!AB205</f>
        <v>0.832956470605081</v>
      </c>
      <c r="AC203" s="401" t="n">
        <f aca="false">Peak!AC205</f>
        <v>0</v>
      </c>
      <c r="AD203" s="405" t="n">
        <f aca="false">Peak!AD205</f>
        <v>885.601532299286</v>
      </c>
      <c r="AE203" s="405" t="n">
        <f aca="false">Peak!AE205</f>
        <v>1999.31527872019</v>
      </c>
      <c r="AF203" s="401" t="n">
        <f aca="false">Peak!AF205</f>
        <v>1</v>
      </c>
      <c r="AG203" s="406" t="n">
        <f aca="false">Peak!AG205</f>
        <v>0</v>
      </c>
      <c r="AH203" s="401" t="n">
        <f aca="false">Peak!AH205</f>
        <v>4.47260023232482</v>
      </c>
      <c r="AI203" s="401" t="n">
        <f aca="false">Peak!AI205</f>
        <v>4.51612440766994</v>
      </c>
      <c r="AJ203" s="401" t="n">
        <f aca="false">Peak!AJ205</f>
        <v>0</v>
      </c>
      <c r="AK203" s="401" t="n">
        <f aca="false">Peak!AK205</f>
        <v>0</v>
      </c>
      <c r="AL203" s="1"/>
    </row>
    <row r="204" customFormat="false" ht="12.75" hidden="false" customHeight="false" outlineLevel="0" collapsed="false">
      <c r="A204" s="400" t="n">
        <f aca="false">A203+30.417</f>
        <v>42471.315</v>
      </c>
      <c r="B204" s="401" t="n">
        <f aca="false">IF($B$7="Coal",AG204,IF($B$7="Gas",AH204,IF($B$7="Oil",AI204,0)))</f>
        <v>4.25211993918205</v>
      </c>
      <c r="C204" s="402" t="n">
        <f aca="false">(B204*$B$1*1000)/1000000</f>
        <v>48.069130264809</v>
      </c>
      <c r="D204" s="401" t="n">
        <f aca="false">AB204+AC204</f>
        <v>0.834344731389423</v>
      </c>
      <c r="E204" s="401" t="n">
        <f aca="false">(($AJ204*$B$1*AD204*1000)/2000)/1000000</f>
        <v>0</v>
      </c>
      <c r="F204" s="401" t="n">
        <f aca="false">AF204*(($AK204*$B$1*AE204*1000)/2000)/1000000</f>
        <v>0</v>
      </c>
      <c r="G204" s="403" t="str">
        <f aca="false">IF(IS!$C$2="Peak","-",SUM(C204:F204))</f>
        <v>-</v>
      </c>
      <c r="H204" s="411" t="n">
        <v>123.442734329077</v>
      </c>
      <c r="I204" s="411" t="n">
        <v>96.0342007586062</v>
      </c>
      <c r="J204" s="411" t="n">
        <v>89.3915270267677</v>
      </c>
      <c r="K204" s="411" t="n">
        <v>84.7111356468924</v>
      </c>
      <c r="L204" s="411" t="n">
        <v>84.4139147174032</v>
      </c>
      <c r="M204" s="411" t="n">
        <v>66.8900249329429</v>
      </c>
      <c r="N204" s="411" t="n">
        <v>53.5832133535115</v>
      </c>
      <c r="O204" s="411" t="n">
        <v>47.4330394984654</v>
      </c>
      <c r="P204" s="411" t="n">
        <v>45.7408729278517</v>
      </c>
      <c r="Q204" s="411" t="n">
        <v>40.9340612210925</v>
      </c>
      <c r="R204" s="411" t="n">
        <v>40.746312912266</v>
      </c>
      <c r="S204" s="411" t="n">
        <v>40.746312912266</v>
      </c>
      <c r="T204" s="411" t="n">
        <v>40.746294178599</v>
      </c>
      <c r="U204" s="411" t="n">
        <v>40.7456327014314</v>
      </c>
      <c r="V204" s="411" t="n">
        <v>40.7455682541685</v>
      </c>
      <c r="W204" s="411" t="n">
        <v>40.7455682541685</v>
      </c>
      <c r="X204" s="411" t="n">
        <v>40.7455682541685</v>
      </c>
      <c r="Y204" s="411" t="n">
        <v>40.278733675442</v>
      </c>
      <c r="Z204" s="411" t="n">
        <v>38.3793824383195</v>
      </c>
      <c r="AA204" s="411" t="n">
        <v>36.104342652063</v>
      </c>
      <c r="AB204" s="401" t="n">
        <f aca="false">Peak!AB206</f>
        <v>0.834344731389423</v>
      </c>
      <c r="AC204" s="401" t="n">
        <f aca="false">Peak!AC206</f>
        <v>0</v>
      </c>
      <c r="AD204" s="405" t="n">
        <f aca="false">Peak!AD206</f>
        <v>885.601532299286</v>
      </c>
      <c r="AE204" s="405" t="n">
        <f aca="false">Peak!AE206</f>
        <v>1999.31527872019</v>
      </c>
      <c r="AF204" s="401" t="n">
        <f aca="false">Peak!AF206</f>
        <v>1</v>
      </c>
      <c r="AG204" s="406" t="n">
        <f aca="false">Peak!AG206</f>
        <v>0</v>
      </c>
      <c r="AH204" s="401" t="n">
        <f aca="false">Peak!AH206</f>
        <v>4.25211993918205</v>
      </c>
      <c r="AI204" s="401" t="n">
        <f aca="false">Peak!AI206</f>
        <v>4.34074093552742</v>
      </c>
      <c r="AJ204" s="401" t="n">
        <f aca="false">Peak!AJ206</f>
        <v>0</v>
      </c>
      <c r="AK204" s="401" t="n">
        <f aca="false">Peak!AK206</f>
        <v>0</v>
      </c>
      <c r="AL204" s="1"/>
    </row>
    <row r="205" customFormat="false" ht="12.75" hidden="false" customHeight="false" outlineLevel="0" collapsed="false">
      <c r="A205" s="400" t="n">
        <f aca="false">A204+30.417</f>
        <v>42501.732</v>
      </c>
      <c r="B205" s="401" t="n">
        <f aca="false">IF($B$7="Coal",AG205,IF($B$7="Gas",AH205,IF($B$7="Oil",AI205,0)))</f>
        <v>4.47709983014406</v>
      </c>
      <c r="C205" s="402" t="n">
        <f aca="false">(B205*$B$1*1000)/1000000</f>
        <v>50.6124704904603</v>
      </c>
      <c r="D205" s="401" t="n">
        <f aca="false">AB205+AC205</f>
        <v>0.835735305941738</v>
      </c>
      <c r="E205" s="401" t="n">
        <f aca="false">(($AJ205*$B$1*AD205*1000)/2000)/1000000</f>
        <v>0</v>
      </c>
      <c r="F205" s="401" t="n">
        <f aca="false">AF205*(($AK205*$B$1*AE205*1000)/2000)/1000000</f>
        <v>0</v>
      </c>
      <c r="G205" s="403" t="str">
        <f aca="false">IF(IS!$C$2="Peak","-",SUM(C205:F205))</f>
        <v>-</v>
      </c>
      <c r="H205" s="411" t="n">
        <v>84.4670949380035</v>
      </c>
      <c r="I205" s="411" t="n">
        <v>67.6443731135792</v>
      </c>
      <c r="J205" s="411" t="n">
        <v>61.5094775305283</v>
      </c>
      <c r="K205" s="411" t="n">
        <v>59.0695955198175</v>
      </c>
      <c r="L205" s="411" t="n">
        <v>57.3688122296219</v>
      </c>
      <c r="M205" s="411" t="n">
        <v>57.0608920329644</v>
      </c>
      <c r="N205" s="411" t="n">
        <v>55.5694287924215</v>
      </c>
      <c r="O205" s="411" t="n">
        <v>53.6315665024238</v>
      </c>
      <c r="P205" s="411" t="n">
        <v>52.3208612744595</v>
      </c>
      <c r="Q205" s="411" t="n">
        <v>51.9280204280167</v>
      </c>
      <c r="R205" s="411" t="n">
        <v>50.5911775550871</v>
      </c>
      <c r="S205" s="411" t="n">
        <v>48.5705939934203</v>
      </c>
      <c r="T205" s="411" t="n">
        <v>44.7323969426129</v>
      </c>
      <c r="U205" s="411" t="n">
        <v>41.9529395149454</v>
      </c>
      <c r="V205" s="411" t="n">
        <v>41.1162902862314</v>
      </c>
      <c r="W205" s="411" t="n">
        <v>38.3981846836073</v>
      </c>
      <c r="X205" s="411" t="n">
        <v>37.3610187127859</v>
      </c>
      <c r="Y205" s="411" t="n">
        <v>36.8483761147267</v>
      </c>
      <c r="Z205" s="411" t="n">
        <v>36.091258426722</v>
      </c>
      <c r="AA205" s="411" t="n">
        <v>35.0950279302191</v>
      </c>
      <c r="AB205" s="401" t="n">
        <f aca="false">Peak!AB207</f>
        <v>0.835735305941738</v>
      </c>
      <c r="AC205" s="401" t="n">
        <f aca="false">Peak!AC207</f>
        <v>0</v>
      </c>
      <c r="AD205" s="405" t="n">
        <f aca="false">Peak!AD207</f>
        <v>885.601532299286</v>
      </c>
      <c r="AE205" s="405" t="n">
        <f aca="false">Peak!AE207</f>
        <v>1999.31527872019</v>
      </c>
      <c r="AF205" s="401" t="n">
        <f aca="false">Peak!AF207</f>
        <v>1</v>
      </c>
      <c r="AG205" s="406" t="n">
        <f aca="false">Peak!AG207</f>
        <v>0</v>
      </c>
      <c r="AH205" s="401" t="n">
        <f aca="false">Peak!AH207</f>
        <v>4.47709983014406</v>
      </c>
      <c r="AI205" s="401" t="n">
        <f aca="false">Peak!AI207</f>
        <v>4.16535746338489</v>
      </c>
      <c r="AJ205" s="401" t="n">
        <f aca="false">Peak!AJ207</f>
        <v>0</v>
      </c>
      <c r="AK205" s="401" t="n">
        <f aca="false">Peak!AK207</f>
        <v>0</v>
      </c>
      <c r="AL205" s="1"/>
    </row>
    <row r="206" customFormat="false" ht="12.75" hidden="false" customHeight="false" outlineLevel="0" collapsed="false">
      <c r="A206" s="400" t="n">
        <f aca="false">A205+30.417</f>
        <v>42532.149</v>
      </c>
      <c r="B206" s="401" t="n">
        <f aca="false">IF($B$7="Coal",AG206,IF($B$7="Gas",AH206,IF($B$7="Oil",AI206,0)))</f>
        <v>4.26561873263977</v>
      </c>
      <c r="C206" s="402" t="n">
        <f aca="false">(B206*$B$1*1000)/1000000</f>
        <v>48.2217306783481</v>
      </c>
      <c r="D206" s="401" t="n">
        <f aca="false">AB206+AC206</f>
        <v>0.837128198118308</v>
      </c>
      <c r="E206" s="401" t="n">
        <f aca="false">(($AJ206*$B$1*AD206*1000)/2000)/1000000</f>
        <v>0</v>
      </c>
      <c r="F206" s="401" t="n">
        <f aca="false">AF206*(($AK206*$B$1*AE206*1000)/2000)/1000000</f>
        <v>0</v>
      </c>
      <c r="G206" s="403" t="str">
        <f aca="false">IF(IS!$C$2="Peak","-",SUM(C206:F206))</f>
        <v>-</v>
      </c>
      <c r="H206" s="411" t="n">
        <v>193.387437183418</v>
      </c>
      <c r="I206" s="411" t="n">
        <v>179.981394391601</v>
      </c>
      <c r="J206" s="411" t="n">
        <v>168.456530115331</v>
      </c>
      <c r="K206" s="411" t="n">
        <v>155.281128885461</v>
      </c>
      <c r="L206" s="411" t="n">
        <v>146.782824750687</v>
      </c>
      <c r="M206" s="411" t="n">
        <v>84.7643394737026</v>
      </c>
      <c r="N206" s="411" t="n">
        <v>75.6786468769141</v>
      </c>
      <c r="O206" s="411" t="n">
        <v>55.5842330098877</v>
      </c>
      <c r="P206" s="411" t="n">
        <v>45.2168718815079</v>
      </c>
      <c r="Q206" s="411" t="n">
        <v>42.2988255342106</v>
      </c>
      <c r="R206" s="411" t="n">
        <v>38.6631494107108</v>
      </c>
      <c r="S206" s="411" t="n">
        <v>37.1371581455926</v>
      </c>
      <c r="T206" s="411" t="n">
        <v>37.0095943363963</v>
      </c>
      <c r="U206" s="411" t="n">
        <v>37.0095756526261</v>
      </c>
      <c r="V206" s="411" t="n">
        <v>37.0088644018444</v>
      </c>
      <c r="W206" s="411" t="n">
        <v>37.0088465587668</v>
      </c>
      <c r="X206" s="411" t="n">
        <v>37.0088465587668</v>
      </c>
      <c r="Y206" s="411" t="n">
        <v>36.9664352734181</v>
      </c>
      <c r="Z206" s="411" t="n">
        <v>36.5217799556641</v>
      </c>
      <c r="AA206" s="411" t="n">
        <v>33.0009214033007</v>
      </c>
      <c r="AB206" s="401" t="n">
        <f aca="false">Peak!AB208</f>
        <v>0.837128198118308</v>
      </c>
      <c r="AC206" s="401" t="n">
        <f aca="false">Peak!AC208</f>
        <v>0</v>
      </c>
      <c r="AD206" s="405" t="n">
        <f aca="false">Peak!AD208</f>
        <v>885.601532299286</v>
      </c>
      <c r="AE206" s="405" t="n">
        <f aca="false">Peak!AE208</f>
        <v>1999.31527872019</v>
      </c>
      <c r="AF206" s="401" t="n">
        <f aca="false">Peak!AF208</f>
        <v>1</v>
      </c>
      <c r="AG206" s="406" t="n">
        <f aca="false">Peak!AG208</f>
        <v>0</v>
      </c>
      <c r="AH206" s="401" t="n">
        <f aca="false">Peak!AH208</f>
        <v>4.26561873263977</v>
      </c>
      <c r="AI206" s="401" t="n">
        <f aca="false">Peak!AI208</f>
        <v>4.16535746338489</v>
      </c>
      <c r="AJ206" s="401" t="n">
        <f aca="false">Peak!AJ208</f>
        <v>0</v>
      </c>
      <c r="AK206" s="401" t="n">
        <f aca="false">Peak!AK208</f>
        <v>0</v>
      </c>
      <c r="AL206" s="1"/>
    </row>
    <row r="207" customFormat="false" ht="12.75" hidden="false" customHeight="false" outlineLevel="0" collapsed="false">
      <c r="A207" s="400" t="n">
        <f aca="false">A206+30.417</f>
        <v>42562.566</v>
      </c>
      <c r="B207" s="401" t="n">
        <f aca="false">IF($B$7="Coal",AG207,IF($B$7="Gas",AH207,IF($B$7="Oil",AI207,0)))</f>
        <v>4.25211993918205</v>
      </c>
      <c r="C207" s="402" t="n">
        <f aca="false">(B207*$B$1*1000)/1000000</f>
        <v>48.069130264809</v>
      </c>
      <c r="D207" s="401" t="n">
        <f aca="false">AB207+AC207</f>
        <v>0.838523411781839</v>
      </c>
      <c r="E207" s="401" t="n">
        <f aca="false">(($AJ207*$B$1*AD207*1000)/2000)/1000000</f>
        <v>0</v>
      </c>
      <c r="F207" s="401" t="n">
        <f aca="false">AF207*(($AK207*$B$1*AE207*1000)/2000)/1000000</f>
        <v>0</v>
      </c>
      <c r="G207" s="403" t="str">
        <f aca="false">IF(IS!$C$2="Peak","-",SUM(C207:F207))</f>
        <v>-</v>
      </c>
      <c r="H207" s="411" t="n">
        <v>202.903879124232</v>
      </c>
      <c r="I207" s="411" t="n">
        <v>185.902630309524</v>
      </c>
      <c r="J207" s="411" t="n">
        <v>173.473147227258</v>
      </c>
      <c r="K207" s="411" t="n">
        <v>158.787804342602</v>
      </c>
      <c r="L207" s="411" t="n">
        <v>149.272020049222</v>
      </c>
      <c r="M207" s="411" t="n">
        <v>107.175676016264</v>
      </c>
      <c r="N207" s="411" t="n">
        <v>80.0652015265395</v>
      </c>
      <c r="O207" s="411" t="n">
        <v>76.3885189078777</v>
      </c>
      <c r="P207" s="411" t="n">
        <v>61.3737952078431</v>
      </c>
      <c r="Q207" s="411" t="n">
        <v>57.6628777135801</v>
      </c>
      <c r="R207" s="411" t="n">
        <v>56.136502930413</v>
      </c>
      <c r="S207" s="411" t="n">
        <v>55.6624600338679</v>
      </c>
      <c r="T207" s="411" t="n">
        <v>54.8887022621511</v>
      </c>
      <c r="U207" s="411" t="n">
        <v>54.2984607222946</v>
      </c>
      <c r="V207" s="411" t="n">
        <v>53.7860241923918</v>
      </c>
      <c r="W207" s="411" t="n">
        <v>51.4497192179712</v>
      </c>
      <c r="X207" s="411" t="n">
        <v>46.8891886028049</v>
      </c>
      <c r="Y207" s="411" t="n">
        <v>43.8809302250334</v>
      </c>
      <c r="Z207" s="411" t="n">
        <v>41.7339756241155</v>
      </c>
      <c r="AA207" s="411" t="n">
        <v>38.2370246301819</v>
      </c>
      <c r="AB207" s="401" t="n">
        <f aca="false">Peak!AB209</f>
        <v>0.838523411781839</v>
      </c>
      <c r="AC207" s="401" t="n">
        <f aca="false">Peak!AC209</f>
        <v>0</v>
      </c>
      <c r="AD207" s="405" t="n">
        <f aca="false">Peak!AD209</f>
        <v>885.601532299286</v>
      </c>
      <c r="AE207" s="405" t="n">
        <f aca="false">Peak!AE209</f>
        <v>1999.31527872019</v>
      </c>
      <c r="AF207" s="401" t="n">
        <f aca="false">Peak!AF209</f>
        <v>1</v>
      </c>
      <c r="AG207" s="406" t="n">
        <f aca="false">Peak!AG209</f>
        <v>0</v>
      </c>
      <c r="AH207" s="401" t="n">
        <f aca="false">Peak!AH209</f>
        <v>4.25211993918205</v>
      </c>
      <c r="AI207" s="401" t="n">
        <f aca="false">Peak!AI209</f>
        <v>4.16535746338489</v>
      </c>
      <c r="AJ207" s="401" t="n">
        <f aca="false">Peak!AJ209</f>
        <v>0</v>
      </c>
      <c r="AK207" s="401" t="n">
        <f aca="false">Peak!AK209</f>
        <v>0</v>
      </c>
      <c r="AL207" s="1"/>
    </row>
    <row r="208" customFormat="false" ht="12.75" hidden="false" customHeight="false" outlineLevel="0" collapsed="false">
      <c r="A208" s="400" t="n">
        <f aca="false">A207+30.417</f>
        <v>42592.983</v>
      </c>
      <c r="B208" s="401" t="n">
        <f aca="false">IF($B$7="Coal",AG208,IF($B$7="Gas",AH208,IF($B$7="Oil",AI208,0)))</f>
        <v>4.03163964603927</v>
      </c>
      <c r="C208" s="402" t="n">
        <f aca="false">(B208*$B$1*1000)/1000000</f>
        <v>45.5766568436708</v>
      </c>
      <c r="D208" s="401" t="n">
        <f aca="false">AB208+AC208</f>
        <v>0.839920950801475</v>
      </c>
      <c r="E208" s="401" t="n">
        <f aca="false">(($AJ208*$B$1*AD208*1000)/2000)/1000000</f>
        <v>0</v>
      </c>
      <c r="F208" s="401" t="n">
        <f aca="false">AF208*(($AK208*$B$1*AE208*1000)/2000)/1000000</f>
        <v>0</v>
      </c>
      <c r="G208" s="403" t="str">
        <f aca="false">IF(IS!$C$2="Peak","-",SUM(C208:F208))</f>
        <v>-</v>
      </c>
      <c r="H208" s="411" t="n">
        <v>284.657406838055</v>
      </c>
      <c r="I208" s="411" t="n">
        <v>214.067758537973</v>
      </c>
      <c r="J208" s="411" t="n">
        <v>196.551688369458</v>
      </c>
      <c r="K208" s="411" t="n">
        <v>177.225032864728</v>
      </c>
      <c r="L208" s="411" t="n">
        <v>161.781429482174</v>
      </c>
      <c r="M208" s="411" t="n">
        <v>147.782848422813</v>
      </c>
      <c r="N208" s="411" t="n">
        <v>106.039415975265</v>
      </c>
      <c r="O208" s="411" t="n">
        <v>89.621825917147</v>
      </c>
      <c r="P208" s="411" t="n">
        <v>74.7733231574089</v>
      </c>
      <c r="Q208" s="411" t="n">
        <v>52.8583986480041</v>
      </c>
      <c r="R208" s="411" t="n">
        <v>44.0978866704438</v>
      </c>
      <c r="S208" s="411" t="n">
        <v>42.7610989132642</v>
      </c>
      <c r="T208" s="411" t="n">
        <v>42.7610511795554</v>
      </c>
      <c r="U208" s="411" t="n">
        <v>42.7610319848467</v>
      </c>
      <c r="V208" s="411" t="n">
        <v>42.7608398419321</v>
      </c>
      <c r="W208" s="411" t="n">
        <v>42.7607425154526</v>
      </c>
      <c r="X208" s="411" t="n">
        <v>42.5062392791502</v>
      </c>
      <c r="Y208" s="411" t="n">
        <v>38.8893483235855</v>
      </c>
      <c r="Z208" s="411" t="n">
        <v>36.8565520651401</v>
      </c>
      <c r="AA208" s="411" t="n">
        <v>30.9507071303647</v>
      </c>
      <c r="AB208" s="401" t="n">
        <f aca="false">Peak!AB210</f>
        <v>0.839920950801475</v>
      </c>
      <c r="AC208" s="401" t="n">
        <f aca="false">Peak!AC210</f>
        <v>0</v>
      </c>
      <c r="AD208" s="405" t="n">
        <f aca="false">Peak!AD210</f>
        <v>885.601532299286</v>
      </c>
      <c r="AE208" s="405" t="n">
        <f aca="false">Peak!AE210</f>
        <v>1999.31527872019</v>
      </c>
      <c r="AF208" s="401" t="n">
        <f aca="false">Peak!AF210</f>
        <v>1</v>
      </c>
      <c r="AG208" s="406" t="n">
        <f aca="false">Peak!AG210</f>
        <v>0</v>
      </c>
      <c r="AH208" s="401" t="n">
        <f aca="false">Peak!AH210</f>
        <v>4.03163964603927</v>
      </c>
      <c r="AI208" s="401" t="n">
        <f aca="false">Peak!AI210</f>
        <v>4.16535746338489</v>
      </c>
      <c r="AJ208" s="401" t="n">
        <f aca="false">Peak!AJ210</f>
        <v>0</v>
      </c>
      <c r="AK208" s="401" t="n">
        <f aca="false">Peak!AK210</f>
        <v>0</v>
      </c>
      <c r="AL208" s="1"/>
    </row>
    <row r="209" customFormat="false" ht="12.75" hidden="false" customHeight="false" outlineLevel="0" collapsed="false">
      <c r="A209" s="400" t="n">
        <f aca="false">A208+30.417</f>
        <v>42623.4</v>
      </c>
      <c r="B209" s="401" t="n">
        <f aca="false">IF($B$7="Coal",AG209,IF($B$7="Gas",AH209,IF($B$7="Oil",AI209,0)))</f>
        <v>4.01814085258155</v>
      </c>
      <c r="C209" s="402" t="n">
        <f aca="false">(B209*$B$1*1000)/1000000</f>
        <v>45.4240564301317</v>
      </c>
      <c r="D209" s="401" t="n">
        <f aca="false">AB209+AC209</f>
        <v>0.841320819052811</v>
      </c>
      <c r="E209" s="401" t="n">
        <f aca="false">(($AJ209*$B$1*AD209*1000)/2000)/1000000</f>
        <v>0</v>
      </c>
      <c r="F209" s="401" t="n">
        <f aca="false">AF209*(($AK209*$B$1*AE209*1000)/2000)/1000000</f>
        <v>0</v>
      </c>
      <c r="G209" s="403" t="str">
        <f aca="false">IF(IS!$C$2="Peak","-",SUM(C209:F209))</f>
        <v>-</v>
      </c>
      <c r="H209" s="411" t="n">
        <v>177.144194207069</v>
      </c>
      <c r="I209" s="411" t="n">
        <v>165.029747012083</v>
      </c>
      <c r="J209" s="411" t="n">
        <v>155.57787401246</v>
      </c>
      <c r="K209" s="411" t="n">
        <v>147.3488988899</v>
      </c>
      <c r="L209" s="411" t="n">
        <v>106.050994284693</v>
      </c>
      <c r="M209" s="411" t="n">
        <v>70.3322704237908</v>
      </c>
      <c r="N209" s="411" t="n">
        <v>62.0589791357687</v>
      </c>
      <c r="O209" s="411" t="n">
        <v>60.4229950230756</v>
      </c>
      <c r="P209" s="411" t="n">
        <v>51.5205773227395</v>
      </c>
      <c r="Q209" s="411" t="n">
        <v>45.2832348973519</v>
      </c>
      <c r="R209" s="411" t="n">
        <v>43.4438438089526</v>
      </c>
      <c r="S209" s="411" t="n">
        <v>42.2580336422266</v>
      </c>
      <c r="T209" s="411" t="n">
        <v>39.9596792072446</v>
      </c>
      <c r="U209" s="411" t="n">
        <v>37.8788894458761</v>
      </c>
      <c r="V209" s="411" t="n">
        <v>35.1724613831673</v>
      </c>
      <c r="W209" s="411" t="n">
        <v>33.5544832654568</v>
      </c>
      <c r="X209" s="411" t="n">
        <v>31.8831388277978</v>
      </c>
      <c r="Y209" s="411" t="n">
        <v>31.3071759702799</v>
      </c>
      <c r="Z209" s="411" t="n">
        <v>30.6646914554798</v>
      </c>
      <c r="AA209" s="411" t="n">
        <v>30.4689232520014</v>
      </c>
      <c r="AB209" s="401" t="n">
        <f aca="false">Peak!AB211</f>
        <v>0.841320819052811</v>
      </c>
      <c r="AC209" s="401" t="n">
        <f aca="false">Peak!AC211</f>
        <v>0</v>
      </c>
      <c r="AD209" s="405" t="n">
        <f aca="false">Peak!AD211</f>
        <v>885.601532299286</v>
      </c>
      <c r="AE209" s="405" t="n">
        <f aca="false">Peak!AE211</f>
        <v>1999.31527872019</v>
      </c>
      <c r="AF209" s="401" t="n">
        <f aca="false">Peak!AF211</f>
        <v>1</v>
      </c>
      <c r="AG209" s="406" t="n">
        <f aca="false">Peak!AG211</f>
        <v>0</v>
      </c>
      <c r="AH209" s="401" t="n">
        <f aca="false">Peak!AH211</f>
        <v>4.01814085258155</v>
      </c>
      <c r="AI209" s="401" t="n">
        <f aca="false">Peak!AI211</f>
        <v>4.16535746338489</v>
      </c>
      <c r="AJ209" s="401" t="n">
        <f aca="false">Peak!AJ211</f>
        <v>0</v>
      </c>
      <c r="AK209" s="401" t="n">
        <f aca="false">Peak!AK211</f>
        <v>0</v>
      </c>
      <c r="AL209" s="1"/>
    </row>
    <row r="210" customFormat="false" ht="12.75" hidden="false" customHeight="false" outlineLevel="0" collapsed="false">
      <c r="A210" s="400" t="n">
        <f aca="false">A209+30.417</f>
        <v>42653.817</v>
      </c>
      <c r="B210" s="401" t="n">
        <f aca="false">IF($B$7="Coal",AG210,IF($B$7="Gas",AH210,IF($B$7="Oil",AI210,0)))</f>
        <v>4.45010224322862</v>
      </c>
      <c r="C210" s="402" t="n">
        <f aca="false">(B210*$B$1*1000)/1000000</f>
        <v>50.3072696633821</v>
      </c>
      <c r="D210" s="401" t="n">
        <f aca="false">AB210+AC210</f>
        <v>0.842723020417899</v>
      </c>
      <c r="E210" s="401" t="n">
        <f aca="false">(($AJ210*$B$1*AD210*1000)/2000)/1000000</f>
        <v>0</v>
      </c>
      <c r="F210" s="401" t="n">
        <f aca="false">AF210*(($AK210*$B$1*AE210*1000)/2000)/1000000</f>
        <v>0</v>
      </c>
      <c r="G210" s="403" t="str">
        <f aca="false">IF(IS!$C$2="Peak","-",SUM(C210:F210))</f>
        <v>-</v>
      </c>
      <c r="H210" s="411" t="n">
        <v>90.0927922664456</v>
      </c>
      <c r="I210" s="411" t="n">
        <v>84.754453706077</v>
      </c>
      <c r="J210" s="411" t="n">
        <v>82.0228607400873</v>
      </c>
      <c r="K210" s="411" t="n">
        <v>76.8539149964453</v>
      </c>
      <c r="L210" s="411" t="n">
        <v>74.489457410685</v>
      </c>
      <c r="M210" s="411" t="n">
        <v>74.0668990620302</v>
      </c>
      <c r="N210" s="411" t="n">
        <v>64.9117285660474</v>
      </c>
      <c r="O210" s="411" t="n">
        <v>52.5860023895291</v>
      </c>
      <c r="P210" s="411" t="n">
        <v>50.9877810389344</v>
      </c>
      <c r="Q210" s="411" t="n">
        <v>46.4030755120063</v>
      </c>
      <c r="R210" s="411" t="n">
        <v>45.1733231354843</v>
      </c>
      <c r="S210" s="411" t="n">
        <v>44.047918164276</v>
      </c>
      <c r="T210" s="411" t="n">
        <v>42.8279684777981</v>
      </c>
      <c r="U210" s="411" t="n">
        <v>42.0610439523653</v>
      </c>
      <c r="V210" s="411" t="n">
        <v>41.5468810459907</v>
      </c>
      <c r="W210" s="411" t="n">
        <v>39.5548249435845</v>
      </c>
      <c r="X210" s="411" t="n">
        <v>37.4394539405639</v>
      </c>
      <c r="Y210" s="411" t="n">
        <v>36.9088409013103</v>
      </c>
      <c r="Z210" s="411" t="n">
        <v>36.8591598970367</v>
      </c>
      <c r="AA210" s="411" t="n">
        <v>36.1096422062745</v>
      </c>
      <c r="AB210" s="401" t="n">
        <f aca="false">Peak!AB212</f>
        <v>0.842723020417899</v>
      </c>
      <c r="AC210" s="401" t="n">
        <f aca="false">Peak!AC212</f>
        <v>0</v>
      </c>
      <c r="AD210" s="405" t="n">
        <f aca="false">Peak!AD212</f>
        <v>885.601532299286</v>
      </c>
      <c r="AE210" s="405" t="n">
        <f aca="false">Peak!AE212</f>
        <v>1999.31527872019</v>
      </c>
      <c r="AF210" s="401" t="n">
        <f aca="false">Peak!AF212</f>
        <v>1</v>
      </c>
      <c r="AG210" s="406" t="n">
        <f aca="false">Peak!AG212</f>
        <v>0</v>
      </c>
      <c r="AH210" s="401" t="n">
        <f aca="false">Peak!AH212</f>
        <v>4.45010224322862</v>
      </c>
      <c r="AI210" s="401" t="n">
        <f aca="false">Peak!AI212</f>
        <v>4.16535746338489</v>
      </c>
      <c r="AJ210" s="401" t="n">
        <f aca="false">Peak!AJ212</f>
        <v>0</v>
      </c>
      <c r="AK210" s="401" t="n">
        <f aca="false">Peak!AK212</f>
        <v>0</v>
      </c>
      <c r="AL210" s="1"/>
    </row>
    <row r="211" customFormat="false" ht="12.75" hidden="false" customHeight="false" outlineLevel="0" collapsed="false">
      <c r="A211" s="400" t="n">
        <f aca="false">A210+30.417</f>
        <v>42684.234</v>
      </c>
      <c r="B211" s="401" t="n">
        <f aca="false">IF($B$7="Coal",AG211,IF($B$7="Gas",AH211,IF($B$7="Oil",AI211,0)))</f>
        <v>4.8730644382372</v>
      </c>
      <c r="C211" s="402" t="n">
        <f aca="false">(B211*$B$1*1000)/1000000</f>
        <v>55.0887492876065</v>
      </c>
      <c r="D211" s="401" t="n">
        <f aca="false">AB211+AC211</f>
        <v>0.844127558785262</v>
      </c>
      <c r="E211" s="401" t="n">
        <f aca="false">(($AJ211*$B$1*AD211*1000)/2000)/1000000</f>
        <v>0</v>
      </c>
      <c r="F211" s="401" t="n">
        <f aca="false">AF211*(($AK211*$B$1*AE211*1000)/2000)/1000000</f>
        <v>0</v>
      </c>
      <c r="G211" s="403" t="str">
        <f aca="false">IF(IS!$C$2="Peak","-",SUM(C211:F211))</f>
        <v>-</v>
      </c>
      <c r="H211" s="411" t="n">
        <v>154.083957279018</v>
      </c>
      <c r="I211" s="411" t="n">
        <v>150.289557438838</v>
      </c>
      <c r="J211" s="411" t="n">
        <v>145.119276314523</v>
      </c>
      <c r="K211" s="411" t="n">
        <v>100.44735109319</v>
      </c>
      <c r="L211" s="411" t="n">
        <v>90.7158749985322</v>
      </c>
      <c r="M211" s="411" t="n">
        <v>88.8279237136289</v>
      </c>
      <c r="N211" s="411" t="n">
        <v>76.8567914585517</v>
      </c>
      <c r="O211" s="411" t="n">
        <v>59.9379467687406</v>
      </c>
      <c r="P211" s="411" t="n">
        <v>49.7620703920211</v>
      </c>
      <c r="Q211" s="411" t="n">
        <v>48.868718214023</v>
      </c>
      <c r="R211" s="411" t="n">
        <v>42.935252560628</v>
      </c>
      <c r="S211" s="411" t="n">
        <v>42.6459254003862</v>
      </c>
      <c r="T211" s="411" t="n">
        <v>42.6459254003862</v>
      </c>
      <c r="U211" s="411" t="n">
        <v>42.6458783131524</v>
      </c>
      <c r="V211" s="411" t="n">
        <v>42.6451697666329</v>
      </c>
      <c r="W211" s="411" t="n">
        <v>42.6451697666329</v>
      </c>
      <c r="X211" s="411" t="n">
        <v>42.6451697666329</v>
      </c>
      <c r="Y211" s="411" t="n">
        <v>42.6451697666329</v>
      </c>
      <c r="Z211" s="411" t="n">
        <v>39.6410641487493</v>
      </c>
      <c r="AA211" s="411" t="n">
        <v>35.6101616509571</v>
      </c>
      <c r="AB211" s="401" t="n">
        <f aca="false">Peak!AB213</f>
        <v>0.844127558785262</v>
      </c>
      <c r="AC211" s="401" t="n">
        <f aca="false">Peak!AC213</f>
        <v>0</v>
      </c>
      <c r="AD211" s="405" t="n">
        <f aca="false">Peak!AD213</f>
        <v>885.601532299286</v>
      </c>
      <c r="AE211" s="405" t="n">
        <f aca="false">Peak!AE213</f>
        <v>1999.31527872019</v>
      </c>
      <c r="AF211" s="401" t="n">
        <f aca="false">Peak!AF213</f>
        <v>1</v>
      </c>
      <c r="AG211" s="406" t="n">
        <f aca="false">Peak!AG213</f>
        <v>0</v>
      </c>
      <c r="AH211" s="401" t="n">
        <f aca="false">Peak!AH213</f>
        <v>4.8730644382372</v>
      </c>
      <c r="AI211" s="401" t="n">
        <f aca="false">Peak!AI213</f>
        <v>4.51612440766994</v>
      </c>
      <c r="AJ211" s="401" t="n">
        <f aca="false">Peak!AJ213</f>
        <v>0</v>
      </c>
      <c r="AK211" s="401" t="n">
        <f aca="false">Peak!AK213</f>
        <v>0</v>
      </c>
      <c r="AL211" s="1"/>
    </row>
    <row r="212" customFormat="false" ht="12.75" hidden="false" customHeight="false" outlineLevel="0" collapsed="false">
      <c r="A212" s="400" t="n">
        <f aca="false">A211+30.417</f>
        <v>42714.651</v>
      </c>
      <c r="B212" s="401" t="n">
        <f aca="false">IF($B$7="Coal",AG212,IF($B$7="Gas",AH212,IF($B$7="Oil",AI212,0)))</f>
        <v>5.27352864414959</v>
      </c>
      <c r="C212" s="402" t="n">
        <f aca="false">(B212*$B$1*1000)/1000000</f>
        <v>59.6158948892658</v>
      </c>
      <c r="D212" s="401" t="n">
        <f aca="false">AB212+AC212</f>
        <v>0.845534438049904</v>
      </c>
      <c r="E212" s="401" t="n">
        <f aca="false">(($AJ212*$B$1*AD212*1000)/2000)/1000000</f>
        <v>0</v>
      </c>
      <c r="F212" s="401" t="n">
        <f aca="false">AF212*(($AK212*$B$1*AE212*1000)/2000)/1000000</f>
        <v>0</v>
      </c>
      <c r="G212" s="403" t="str">
        <f aca="false">IF(IS!$C$2="Peak","-",SUM(C212:F212))</f>
        <v>-</v>
      </c>
      <c r="H212" s="411" t="n">
        <v>123.917916283604</v>
      </c>
      <c r="I212" s="411" t="n">
        <v>119.488101009373</v>
      </c>
      <c r="J212" s="411" t="n">
        <v>112.320891653984</v>
      </c>
      <c r="K212" s="411" t="n">
        <v>110.805351646527</v>
      </c>
      <c r="L212" s="411" t="n">
        <v>109.340385708389</v>
      </c>
      <c r="M212" s="411" t="n">
        <v>93.1910744177141</v>
      </c>
      <c r="N212" s="411" t="n">
        <v>73.4935904049063</v>
      </c>
      <c r="O212" s="411" t="n">
        <v>61.4775810523893</v>
      </c>
      <c r="P212" s="411" t="n">
        <v>60.4930831801113</v>
      </c>
      <c r="Q212" s="411" t="n">
        <v>53.3112938418797</v>
      </c>
      <c r="R212" s="411" t="n">
        <v>52.1498289036724</v>
      </c>
      <c r="S212" s="411" t="n">
        <v>52.1498289036724</v>
      </c>
      <c r="T212" s="411" t="n">
        <v>52.1498289036724</v>
      </c>
      <c r="U212" s="411" t="n">
        <v>52.1498289036724</v>
      </c>
      <c r="V212" s="411" t="n">
        <v>52.1498289036724</v>
      </c>
      <c r="W212" s="411" t="n">
        <v>52.1497806806744</v>
      </c>
      <c r="X212" s="411" t="n">
        <v>52.1492236634471</v>
      </c>
      <c r="Y212" s="411" t="n">
        <v>52.1484597070636</v>
      </c>
      <c r="Z212" s="411" t="n">
        <v>52.1484597070636</v>
      </c>
      <c r="AA212" s="411" t="n">
        <v>47.3049835663618</v>
      </c>
      <c r="AB212" s="401" t="n">
        <f aca="false">Peak!AB214</f>
        <v>0.845534438049904</v>
      </c>
      <c r="AC212" s="401" t="n">
        <f aca="false">Peak!AC214</f>
        <v>0</v>
      </c>
      <c r="AD212" s="405" t="n">
        <f aca="false">Peak!AD214</f>
        <v>885.601532299286</v>
      </c>
      <c r="AE212" s="405" t="n">
        <f aca="false">Peak!AE214</f>
        <v>1999.31527872019</v>
      </c>
      <c r="AF212" s="401" t="n">
        <f aca="false">Peak!AF214</f>
        <v>1</v>
      </c>
      <c r="AG212" s="406" t="n">
        <f aca="false">Peak!AG214</f>
        <v>0</v>
      </c>
      <c r="AH212" s="401" t="n">
        <f aca="false">Peak!AH214</f>
        <v>5.27352864414959</v>
      </c>
      <c r="AI212" s="401" t="n">
        <f aca="false">Peak!AI214</f>
        <v>4.73535374784809</v>
      </c>
      <c r="AJ212" s="401" t="n">
        <f aca="false">Peak!AJ214</f>
        <v>0</v>
      </c>
      <c r="AK212" s="401" t="n">
        <f aca="false">Peak!AK214</f>
        <v>0</v>
      </c>
      <c r="AL212" s="1"/>
    </row>
    <row r="213" customFormat="false" ht="12.75" hidden="false" customHeight="false" outlineLevel="0" collapsed="false">
      <c r="A213" s="400" t="n">
        <f aca="false">A212+30.417</f>
        <v>42745.068</v>
      </c>
      <c r="B213" s="401" t="n">
        <f aca="false">IF($B$7="Coal",AG213,IF($B$7="Gas",AH213,IF($B$7="Oil",AI213,0)))</f>
        <v>5.24275454262602</v>
      </c>
      <c r="C213" s="402" t="n">
        <f aca="false">(B213*$B$1*1000)/1000000</f>
        <v>59.2680015287593</v>
      </c>
      <c r="D213" s="401" t="n">
        <f aca="false">AB213+AC213</f>
        <v>0.846943662113321</v>
      </c>
      <c r="E213" s="401" t="n">
        <f aca="false">(($AJ213*$B$1*AD213*1000)/2000)/1000000</f>
        <v>0</v>
      </c>
      <c r="F213" s="401" t="n">
        <f aca="false">AF213*(($AK213*$B$1*AE213*1000)/2000)/1000000</f>
        <v>0</v>
      </c>
      <c r="G213" s="403" t="str">
        <f aca="false">IF(IS!$C$2="Peak","-",SUM(C213:F213))</f>
        <v>-</v>
      </c>
      <c r="H213" s="411" t="n">
        <v>122.404091611044</v>
      </c>
      <c r="I213" s="411" t="n">
        <v>115.926852774015</v>
      </c>
      <c r="J213" s="411" t="n">
        <v>111.688540027966</v>
      </c>
      <c r="K213" s="411" t="n">
        <v>104.408215485289</v>
      </c>
      <c r="L213" s="411" t="n">
        <v>103.896491941489</v>
      </c>
      <c r="M213" s="411" t="n">
        <v>95.9944882458232</v>
      </c>
      <c r="N213" s="411" t="n">
        <v>71.0026323882352</v>
      </c>
      <c r="O213" s="411" t="n">
        <v>58.4687641172681</v>
      </c>
      <c r="P213" s="411" t="n">
        <v>55.8385363401156</v>
      </c>
      <c r="Q213" s="411" t="n">
        <v>49.9049197221929</v>
      </c>
      <c r="R213" s="411" t="n">
        <v>49.9049197221929</v>
      </c>
      <c r="S213" s="411" t="n">
        <v>49.9049197221929</v>
      </c>
      <c r="T213" s="411" t="n">
        <v>49.7720565859185</v>
      </c>
      <c r="U213" s="411" t="n">
        <v>49.105480623067</v>
      </c>
      <c r="V213" s="411" t="n">
        <v>49.05767555026</v>
      </c>
      <c r="W213" s="411" t="n">
        <v>49.05767555026</v>
      </c>
      <c r="X213" s="411" t="n">
        <v>49.0574076163158</v>
      </c>
      <c r="Y213" s="411" t="n">
        <v>49.0572745012152</v>
      </c>
      <c r="Z213" s="411" t="n">
        <v>48.9652568474234</v>
      </c>
      <c r="AA213" s="411" t="n">
        <v>40.0586963000199</v>
      </c>
      <c r="AB213" s="401" t="n">
        <f aca="false">Peak!AB215</f>
        <v>0.846943662113321</v>
      </c>
      <c r="AC213" s="401" t="n">
        <f aca="false">Peak!AC215</f>
        <v>0</v>
      </c>
      <c r="AD213" s="405" t="n">
        <f aca="false">Peak!AD215</f>
        <v>870.060330328103</v>
      </c>
      <c r="AE213" s="405" t="n">
        <f aca="false">Peak!AE215</f>
        <v>1879.5637242099</v>
      </c>
      <c r="AF213" s="401" t="n">
        <f aca="false">Peak!AF215</f>
        <v>1</v>
      </c>
      <c r="AG213" s="406" t="n">
        <f aca="false">Peak!AG215</f>
        <v>0</v>
      </c>
      <c r="AH213" s="401" t="n">
        <f aca="false">Peak!AH215</f>
        <v>5.24275454262602</v>
      </c>
      <c r="AI213" s="401" t="n">
        <f aca="false">Peak!AI215</f>
        <v>4.88291068396218</v>
      </c>
      <c r="AJ213" s="401" t="n">
        <f aca="false">Peak!AJ215</f>
        <v>0</v>
      </c>
      <c r="AK213" s="401" t="n">
        <f aca="false">Peak!AK215</f>
        <v>0</v>
      </c>
      <c r="AL213" s="1"/>
    </row>
    <row r="214" customFormat="false" ht="12.75" hidden="false" customHeight="false" outlineLevel="0" collapsed="false">
      <c r="A214" s="400" t="n">
        <f aca="false">A213+30.417</f>
        <v>42775.485</v>
      </c>
      <c r="B214" s="401" t="n">
        <f aca="false">IF($B$7="Coal",AG214,IF($B$7="Gas",AH214,IF($B$7="Oil",AI214,0)))</f>
        <v>4.69895819378981</v>
      </c>
      <c r="C214" s="402" t="n">
        <f aca="false">(B214*$B$1*1000)/1000000</f>
        <v>53.1205226467869</v>
      </c>
      <c r="D214" s="401" t="n">
        <f aca="false">AB214+AC214</f>
        <v>0.84835523488351</v>
      </c>
      <c r="E214" s="401" t="n">
        <f aca="false">(($AJ214*$B$1*AD214*1000)/2000)/1000000</f>
        <v>0</v>
      </c>
      <c r="F214" s="401" t="n">
        <f aca="false">AF214*(($AK214*$B$1*AE214*1000)/2000)/1000000</f>
        <v>0</v>
      </c>
      <c r="G214" s="403" t="str">
        <f aca="false">IF(IS!$C$2="Peak","-",SUM(C214:F214))</f>
        <v>-</v>
      </c>
      <c r="H214" s="411" t="n">
        <v>146.84494019442</v>
      </c>
      <c r="I214" s="411" t="n">
        <v>137.115604186932</v>
      </c>
      <c r="J214" s="411" t="n">
        <v>119.920423227852</v>
      </c>
      <c r="K214" s="411" t="n">
        <v>107.587118492853</v>
      </c>
      <c r="L214" s="411" t="n">
        <v>100.395617041951</v>
      </c>
      <c r="M214" s="411" t="n">
        <v>99.4422566954801</v>
      </c>
      <c r="N214" s="411" t="n">
        <v>85.4985732326309</v>
      </c>
      <c r="O214" s="411" t="n">
        <v>77.7825787395889</v>
      </c>
      <c r="P214" s="411" t="n">
        <v>66.7047219984543</v>
      </c>
      <c r="Q214" s="411" t="n">
        <v>50.831284192795</v>
      </c>
      <c r="R214" s="411" t="n">
        <v>47.2999359989829</v>
      </c>
      <c r="S214" s="411" t="n">
        <v>47.2912758426238</v>
      </c>
      <c r="T214" s="411" t="n">
        <v>47.2912751242895</v>
      </c>
      <c r="U214" s="411" t="n">
        <v>47.2912703634383</v>
      </c>
      <c r="V214" s="411" t="n">
        <v>47.2912615810209</v>
      </c>
      <c r="W214" s="411" t="n">
        <v>47.2912607807821</v>
      </c>
      <c r="X214" s="411" t="n">
        <v>47.2912480365414</v>
      </c>
      <c r="Y214" s="411" t="n">
        <v>47.2912480365414</v>
      </c>
      <c r="Z214" s="411" t="n">
        <v>45.4125588508652</v>
      </c>
      <c r="AA214" s="411" t="n">
        <v>41.6129915143352</v>
      </c>
      <c r="AB214" s="401" t="n">
        <f aca="false">Peak!AB216</f>
        <v>0.84835523488351</v>
      </c>
      <c r="AC214" s="401" t="n">
        <f aca="false">Peak!AC216</f>
        <v>0</v>
      </c>
      <c r="AD214" s="405" t="n">
        <f aca="false">Peak!AD216</f>
        <v>870.060330328103</v>
      </c>
      <c r="AE214" s="405" t="n">
        <f aca="false">Peak!AE216</f>
        <v>1879.5637242099</v>
      </c>
      <c r="AF214" s="401" t="n">
        <f aca="false">Peak!AF216</f>
        <v>1</v>
      </c>
      <c r="AG214" s="406" t="n">
        <f aca="false">Peak!AG216</f>
        <v>0</v>
      </c>
      <c r="AH214" s="401" t="n">
        <f aca="false">Peak!AH216</f>
        <v>4.69895819378981</v>
      </c>
      <c r="AI214" s="401" t="n">
        <f aca="false">Peak!AI216</f>
        <v>4.83769854799956</v>
      </c>
      <c r="AJ214" s="401" t="n">
        <f aca="false">Peak!AJ216</f>
        <v>0</v>
      </c>
      <c r="AK214" s="401" t="n">
        <f aca="false">Peak!AK216</f>
        <v>0</v>
      </c>
      <c r="AL214" s="1"/>
    </row>
    <row r="215" customFormat="false" ht="12.75" hidden="false" customHeight="false" outlineLevel="0" collapsed="false">
      <c r="A215" s="400" t="n">
        <f aca="false">A214+30.417</f>
        <v>42805.902</v>
      </c>
      <c r="B215" s="401" t="n">
        <f aca="false">IF($B$7="Coal",AG215,IF($B$7="Gas",AH215,IF($B$7="Oil",AI215,0)))</f>
        <v>4.61994504908711</v>
      </c>
      <c r="C215" s="402" t="n">
        <f aca="false">(B215*$B$1*1000)/1000000</f>
        <v>52.2272992194918</v>
      </c>
      <c r="D215" s="401" t="n">
        <f aca="false">AB215+AC215</f>
        <v>0.849769160274982</v>
      </c>
      <c r="E215" s="401" t="n">
        <f aca="false">(($AJ215*$B$1*AD215*1000)/2000)/1000000</f>
        <v>0</v>
      </c>
      <c r="F215" s="401" t="n">
        <f aca="false">AF215*(($AK215*$B$1*AE215*1000)/2000)/1000000</f>
        <v>0</v>
      </c>
      <c r="G215" s="403" t="str">
        <f aca="false">IF(IS!$C$2="Peak","-",SUM(C215:F215))</f>
        <v>-</v>
      </c>
      <c r="H215" s="411" t="n">
        <v>106.54765768351</v>
      </c>
      <c r="I215" s="411" t="n">
        <v>98.902465115548</v>
      </c>
      <c r="J215" s="411" t="n">
        <v>94.5066308783332</v>
      </c>
      <c r="K215" s="411" t="n">
        <v>88.7248597769694</v>
      </c>
      <c r="L215" s="411" t="n">
        <v>88.3601215810825</v>
      </c>
      <c r="M215" s="411" t="n">
        <v>81.3746794321616</v>
      </c>
      <c r="N215" s="411" t="n">
        <v>61.9868659126232</v>
      </c>
      <c r="O215" s="411" t="n">
        <v>57.3550370326766</v>
      </c>
      <c r="P215" s="411" t="n">
        <v>50.6280714783047</v>
      </c>
      <c r="Q215" s="411" t="n">
        <v>49.5234033090933</v>
      </c>
      <c r="R215" s="411" t="n">
        <v>48.6883017458742</v>
      </c>
      <c r="S215" s="411" t="n">
        <v>47.0522792374276</v>
      </c>
      <c r="T215" s="411" t="n">
        <v>45.3697514765947</v>
      </c>
      <c r="U215" s="411" t="n">
        <v>43.7278793017714</v>
      </c>
      <c r="V215" s="411" t="n">
        <v>42.6797395851145</v>
      </c>
      <c r="W215" s="411" t="n">
        <v>42.4442751751622</v>
      </c>
      <c r="X215" s="411" t="n">
        <v>42.4442243523562</v>
      </c>
      <c r="Y215" s="411" t="n">
        <v>42.4441398302659</v>
      </c>
      <c r="Z215" s="411" t="n">
        <v>42.4440050103982</v>
      </c>
      <c r="AA215" s="411" t="n">
        <v>42.1166125319815</v>
      </c>
      <c r="AB215" s="401" t="n">
        <f aca="false">Peak!AB217</f>
        <v>0.849769160274982</v>
      </c>
      <c r="AC215" s="401" t="n">
        <f aca="false">Peak!AC217</f>
        <v>0</v>
      </c>
      <c r="AD215" s="405" t="n">
        <f aca="false">Peak!AD217</f>
        <v>870.060330328103</v>
      </c>
      <c r="AE215" s="405" t="n">
        <f aca="false">Peak!AE217</f>
        <v>1879.5637242099</v>
      </c>
      <c r="AF215" s="401" t="n">
        <f aca="false">Peak!AF217</f>
        <v>1</v>
      </c>
      <c r="AG215" s="406" t="n">
        <f aca="false">Peak!AG217</f>
        <v>0</v>
      </c>
      <c r="AH215" s="401" t="n">
        <f aca="false">Peak!AH217</f>
        <v>4.61994504908711</v>
      </c>
      <c r="AI215" s="401" t="n">
        <f aca="false">Peak!AI217</f>
        <v>4.65685000414911</v>
      </c>
      <c r="AJ215" s="401" t="n">
        <f aca="false">Peak!AJ217</f>
        <v>0</v>
      </c>
      <c r="AK215" s="401" t="n">
        <f aca="false">Peak!AK217</f>
        <v>0</v>
      </c>
      <c r="AL215" s="1"/>
    </row>
    <row r="216" customFormat="false" ht="12.75" hidden="false" customHeight="false" outlineLevel="0" collapsed="false">
      <c r="A216" s="400" t="n">
        <f aca="false">A215+30.417</f>
        <v>42836.319</v>
      </c>
      <c r="B216" s="401" t="n">
        <f aca="false">IF($B$7="Coal",AG216,IF($B$7="Gas",AH216,IF($B$7="Oil",AI216,0)))</f>
        <v>4.39220127906169</v>
      </c>
      <c r="C216" s="402" t="n">
        <f aca="false">(B216*$B$1*1000)/1000000</f>
        <v>49.6527140466999</v>
      </c>
      <c r="D216" s="401" t="n">
        <f aca="false">AB216+AC216</f>
        <v>0.851185442208774</v>
      </c>
      <c r="E216" s="401" t="n">
        <f aca="false">(($AJ216*$B$1*AD216*1000)/2000)/1000000</f>
        <v>0</v>
      </c>
      <c r="F216" s="401" t="n">
        <f aca="false">AF216*(($AK216*$B$1*AE216*1000)/2000)/1000000</f>
        <v>0</v>
      </c>
      <c r="G216" s="403" t="str">
        <f aca="false">IF(IS!$C$2="Peak","-",SUM(C216:F216))</f>
        <v>-</v>
      </c>
      <c r="H216" s="411" t="n">
        <v>106.835125272223</v>
      </c>
      <c r="I216" s="411" t="n">
        <v>93.0657010621895</v>
      </c>
      <c r="J216" s="411" t="n">
        <v>86.9359726701002</v>
      </c>
      <c r="K216" s="411" t="n">
        <v>84.3329977041935</v>
      </c>
      <c r="L216" s="411" t="n">
        <v>83.7402677947229</v>
      </c>
      <c r="M216" s="411" t="n">
        <v>62.4247275079397</v>
      </c>
      <c r="N216" s="411" t="n">
        <v>50.5623289351346</v>
      </c>
      <c r="O216" s="411" t="n">
        <v>47.3109321089032</v>
      </c>
      <c r="P216" s="411" t="n">
        <v>43.2498687729012</v>
      </c>
      <c r="Q216" s="411" t="n">
        <v>40.742446100754</v>
      </c>
      <c r="R216" s="411" t="n">
        <v>40.742446100754</v>
      </c>
      <c r="S216" s="411" t="n">
        <v>40.742446100754</v>
      </c>
      <c r="T216" s="411" t="n">
        <v>40.7422605916893</v>
      </c>
      <c r="U216" s="411" t="n">
        <v>40.7416826028174</v>
      </c>
      <c r="V216" s="411" t="n">
        <v>40.7416826028174</v>
      </c>
      <c r="W216" s="411" t="n">
        <v>40.7416826028174</v>
      </c>
      <c r="X216" s="411" t="n">
        <v>40.7416826028174</v>
      </c>
      <c r="Y216" s="411" t="n">
        <v>39.6694407398728</v>
      </c>
      <c r="Z216" s="411" t="n">
        <v>37.2218549304815</v>
      </c>
      <c r="AA216" s="411" t="n">
        <v>33.4887577361331</v>
      </c>
      <c r="AB216" s="401" t="n">
        <f aca="false">Peak!AB218</f>
        <v>0.851185442208774</v>
      </c>
      <c r="AC216" s="401" t="n">
        <f aca="false">Peak!AC218</f>
        <v>0</v>
      </c>
      <c r="AD216" s="405" t="n">
        <f aca="false">Peak!AD218</f>
        <v>870.060330328103</v>
      </c>
      <c r="AE216" s="405" t="n">
        <f aca="false">Peak!AE218</f>
        <v>1879.5637242099</v>
      </c>
      <c r="AF216" s="401" t="n">
        <f aca="false">Peak!AF218</f>
        <v>1</v>
      </c>
      <c r="AG216" s="406" t="n">
        <f aca="false">Peak!AG218</f>
        <v>0</v>
      </c>
      <c r="AH216" s="401" t="n">
        <f aca="false">Peak!AH218</f>
        <v>4.39220127906169</v>
      </c>
      <c r="AI216" s="401" t="n">
        <f aca="false">Peak!AI218</f>
        <v>4.47600146029866</v>
      </c>
      <c r="AJ216" s="401" t="n">
        <f aca="false">Peak!AJ218</f>
        <v>0</v>
      </c>
      <c r="AK216" s="401" t="n">
        <f aca="false">Peak!AK218</f>
        <v>0</v>
      </c>
      <c r="AL216" s="1"/>
    </row>
    <row r="217" customFormat="false" ht="12.75" hidden="false" customHeight="false" outlineLevel="0" collapsed="false">
      <c r="A217" s="400" t="n">
        <f aca="false">A216+30.417</f>
        <v>42866.736</v>
      </c>
      <c r="B217" s="401" t="n">
        <f aca="false">IF($B$7="Coal",AG217,IF($B$7="Gas",AH217,IF($B$7="Oil",AI217,0)))</f>
        <v>4.62459288112845</v>
      </c>
      <c r="C217" s="402" t="n">
        <f aca="false">(B217*$B$1*1000)/1000000</f>
        <v>52.2798417740385</v>
      </c>
      <c r="D217" s="401" t="n">
        <f aca="false">AB217+AC217</f>
        <v>0.852604084612455</v>
      </c>
      <c r="E217" s="401" t="n">
        <f aca="false">(($AJ217*$B$1*AD217*1000)/2000)/1000000</f>
        <v>0</v>
      </c>
      <c r="F217" s="401" t="n">
        <f aca="false">AF217*(($AK217*$B$1*AE217*1000)/2000)/1000000</f>
        <v>0</v>
      </c>
      <c r="G217" s="403" t="str">
        <f aca="false">IF(IS!$C$2="Peak","-",SUM(C217:F217))</f>
        <v>-</v>
      </c>
      <c r="H217" s="411" t="n">
        <v>143.612124910075</v>
      </c>
      <c r="I217" s="411" t="n">
        <v>112.115151770413</v>
      </c>
      <c r="J217" s="411" t="n">
        <v>94.1332993216095</v>
      </c>
      <c r="K217" s="411" t="n">
        <v>83.4801190042086</v>
      </c>
      <c r="L217" s="411" t="n">
        <v>75.9821908252469</v>
      </c>
      <c r="M217" s="411" t="n">
        <v>73.4741372180153</v>
      </c>
      <c r="N217" s="411" t="n">
        <v>56.5818947359942</v>
      </c>
      <c r="O217" s="411" t="n">
        <v>48.2540872773443</v>
      </c>
      <c r="P217" s="411" t="n">
        <v>42.5501649452951</v>
      </c>
      <c r="Q217" s="411" t="n">
        <v>41.6045069555585</v>
      </c>
      <c r="R217" s="411" t="n">
        <v>41.0710654421196</v>
      </c>
      <c r="S217" s="411" t="n">
        <v>39.4906000822704</v>
      </c>
      <c r="T217" s="411" t="n">
        <v>38.4718597728562</v>
      </c>
      <c r="U217" s="411" t="n">
        <v>36.6288365860099</v>
      </c>
      <c r="V217" s="411" t="n">
        <v>36.252146557027</v>
      </c>
      <c r="W217" s="411" t="n">
        <v>35.982025942566</v>
      </c>
      <c r="X217" s="411" t="n">
        <v>35.981712983095</v>
      </c>
      <c r="Y217" s="411" t="n">
        <v>35.9816877865747</v>
      </c>
      <c r="Z217" s="411" t="n">
        <v>35.9816877865747</v>
      </c>
      <c r="AA217" s="411" t="n">
        <v>35.2023824173155</v>
      </c>
      <c r="AB217" s="401" t="n">
        <f aca="false">Peak!AB219</f>
        <v>0.852604084612455</v>
      </c>
      <c r="AC217" s="401" t="n">
        <f aca="false">Peak!AC219</f>
        <v>0</v>
      </c>
      <c r="AD217" s="405" t="n">
        <f aca="false">Peak!AD219</f>
        <v>870.060330328103</v>
      </c>
      <c r="AE217" s="405" t="n">
        <f aca="false">Peak!AE219</f>
        <v>1879.5637242099</v>
      </c>
      <c r="AF217" s="401" t="n">
        <f aca="false">Peak!AF219</f>
        <v>1</v>
      </c>
      <c r="AG217" s="406" t="n">
        <f aca="false">Peak!AG219</f>
        <v>0</v>
      </c>
      <c r="AH217" s="401" t="n">
        <f aca="false">Peak!AH219</f>
        <v>4.62459288112845</v>
      </c>
      <c r="AI217" s="401" t="n">
        <f aca="false">Peak!AI219</f>
        <v>4.29515291644821</v>
      </c>
      <c r="AJ217" s="401" t="n">
        <f aca="false">Peak!AJ219</f>
        <v>0</v>
      </c>
      <c r="AK217" s="401" t="n">
        <f aca="false">Peak!AK219</f>
        <v>0</v>
      </c>
      <c r="AL217" s="1"/>
    </row>
    <row r="218" customFormat="false" ht="12.75" hidden="false" customHeight="false" outlineLevel="0" collapsed="false">
      <c r="A218" s="400" t="n">
        <f aca="false">A217+30.417</f>
        <v>42897.153</v>
      </c>
      <c r="B218" s="401" t="n">
        <f aca="false">IF($B$7="Coal",AG218,IF($B$7="Gas",AH218,IF($B$7="Oil",AI218,0)))</f>
        <v>4.4061447751857</v>
      </c>
      <c r="C218" s="402" t="n">
        <f aca="false">(B218*$B$1*1000)/1000000</f>
        <v>49.8103417103402</v>
      </c>
      <c r="D218" s="401" t="n">
        <f aca="false">AB218+AC218</f>
        <v>0.854025091420143</v>
      </c>
      <c r="E218" s="401" t="n">
        <f aca="false">(($AJ218*$B$1*AD218*1000)/2000)/1000000</f>
        <v>0</v>
      </c>
      <c r="F218" s="401" t="n">
        <f aca="false">AF218*(($AK218*$B$1*AE218*1000)/2000)/1000000</f>
        <v>0</v>
      </c>
      <c r="G218" s="403" t="str">
        <f aca="false">IF(IS!$C$2="Peak","-",SUM(C218:F218))</f>
        <v>-</v>
      </c>
      <c r="H218" s="411" t="n">
        <v>154.236373464898</v>
      </c>
      <c r="I218" s="411" t="n">
        <v>148.513022410873</v>
      </c>
      <c r="J218" s="411" t="n">
        <v>101.469098081614</v>
      </c>
      <c r="K218" s="411" t="n">
        <v>80.0750122953274</v>
      </c>
      <c r="L218" s="411" t="n">
        <v>77.581098681798</v>
      </c>
      <c r="M218" s="411" t="n">
        <v>72.6988389879376</v>
      </c>
      <c r="N218" s="411" t="n">
        <v>70.1237163013011</v>
      </c>
      <c r="O218" s="411" t="n">
        <v>64.6115950518048</v>
      </c>
      <c r="P218" s="411" t="n">
        <v>59.0635360606212</v>
      </c>
      <c r="Q218" s="411" t="n">
        <v>55.308458031196</v>
      </c>
      <c r="R218" s="411" t="n">
        <v>51.0914028923343</v>
      </c>
      <c r="S218" s="411" t="n">
        <v>46.2849633259441</v>
      </c>
      <c r="T218" s="411" t="n">
        <v>40.9934109078648</v>
      </c>
      <c r="U218" s="411" t="n">
        <v>39.9172727621186</v>
      </c>
      <c r="V218" s="411" t="n">
        <v>39.3321816008601</v>
      </c>
      <c r="W218" s="411" t="n">
        <v>38.9218326425422</v>
      </c>
      <c r="X218" s="411" t="n">
        <v>38.6446976015304</v>
      </c>
      <c r="Y218" s="411" t="n">
        <v>38.1473140739808</v>
      </c>
      <c r="Z218" s="411" t="n">
        <v>37.4909002590899</v>
      </c>
      <c r="AA218" s="411" t="n">
        <v>36.2559220222514</v>
      </c>
      <c r="AB218" s="401" t="n">
        <f aca="false">Peak!AB220</f>
        <v>0.854025091420143</v>
      </c>
      <c r="AC218" s="401" t="n">
        <f aca="false">Peak!AC220</f>
        <v>0</v>
      </c>
      <c r="AD218" s="405" t="n">
        <f aca="false">Peak!AD220</f>
        <v>870.060330328103</v>
      </c>
      <c r="AE218" s="405" t="n">
        <f aca="false">Peak!AE220</f>
        <v>1879.5637242099</v>
      </c>
      <c r="AF218" s="401" t="n">
        <f aca="false">Peak!AF220</f>
        <v>1</v>
      </c>
      <c r="AG218" s="406" t="n">
        <f aca="false">Peak!AG220</f>
        <v>0</v>
      </c>
      <c r="AH218" s="401" t="n">
        <f aca="false">Peak!AH220</f>
        <v>4.4061447751857</v>
      </c>
      <c r="AI218" s="401" t="n">
        <f aca="false">Peak!AI220</f>
        <v>4.29515291644821</v>
      </c>
      <c r="AJ218" s="401" t="n">
        <f aca="false">Peak!AJ220</f>
        <v>0</v>
      </c>
      <c r="AK218" s="401" t="n">
        <f aca="false">Peak!AK220</f>
        <v>0</v>
      </c>
      <c r="AL218" s="1"/>
    </row>
    <row r="219" customFormat="false" ht="12.75" hidden="false" customHeight="false" outlineLevel="0" collapsed="false">
      <c r="A219" s="400" t="n">
        <f aca="false">A218+30.417</f>
        <v>42927.57</v>
      </c>
      <c r="B219" s="401" t="n">
        <f aca="false">IF($B$7="Coal",AG219,IF($B$7="Gas",AH219,IF($B$7="Oil",AI219,0)))</f>
        <v>4.39220127906169</v>
      </c>
      <c r="C219" s="402" t="n">
        <f aca="false">(B219*$B$1*1000)/1000000</f>
        <v>49.6527140466999</v>
      </c>
      <c r="D219" s="401" t="n">
        <f aca="false">AB219+AC219</f>
        <v>0.85544846657251</v>
      </c>
      <c r="E219" s="401" t="n">
        <f aca="false">(($AJ219*$B$1*AD219*1000)/2000)/1000000</f>
        <v>0</v>
      </c>
      <c r="F219" s="401" t="n">
        <f aca="false">AF219*(($AK219*$B$1*AE219*1000)/2000)/1000000</f>
        <v>0</v>
      </c>
      <c r="G219" s="403" t="str">
        <f aca="false">IF(IS!$C$2="Peak","-",SUM(C219:F219))</f>
        <v>-</v>
      </c>
      <c r="H219" s="411" t="n">
        <v>303.205537452228</v>
      </c>
      <c r="I219" s="411" t="n">
        <v>228.150861798371</v>
      </c>
      <c r="J219" s="411" t="n">
        <v>205.279692333164</v>
      </c>
      <c r="K219" s="411" t="n">
        <v>188.87218876912</v>
      </c>
      <c r="L219" s="411" t="n">
        <v>174.853301633706</v>
      </c>
      <c r="M219" s="411" t="n">
        <v>161.007306284271</v>
      </c>
      <c r="N219" s="411" t="n">
        <v>149.516274262338</v>
      </c>
      <c r="O219" s="411" t="n">
        <v>76.118642471708</v>
      </c>
      <c r="P219" s="411" t="n">
        <v>49.3744309149163</v>
      </c>
      <c r="Q219" s="411" t="n">
        <v>46.0387768184735</v>
      </c>
      <c r="R219" s="411" t="n">
        <v>43.1539864258002</v>
      </c>
      <c r="S219" s="411" t="n">
        <v>41.8155769588199</v>
      </c>
      <c r="T219" s="411" t="n">
        <v>40.8603593789363</v>
      </c>
      <c r="U219" s="411" t="n">
        <v>40.4381058223451</v>
      </c>
      <c r="V219" s="411" t="n">
        <v>39.2272041462159</v>
      </c>
      <c r="W219" s="411" t="n">
        <v>37.5367431757018</v>
      </c>
      <c r="X219" s="411" t="n">
        <v>35.8974019830091</v>
      </c>
      <c r="Y219" s="411" t="n">
        <v>34.9643769928461</v>
      </c>
      <c r="Z219" s="411" t="n">
        <v>32.7185424224654</v>
      </c>
      <c r="AA219" s="411" t="n">
        <v>30.5103810265956</v>
      </c>
      <c r="AB219" s="401" t="n">
        <f aca="false">Peak!AB221</f>
        <v>0.85544846657251</v>
      </c>
      <c r="AC219" s="401" t="n">
        <f aca="false">Peak!AC221</f>
        <v>0</v>
      </c>
      <c r="AD219" s="405" t="n">
        <f aca="false">Peak!AD221</f>
        <v>870.060330328103</v>
      </c>
      <c r="AE219" s="405" t="n">
        <f aca="false">Peak!AE221</f>
        <v>1879.5637242099</v>
      </c>
      <c r="AF219" s="401" t="n">
        <f aca="false">Peak!AF221</f>
        <v>1</v>
      </c>
      <c r="AG219" s="406" t="n">
        <f aca="false">Peak!AG221</f>
        <v>0</v>
      </c>
      <c r="AH219" s="401" t="n">
        <f aca="false">Peak!AH221</f>
        <v>4.39220127906169</v>
      </c>
      <c r="AI219" s="401" t="n">
        <f aca="false">Peak!AI221</f>
        <v>4.29515291644821</v>
      </c>
      <c r="AJ219" s="401" t="n">
        <f aca="false">Peak!AJ221</f>
        <v>0</v>
      </c>
      <c r="AK219" s="401" t="n">
        <f aca="false">Peak!AK221</f>
        <v>0</v>
      </c>
      <c r="AL219" s="1"/>
    </row>
    <row r="220" customFormat="false" ht="12.75" hidden="false" customHeight="false" outlineLevel="0" collapsed="false">
      <c r="A220" s="400" t="n">
        <f aca="false">A219+30.417</f>
        <v>42957.987</v>
      </c>
      <c r="B220" s="401" t="n">
        <f aca="false">IF($B$7="Coal",AG220,IF($B$7="Gas",AH220,IF($B$7="Oil",AI220,0)))</f>
        <v>4.16445750903627</v>
      </c>
      <c r="C220" s="402" t="n">
        <f aca="false">(B220*$B$1*1000)/1000000</f>
        <v>47.0781288739081</v>
      </c>
      <c r="D220" s="401" t="n">
        <f aca="false">AB220+AC220</f>
        <v>0.856874214016797</v>
      </c>
      <c r="E220" s="401" t="n">
        <f aca="false">(($AJ220*$B$1*AD220*1000)/2000)/1000000</f>
        <v>0</v>
      </c>
      <c r="F220" s="401" t="n">
        <f aca="false">AF220*(($AK220*$B$1*AE220*1000)/2000)/1000000</f>
        <v>0</v>
      </c>
      <c r="G220" s="403" t="str">
        <f aca="false">IF(IS!$C$2="Peak","-",SUM(C220:F220))</f>
        <v>-</v>
      </c>
      <c r="H220" s="411" t="n">
        <v>375.187094534061</v>
      </c>
      <c r="I220" s="411" t="n">
        <v>266.268993747879</v>
      </c>
      <c r="J220" s="411" t="n">
        <v>212.627893418285</v>
      </c>
      <c r="K220" s="411" t="n">
        <v>192.28570573345</v>
      </c>
      <c r="L220" s="411" t="n">
        <v>175.490933476589</v>
      </c>
      <c r="M220" s="411" t="n">
        <v>158.640221185845</v>
      </c>
      <c r="N220" s="411" t="n">
        <v>128.492896279699</v>
      </c>
      <c r="O220" s="411" t="n">
        <v>78.2634532689191</v>
      </c>
      <c r="P220" s="411" t="n">
        <v>72.5929003215174</v>
      </c>
      <c r="Q220" s="411" t="n">
        <v>54.4648587711949</v>
      </c>
      <c r="R220" s="411" t="n">
        <v>43.9778968857266</v>
      </c>
      <c r="S220" s="411" t="n">
        <v>41.734880155201</v>
      </c>
      <c r="T220" s="411" t="n">
        <v>40.6444475186124</v>
      </c>
      <c r="U220" s="411" t="n">
        <v>38.018927964754</v>
      </c>
      <c r="V220" s="411" t="n">
        <v>36.6423954650718</v>
      </c>
      <c r="W220" s="411" t="n">
        <v>36.5761724011138</v>
      </c>
      <c r="X220" s="411" t="n">
        <v>36.4413843578534</v>
      </c>
      <c r="Y220" s="411" t="n">
        <v>35.9907585350553</v>
      </c>
      <c r="Z220" s="411" t="n">
        <v>35.9907585350553</v>
      </c>
      <c r="AA220" s="411" t="n">
        <v>32.5001590184635</v>
      </c>
      <c r="AB220" s="401" t="n">
        <f aca="false">Peak!AB222</f>
        <v>0.856874214016797</v>
      </c>
      <c r="AC220" s="401" t="n">
        <f aca="false">Peak!AC222</f>
        <v>0</v>
      </c>
      <c r="AD220" s="405" t="n">
        <f aca="false">Peak!AD222</f>
        <v>870.060330328103</v>
      </c>
      <c r="AE220" s="405" t="n">
        <f aca="false">Peak!AE222</f>
        <v>1879.5637242099</v>
      </c>
      <c r="AF220" s="401" t="n">
        <f aca="false">Peak!AF222</f>
        <v>1</v>
      </c>
      <c r="AG220" s="406" t="n">
        <f aca="false">Peak!AG222</f>
        <v>0</v>
      </c>
      <c r="AH220" s="401" t="n">
        <f aca="false">Peak!AH222</f>
        <v>4.16445750903627</v>
      </c>
      <c r="AI220" s="401" t="n">
        <f aca="false">Peak!AI222</f>
        <v>4.29515291644821</v>
      </c>
      <c r="AJ220" s="401" t="n">
        <f aca="false">Peak!AJ222</f>
        <v>0</v>
      </c>
      <c r="AK220" s="401" t="n">
        <f aca="false">Peak!AK222</f>
        <v>0</v>
      </c>
      <c r="AL220" s="1"/>
    </row>
    <row r="221" customFormat="false" ht="12.75" hidden="false" customHeight="false" outlineLevel="0" collapsed="false">
      <c r="A221" s="400" t="n">
        <f aca="false">A220+30.417</f>
        <v>42988.404</v>
      </c>
      <c r="B221" s="401" t="n">
        <f aca="false">IF($B$7="Coal",AG221,IF($B$7="Gas",AH221,IF($B$7="Oil",AI221,0)))</f>
        <v>4.15051401291227</v>
      </c>
      <c r="C221" s="402" t="n">
        <f aca="false">(B221*$B$1*1000)/1000000</f>
        <v>46.9205012102677</v>
      </c>
      <c r="D221" s="401" t="n">
        <f aca="false">AB221+AC221</f>
        <v>0.858302337706825</v>
      </c>
      <c r="E221" s="401" t="n">
        <f aca="false">(($AJ221*$B$1*AD221*1000)/2000)/1000000</f>
        <v>0</v>
      </c>
      <c r="F221" s="401" t="n">
        <f aca="false">AF221*(($AK221*$B$1*AE221*1000)/2000)/1000000</f>
        <v>0</v>
      </c>
      <c r="G221" s="403" t="str">
        <f aca="false">IF(IS!$C$2="Peak","-",SUM(C221:F221))</f>
        <v>-</v>
      </c>
      <c r="H221" s="411" t="n">
        <v>181.421811926929</v>
      </c>
      <c r="I221" s="411" t="n">
        <v>170.426219052388</v>
      </c>
      <c r="J221" s="411" t="n">
        <v>160.695326740811</v>
      </c>
      <c r="K221" s="411" t="n">
        <v>150.656837234999</v>
      </c>
      <c r="L221" s="411" t="n">
        <v>112.927633639248</v>
      </c>
      <c r="M221" s="411" t="n">
        <v>81.321961927461</v>
      </c>
      <c r="N221" s="411" t="n">
        <v>76.2855483908794</v>
      </c>
      <c r="O221" s="411" t="n">
        <v>54.5706670598867</v>
      </c>
      <c r="P221" s="411" t="n">
        <v>44.7723656966224</v>
      </c>
      <c r="Q221" s="411" t="n">
        <v>42.7247490783996</v>
      </c>
      <c r="R221" s="411" t="n">
        <v>38.5734258709996</v>
      </c>
      <c r="S221" s="411" t="n">
        <v>38.1558623540319</v>
      </c>
      <c r="T221" s="411" t="n">
        <v>38.1558623540319</v>
      </c>
      <c r="U221" s="411" t="n">
        <v>38.1556172053022</v>
      </c>
      <c r="V221" s="411" t="n">
        <v>38.1550909602302</v>
      </c>
      <c r="W221" s="411" t="n">
        <v>38.1550909602302</v>
      </c>
      <c r="X221" s="411" t="n">
        <v>38.1550909602302</v>
      </c>
      <c r="Y221" s="411" t="n">
        <v>38.0227870006464</v>
      </c>
      <c r="Z221" s="411" t="n">
        <v>35.6856525272768</v>
      </c>
      <c r="AA221" s="411" t="n">
        <v>31.7761619019867</v>
      </c>
      <c r="AB221" s="401" t="n">
        <f aca="false">Peak!AB223</f>
        <v>0.858302337706825</v>
      </c>
      <c r="AC221" s="401" t="n">
        <f aca="false">Peak!AC223</f>
        <v>0</v>
      </c>
      <c r="AD221" s="405" t="n">
        <f aca="false">Peak!AD223</f>
        <v>870.060330328103</v>
      </c>
      <c r="AE221" s="405" t="n">
        <f aca="false">Peak!AE223</f>
        <v>1879.5637242099</v>
      </c>
      <c r="AF221" s="401" t="n">
        <f aca="false">Peak!AF223</f>
        <v>1</v>
      </c>
      <c r="AG221" s="406" t="n">
        <f aca="false">Peak!AG223</f>
        <v>0</v>
      </c>
      <c r="AH221" s="401" t="n">
        <f aca="false">Peak!AH223</f>
        <v>4.15051401291227</v>
      </c>
      <c r="AI221" s="401" t="n">
        <f aca="false">Peak!AI223</f>
        <v>4.29515291644821</v>
      </c>
      <c r="AJ221" s="401" t="n">
        <f aca="false">Peak!AJ223</f>
        <v>0</v>
      </c>
      <c r="AK221" s="401" t="n">
        <f aca="false">Peak!AK223</f>
        <v>0</v>
      </c>
      <c r="AL221" s="1"/>
    </row>
    <row r="222" customFormat="false" ht="12.75" hidden="false" customHeight="false" outlineLevel="0" collapsed="false">
      <c r="A222" s="400" t="n">
        <f aca="false">A221+30.417</f>
        <v>43018.821</v>
      </c>
      <c r="B222" s="401" t="n">
        <f aca="false">IF($B$7="Coal",AG222,IF($B$7="Gas",AH222,IF($B$7="Oil",AI222,0)))</f>
        <v>4.59670588888044</v>
      </c>
      <c r="C222" s="402" t="n">
        <f aca="false">(B222*$B$1*1000)/1000000</f>
        <v>51.9645864467579</v>
      </c>
      <c r="D222" s="401" t="n">
        <f aca="false">AB222+AC222</f>
        <v>0.859732841603003</v>
      </c>
      <c r="E222" s="401" t="n">
        <f aca="false">(($AJ222*$B$1*AD222*1000)/2000)/1000000</f>
        <v>0</v>
      </c>
      <c r="F222" s="401" t="n">
        <f aca="false">AF222*(($AK222*$B$1*AE222*1000)/2000)/1000000</f>
        <v>0</v>
      </c>
      <c r="G222" s="403" t="str">
        <f aca="false">IF(IS!$C$2="Peak","-",SUM(C222:F222))</f>
        <v>-</v>
      </c>
      <c r="H222" s="411" t="n">
        <v>108.450128091523</v>
      </c>
      <c r="I222" s="411" t="n">
        <v>86.6311527515169</v>
      </c>
      <c r="J222" s="411" t="n">
        <v>80.6617774142738</v>
      </c>
      <c r="K222" s="411" t="n">
        <v>75.4370723880413</v>
      </c>
      <c r="L222" s="411" t="n">
        <v>70.9412783749964</v>
      </c>
      <c r="M222" s="411" t="n">
        <v>67.4673521469395</v>
      </c>
      <c r="N222" s="411" t="n">
        <v>66.9964528087473</v>
      </c>
      <c r="O222" s="411" t="n">
        <v>61.3730357522091</v>
      </c>
      <c r="P222" s="411" t="n">
        <v>54.4155769565137</v>
      </c>
      <c r="Q222" s="411" t="n">
        <v>50.773738161096</v>
      </c>
      <c r="R222" s="411" t="n">
        <v>49.0181326080267</v>
      </c>
      <c r="S222" s="411" t="n">
        <v>47.7829675308875</v>
      </c>
      <c r="T222" s="411" t="n">
        <v>47.3772231951075</v>
      </c>
      <c r="U222" s="411" t="n">
        <v>46.3492894792131</v>
      </c>
      <c r="V222" s="411" t="n">
        <v>43.5234227451064</v>
      </c>
      <c r="W222" s="411" t="n">
        <v>38.6952145145246</v>
      </c>
      <c r="X222" s="411" t="n">
        <v>37.199581328397</v>
      </c>
      <c r="Y222" s="411" t="n">
        <v>34.4630183684313</v>
      </c>
      <c r="Z222" s="411" t="n">
        <v>33.228812300963</v>
      </c>
      <c r="AA222" s="411" t="n">
        <v>33.1409068657517</v>
      </c>
      <c r="AB222" s="401" t="n">
        <f aca="false">Peak!AB224</f>
        <v>0.859732841603003</v>
      </c>
      <c r="AC222" s="401" t="n">
        <f aca="false">Peak!AC224</f>
        <v>0</v>
      </c>
      <c r="AD222" s="405" t="n">
        <f aca="false">Peak!AD224</f>
        <v>870.060330328103</v>
      </c>
      <c r="AE222" s="405" t="n">
        <f aca="false">Peak!AE224</f>
        <v>1879.5637242099</v>
      </c>
      <c r="AF222" s="401" t="n">
        <f aca="false">Peak!AF224</f>
        <v>1</v>
      </c>
      <c r="AG222" s="406" t="n">
        <f aca="false">Peak!AG224</f>
        <v>0</v>
      </c>
      <c r="AH222" s="401" t="n">
        <f aca="false">Peak!AH224</f>
        <v>4.59670588888044</v>
      </c>
      <c r="AI222" s="401" t="n">
        <f aca="false">Peak!AI224</f>
        <v>4.29515291644821</v>
      </c>
      <c r="AJ222" s="401" t="n">
        <f aca="false">Peak!AJ224</f>
        <v>0</v>
      </c>
      <c r="AK222" s="401" t="n">
        <f aca="false">Peak!AK224</f>
        <v>0</v>
      </c>
      <c r="AL222" s="1"/>
    </row>
    <row r="223" customFormat="false" ht="12.75" hidden="false" customHeight="false" outlineLevel="0" collapsed="false">
      <c r="A223" s="400" t="n">
        <f aca="false">A222+30.417</f>
        <v>43049.238</v>
      </c>
      <c r="B223" s="401" t="n">
        <f aca="false">IF($B$7="Coal",AG223,IF($B$7="Gas",AH223,IF($B$7="Oil",AI223,0)))</f>
        <v>5.03360210076594</v>
      </c>
      <c r="C223" s="402" t="n">
        <f aca="false">(B223*$B$1*1000)/1000000</f>
        <v>56.9035865741545</v>
      </c>
      <c r="D223" s="401" t="n">
        <f aca="false">AB223+AC223</f>
        <v>0.861165729672342</v>
      </c>
      <c r="E223" s="401" t="n">
        <f aca="false">(($AJ223*$B$1*AD223*1000)/2000)/1000000</f>
        <v>0</v>
      </c>
      <c r="F223" s="401" t="n">
        <f aca="false">AF223*(($AK223*$B$1*AE223*1000)/2000)/1000000</f>
        <v>0</v>
      </c>
      <c r="G223" s="403" t="str">
        <f aca="false">IF(IS!$C$2="Peak","-",SUM(C223:F223))</f>
        <v>-</v>
      </c>
      <c r="H223" s="411" t="n">
        <v>153.084125415593</v>
      </c>
      <c r="I223" s="411" t="n">
        <v>149.685981770307</v>
      </c>
      <c r="J223" s="411" t="n">
        <v>141.103013374236</v>
      </c>
      <c r="K223" s="411" t="n">
        <v>95.2888703472755</v>
      </c>
      <c r="L223" s="411" t="n">
        <v>86.6782848231768</v>
      </c>
      <c r="M223" s="411" t="n">
        <v>82.797094058184</v>
      </c>
      <c r="N223" s="411" t="n">
        <v>78.3368117640418</v>
      </c>
      <c r="O223" s="411" t="n">
        <v>60.1361508950017</v>
      </c>
      <c r="P223" s="411" t="n">
        <v>55.9029500643296</v>
      </c>
      <c r="Q223" s="411" t="n">
        <v>49.2374944965549</v>
      </c>
      <c r="R223" s="411" t="n">
        <v>46.5829849554778</v>
      </c>
      <c r="S223" s="411" t="n">
        <v>46.2026718211695</v>
      </c>
      <c r="T223" s="411" t="n">
        <v>44.659791386541</v>
      </c>
      <c r="U223" s="411" t="n">
        <v>43.4628708606644</v>
      </c>
      <c r="V223" s="411" t="n">
        <v>42.330852200422</v>
      </c>
      <c r="W223" s="411" t="n">
        <v>41.2154568511003</v>
      </c>
      <c r="X223" s="411" t="n">
        <v>40.1344737871147</v>
      </c>
      <c r="Y223" s="411" t="n">
        <v>39.9892284651027</v>
      </c>
      <c r="Z223" s="411" t="n">
        <v>39.9891478010989</v>
      </c>
      <c r="AA223" s="411" t="n">
        <v>39.9796483477238</v>
      </c>
      <c r="AB223" s="401" t="n">
        <f aca="false">Peak!AB225</f>
        <v>0.861165729672342</v>
      </c>
      <c r="AC223" s="401" t="n">
        <f aca="false">Peak!AC225</f>
        <v>0</v>
      </c>
      <c r="AD223" s="405" t="n">
        <f aca="false">Peak!AD225</f>
        <v>870.060330328103</v>
      </c>
      <c r="AE223" s="405" t="n">
        <f aca="false">Peak!AE225</f>
        <v>1879.5637242099</v>
      </c>
      <c r="AF223" s="401" t="n">
        <f aca="false">Peak!AF225</f>
        <v>1</v>
      </c>
      <c r="AG223" s="406" t="n">
        <f aca="false">Peak!AG225</f>
        <v>0</v>
      </c>
      <c r="AH223" s="401" t="n">
        <f aca="false">Peak!AH225</f>
        <v>5.03360210076594</v>
      </c>
      <c r="AI223" s="401" t="n">
        <f aca="false">Peak!AI225</f>
        <v>4.65685000414911</v>
      </c>
      <c r="AJ223" s="401" t="n">
        <f aca="false">Peak!AJ225</f>
        <v>0</v>
      </c>
      <c r="AK223" s="401" t="n">
        <f aca="false">Peak!AK225</f>
        <v>0</v>
      </c>
      <c r="AL223" s="1"/>
    </row>
    <row r="224" customFormat="false" ht="12.75" hidden="false" customHeight="false" outlineLevel="0" collapsed="false">
      <c r="A224" s="400" t="n">
        <f aca="false">A223+30.417</f>
        <v>43079.655</v>
      </c>
      <c r="B224" s="401" t="n">
        <f aca="false">IF($B$7="Coal",AG224,IF($B$7="Gas",AH224,IF($B$7="Oil",AI224,0)))</f>
        <v>5.44725915244477</v>
      </c>
      <c r="C224" s="402" t="n">
        <f aca="false">(B224*$B$1*1000)/1000000</f>
        <v>61.5798739288172</v>
      </c>
      <c r="D224" s="401" t="n">
        <f aca="false">AB224+AC224</f>
        <v>0.862601005888462</v>
      </c>
      <c r="E224" s="401" t="n">
        <f aca="false">(($AJ224*$B$1*AD224*1000)/2000)/1000000</f>
        <v>0</v>
      </c>
      <c r="F224" s="401" t="n">
        <f aca="false">AF224*(($AK224*$B$1*AE224*1000)/2000)/1000000</f>
        <v>0</v>
      </c>
      <c r="G224" s="403" t="str">
        <f aca="false">IF(IS!$C$2="Peak","-",SUM(C224:F224))</f>
        <v>-</v>
      </c>
      <c r="H224" s="411" t="n">
        <v>103.009401118358</v>
      </c>
      <c r="I224" s="411" t="n">
        <v>102.821620165117</v>
      </c>
      <c r="J224" s="411" t="n">
        <v>92.788730921699</v>
      </c>
      <c r="K224" s="411" t="n">
        <v>79.8885569990728</v>
      </c>
      <c r="L224" s="411" t="n">
        <v>77.5684310292384</v>
      </c>
      <c r="M224" s="411" t="n">
        <v>75.543936443386</v>
      </c>
      <c r="N224" s="411" t="n">
        <v>74.3703597246524</v>
      </c>
      <c r="O224" s="411" t="n">
        <v>73.5939899638125</v>
      </c>
      <c r="P224" s="411" t="n">
        <v>73.2147900022757</v>
      </c>
      <c r="Q224" s="411" t="n">
        <v>72.4699525969332</v>
      </c>
      <c r="R224" s="411" t="n">
        <v>70.7757347575996</v>
      </c>
      <c r="S224" s="411" t="n">
        <v>70.5218680639357</v>
      </c>
      <c r="T224" s="411" t="n">
        <v>70.0647219804976</v>
      </c>
      <c r="U224" s="411" t="n">
        <v>63.7629439137944</v>
      </c>
      <c r="V224" s="411" t="n">
        <v>58.1933406414002</v>
      </c>
      <c r="W224" s="411" t="n">
        <v>55.5951831759928</v>
      </c>
      <c r="X224" s="411" t="n">
        <v>51.5732781552023</v>
      </c>
      <c r="Y224" s="411" t="n">
        <v>48.6453730074145</v>
      </c>
      <c r="Z224" s="411" t="n">
        <v>48.6453426897138</v>
      </c>
      <c r="AA224" s="411" t="n">
        <v>48.6439602028484</v>
      </c>
      <c r="AB224" s="401" t="n">
        <f aca="false">Peak!AB226</f>
        <v>0.862601005888462</v>
      </c>
      <c r="AC224" s="401" t="n">
        <f aca="false">Peak!AC226</f>
        <v>0</v>
      </c>
      <c r="AD224" s="405" t="n">
        <f aca="false">Peak!AD226</f>
        <v>870.060330328103</v>
      </c>
      <c r="AE224" s="405" t="n">
        <f aca="false">Peak!AE226</f>
        <v>1879.5637242099</v>
      </c>
      <c r="AF224" s="401" t="n">
        <f aca="false">Peak!AF226</f>
        <v>1</v>
      </c>
      <c r="AG224" s="406" t="n">
        <f aca="false">Peak!AG226</f>
        <v>0</v>
      </c>
      <c r="AH224" s="401" t="n">
        <f aca="false">Peak!AH226</f>
        <v>5.44725915244477</v>
      </c>
      <c r="AI224" s="401" t="n">
        <f aca="false">Peak!AI226</f>
        <v>4.88291068396218</v>
      </c>
      <c r="AJ224" s="401" t="n">
        <f aca="false">Peak!AJ226</f>
        <v>0</v>
      </c>
      <c r="AK224" s="401" t="n">
        <f aca="false">Peak!AK226</f>
        <v>0</v>
      </c>
      <c r="AL224" s="1"/>
    </row>
    <row r="225" customFormat="false" ht="12.75" hidden="false" customHeight="false" outlineLevel="0" collapsed="false">
      <c r="A225" s="400" t="n">
        <f aca="false">A224+30.417</f>
        <v>43110.072</v>
      </c>
      <c r="B225" s="401" t="n">
        <f aca="false">IF($B$7="Coal",AG225,IF($B$7="Gas",AH225,IF($B$7="Oil",AI225,0)))</f>
        <v>5.53737444382414</v>
      </c>
      <c r="C225" s="402" t="n">
        <f aca="false">(B225*$B$1*1000)/1000000</f>
        <v>62.5986042897016</v>
      </c>
      <c r="D225" s="401" t="n">
        <f aca="false">AB225+AC225</f>
        <v>0.86403867423161</v>
      </c>
      <c r="E225" s="401" t="n">
        <f aca="false">(($AJ225*$B$1*AD225*1000)/2000)/1000000</f>
        <v>0</v>
      </c>
      <c r="F225" s="401" t="n">
        <f aca="false">AF225*(($AK225*$B$1*AE225*1000)/2000)/1000000</f>
        <v>0</v>
      </c>
      <c r="G225" s="403" t="str">
        <f aca="false">IF(IS!$C$2="Peak","-",SUM(C225:F225))</f>
        <v>-</v>
      </c>
      <c r="H225" s="411" t="n">
        <v>130.35656114132</v>
      </c>
      <c r="I225" s="411" t="n">
        <v>121.553033409574</v>
      </c>
      <c r="J225" s="411" t="n">
        <v>116.665285643891</v>
      </c>
      <c r="K225" s="411" t="n">
        <v>109.032511717181</v>
      </c>
      <c r="L225" s="411" t="n">
        <v>108.107439178237</v>
      </c>
      <c r="M225" s="411" t="n">
        <v>100.211376620751</v>
      </c>
      <c r="N225" s="411" t="n">
        <v>73.9953693740176</v>
      </c>
      <c r="O225" s="411" t="n">
        <v>61.9000508279622</v>
      </c>
      <c r="P225" s="411" t="n">
        <v>59.8424411550954</v>
      </c>
      <c r="Q225" s="411" t="n">
        <v>53.6937191460827</v>
      </c>
      <c r="R225" s="411" t="n">
        <v>51.984473133182</v>
      </c>
      <c r="S225" s="411" t="n">
        <v>51.5157368746121</v>
      </c>
      <c r="T225" s="411" t="n">
        <v>51.3692676435094</v>
      </c>
      <c r="U225" s="411" t="n">
        <v>50.9427754195089</v>
      </c>
      <c r="V225" s="411" t="n">
        <v>50.9287998798277</v>
      </c>
      <c r="W225" s="411" t="n">
        <v>50.9287998798277</v>
      </c>
      <c r="X225" s="411" t="n">
        <v>50.9287998798277</v>
      </c>
      <c r="Y225" s="411" t="n">
        <v>50.9287998798277</v>
      </c>
      <c r="Z225" s="411" t="n">
        <v>50.9285430885121</v>
      </c>
      <c r="AA225" s="411" t="n">
        <v>49.2331681210708</v>
      </c>
      <c r="AB225" s="401" t="n">
        <f aca="false">Peak!AB227</f>
        <v>0.86403867423161</v>
      </c>
      <c r="AC225" s="401" t="n">
        <f aca="false">Peak!AC227</f>
        <v>0</v>
      </c>
      <c r="AD225" s="405" t="n">
        <f aca="false">Peak!AD227</f>
        <v>744.383671998014</v>
      </c>
      <c r="AE225" s="405" t="n">
        <f aca="false">Peak!AE227</f>
        <v>2070.10833338081</v>
      </c>
      <c r="AF225" s="401" t="n">
        <f aca="false">Peak!AF227</f>
        <v>1</v>
      </c>
      <c r="AG225" s="406" t="n">
        <f aca="false">Peak!AG227</f>
        <v>0</v>
      </c>
      <c r="AH225" s="401" t="n">
        <f aca="false">Peak!AH227</f>
        <v>5.53737444382414</v>
      </c>
      <c r="AI225" s="401" t="n">
        <f aca="false">Peak!AI227</f>
        <v>5.17795714311112</v>
      </c>
      <c r="AJ225" s="401" t="n">
        <f aca="false">Peak!AJ227</f>
        <v>0</v>
      </c>
      <c r="AK225" s="401" t="n">
        <f aca="false">Peak!AK227</f>
        <v>0</v>
      </c>
      <c r="AL225" s="1"/>
    </row>
    <row r="226" customFormat="false" ht="12.75" hidden="false" customHeight="false" outlineLevel="0" collapsed="false">
      <c r="A226" s="400" t="n">
        <f aca="false">A225+30.417</f>
        <v>43140.489</v>
      </c>
      <c r="B226" s="401" t="n">
        <f aca="false">IF($B$7="Coal",AG226,IF($B$7="Gas",AH226,IF($B$7="Oil",AI226,0)))</f>
        <v>4.9630191158743</v>
      </c>
      <c r="C226" s="402" t="n">
        <f aca="false">(B226*$B$1*1000)/1000000</f>
        <v>56.1056639511421</v>
      </c>
      <c r="D226" s="401" t="n">
        <f aca="false">AB226+AC226</f>
        <v>0.865478738688662</v>
      </c>
      <c r="E226" s="401" t="n">
        <f aca="false">(($AJ226*$B$1*AD226*1000)/2000)/1000000</f>
        <v>0</v>
      </c>
      <c r="F226" s="401" t="n">
        <f aca="false">AF226*(($AK226*$B$1*AE226*1000)/2000)/1000000</f>
        <v>0</v>
      </c>
      <c r="G226" s="403" t="str">
        <f aca="false">IF(IS!$C$2="Peak","-",SUM(C226:F226))</f>
        <v>-</v>
      </c>
      <c r="H226" s="411" t="n">
        <v>144.504323452613</v>
      </c>
      <c r="I226" s="411" t="n">
        <v>125.597417386697</v>
      </c>
      <c r="J226" s="411" t="n">
        <v>120.742347533082</v>
      </c>
      <c r="K226" s="411" t="n">
        <v>113.081757126438</v>
      </c>
      <c r="L226" s="411" t="n">
        <v>111.927646132508</v>
      </c>
      <c r="M226" s="411" t="n">
        <v>90.1778666184393</v>
      </c>
      <c r="N226" s="411" t="n">
        <v>79.0402487060737</v>
      </c>
      <c r="O226" s="411" t="n">
        <v>72.6001163396376</v>
      </c>
      <c r="P226" s="411" t="n">
        <v>63.3046480682827</v>
      </c>
      <c r="Q226" s="411" t="n">
        <v>59.0653464789222</v>
      </c>
      <c r="R226" s="411" t="n">
        <v>56.570497908015</v>
      </c>
      <c r="S226" s="411" t="n">
        <v>54.5533835365975</v>
      </c>
      <c r="T226" s="411" t="n">
        <v>53.594412445187</v>
      </c>
      <c r="U226" s="411" t="n">
        <v>52.9861556722795</v>
      </c>
      <c r="V226" s="411" t="n">
        <v>52.9861556722795</v>
      </c>
      <c r="W226" s="411" t="n">
        <v>52.9861556722795</v>
      </c>
      <c r="X226" s="411" t="n">
        <v>52.9861556722795</v>
      </c>
      <c r="Y226" s="411" t="n">
        <v>52.9861556722795</v>
      </c>
      <c r="Z226" s="411" t="n">
        <v>52.9068421635946</v>
      </c>
      <c r="AA226" s="411" t="n">
        <v>52.5013979530541</v>
      </c>
      <c r="AB226" s="401" t="n">
        <f aca="false">Peak!AB228</f>
        <v>0.865478738688662</v>
      </c>
      <c r="AC226" s="401" t="n">
        <f aca="false">Peak!AC228</f>
        <v>0</v>
      </c>
      <c r="AD226" s="405" t="n">
        <f aca="false">Peak!AD228</f>
        <v>744.383671998014</v>
      </c>
      <c r="AE226" s="405" t="n">
        <f aca="false">Peak!AE228</f>
        <v>2070.10833338081</v>
      </c>
      <c r="AF226" s="401" t="n">
        <f aca="false">Peak!AF228</f>
        <v>1</v>
      </c>
      <c r="AG226" s="406" t="n">
        <f aca="false">Peak!AG228</f>
        <v>0</v>
      </c>
      <c r="AH226" s="401" t="n">
        <f aca="false">Peak!AH228</f>
        <v>4.9630191158743</v>
      </c>
      <c r="AI226" s="401" t="n">
        <f aca="false">Peak!AI228</f>
        <v>5.13001309548972</v>
      </c>
      <c r="AJ226" s="401" t="n">
        <f aca="false">Peak!AJ228</f>
        <v>0</v>
      </c>
      <c r="AK226" s="401" t="n">
        <f aca="false">Peak!AK228</f>
        <v>0</v>
      </c>
      <c r="AL226" s="1"/>
    </row>
    <row r="227" customFormat="false" ht="12.75" hidden="false" customHeight="false" outlineLevel="0" collapsed="false">
      <c r="A227" s="400" t="n">
        <f aca="false">A226+30.417</f>
        <v>43170.906</v>
      </c>
      <c r="B227" s="401" t="n">
        <f aca="false">IF($B$7="Coal",AG227,IF($B$7="Gas",AH227,IF($B$7="Oil",AI227,0)))</f>
        <v>4.87956577762517</v>
      </c>
      <c r="C227" s="402" t="n">
        <f aca="false">(B227*$B$1*1000)/1000000</f>
        <v>55.1622452694711</v>
      </c>
      <c r="D227" s="401" t="n">
        <f aca="false">AB227+AC227</f>
        <v>0.866921203253144</v>
      </c>
      <c r="E227" s="401" t="n">
        <f aca="false">(($AJ227*$B$1*AD227*1000)/2000)/1000000</f>
        <v>0</v>
      </c>
      <c r="F227" s="401" t="n">
        <f aca="false">AF227*(($AK227*$B$1*AE227*1000)/2000)/1000000</f>
        <v>0</v>
      </c>
      <c r="G227" s="403" t="str">
        <f aca="false">IF(IS!$C$2="Peak","-",SUM(C227:F227))</f>
        <v>-</v>
      </c>
      <c r="H227" s="411" t="n">
        <v>128.601710947601</v>
      </c>
      <c r="I227" s="411" t="n">
        <v>97.6282690691138</v>
      </c>
      <c r="J227" s="411" t="n">
        <v>93.0237776749663</v>
      </c>
      <c r="K227" s="411" t="n">
        <v>87.2756197030197</v>
      </c>
      <c r="L227" s="411" t="n">
        <v>81.7466003052874</v>
      </c>
      <c r="M227" s="411" t="n">
        <v>81.1290857393808</v>
      </c>
      <c r="N227" s="411" t="n">
        <v>73.7749997308893</v>
      </c>
      <c r="O227" s="411" t="n">
        <v>60.5544668920474</v>
      </c>
      <c r="P227" s="411" t="n">
        <v>56.4954207954324</v>
      </c>
      <c r="Q227" s="411" t="n">
        <v>55.0998767235566</v>
      </c>
      <c r="R227" s="411" t="n">
        <v>51.6624050184799</v>
      </c>
      <c r="S227" s="411" t="n">
        <v>49.9175432061376</v>
      </c>
      <c r="T227" s="411" t="n">
        <v>48.7708223227661</v>
      </c>
      <c r="U227" s="411" t="n">
        <v>47.6410039650674</v>
      </c>
      <c r="V227" s="411" t="n">
        <v>45.9028780515047</v>
      </c>
      <c r="W227" s="411" t="n">
        <v>45.4600093598278</v>
      </c>
      <c r="X227" s="411" t="n">
        <v>44.0271117393499</v>
      </c>
      <c r="Y227" s="411" t="n">
        <v>42.6767193924879</v>
      </c>
      <c r="Z227" s="411" t="n">
        <v>40.2572839724399</v>
      </c>
      <c r="AA227" s="411" t="n">
        <v>39.4269950575864</v>
      </c>
      <c r="AB227" s="401" t="n">
        <f aca="false">Peak!AB229</f>
        <v>0.866921203253144</v>
      </c>
      <c r="AC227" s="401" t="n">
        <f aca="false">Peak!AC229</f>
        <v>0</v>
      </c>
      <c r="AD227" s="405" t="n">
        <f aca="false">Peak!AD229</f>
        <v>744.383671998014</v>
      </c>
      <c r="AE227" s="405" t="n">
        <f aca="false">Peak!AE229</f>
        <v>2070.10833338081</v>
      </c>
      <c r="AF227" s="401" t="n">
        <f aca="false">Peak!AF229</f>
        <v>1</v>
      </c>
      <c r="AG227" s="406" t="n">
        <f aca="false">Peak!AG229</f>
        <v>0</v>
      </c>
      <c r="AH227" s="401" t="n">
        <f aca="false">Peak!AH229</f>
        <v>4.87956577762517</v>
      </c>
      <c r="AI227" s="401" t="n">
        <f aca="false">Peak!AI229</f>
        <v>4.93823690500412</v>
      </c>
      <c r="AJ227" s="401" t="n">
        <f aca="false">Peak!AJ229</f>
        <v>0</v>
      </c>
      <c r="AK227" s="401" t="n">
        <f aca="false">Peak!AK229</f>
        <v>0</v>
      </c>
      <c r="AL227" s="1"/>
    </row>
    <row r="228" customFormat="false" ht="12.75" hidden="false" customHeight="false" outlineLevel="0" collapsed="false">
      <c r="A228" s="400" t="n">
        <f aca="false">A227+30.417</f>
        <v>43201.323</v>
      </c>
      <c r="B228" s="401" t="n">
        <f aca="false">IF($B$7="Coal",AG228,IF($B$7="Gas",AH228,IF($B$7="Oil",AI228,0)))</f>
        <v>4.63902380267182</v>
      </c>
      <c r="C228" s="402" t="n">
        <f aca="false">(B228*$B$1*1000)/1000000</f>
        <v>52.4429796575957</v>
      </c>
      <c r="D228" s="401" t="n">
        <f aca="false">AB228+AC228</f>
        <v>0.868366071925232</v>
      </c>
      <c r="E228" s="401" t="n">
        <f aca="false">(($AJ228*$B$1*AD228*1000)/2000)/1000000</f>
        <v>0</v>
      </c>
      <c r="F228" s="401" t="n">
        <f aca="false">AF228*(($AK228*$B$1*AE228*1000)/2000)/1000000</f>
        <v>0</v>
      </c>
      <c r="G228" s="403" t="str">
        <f aca="false">IF(IS!$C$2="Peak","-",SUM(C228:F228))</f>
        <v>-</v>
      </c>
      <c r="H228" s="411" t="n">
        <v>97.9602337462752</v>
      </c>
      <c r="I228" s="411" t="n">
        <v>90.5470912381302</v>
      </c>
      <c r="J228" s="411" t="n">
        <v>85.6155963267499</v>
      </c>
      <c r="K228" s="411" t="n">
        <v>80.5997213046191</v>
      </c>
      <c r="L228" s="411" t="n">
        <v>75.326331313685</v>
      </c>
      <c r="M228" s="411" t="n">
        <v>74.8364390659178</v>
      </c>
      <c r="N228" s="411" t="n">
        <v>66.9372954721148</v>
      </c>
      <c r="O228" s="411" t="n">
        <v>52.3868714266256</v>
      </c>
      <c r="P228" s="411" t="n">
        <v>48.0823485609164</v>
      </c>
      <c r="Q228" s="411" t="n">
        <v>42.8662815781567</v>
      </c>
      <c r="R228" s="411" t="n">
        <v>42.3257598522207</v>
      </c>
      <c r="S228" s="411" t="n">
        <v>41.2884064265135</v>
      </c>
      <c r="T228" s="411" t="n">
        <v>39.7931033784392</v>
      </c>
      <c r="U228" s="411" t="n">
        <v>38.3979048918737</v>
      </c>
      <c r="V228" s="411" t="n">
        <v>37.1593385826382</v>
      </c>
      <c r="W228" s="411" t="n">
        <v>36.6654096087934</v>
      </c>
      <c r="X228" s="411" t="n">
        <v>36.6653941723493</v>
      </c>
      <c r="Y228" s="411" t="n">
        <v>36.6653941723493</v>
      </c>
      <c r="Z228" s="411" t="n">
        <v>36.6653941723493</v>
      </c>
      <c r="AA228" s="411" t="n">
        <v>36.3621497789375</v>
      </c>
      <c r="AB228" s="401" t="n">
        <f aca="false">Peak!AB230</f>
        <v>0.868366071925232</v>
      </c>
      <c r="AC228" s="401" t="n">
        <f aca="false">Peak!AC230</f>
        <v>0</v>
      </c>
      <c r="AD228" s="405" t="n">
        <f aca="false">Peak!AD230</f>
        <v>744.383671998014</v>
      </c>
      <c r="AE228" s="405" t="n">
        <f aca="false">Peak!AE230</f>
        <v>2070.10833338081</v>
      </c>
      <c r="AF228" s="401" t="n">
        <f aca="false">Peak!AF230</f>
        <v>1</v>
      </c>
      <c r="AG228" s="406" t="n">
        <f aca="false">Peak!AG230</f>
        <v>0</v>
      </c>
      <c r="AH228" s="401" t="n">
        <f aca="false">Peak!AH230</f>
        <v>4.63902380267182</v>
      </c>
      <c r="AI228" s="401" t="n">
        <f aca="false">Peak!AI230</f>
        <v>4.74646071451852</v>
      </c>
      <c r="AJ228" s="401" t="n">
        <f aca="false">Peak!AJ230</f>
        <v>0</v>
      </c>
      <c r="AK228" s="401" t="n">
        <f aca="false">Peak!AK230</f>
        <v>0</v>
      </c>
      <c r="AL228" s="1"/>
    </row>
    <row r="229" customFormat="false" ht="12.75" hidden="false" customHeight="false" outlineLevel="0" collapsed="false">
      <c r="A229" s="400" t="n">
        <f aca="false">A228+30.417</f>
        <v>43231.74</v>
      </c>
      <c r="B229" s="401" t="n">
        <f aca="false">IF($B$7="Coal",AG229,IF($B$7="Gas",AH229,IF($B$7="Oil",AI229,0)))</f>
        <v>4.88447479752218</v>
      </c>
      <c r="C229" s="402" t="n">
        <f aca="false">(B229*$B$1*1000)/1000000</f>
        <v>55.2177404860399</v>
      </c>
      <c r="D229" s="401" t="n">
        <f aca="false">AB229+AC229</f>
        <v>0.869813348711774</v>
      </c>
      <c r="E229" s="401" t="n">
        <f aca="false">(($AJ229*$B$1*AD229*1000)/2000)/1000000</f>
        <v>0</v>
      </c>
      <c r="F229" s="401" t="n">
        <f aca="false">AF229*(($AK229*$B$1*AE229*1000)/2000)/1000000</f>
        <v>0</v>
      </c>
      <c r="G229" s="403" t="str">
        <f aca="false">IF(IS!$C$2="Peak","-",SUM(C229:F229))</f>
        <v>-</v>
      </c>
      <c r="H229" s="411" t="n">
        <v>154.560934335856</v>
      </c>
      <c r="I229" s="411" t="n">
        <v>149.187590560897</v>
      </c>
      <c r="J229" s="411" t="n">
        <v>106.035825585193</v>
      </c>
      <c r="K229" s="411" t="n">
        <v>74.6959035825119</v>
      </c>
      <c r="L229" s="411" t="n">
        <v>69.183640193392</v>
      </c>
      <c r="M229" s="411" t="n">
        <v>66.2526388017497</v>
      </c>
      <c r="N229" s="411" t="n">
        <v>52.7350507644703</v>
      </c>
      <c r="O229" s="411" t="n">
        <v>48.6366791020293</v>
      </c>
      <c r="P229" s="411" t="n">
        <v>46.6683644158673</v>
      </c>
      <c r="Q229" s="411" t="n">
        <v>45.1035176568855</v>
      </c>
      <c r="R229" s="411" t="n">
        <v>43.585097226981</v>
      </c>
      <c r="S229" s="411" t="n">
        <v>42.4435147472814</v>
      </c>
      <c r="T229" s="411" t="n">
        <v>40.635173192299</v>
      </c>
      <c r="U229" s="411" t="n">
        <v>39.2483699314664</v>
      </c>
      <c r="V229" s="411" t="n">
        <v>38.4308055322002</v>
      </c>
      <c r="W229" s="411" t="n">
        <v>34.3938828714426</v>
      </c>
      <c r="X229" s="411" t="n">
        <v>34.0214172539867</v>
      </c>
      <c r="Y229" s="411" t="n">
        <v>34.0213821284881</v>
      </c>
      <c r="Z229" s="411" t="n">
        <v>34.0213328498306</v>
      </c>
      <c r="AA229" s="411" t="n">
        <v>34.0078614417061</v>
      </c>
      <c r="AB229" s="401" t="n">
        <f aca="false">Peak!AB231</f>
        <v>0.869813348711774</v>
      </c>
      <c r="AC229" s="401" t="n">
        <f aca="false">Peak!AC231</f>
        <v>0</v>
      </c>
      <c r="AD229" s="405" t="n">
        <f aca="false">Peak!AD231</f>
        <v>744.383671998014</v>
      </c>
      <c r="AE229" s="405" t="n">
        <f aca="false">Peak!AE231</f>
        <v>2070.10833338081</v>
      </c>
      <c r="AF229" s="401" t="n">
        <f aca="false">Peak!AF231</f>
        <v>1</v>
      </c>
      <c r="AG229" s="406" t="n">
        <f aca="false">Peak!AG231</f>
        <v>0</v>
      </c>
      <c r="AH229" s="401" t="n">
        <f aca="false">Peak!AH231</f>
        <v>4.88447479752218</v>
      </c>
      <c r="AI229" s="401" t="n">
        <f aca="false">Peak!AI231</f>
        <v>4.55468452403293</v>
      </c>
      <c r="AJ229" s="401" t="n">
        <f aca="false">Peak!AJ231</f>
        <v>0</v>
      </c>
      <c r="AK229" s="401" t="n">
        <f aca="false">Peak!AK231</f>
        <v>0</v>
      </c>
      <c r="AL229" s="1"/>
    </row>
    <row r="230" customFormat="false" ht="12.75" hidden="false" customHeight="false" outlineLevel="0" collapsed="false">
      <c r="A230" s="400" t="n">
        <f aca="false">A229+30.417</f>
        <v>43262.157</v>
      </c>
      <c r="B230" s="401" t="n">
        <f aca="false">IF($B$7="Coal",AG230,IF($B$7="Gas",AH230,IF($B$7="Oil",AI230,0)))</f>
        <v>4.65375086236284</v>
      </c>
      <c r="C230" s="402" t="n">
        <f aca="false">(B230*$B$1*1000)/1000000</f>
        <v>52.6094653073024</v>
      </c>
      <c r="D230" s="401" t="n">
        <f aca="false">AB230+AC230</f>
        <v>0.871263037626294</v>
      </c>
      <c r="E230" s="401" t="n">
        <f aca="false">(($AJ230*$B$1*AD230*1000)/2000)/1000000</f>
        <v>0</v>
      </c>
      <c r="F230" s="401" t="n">
        <f aca="false">AF230*(($AK230*$B$1*AE230*1000)/2000)/1000000</f>
        <v>0</v>
      </c>
      <c r="G230" s="403" t="str">
        <f aca="false">IF(IS!$C$2="Peak","-",SUM(C230:F230))</f>
        <v>-</v>
      </c>
      <c r="H230" s="411" t="n">
        <v>190.461980034287</v>
      </c>
      <c r="I230" s="411" t="n">
        <v>177.836991983817</v>
      </c>
      <c r="J230" s="411" t="n">
        <v>167.243404098456</v>
      </c>
      <c r="K230" s="411" t="n">
        <v>154.702974330333</v>
      </c>
      <c r="L230" s="411" t="n">
        <v>141.371150989739</v>
      </c>
      <c r="M230" s="411" t="n">
        <v>85.4964956122739</v>
      </c>
      <c r="N230" s="411" t="n">
        <v>72.5383749868351</v>
      </c>
      <c r="O230" s="411" t="n">
        <v>68.7822327759941</v>
      </c>
      <c r="P230" s="411" t="n">
        <v>58.0944036712254</v>
      </c>
      <c r="Q230" s="411" t="n">
        <v>47.4938303793561</v>
      </c>
      <c r="R230" s="411" t="n">
        <v>42.1006425996434</v>
      </c>
      <c r="S230" s="411" t="n">
        <v>39.7390123374809</v>
      </c>
      <c r="T230" s="411" t="n">
        <v>39.027195051274</v>
      </c>
      <c r="U230" s="411" t="n">
        <v>38.1815012140351</v>
      </c>
      <c r="V230" s="411" t="n">
        <v>36.7369139364459</v>
      </c>
      <c r="W230" s="411" t="n">
        <v>35.0235848650692</v>
      </c>
      <c r="X230" s="411" t="n">
        <v>34.0227265548829</v>
      </c>
      <c r="Y230" s="411" t="n">
        <v>34.0227157418548</v>
      </c>
      <c r="Z230" s="411" t="n">
        <v>34.0227157418548</v>
      </c>
      <c r="AA230" s="411" t="n">
        <v>32.7603808174714</v>
      </c>
      <c r="AB230" s="401" t="n">
        <f aca="false">Peak!AB232</f>
        <v>0.871263037626294</v>
      </c>
      <c r="AC230" s="401" t="n">
        <f aca="false">Peak!AC232</f>
        <v>0</v>
      </c>
      <c r="AD230" s="405" t="n">
        <f aca="false">Peak!AD232</f>
        <v>744.383671998014</v>
      </c>
      <c r="AE230" s="405" t="n">
        <f aca="false">Peak!AE232</f>
        <v>2070.10833338081</v>
      </c>
      <c r="AF230" s="401" t="n">
        <f aca="false">Peak!AF232</f>
        <v>1</v>
      </c>
      <c r="AG230" s="406" t="n">
        <f aca="false">Peak!AG232</f>
        <v>0</v>
      </c>
      <c r="AH230" s="401" t="n">
        <f aca="false">Peak!AH232</f>
        <v>4.65375086236284</v>
      </c>
      <c r="AI230" s="401" t="n">
        <f aca="false">Peak!AI232</f>
        <v>4.55468452403293</v>
      </c>
      <c r="AJ230" s="401" t="n">
        <f aca="false">Peak!AJ232</f>
        <v>0</v>
      </c>
      <c r="AK230" s="401" t="n">
        <f aca="false">Peak!AK232</f>
        <v>0</v>
      </c>
      <c r="AL230" s="1"/>
    </row>
    <row r="231" customFormat="false" ht="12.75" hidden="false" customHeight="false" outlineLevel="0" collapsed="false">
      <c r="A231" s="400" t="n">
        <f aca="false">A230+30.417</f>
        <v>43292.574</v>
      </c>
      <c r="B231" s="401" t="n">
        <f aca="false">IF($B$7="Coal",AG231,IF($B$7="Gas",AH231,IF($B$7="Oil",AI231,0)))</f>
        <v>4.63902380267182</v>
      </c>
      <c r="C231" s="402" t="n">
        <f aca="false">(B231*$B$1*1000)/1000000</f>
        <v>52.4429796575957</v>
      </c>
      <c r="D231" s="401" t="n">
        <f aca="false">AB231+AC231</f>
        <v>0.872715142689004</v>
      </c>
      <c r="E231" s="401" t="n">
        <f aca="false">(($AJ231*$B$1*AD231*1000)/2000)/1000000</f>
        <v>0</v>
      </c>
      <c r="F231" s="401" t="n">
        <f aca="false">AF231*(($AK231*$B$1*AE231*1000)/2000)/1000000</f>
        <v>0</v>
      </c>
      <c r="G231" s="403" t="str">
        <f aca="false">IF(IS!$C$2="Peak","-",SUM(C231:F231))</f>
        <v>-</v>
      </c>
      <c r="H231" s="411" t="n">
        <v>251.265080114193</v>
      </c>
      <c r="I231" s="411" t="n">
        <v>209.304756507849</v>
      </c>
      <c r="J231" s="411" t="n">
        <v>196.342297912153</v>
      </c>
      <c r="K231" s="411" t="n">
        <v>180.684876666858</v>
      </c>
      <c r="L231" s="411" t="n">
        <v>167.634208803939</v>
      </c>
      <c r="M231" s="411" t="n">
        <v>154.827891385199</v>
      </c>
      <c r="N231" s="411" t="n">
        <v>129.191880485586</v>
      </c>
      <c r="O231" s="411" t="n">
        <v>85.6499370670814</v>
      </c>
      <c r="P231" s="411" t="n">
        <v>81.3469492389666</v>
      </c>
      <c r="Q231" s="411" t="n">
        <v>58.4528241992382</v>
      </c>
      <c r="R231" s="411" t="n">
        <v>46.7142630278287</v>
      </c>
      <c r="S231" s="411" t="n">
        <v>43.3260038476457</v>
      </c>
      <c r="T231" s="411" t="n">
        <v>39.7852487862884</v>
      </c>
      <c r="U231" s="411" t="n">
        <v>39.7487552159036</v>
      </c>
      <c r="V231" s="411" t="n">
        <v>39.7485884805754</v>
      </c>
      <c r="W231" s="411" t="n">
        <v>39.7479677461468</v>
      </c>
      <c r="X231" s="411" t="n">
        <v>39.7479677461468</v>
      </c>
      <c r="Y231" s="411" t="n">
        <v>39.7479677461468</v>
      </c>
      <c r="Z231" s="411" t="n">
        <v>38.1801357303501</v>
      </c>
      <c r="AA231" s="411" t="n">
        <v>32.703231041533</v>
      </c>
      <c r="AB231" s="401" t="n">
        <f aca="false">Peak!AB233</f>
        <v>0.872715142689004</v>
      </c>
      <c r="AC231" s="401" t="n">
        <f aca="false">Peak!AC233</f>
        <v>0</v>
      </c>
      <c r="AD231" s="405" t="n">
        <f aca="false">Peak!AD233</f>
        <v>744.383671998014</v>
      </c>
      <c r="AE231" s="405" t="n">
        <f aca="false">Peak!AE233</f>
        <v>2070.10833338081</v>
      </c>
      <c r="AF231" s="401" t="n">
        <f aca="false">Peak!AF233</f>
        <v>1</v>
      </c>
      <c r="AG231" s="406" t="n">
        <f aca="false">Peak!AG233</f>
        <v>0</v>
      </c>
      <c r="AH231" s="401" t="n">
        <f aca="false">Peak!AH233</f>
        <v>4.63902380267182</v>
      </c>
      <c r="AI231" s="401" t="n">
        <f aca="false">Peak!AI233</f>
        <v>4.55468452403293</v>
      </c>
      <c r="AJ231" s="401" t="n">
        <f aca="false">Peak!AJ233</f>
        <v>0</v>
      </c>
      <c r="AK231" s="401" t="n">
        <f aca="false">Peak!AK233</f>
        <v>0</v>
      </c>
      <c r="AL231" s="1"/>
    </row>
    <row r="232" customFormat="false" ht="12.75" hidden="false" customHeight="false" outlineLevel="0" collapsed="false">
      <c r="A232" s="400" t="n">
        <f aca="false">A231+30.417</f>
        <v>43322.991</v>
      </c>
      <c r="B232" s="401" t="n">
        <f aca="false">IF($B$7="Coal",AG232,IF($B$7="Gas",AH232,IF($B$7="Oil",AI232,0)))</f>
        <v>4.39848182771847</v>
      </c>
      <c r="C232" s="402" t="n">
        <f aca="false">(B232*$B$1*1000)/1000000</f>
        <v>49.7237140457204</v>
      </c>
      <c r="D232" s="401" t="n">
        <f aca="false">AB232+AC232</f>
        <v>0.87416966792682</v>
      </c>
      <c r="E232" s="401" t="n">
        <f aca="false">(($AJ232*$B$1*AD232*1000)/2000)/1000000</f>
        <v>0</v>
      </c>
      <c r="F232" s="401" t="n">
        <f aca="false">AF232*(($AK232*$B$1*AE232*1000)/2000)/1000000</f>
        <v>0</v>
      </c>
      <c r="G232" s="403" t="str">
        <f aca="false">IF(IS!$C$2="Peak","-",SUM(C232:F232))</f>
        <v>-</v>
      </c>
      <c r="H232" s="411" t="n">
        <v>547.354551668885</v>
      </c>
      <c r="I232" s="411" t="n">
        <v>381.977704199145</v>
      </c>
      <c r="J232" s="411" t="n">
        <v>289.471108449863</v>
      </c>
      <c r="K232" s="411" t="n">
        <v>216.153764093131</v>
      </c>
      <c r="L232" s="411" t="n">
        <v>193.570013341591</v>
      </c>
      <c r="M232" s="411" t="n">
        <v>175.162470521966</v>
      </c>
      <c r="N232" s="411" t="n">
        <v>157.157532616652</v>
      </c>
      <c r="O232" s="411" t="n">
        <v>123.074823724129</v>
      </c>
      <c r="P232" s="411" t="n">
        <v>44.2369420977752</v>
      </c>
      <c r="Q232" s="411" t="n">
        <v>54.4648587711949</v>
      </c>
      <c r="R232" s="411" t="n">
        <v>43.9778968857266</v>
      </c>
      <c r="S232" s="411" t="n">
        <v>41.734880155201</v>
      </c>
      <c r="T232" s="411" t="n">
        <v>40.6444475186124</v>
      </c>
      <c r="U232" s="411" t="n">
        <v>38.018927964754</v>
      </c>
      <c r="V232" s="411" t="n">
        <v>36.6423954650718</v>
      </c>
      <c r="W232" s="411" t="n">
        <v>36.5761724011138</v>
      </c>
      <c r="X232" s="411" t="n">
        <v>36.4413843578534</v>
      </c>
      <c r="Y232" s="411" t="n">
        <v>35.9907585350553</v>
      </c>
      <c r="Z232" s="411" t="n">
        <v>35.9907585350553</v>
      </c>
      <c r="AA232" s="411" t="n">
        <v>32.5001590184635</v>
      </c>
      <c r="AB232" s="401" t="n">
        <f aca="false">Peak!AB234</f>
        <v>0.87416966792682</v>
      </c>
      <c r="AC232" s="401" t="n">
        <f aca="false">Peak!AC234</f>
        <v>0</v>
      </c>
      <c r="AD232" s="405" t="n">
        <f aca="false">Peak!AD234</f>
        <v>744.383671998014</v>
      </c>
      <c r="AE232" s="405" t="n">
        <f aca="false">Peak!AE234</f>
        <v>2070.10833338081</v>
      </c>
      <c r="AF232" s="401" t="n">
        <f aca="false">Peak!AF234</f>
        <v>1</v>
      </c>
      <c r="AG232" s="406" t="n">
        <f aca="false">Peak!AG234</f>
        <v>0</v>
      </c>
      <c r="AH232" s="401" t="n">
        <f aca="false">Peak!AH234</f>
        <v>4.39848182771847</v>
      </c>
      <c r="AI232" s="401" t="n">
        <f aca="false">Peak!AI234</f>
        <v>4.55468452403293</v>
      </c>
      <c r="AJ232" s="401" t="n">
        <f aca="false">Peak!AJ234</f>
        <v>0</v>
      </c>
      <c r="AK232" s="401" t="n">
        <f aca="false">Peak!AK234</f>
        <v>0</v>
      </c>
      <c r="AL232" s="1"/>
    </row>
    <row r="233" customFormat="false" ht="12.75" hidden="false" customHeight="false" outlineLevel="0" collapsed="false">
      <c r="A233" s="400" t="n">
        <f aca="false">A232+30.417</f>
        <v>43353.408</v>
      </c>
      <c r="B233" s="401" t="n">
        <f aca="false">IF($B$7="Coal",AG233,IF($B$7="Gas",AH233,IF($B$7="Oil",AI233,0)))</f>
        <v>4.38375476802745</v>
      </c>
      <c r="C233" s="402" t="n">
        <f aca="false">(B233*$B$1*1000)/1000000</f>
        <v>49.5572283960137</v>
      </c>
      <c r="D233" s="401" t="n">
        <f aca="false">AB233+AC233</f>
        <v>0.875626617373364</v>
      </c>
      <c r="E233" s="401" t="n">
        <f aca="false">(($AJ233*$B$1*AD233*1000)/2000)/1000000</f>
        <v>0</v>
      </c>
      <c r="F233" s="401" t="n">
        <f aca="false">AF233*(($AK233*$B$1*AE233*1000)/2000)/1000000</f>
        <v>0</v>
      </c>
      <c r="G233" s="403" t="str">
        <f aca="false">IF(IS!$C$2="Peak","-",SUM(C233:F233))</f>
        <v>-</v>
      </c>
      <c r="H233" s="411" t="n">
        <v>153.441549434659</v>
      </c>
      <c r="I233" s="411" t="n">
        <v>144.390546599843</v>
      </c>
      <c r="J233" s="411" t="n">
        <v>114.165589084499</v>
      </c>
      <c r="K233" s="411" t="n">
        <v>103.020938117401</v>
      </c>
      <c r="L233" s="411" t="n">
        <v>89.1134994502324</v>
      </c>
      <c r="M233" s="411" t="n">
        <v>63.1198948999243</v>
      </c>
      <c r="N233" s="411" t="n">
        <v>53.7435103167996</v>
      </c>
      <c r="O233" s="411" t="n">
        <v>49.8833953736024</v>
      </c>
      <c r="P233" s="411" t="n">
        <v>48.8611476201906</v>
      </c>
      <c r="Q233" s="411" t="n">
        <v>48.7733408883985</v>
      </c>
      <c r="R233" s="411" t="n">
        <v>48.7733408883985</v>
      </c>
      <c r="S233" s="411" t="n">
        <v>48.7731924674728</v>
      </c>
      <c r="T233" s="411" t="n">
        <v>48.7729567629546</v>
      </c>
      <c r="U233" s="411" t="n">
        <v>48.772865631377</v>
      </c>
      <c r="V233" s="411" t="n">
        <v>48.7726939587757</v>
      </c>
      <c r="W233" s="411" t="n">
        <v>48.7726051499569</v>
      </c>
      <c r="X233" s="411" t="n">
        <v>48.1159624794633</v>
      </c>
      <c r="Y233" s="411" t="n">
        <v>45.3369795922676</v>
      </c>
      <c r="Z233" s="411" t="n">
        <v>42.2847915914216</v>
      </c>
      <c r="AA233" s="411" t="n">
        <v>35.5995748025882</v>
      </c>
      <c r="AB233" s="401" t="n">
        <f aca="false">Peak!AB235</f>
        <v>0.875626617373364</v>
      </c>
      <c r="AC233" s="401" t="n">
        <f aca="false">Peak!AC235</f>
        <v>0</v>
      </c>
      <c r="AD233" s="405" t="n">
        <f aca="false">Peak!AD235</f>
        <v>744.383671998014</v>
      </c>
      <c r="AE233" s="405" t="n">
        <f aca="false">Peak!AE235</f>
        <v>2070.10833338081</v>
      </c>
      <c r="AF233" s="401" t="n">
        <f aca="false">Peak!AF235</f>
        <v>1</v>
      </c>
      <c r="AG233" s="406" t="n">
        <f aca="false">Peak!AG235</f>
        <v>0</v>
      </c>
      <c r="AH233" s="401" t="n">
        <f aca="false">Peak!AH235</f>
        <v>4.38375476802745</v>
      </c>
      <c r="AI233" s="401" t="n">
        <f aca="false">Peak!AI235</f>
        <v>4.55468452403293</v>
      </c>
      <c r="AJ233" s="401" t="n">
        <f aca="false">Peak!AJ235</f>
        <v>0</v>
      </c>
      <c r="AK233" s="401" t="n">
        <f aca="false">Peak!AK235</f>
        <v>0</v>
      </c>
      <c r="AL233" s="1"/>
    </row>
    <row r="234" customFormat="false" ht="12.75" hidden="false" customHeight="false" outlineLevel="0" collapsed="false">
      <c r="A234" s="400" t="n">
        <f aca="false">A233+30.417</f>
        <v>43383.825</v>
      </c>
      <c r="B234" s="401" t="n">
        <f aca="false">IF($B$7="Coal",AG234,IF($B$7="Gas",AH234,IF($B$7="Oil",AI234,0)))</f>
        <v>4.85502067814014</v>
      </c>
      <c r="C234" s="402" t="n">
        <f aca="false">(B234*$B$1*1000)/1000000</f>
        <v>54.8847691866266</v>
      </c>
      <c r="D234" s="401" t="n">
        <f aca="false">AB234+AC234</f>
        <v>0.877085995068987</v>
      </c>
      <c r="E234" s="401" t="n">
        <f aca="false">(($AJ234*$B$1*AD234*1000)/2000)/1000000</f>
        <v>0</v>
      </c>
      <c r="F234" s="401" t="n">
        <f aca="false">AF234*(($AK234*$B$1*AE234*1000)/2000)/1000000</f>
        <v>0</v>
      </c>
      <c r="G234" s="403" t="str">
        <f aca="false">IF(IS!$C$2="Peak","-",SUM(C234:F234))</f>
        <v>-</v>
      </c>
      <c r="H234" s="411" t="n">
        <v>95.4968855990879</v>
      </c>
      <c r="I234" s="411" t="n">
        <v>92.5293139250962</v>
      </c>
      <c r="J234" s="411" t="n">
        <v>88.6881582075608</v>
      </c>
      <c r="K234" s="411" t="n">
        <v>83.1777126689942</v>
      </c>
      <c r="L234" s="411" t="n">
        <v>79.2817619331015</v>
      </c>
      <c r="M234" s="411" t="n">
        <v>78.6959101239746</v>
      </c>
      <c r="N234" s="411" t="n">
        <v>67.5717347127358</v>
      </c>
      <c r="O234" s="411" t="n">
        <v>55.4131798267844</v>
      </c>
      <c r="P234" s="411" t="n">
        <v>53.4277490669738</v>
      </c>
      <c r="Q234" s="411" t="n">
        <v>49.2245549278686</v>
      </c>
      <c r="R234" s="411" t="n">
        <v>46.4893334740233</v>
      </c>
      <c r="S234" s="411" t="n">
        <v>45.2469229229341</v>
      </c>
      <c r="T234" s="411" t="n">
        <v>44.6173897021071</v>
      </c>
      <c r="U234" s="411" t="n">
        <v>43.9644219683037</v>
      </c>
      <c r="V234" s="411" t="n">
        <v>41.9670990184207</v>
      </c>
      <c r="W234" s="411" t="n">
        <v>39.8448551126488</v>
      </c>
      <c r="X234" s="411" t="n">
        <v>38.6288317106019</v>
      </c>
      <c r="Y234" s="411" t="n">
        <v>38.5409758943652</v>
      </c>
      <c r="Z234" s="411" t="n">
        <v>38.5409758943652</v>
      </c>
      <c r="AA234" s="411" t="n">
        <v>38.5311998100568</v>
      </c>
      <c r="AB234" s="401" t="n">
        <f aca="false">Peak!AB236</f>
        <v>0.877085995068987</v>
      </c>
      <c r="AC234" s="401" t="n">
        <f aca="false">Peak!AC236</f>
        <v>0</v>
      </c>
      <c r="AD234" s="405" t="n">
        <f aca="false">Peak!AD236</f>
        <v>744.383671998014</v>
      </c>
      <c r="AE234" s="405" t="n">
        <f aca="false">Peak!AE236</f>
        <v>2070.10833338081</v>
      </c>
      <c r="AF234" s="401" t="n">
        <f aca="false">Peak!AF236</f>
        <v>1</v>
      </c>
      <c r="AG234" s="406" t="n">
        <f aca="false">Peak!AG236</f>
        <v>0</v>
      </c>
      <c r="AH234" s="401" t="n">
        <f aca="false">Peak!AH236</f>
        <v>4.85502067814014</v>
      </c>
      <c r="AI234" s="401" t="n">
        <f aca="false">Peak!AI236</f>
        <v>4.55468452403293</v>
      </c>
      <c r="AJ234" s="401" t="n">
        <f aca="false">Peak!AJ236</f>
        <v>0</v>
      </c>
      <c r="AK234" s="401" t="n">
        <f aca="false">Peak!AK236</f>
        <v>0</v>
      </c>
      <c r="AL234" s="1"/>
    </row>
    <row r="235" customFormat="false" ht="12.75" hidden="false" customHeight="false" outlineLevel="0" collapsed="false">
      <c r="A235" s="400" t="n">
        <f aca="false">A234+30.417</f>
        <v>43414.242</v>
      </c>
      <c r="B235" s="401" t="n">
        <f aca="false">IF($B$7="Coal",AG235,IF($B$7="Gas",AH235,IF($B$7="Oil",AI235,0)))</f>
        <v>5.31646854845882</v>
      </c>
      <c r="C235" s="402" t="n">
        <f aca="false">(B235*$B$1*1000)/1000000</f>
        <v>60.1013195441018</v>
      </c>
      <c r="D235" s="401" t="n">
        <f aca="false">AB235+AC235</f>
        <v>0.878547805060768</v>
      </c>
      <c r="E235" s="401" t="n">
        <f aca="false">(($AJ235*$B$1*AD235*1000)/2000)/1000000</f>
        <v>0</v>
      </c>
      <c r="F235" s="401" t="n">
        <f aca="false">AF235*(($AK235*$B$1*AE235*1000)/2000)/1000000</f>
        <v>0</v>
      </c>
      <c r="G235" s="403" t="str">
        <f aca="false">IF(IS!$C$2="Peak","-",SUM(C235:F235))</f>
        <v>-</v>
      </c>
      <c r="H235" s="411" t="n">
        <v>166.23681335783</v>
      </c>
      <c r="I235" s="411" t="n">
        <v>160.5594528899</v>
      </c>
      <c r="J235" s="411" t="n">
        <v>154.481512569249</v>
      </c>
      <c r="K235" s="411" t="n">
        <v>149.401572649497</v>
      </c>
      <c r="L235" s="411" t="n">
        <v>120.891306686293</v>
      </c>
      <c r="M235" s="411" t="n">
        <v>83.544438884466</v>
      </c>
      <c r="N235" s="411" t="n">
        <v>77.8889169025854</v>
      </c>
      <c r="O235" s="411" t="n">
        <v>70.5355295477222</v>
      </c>
      <c r="P235" s="411" t="n">
        <v>65.6892900215919</v>
      </c>
      <c r="Q235" s="411" t="n">
        <v>64.0334399527288</v>
      </c>
      <c r="R235" s="411" t="n">
        <v>62.4288516122037</v>
      </c>
      <c r="S235" s="411" t="n">
        <v>53.4749148343612</v>
      </c>
      <c r="T235" s="411" t="n">
        <v>49.7570709906057</v>
      </c>
      <c r="U235" s="411" t="n">
        <v>47.5361633756015</v>
      </c>
      <c r="V235" s="411" t="n">
        <v>45.6097685890576</v>
      </c>
      <c r="W235" s="411" t="n">
        <v>45.0237862177931</v>
      </c>
      <c r="X235" s="411" t="n">
        <v>42.1596218149128</v>
      </c>
      <c r="Y235" s="411" t="n">
        <v>36.9943564640071</v>
      </c>
      <c r="Z235" s="411" t="n">
        <v>31.8128134686608</v>
      </c>
      <c r="AA235" s="411" t="n">
        <v>31.8073231431248</v>
      </c>
      <c r="AB235" s="401" t="n">
        <f aca="false">Peak!AB237</f>
        <v>0.878547805060768</v>
      </c>
      <c r="AC235" s="401" t="n">
        <f aca="false">Peak!AC237</f>
        <v>0</v>
      </c>
      <c r="AD235" s="405" t="n">
        <f aca="false">Peak!AD237</f>
        <v>744.383671998014</v>
      </c>
      <c r="AE235" s="405" t="n">
        <f aca="false">Peak!AE237</f>
        <v>2070.10833338081</v>
      </c>
      <c r="AF235" s="401" t="n">
        <f aca="false">Peak!AF237</f>
        <v>1</v>
      </c>
      <c r="AG235" s="406" t="n">
        <f aca="false">Peak!AG237</f>
        <v>0</v>
      </c>
      <c r="AH235" s="401" t="n">
        <f aca="false">Peak!AH237</f>
        <v>5.31646854845882</v>
      </c>
      <c r="AI235" s="401" t="n">
        <f aca="false">Peak!AI237</f>
        <v>4.93823690500412</v>
      </c>
      <c r="AJ235" s="401" t="n">
        <f aca="false">Peak!AJ237</f>
        <v>0</v>
      </c>
      <c r="AK235" s="401" t="n">
        <f aca="false">Peak!AK237</f>
        <v>0</v>
      </c>
      <c r="AL235" s="1"/>
    </row>
    <row r="236" customFormat="false" ht="12.75" hidden="false" customHeight="false" outlineLevel="0" collapsed="false">
      <c r="A236" s="400" t="n">
        <f aca="false">A235+30.417</f>
        <v>43444.659</v>
      </c>
      <c r="B236" s="401" t="n">
        <f aca="false">IF($B$7="Coal",AG236,IF($B$7="Gas",AH236,IF($B$7="Oil",AI236,0)))</f>
        <v>5.75337131929246</v>
      </c>
      <c r="C236" s="402" t="n">
        <f aca="false">(B236*$B$1*1000)/1000000</f>
        <v>65.0403938187325</v>
      </c>
      <c r="D236" s="401" t="n">
        <f aca="false">AB236+AC236</f>
        <v>0.880012051402536</v>
      </c>
      <c r="E236" s="401" t="n">
        <f aca="false">(($AJ236*$B$1*AD236*1000)/2000)/1000000</f>
        <v>0</v>
      </c>
      <c r="F236" s="401" t="n">
        <f aca="false">AF236*(($AK236*$B$1*AE236*1000)/2000)/1000000</f>
        <v>0</v>
      </c>
      <c r="G236" s="403" t="str">
        <f aca="false">IF(IS!$C$2="Peak","-",SUM(C236:F236))</f>
        <v>-</v>
      </c>
      <c r="H236" s="411" t="n">
        <v>151.043691321121</v>
      </c>
      <c r="I236" s="411" t="n">
        <v>148.581297554712</v>
      </c>
      <c r="J236" s="411" t="n">
        <v>144.27390571683</v>
      </c>
      <c r="K236" s="411" t="n">
        <v>120.912135862906</v>
      </c>
      <c r="L236" s="411" t="n">
        <v>111.129418256959</v>
      </c>
      <c r="M236" s="411" t="n">
        <v>102.282916012371</v>
      </c>
      <c r="N236" s="411" t="n">
        <v>100.50601070606</v>
      </c>
      <c r="O236" s="411" t="n">
        <v>92.353879023502</v>
      </c>
      <c r="P236" s="411" t="n">
        <v>69.675134247295</v>
      </c>
      <c r="Q236" s="411" t="n">
        <v>59.260474325009</v>
      </c>
      <c r="R236" s="411" t="n">
        <v>55.7583680398168</v>
      </c>
      <c r="S236" s="411" t="n">
        <v>48.2196452092321</v>
      </c>
      <c r="T236" s="411" t="n">
        <v>47.860773652622</v>
      </c>
      <c r="U236" s="411" t="n">
        <v>47.8607478036386</v>
      </c>
      <c r="V236" s="411" t="n">
        <v>47.8607169429022</v>
      </c>
      <c r="W236" s="411" t="n">
        <v>47.8607169429022</v>
      </c>
      <c r="X236" s="411" t="n">
        <v>47.8606729423778</v>
      </c>
      <c r="Y236" s="411" t="n">
        <v>47.8606460272095</v>
      </c>
      <c r="Z236" s="411" t="n">
        <v>47.8606226494439</v>
      </c>
      <c r="AA236" s="411" t="n">
        <v>46.6377861547125</v>
      </c>
      <c r="AB236" s="401" t="n">
        <f aca="false">Peak!AB238</f>
        <v>0.880012051402536</v>
      </c>
      <c r="AC236" s="401" t="n">
        <f aca="false">Peak!AC238</f>
        <v>0</v>
      </c>
      <c r="AD236" s="405" t="n">
        <f aca="false">Peak!AD238</f>
        <v>744.383671998014</v>
      </c>
      <c r="AE236" s="405" t="n">
        <f aca="false">Peak!AE238</f>
        <v>2070.10833338081</v>
      </c>
      <c r="AF236" s="401" t="n">
        <f aca="false">Peak!AF238</f>
        <v>1</v>
      </c>
      <c r="AG236" s="406" t="n">
        <f aca="false">Peak!AG238</f>
        <v>0</v>
      </c>
      <c r="AH236" s="401" t="n">
        <f aca="false">Peak!AH238</f>
        <v>5.75337131929246</v>
      </c>
      <c r="AI236" s="401" t="n">
        <f aca="false">Peak!AI238</f>
        <v>5.17795714311112</v>
      </c>
      <c r="AJ236" s="401" t="n">
        <f aca="false">Peak!AJ238</f>
        <v>0</v>
      </c>
      <c r="AK236" s="401" t="n">
        <f aca="false">Peak!AK238</f>
        <v>0</v>
      </c>
      <c r="AL236" s="1"/>
    </row>
    <row r="237" customFormat="false" ht="12.75" hidden="false" customHeight="false" outlineLevel="0" collapsed="false">
      <c r="A237" s="400" t="n">
        <f aca="false">A236+30.417</f>
        <v>43475.076</v>
      </c>
      <c r="B237" s="401" t="n">
        <f aca="false">IF($B$7="Coal",AG237,IF($B$7="Gas",AH237,IF($B$7="Oil",AI237,0)))</f>
        <v>5.58797614488506</v>
      </c>
      <c r="C237" s="402" t="n">
        <f aca="false">(B237*$B$1*1000)/1000000</f>
        <v>63.170643600612</v>
      </c>
      <c r="D237" s="401" t="n">
        <f aca="false">AB237+AC237</f>
        <v>0.881478738154874</v>
      </c>
      <c r="E237" s="401" t="n">
        <f aca="false">(($AJ237*$B$1*AD237*1000)/2000)/1000000</f>
        <v>0</v>
      </c>
      <c r="F237" s="401" t="n">
        <f aca="false">AF237*(($AK237*$B$1*AE237*1000)/2000)/1000000</f>
        <v>0</v>
      </c>
      <c r="G237" s="403" t="str">
        <f aca="false">IF(IS!$C$2="Peak","-",SUM(C237:F237))</f>
        <v>-</v>
      </c>
      <c r="H237" s="411" t="n">
        <v>137.480075019451</v>
      </c>
      <c r="I237" s="411" t="n">
        <v>130.652232209017</v>
      </c>
      <c r="J237" s="411" t="n">
        <v>124.514077913827</v>
      </c>
      <c r="K237" s="411" t="n">
        <v>116.142007614401</v>
      </c>
      <c r="L237" s="411" t="n">
        <v>114.923494772585</v>
      </c>
      <c r="M237" s="411" t="n">
        <v>105.034435542484</v>
      </c>
      <c r="N237" s="411" t="n">
        <v>76.523757736493</v>
      </c>
      <c r="O237" s="411" t="n">
        <v>63.6258638787122</v>
      </c>
      <c r="P237" s="411" t="n">
        <v>57.6850277829768</v>
      </c>
      <c r="Q237" s="411" t="n">
        <v>54.2106544734747</v>
      </c>
      <c r="R237" s="411" t="n">
        <v>54.2106544734747</v>
      </c>
      <c r="S237" s="411" t="n">
        <v>54.2106544734747</v>
      </c>
      <c r="T237" s="411" t="n">
        <v>54.2106544734747</v>
      </c>
      <c r="U237" s="411" t="n">
        <v>54.2106544734747</v>
      </c>
      <c r="V237" s="411" t="n">
        <v>54.2106544734747</v>
      </c>
      <c r="W237" s="411" t="n">
        <v>54.2106330848946</v>
      </c>
      <c r="X237" s="411" t="n">
        <v>54.2105993404527</v>
      </c>
      <c r="Y237" s="411" t="n">
        <v>54.2104129046871</v>
      </c>
      <c r="Z237" s="411" t="n">
        <v>54.2099802917937</v>
      </c>
      <c r="AA237" s="411" t="n">
        <v>49.7746851186225</v>
      </c>
      <c r="AB237" s="401" t="n">
        <f aca="false">Peak!AB239</f>
        <v>0.881478738154874</v>
      </c>
      <c r="AC237" s="401" t="n">
        <f aca="false">Peak!AC239</f>
        <v>0</v>
      </c>
      <c r="AD237" s="405" t="n">
        <f aca="false">Peak!AD239</f>
        <v>771.788531652048</v>
      </c>
      <c r="AE237" s="405" t="n">
        <f aca="false">Peak!AE239</f>
        <v>1127.07162975123</v>
      </c>
      <c r="AF237" s="401" t="n">
        <f aca="false">Peak!AF239</f>
        <v>1</v>
      </c>
      <c r="AG237" s="406" t="n">
        <f aca="false">Peak!AG239</f>
        <v>0</v>
      </c>
      <c r="AH237" s="401" t="n">
        <f aca="false">Peak!AH239</f>
        <v>5.58797614488506</v>
      </c>
      <c r="AI237" s="401" t="n">
        <f aca="false">Peak!AI239</f>
        <v>5.25085329964165</v>
      </c>
      <c r="AJ237" s="401" t="n">
        <f aca="false">Peak!AJ239</f>
        <v>0</v>
      </c>
      <c r="AK237" s="401" t="n">
        <f aca="false">Peak!AK239</f>
        <v>0</v>
      </c>
      <c r="AL237" s="1"/>
    </row>
    <row r="238" customFormat="false" ht="12.75" hidden="false" customHeight="false" outlineLevel="0" collapsed="false">
      <c r="A238" s="400" t="n">
        <f aca="false">A237+30.417</f>
        <v>43505.493</v>
      </c>
      <c r="B238" s="401" t="n">
        <f aca="false">IF($B$7="Coal",AG238,IF($B$7="Gas",AH238,IF($B$7="Oil",AI238,0)))</f>
        <v>5.00837223624007</v>
      </c>
      <c r="C238" s="402" t="n">
        <f aca="false">(B238*$B$1*1000)/1000000</f>
        <v>56.618369397357</v>
      </c>
      <c r="D238" s="401" t="n">
        <f aca="false">AB238+AC238</f>
        <v>0.882947869385132</v>
      </c>
      <c r="E238" s="401" t="n">
        <f aca="false">(($AJ238*$B$1*AD238*1000)/2000)/1000000</f>
        <v>0</v>
      </c>
      <c r="F238" s="401" t="n">
        <f aca="false">AF238*(($AK238*$B$1*AE238*1000)/2000)/1000000</f>
        <v>0</v>
      </c>
      <c r="G238" s="403" t="str">
        <f aca="false">IF(IS!$C$2="Peak","-",SUM(C238:F238))</f>
        <v>-</v>
      </c>
      <c r="H238" s="411" t="n">
        <v>156.128329206788</v>
      </c>
      <c r="I238" s="411" t="n">
        <v>150.952062290976</v>
      </c>
      <c r="J238" s="411" t="n">
        <v>147.538332058287</v>
      </c>
      <c r="K238" s="411" t="n">
        <v>122.402705241957</v>
      </c>
      <c r="L238" s="411" t="n">
        <v>112.192886827942</v>
      </c>
      <c r="M238" s="411" t="n">
        <v>105.457915382664</v>
      </c>
      <c r="N238" s="411" t="n">
        <v>101.583767021676</v>
      </c>
      <c r="O238" s="411" t="n">
        <v>78.4304581321732</v>
      </c>
      <c r="P238" s="411" t="n">
        <v>65.4453265132147</v>
      </c>
      <c r="Q238" s="411" t="n">
        <v>58.5315219591647</v>
      </c>
      <c r="R238" s="411" t="n">
        <v>55.8576601330256</v>
      </c>
      <c r="S238" s="411" t="n">
        <v>50.5297027062009</v>
      </c>
      <c r="T238" s="411" t="n">
        <v>50.0520664913336</v>
      </c>
      <c r="U238" s="411" t="n">
        <v>50.0520664913336</v>
      </c>
      <c r="V238" s="411" t="n">
        <v>50.0520664913336</v>
      </c>
      <c r="W238" s="411" t="n">
        <v>50.0520664913336</v>
      </c>
      <c r="X238" s="411" t="n">
        <v>50.0519908132401</v>
      </c>
      <c r="Y238" s="411" t="n">
        <v>50.0509900435062</v>
      </c>
      <c r="Z238" s="411" t="n">
        <v>50.0506218589525</v>
      </c>
      <c r="AA238" s="411" t="n">
        <v>48.625979208787</v>
      </c>
      <c r="AB238" s="401" t="n">
        <f aca="false">Peak!AB240</f>
        <v>0.882947869385132</v>
      </c>
      <c r="AC238" s="401" t="n">
        <f aca="false">Peak!AC240</f>
        <v>0</v>
      </c>
      <c r="AD238" s="405" t="n">
        <f aca="false">Peak!AD240</f>
        <v>771.788531652048</v>
      </c>
      <c r="AE238" s="405" t="n">
        <f aca="false">Peak!AE240</f>
        <v>1127.07162975123</v>
      </c>
      <c r="AF238" s="401" t="n">
        <f aca="false">Peak!AF240</f>
        <v>1</v>
      </c>
      <c r="AG238" s="406" t="n">
        <f aca="false">Peak!AG240</f>
        <v>0</v>
      </c>
      <c r="AH238" s="401" t="n">
        <f aca="false">Peak!AH240</f>
        <v>5.00837223624007</v>
      </c>
      <c r="AI238" s="401" t="n">
        <f aca="false">Peak!AI240</f>
        <v>5.20223428760793</v>
      </c>
      <c r="AJ238" s="401" t="n">
        <f aca="false">Peak!AJ240</f>
        <v>0</v>
      </c>
      <c r="AK238" s="401" t="n">
        <f aca="false">Peak!AK240</f>
        <v>0</v>
      </c>
      <c r="AL238" s="1"/>
    </row>
    <row r="239" customFormat="false" ht="12.75" hidden="false" customHeight="false" outlineLevel="0" collapsed="false">
      <c r="A239" s="400" t="n">
        <f aca="false">A238+30.417</f>
        <v>43535.91</v>
      </c>
      <c r="B239" s="401" t="n">
        <f aca="false">IF($B$7="Coal",AG239,IF($B$7="Gas",AH239,IF($B$7="Oil",AI239,0)))</f>
        <v>4.92415628370191</v>
      </c>
      <c r="C239" s="402" t="n">
        <f aca="false">(B239*$B$1*1000)/1000000</f>
        <v>55.6663295558584</v>
      </c>
      <c r="D239" s="401" t="n">
        <f aca="false">AB239+AC239</f>
        <v>0.884419449167441</v>
      </c>
      <c r="E239" s="401" t="n">
        <f aca="false">(($AJ239*$B$1*AD239*1000)/2000)/1000000</f>
        <v>0</v>
      </c>
      <c r="F239" s="401" t="n">
        <f aca="false">AF239*(($AK239*$B$1*AE239*1000)/2000)/1000000</f>
        <v>0</v>
      </c>
      <c r="G239" s="403" t="str">
        <f aca="false">IF(IS!$C$2="Peak","-",SUM(C239:F239))</f>
        <v>-</v>
      </c>
      <c r="H239" s="411" t="n">
        <v>96.0051474879746</v>
      </c>
      <c r="I239" s="411" t="n">
        <v>92.9652133915144</v>
      </c>
      <c r="J239" s="411" t="n">
        <v>92.9138883050597</v>
      </c>
      <c r="K239" s="411" t="n">
        <v>92.37685989151</v>
      </c>
      <c r="L239" s="411" t="n">
        <v>92.1554249503539</v>
      </c>
      <c r="M239" s="411" t="n">
        <v>83.2725220747189</v>
      </c>
      <c r="N239" s="411" t="n">
        <v>74.0873196806321</v>
      </c>
      <c r="O239" s="411" t="n">
        <v>69.8014590240334</v>
      </c>
      <c r="P239" s="411" t="n">
        <v>66.1925703037115</v>
      </c>
      <c r="Q239" s="411" t="n">
        <v>63.7918285065927</v>
      </c>
      <c r="R239" s="411" t="n">
        <v>60.7596149869824</v>
      </c>
      <c r="S239" s="411" t="n">
        <v>52.0111173973384</v>
      </c>
      <c r="T239" s="411" t="n">
        <v>47.1744442629562</v>
      </c>
      <c r="U239" s="411" t="n">
        <v>44.5344638712938</v>
      </c>
      <c r="V239" s="411" t="n">
        <v>43.9690689155497</v>
      </c>
      <c r="W239" s="411" t="n">
        <v>43.9690689155497</v>
      </c>
      <c r="X239" s="411" t="n">
        <v>43.9690689155497</v>
      </c>
      <c r="Y239" s="411" t="n">
        <v>43.9690314765092</v>
      </c>
      <c r="Z239" s="411" t="n">
        <v>43.969026136759</v>
      </c>
      <c r="AA239" s="411" t="n">
        <v>43.9678735841979</v>
      </c>
      <c r="AB239" s="401" t="n">
        <f aca="false">Peak!AB241</f>
        <v>0.884419449167441</v>
      </c>
      <c r="AC239" s="401" t="n">
        <f aca="false">Peak!AC241</f>
        <v>0</v>
      </c>
      <c r="AD239" s="405" t="n">
        <f aca="false">Peak!AD241</f>
        <v>771.788531652048</v>
      </c>
      <c r="AE239" s="405" t="n">
        <f aca="false">Peak!AE241</f>
        <v>1127.07162975123</v>
      </c>
      <c r="AF239" s="401" t="n">
        <f aca="false">Peak!AF241</f>
        <v>1</v>
      </c>
      <c r="AG239" s="406" t="n">
        <f aca="false">Peak!AG241</f>
        <v>0</v>
      </c>
      <c r="AH239" s="401" t="n">
        <f aca="false">Peak!AH241</f>
        <v>4.92415628370191</v>
      </c>
      <c r="AI239" s="401" t="n">
        <f aca="false">Peak!AI241</f>
        <v>5.00775823947305</v>
      </c>
      <c r="AJ239" s="401" t="n">
        <f aca="false">Peak!AJ241</f>
        <v>0</v>
      </c>
      <c r="AK239" s="401" t="n">
        <f aca="false">Peak!AK241</f>
        <v>0</v>
      </c>
      <c r="AL239" s="1"/>
    </row>
    <row r="240" customFormat="false" ht="12.75" hidden="false" customHeight="false" outlineLevel="0" collapsed="false">
      <c r="A240" s="400" t="n">
        <f aca="false">A239+30.417</f>
        <v>43566.327</v>
      </c>
      <c r="B240" s="401" t="n">
        <f aca="false">IF($B$7="Coal",AG240,IF($B$7="Gas",AH240,IF($B$7="Oil",AI240,0)))</f>
        <v>4.68141618520956</v>
      </c>
      <c r="C240" s="402" t="n">
        <f aca="false">(B240*$B$1*1000)/1000000</f>
        <v>52.9222147185978</v>
      </c>
      <c r="D240" s="401" t="n">
        <f aca="false">AB240+AC240</f>
        <v>0.88589348158272</v>
      </c>
      <c r="E240" s="401" t="n">
        <f aca="false">(($AJ240*$B$1*AD240*1000)/2000)/1000000</f>
        <v>0</v>
      </c>
      <c r="F240" s="401" t="n">
        <f aca="false">AF240*(($AK240*$B$1*AE240*1000)/2000)/1000000</f>
        <v>0</v>
      </c>
      <c r="G240" s="403" t="str">
        <f aca="false">IF(IS!$C$2="Peak","-",SUM(C240:F240))</f>
        <v>-</v>
      </c>
      <c r="H240" s="411" t="n">
        <v>152.651514415292</v>
      </c>
      <c r="I240" s="411" t="n">
        <v>149.335312420196</v>
      </c>
      <c r="J240" s="411" t="n">
        <v>133.130079654401</v>
      </c>
      <c r="K240" s="411" t="n">
        <v>109.803696034953</v>
      </c>
      <c r="L240" s="411" t="n">
        <v>88.5095175802722</v>
      </c>
      <c r="M240" s="411" t="n">
        <v>67.0939832423671</v>
      </c>
      <c r="N240" s="411" t="n">
        <v>62.2925664915953</v>
      </c>
      <c r="O240" s="411" t="n">
        <v>59.5780528468627</v>
      </c>
      <c r="P240" s="411" t="n">
        <v>59.3127661749522</v>
      </c>
      <c r="Q240" s="411" t="n">
        <v>54.0521320810229</v>
      </c>
      <c r="R240" s="411" t="n">
        <v>49.4170106254614</v>
      </c>
      <c r="S240" s="411" t="n">
        <v>46.7453049408429</v>
      </c>
      <c r="T240" s="411" t="n">
        <v>44.8754322175512</v>
      </c>
      <c r="U240" s="411" t="n">
        <v>42.8879520347043</v>
      </c>
      <c r="V240" s="411" t="n">
        <v>42.2790712370257</v>
      </c>
      <c r="W240" s="411" t="n">
        <v>40.2847438056922</v>
      </c>
      <c r="X240" s="411" t="n">
        <v>35.1664177617554</v>
      </c>
      <c r="Y240" s="411" t="n">
        <v>30.4344356644843</v>
      </c>
      <c r="Z240" s="411" t="n">
        <v>30.0351802498495</v>
      </c>
      <c r="AA240" s="411" t="n">
        <v>30.029437349841</v>
      </c>
      <c r="AB240" s="401" t="n">
        <f aca="false">Peak!AB242</f>
        <v>0.88589348158272</v>
      </c>
      <c r="AC240" s="401" t="n">
        <f aca="false">Peak!AC242</f>
        <v>0</v>
      </c>
      <c r="AD240" s="405" t="n">
        <f aca="false">Peak!AD242</f>
        <v>771.788531652048</v>
      </c>
      <c r="AE240" s="405" t="n">
        <f aca="false">Peak!AE242</f>
        <v>1127.07162975123</v>
      </c>
      <c r="AF240" s="401" t="n">
        <f aca="false">Peak!AF242</f>
        <v>1</v>
      </c>
      <c r="AG240" s="406" t="n">
        <f aca="false">Peak!AG242</f>
        <v>0</v>
      </c>
      <c r="AH240" s="401" t="n">
        <f aca="false">Peak!AH242</f>
        <v>4.68141618520956</v>
      </c>
      <c r="AI240" s="401" t="n">
        <f aca="false">Peak!AI242</f>
        <v>4.81328219133818</v>
      </c>
      <c r="AJ240" s="401" t="n">
        <f aca="false">Peak!AJ242</f>
        <v>0</v>
      </c>
      <c r="AK240" s="401" t="n">
        <f aca="false">Peak!AK242</f>
        <v>0</v>
      </c>
      <c r="AL240" s="1"/>
    </row>
    <row r="241" customFormat="false" ht="12.75" hidden="false" customHeight="false" outlineLevel="0" collapsed="false">
      <c r="A241" s="400" t="n">
        <f aca="false">A240+30.417</f>
        <v>43596.744</v>
      </c>
      <c r="B241" s="401" t="n">
        <f aca="false">IF($B$7="Coal",AG241,IF($B$7="Gas",AH241,IF($B$7="Oil",AI241,0)))</f>
        <v>4.92911016326297</v>
      </c>
      <c r="C241" s="402" t="n">
        <f aca="false">(B241*$B$1*1000)/1000000</f>
        <v>55.722331899476</v>
      </c>
      <c r="D241" s="401" t="n">
        <f aca="false">AB241+AC241</f>
        <v>0.887369970718691</v>
      </c>
      <c r="E241" s="401" t="n">
        <f aca="false">(($AJ241*$B$1*AD241*1000)/2000)/1000000</f>
        <v>0</v>
      </c>
      <c r="F241" s="401" t="n">
        <f aca="false">AF241*(($AK241*$B$1*AE241*1000)/2000)/1000000</f>
        <v>0</v>
      </c>
      <c r="G241" s="403" t="str">
        <f aca="false">IF(IS!$C$2="Peak","-",SUM(C241:F241))</f>
        <v>-</v>
      </c>
      <c r="H241" s="411" t="n">
        <v>89.7228732734841</v>
      </c>
      <c r="I241" s="411" t="n">
        <v>83.4535618677626</v>
      </c>
      <c r="J241" s="411" t="n">
        <v>82.6990110826076</v>
      </c>
      <c r="K241" s="411" t="n">
        <v>78.0939907678711</v>
      </c>
      <c r="L241" s="411" t="n">
        <v>67.0383745759837</v>
      </c>
      <c r="M241" s="411" t="n">
        <v>59.7772316992151</v>
      </c>
      <c r="N241" s="411" t="n">
        <v>57.2240858898368</v>
      </c>
      <c r="O241" s="411" t="n">
        <v>55.8076458816816</v>
      </c>
      <c r="P241" s="411" t="n">
        <v>54.1466042071448</v>
      </c>
      <c r="Q241" s="411" t="n">
        <v>52.2015978446441</v>
      </c>
      <c r="R241" s="411" t="n">
        <v>49.9865352241764</v>
      </c>
      <c r="S241" s="411" t="n">
        <v>46.8077374088163</v>
      </c>
      <c r="T241" s="411" t="n">
        <v>46.4519394567074</v>
      </c>
      <c r="U241" s="411" t="n">
        <v>44.3433003939326</v>
      </c>
      <c r="V241" s="411" t="n">
        <v>41.5166307141575</v>
      </c>
      <c r="W241" s="411" t="n">
        <v>40.5707079485453</v>
      </c>
      <c r="X241" s="411" t="n">
        <v>40.2998744940913</v>
      </c>
      <c r="Y241" s="411" t="n">
        <v>40.1717908803669</v>
      </c>
      <c r="Z241" s="411" t="n">
        <v>40.1717908803669</v>
      </c>
      <c r="AA241" s="411" t="n">
        <v>40.1637524522589</v>
      </c>
      <c r="AB241" s="401" t="n">
        <f aca="false">Peak!AB243</f>
        <v>0.887369970718691</v>
      </c>
      <c r="AC241" s="401" t="n">
        <f aca="false">Peak!AC243</f>
        <v>0</v>
      </c>
      <c r="AD241" s="405" t="n">
        <f aca="false">Peak!AD243</f>
        <v>771.788531652048</v>
      </c>
      <c r="AE241" s="405" t="n">
        <f aca="false">Peak!AE243</f>
        <v>1127.07162975123</v>
      </c>
      <c r="AF241" s="401" t="n">
        <f aca="false">Peak!AF243</f>
        <v>1</v>
      </c>
      <c r="AG241" s="406" t="n">
        <f aca="false">Peak!AG243</f>
        <v>0</v>
      </c>
      <c r="AH241" s="401" t="n">
        <f aca="false">Peak!AH243</f>
        <v>4.92911016326297</v>
      </c>
      <c r="AI241" s="401" t="n">
        <f aca="false">Peak!AI243</f>
        <v>4.6188061432033</v>
      </c>
      <c r="AJ241" s="401" t="n">
        <f aca="false">Peak!AJ243</f>
        <v>0</v>
      </c>
      <c r="AK241" s="401" t="n">
        <f aca="false">Peak!AK243</f>
        <v>0</v>
      </c>
      <c r="AL241" s="1"/>
    </row>
    <row r="242" customFormat="false" ht="12.75" hidden="false" customHeight="false" outlineLevel="0" collapsed="false">
      <c r="A242" s="400" t="n">
        <f aca="false">A241+30.417</f>
        <v>43627.161</v>
      </c>
      <c r="B242" s="401" t="n">
        <f aca="false">IF($B$7="Coal",AG242,IF($B$7="Gas",AH242,IF($B$7="Oil",AI242,0)))</f>
        <v>4.69627782389276</v>
      </c>
      <c r="C242" s="402" t="n">
        <f aca="false">(B242*$B$1*1000)/1000000</f>
        <v>53.0902217494505</v>
      </c>
      <c r="D242" s="401" t="n">
        <f aca="false">AB242+AC242</f>
        <v>0.888848920669889</v>
      </c>
      <c r="E242" s="401" t="n">
        <f aca="false">(($AJ242*$B$1*AD242*1000)/2000)/1000000</f>
        <v>0</v>
      </c>
      <c r="F242" s="401" t="n">
        <f aca="false">AF242*(($AK242*$B$1*AE242*1000)/2000)/1000000</f>
        <v>0</v>
      </c>
      <c r="G242" s="403" t="str">
        <f aca="false">IF(IS!$C$2="Peak","-",SUM(C242:F242))</f>
        <v>-</v>
      </c>
      <c r="H242" s="411" t="n">
        <v>177.421498645099</v>
      </c>
      <c r="I242" s="411" t="n">
        <v>165.944952420456</v>
      </c>
      <c r="J242" s="411" t="n">
        <v>156.195595504744</v>
      </c>
      <c r="K242" s="411" t="n">
        <v>141.613921381286</v>
      </c>
      <c r="L242" s="411" t="n">
        <v>89.243634437872</v>
      </c>
      <c r="M242" s="411" t="n">
        <v>84.15193291618</v>
      </c>
      <c r="N242" s="411" t="n">
        <v>77.266142445846</v>
      </c>
      <c r="O242" s="411" t="n">
        <v>73.3450452638031</v>
      </c>
      <c r="P242" s="411" t="n">
        <v>67.417380584849</v>
      </c>
      <c r="Q242" s="411" t="n">
        <v>60.026125212761</v>
      </c>
      <c r="R242" s="411" t="n">
        <v>53.1542362181684</v>
      </c>
      <c r="S242" s="411" t="n">
        <v>46.1451401447978</v>
      </c>
      <c r="T242" s="411" t="n">
        <v>42.9282717865375</v>
      </c>
      <c r="U242" s="411" t="n">
        <v>41.781555615436</v>
      </c>
      <c r="V242" s="411" t="n">
        <v>41.1604602152433</v>
      </c>
      <c r="W242" s="411" t="n">
        <v>40.6128655137966</v>
      </c>
      <c r="X242" s="411" t="n">
        <v>40.2762365195604</v>
      </c>
      <c r="Y242" s="411" t="n">
        <v>39.8484823582087</v>
      </c>
      <c r="Z242" s="411" t="n">
        <v>39.492529962457</v>
      </c>
      <c r="AA242" s="411" t="n">
        <v>38.4405110162493</v>
      </c>
      <c r="AB242" s="401" t="n">
        <f aca="false">Peak!AB244</f>
        <v>0.888848920669889</v>
      </c>
      <c r="AC242" s="401" t="n">
        <f aca="false">Peak!AC244</f>
        <v>0</v>
      </c>
      <c r="AD242" s="405" t="n">
        <f aca="false">Peak!AD244</f>
        <v>771.788531652048</v>
      </c>
      <c r="AE242" s="405" t="n">
        <f aca="false">Peak!AE244</f>
        <v>1127.07162975123</v>
      </c>
      <c r="AF242" s="401" t="n">
        <f aca="false">Peak!AF244</f>
        <v>1</v>
      </c>
      <c r="AG242" s="406" t="n">
        <f aca="false">Peak!AG244</f>
        <v>0</v>
      </c>
      <c r="AH242" s="401" t="n">
        <f aca="false">Peak!AH244</f>
        <v>4.69627782389276</v>
      </c>
      <c r="AI242" s="401" t="n">
        <f aca="false">Peak!AI244</f>
        <v>4.6188061432033</v>
      </c>
      <c r="AJ242" s="401" t="n">
        <f aca="false">Peak!AJ244</f>
        <v>0</v>
      </c>
      <c r="AK242" s="401" t="n">
        <f aca="false">Peak!AK244</f>
        <v>0</v>
      </c>
      <c r="AL242" s="1"/>
    </row>
    <row r="243" customFormat="false" ht="12.75" hidden="false" customHeight="false" outlineLevel="0" collapsed="false">
      <c r="A243" s="400" t="n">
        <f aca="false">A242+30.417</f>
        <v>43657.578</v>
      </c>
      <c r="B243" s="401" t="n">
        <f aca="false">IF($B$7="Coal",AG243,IF($B$7="Gas",AH243,IF($B$7="Oil",AI243,0)))</f>
        <v>4.68141618520956</v>
      </c>
      <c r="C243" s="402" t="n">
        <f aca="false">(B243*$B$1*1000)/1000000</f>
        <v>52.9222147185978</v>
      </c>
      <c r="D243" s="401" t="n">
        <f aca="false">AB243+AC243</f>
        <v>0.890330335537672</v>
      </c>
      <c r="E243" s="401" t="n">
        <f aca="false">(($AJ243*$B$1*AD243*1000)/2000)/1000000</f>
        <v>0</v>
      </c>
      <c r="F243" s="401" t="n">
        <f aca="false">AF243*(($AK243*$B$1*AE243*1000)/2000)/1000000</f>
        <v>0</v>
      </c>
      <c r="G243" s="403" t="str">
        <f aca="false">IF(IS!$C$2="Peak","-",SUM(C243:F243))</f>
        <v>-</v>
      </c>
      <c r="H243" s="411" t="n">
        <v>291.20815794885</v>
      </c>
      <c r="I243" s="411" t="n">
        <v>219.118379439846</v>
      </c>
      <c r="J243" s="411" t="n">
        <v>202.55112622195</v>
      </c>
      <c r="K243" s="411" t="n">
        <v>186.45655927113</v>
      </c>
      <c r="L243" s="411" t="n">
        <v>172.73045948922</v>
      </c>
      <c r="M243" s="411" t="n">
        <v>158.947805603746</v>
      </c>
      <c r="N243" s="411" t="n">
        <v>146.946701809024</v>
      </c>
      <c r="O243" s="411" t="n">
        <v>95.0974012726666</v>
      </c>
      <c r="P243" s="411" t="n">
        <v>81.082160637327</v>
      </c>
      <c r="Q243" s="411" t="n">
        <v>73.1843563337035</v>
      </c>
      <c r="R243" s="411" t="n">
        <v>64.5408008160842</v>
      </c>
      <c r="S243" s="411" t="n">
        <v>48.9959220763091</v>
      </c>
      <c r="T243" s="411" t="n">
        <v>41.9863027939202</v>
      </c>
      <c r="U243" s="411" t="n">
        <v>41.0180161987782</v>
      </c>
      <c r="V243" s="411" t="n">
        <v>39.7397635271194</v>
      </c>
      <c r="W243" s="411" t="n">
        <v>37.9216223451758</v>
      </c>
      <c r="X243" s="411" t="n">
        <v>36.5848954083443</v>
      </c>
      <c r="Y243" s="411" t="n">
        <v>36.0616078505128</v>
      </c>
      <c r="Z243" s="411" t="n">
        <v>35.9233705357013</v>
      </c>
      <c r="AA243" s="411" t="n">
        <v>35.6656538336326</v>
      </c>
      <c r="AB243" s="401" t="n">
        <f aca="false">Peak!AB245</f>
        <v>0.890330335537672</v>
      </c>
      <c r="AC243" s="401" t="n">
        <f aca="false">Peak!AC245</f>
        <v>0</v>
      </c>
      <c r="AD243" s="405" t="n">
        <f aca="false">Peak!AD245</f>
        <v>771.788531652048</v>
      </c>
      <c r="AE243" s="405" t="n">
        <f aca="false">Peak!AE245</f>
        <v>1127.07162975123</v>
      </c>
      <c r="AF243" s="401" t="n">
        <f aca="false">Peak!AF245</f>
        <v>1</v>
      </c>
      <c r="AG243" s="406" t="n">
        <f aca="false">Peak!AG245</f>
        <v>0</v>
      </c>
      <c r="AH243" s="401" t="n">
        <f aca="false">Peak!AH245</f>
        <v>4.68141618520956</v>
      </c>
      <c r="AI243" s="401" t="n">
        <f aca="false">Peak!AI245</f>
        <v>4.6188061432033</v>
      </c>
      <c r="AJ243" s="401" t="n">
        <f aca="false">Peak!AJ245</f>
        <v>0</v>
      </c>
      <c r="AK243" s="401" t="n">
        <f aca="false">Peak!AK245</f>
        <v>0</v>
      </c>
      <c r="AL243" s="1"/>
    </row>
    <row r="244" customFormat="false" ht="12.75" hidden="false" customHeight="false" outlineLevel="0" collapsed="false">
      <c r="A244" s="400" t="n">
        <f aca="false">A243+30.417</f>
        <v>43687.995</v>
      </c>
      <c r="B244" s="401" t="n">
        <f aca="false">IF($B$7="Coal",AG244,IF($B$7="Gas",AH244,IF($B$7="Oil",AI244,0)))</f>
        <v>4.43867608671721</v>
      </c>
      <c r="C244" s="402" t="n">
        <f aca="false">(B244*$B$1*1000)/1000000</f>
        <v>50.1780998813372</v>
      </c>
      <c r="D244" s="401" t="n">
        <f aca="false">AB244+AC244</f>
        <v>0.891814219430235</v>
      </c>
      <c r="E244" s="401" t="n">
        <f aca="false">(($AJ244*$B$1*AD244*1000)/2000)/1000000</f>
        <v>0</v>
      </c>
      <c r="F244" s="401" t="n">
        <f aca="false">AF244*(($AK244*$B$1*AE244*1000)/2000)/1000000</f>
        <v>0</v>
      </c>
      <c r="G244" s="403" t="str">
        <f aca="false">IF(IS!$C$2="Peak","-",SUM(C244:F244))</f>
        <v>-</v>
      </c>
      <c r="H244" s="411" t="n">
        <v>290.54329184833</v>
      </c>
      <c r="I244" s="411" t="n">
        <v>211.702251019926</v>
      </c>
      <c r="J244" s="411" t="n">
        <v>195.408355811431</v>
      </c>
      <c r="K244" s="411" t="n">
        <v>176.940905338834</v>
      </c>
      <c r="L244" s="411" t="n">
        <v>162.382434402329</v>
      </c>
      <c r="M244" s="411" t="n">
        <v>149.755222061754</v>
      </c>
      <c r="N244" s="411" t="n">
        <v>116.225984765224</v>
      </c>
      <c r="O244" s="411" t="n">
        <v>100.417859288538</v>
      </c>
      <c r="P244" s="411" t="n">
        <v>89.3562631339844</v>
      </c>
      <c r="Q244" s="411" t="n">
        <v>64.5719143771594</v>
      </c>
      <c r="R244" s="411" t="n">
        <v>55.1622643254132</v>
      </c>
      <c r="S244" s="411" t="n">
        <v>51.2088719684412</v>
      </c>
      <c r="T244" s="411" t="n">
        <v>48.7088067740001</v>
      </c>
      <c r="U244" s="411" t="n">
        <v>48.3674491677769</v>
      </c>
      <c r="V244" s="411" t="n">
        <v>48.3674491677769</v>
      </c>
      <c r="W244" s="411" t="n">
        <v>47.5203242309889</v>
      </c>
      <c r="X244" s="411" t="n">
        <v>47.1573825314249</v>
      </c>
      <c r="Y244" s="411" t="n">
        <v>47.157302175642</v>
      </c>
      <c r="Z244" s="411" t="n">
        <v>47.1572829620783</v>
      </c>
      <c r="AA244" s="411" t="n">
        <v>38.7114549535079</v>
      </c>
      <c r="AB244" s="401" t="n">
        <f aca="false">Peak!AB246</f>
        <v>0.891814219430235</v>
      </c>
      <c r="AC244" s="401" t="n">
        <f aca="false">Peak!AC246</f>
        <v>0</v>
      </c>
      <c r="AD244" s="405" t="n">
        <f aca="false">Peak!AD246</f>
        <v>771.788531652048</v>
      </c>
      <c r="AE244" s="405" t="n">
        <f aca="false">Peak!AE246</f>
        <v>1127.07162975123</v>
      </c>
      <c r="AF244" s="401" t="n">
        <f aca="false">Peak!AF246</f>
        <v>1</v>
      </c>
      <c r="AG244" s="406" t="n">
        <f aca="false">Peak!AG246</f>
        <v>0</v>
      </c>
      <c r="AH244" s="401" t="n">
        <f aca="false">Peak!AH246</f>
        <v>4.43867608671721</v>
      </c>
      <c r="AI244" s="401" t="n">
        <f aca="false">Peak!AI246</f>
        <v>4.6188061432033</v>
      </c>
      <c r="AJ244" s="401" t="n">
        <f aca="false">Peak!AJ246</f>
        <v>0</v>
      </c>
      <c r="AK244" s="401" t="n">
        <f aca="false">Peak!AK246</f>
        <v>0</v>
      </c>
      <c r="AL244" s="1"/>
    </row>
    <row r="245" customFormat="false" ht="12.75" hidden="false" customHeight="false" outlineLevel="0" collapsed="false">
      <c r="A245" s="400" t="n">
        <f aca="false">A244+30.417</f>
        <v>43718.412</v>
      </c>
      <c r="B245" s="401" t="n">
        <f aca="false">IF($B$7="Coal",AG245,IF($B$7="Gas",AH245,IF($B$7="Oil",AI245,0)))</f>
        <v>4.42381444803401</v>
      </c>
      <c r="C245" s="402" t="n">
        <f aca="false">(B245*$B$1*1000)/1000000</f>
        <v>50.0100928504845</v>
      </c>
      <c r="D245" s="401" t="n">
        <f aca="false">AB245+AC245</f>
        <v>0.893300576462619</v>
      </c>
      <c r="E245" s="401" t="n">
        <f aca="false">(($AJ245*$B$1*AD245*1000)/2000)/1000000</f>
        <v>0</v>
      </c>
      <c r="F245" s="401" t="n">
        <f aca="false">AF245*(($AK245*$B$1*AE245*1000)/2000)/1000000</f>
        <v>0</v>
      </c>
      <c r="G245" s="403" t="str">
        <f aca="false">IF(IS!$C$2="Peak","-",SUM(C245:F245))</f>
        <v>-</v>
      </c>
      <c r="H245" s="411" t="n">
        <v>165.154300816316</v>
      </c>
      <c r="I245" s="411" t="n">
        <v>154.499257369547</v>
      </c>
      <c r="J245" s="411" t="n">
        <v>148.637143275785</v>
      </c>
      <c r="K245" s="411" t="n">
        <v>115.802035219732</v>
      </c>
      <c r="L245" s="411" t="n">
        <v>95.5116354320124</v>
      </c>
      <c r="M245" s="411" t="n">
        <v>88.1131044050664</v>
      </c>
      <c r="N245" s="411" t="n">
        <v>75.34846347332</v>
      </c>
      <c r="O245" s="411" t="n">
        <v>58.0633498304885</v>
      </c>
      <c r="P245" s="411" t="n">
        <v>53.6285220745075</v>
      </c>
      <c r="Q245" s="411" t="n">
        <v>49.1563573699372</v>
      </c>
      <c r="R245" s="411" t="n">
        <v>44.801889106887</v>
      </c>
      <c r="S245" s="411" t="n">
        <v>43.4950096732211</v>
      </c>
      <c r="T245" s="411" t="n">
        <v>42.7428950987361</v>
      </c>
      <c r="U245" s="411" t="n">
        <v>42.4083593091115</v>
      </c>
      <c r="V245" s="411" t="n">
        <v>42.3356149352211</v>
      </c>
      <c r="W245" s="411" t="n">
        <v>42.3356063398539</v>
      </c>
      <c r="X245" s="411" t="n">
        <v>42.3356063398539</v>
      </c>
      <c r="Y245" s="411" t="n">
        <v>42.3353091257547</v>
      </c>
      <c r="Z245" s="411" t="n">
        <v>42.3352449364863</v>
      </c>
      <c r="AA245" s="411" t="n">
        <v>40.1635516759682</v>
      </c>
      <c r="AB245" s="401" t="n">
        <f aca="false">Peak!AB247</f>
        <v>0.893300576462619</v>
      </c>
      <c r="AC245" s="401" t="n">
        <f aca="false">Peak!AC247</f>
        <v>0</v>
      </c>
      <c r="AD245" s="405" t="n">
        <f aca="false">Peak!AD247</f>
        <v>771.788531652048</v>
      </c>
      <c r="AE245" s="405" t="n">
        <f aca="false">Peak!AE247</f>
        <v>1127.07162975123</v>
      </c>
      <c r="AF245" s="401" t="n">
        <f aca="false">Peak!AF247</f>
        <v>1</v>
      </c>
      <c r="AG245" s="406" t="n">
        <f aca="false">Peak!AG247</f>
        <v>0</v>
      </c>
      <c r="AH245" s="401" t="n">
        <f aca="false">Peak!AH247</f>
        <v>4.42381444803401</v>
      </c>
      <c r="AI245" s="401" t="n">
        <f aca="false">Peak!AI247</f>
        <v>4.6188061432033</v>
      </c>
      <c r="AJ245" s="401" t="n">
        <f aca="false">Peak!AJ247</f>
        <v>0</v>
      </c>
      <c r="AK245" s="401" t="n">
        <f aca="false">Peak!AK247</f>
        <v>0</v>
      </c>
      <c r="AL245" s="1"/>
    </row>
    <row r="246" customFormat="false" ht="12.75" hidden="false" customHeight="false" outlineLevel="0" collapsed="false">
      <c r="A246" s="400" t="n">
        <f aca="false">A245+30.417</f>
        <v>43748.829</v>
      </c>
      <c r="B246" s="401" t="n">
        <f aca="false">IF($B$7="Coal",AG246,IF($B$7="Gas",AH246,IF($B$7="Oil",AI246,0)))</f>
        <v>4.89938688589656</v>
      </c>
      <c r="C246" s="402" t="n">
        <f aca="false">(B246*$B$1*1000)/1000000</f>
        <v>55.3863178377706</v>
      </c>
      <c r="D246" s="401" t="n">
        <f aca="false">AB246+AC246</f>
        <v>0.894789410756723</v>
      </c>
      <c r="E246" s="401" t="n">
        <f aca="false">(($AJ246*$B$1*AD246*1000)/2000)/1000000</f>
        <v>0</v>
      </c>
      <c r="F246" s="401" t="n">
        <f aca="false">AF246*(($AK246*$B$1*AE246*1000)/2000)/1000000</f>
        <v>0</v>
      </c>
      <c r="G246" s="403" t="str">
        <f aca="false">IF(IS!$C$2="Peak","-",SUM(C246:F246))</f>
        <v>-</v>
      </c>
      <c r="H246" s="411" t="n">
        <v>129.028553176784</v>
      </c>
      <c r="I246" s="411" t="n">
        <v>106.288082259615</v>
      </c>
      <c r="J246" s="411" t="n">
        <v>100.314530453136</v>
      </c>
      <c r="K246" s="411" t="n">
        <v>93.3479352084987</v>
      </c>
      <c r="L246" s="411" t="n">
        <v>89.6319333268477</v>
      </c>
      <c r="M246" s="411" t="n">
        <v>89.3341187024283</v>
      </c>
      <c r="N246" s="411" t="n">
        <v>70.835629073069</v>
      </c>
      <c r="O246" s="411" t="n">
        <v>60.7308185849723</v>
      </c>
      <c r="P246" s="411" t="n">
        <v>50.7985667531003</v>
      </c>
      <c r="Q246" s="411" t="n">
        <v>50.1370311076521</v>
      </c>
      <c r="R246" s="411" t="n">
        <v>47.9833760137978</v>
      </c>
      <c r="S246" s="411" t="n">
        <v>44.349616509218</v>
      </c>
      <c r="T246" s="411" t="n">
        <v>44.3495189296843</v>
      </c>
      <c r="U246" s="411" t="n">
        <v>44.3495189296843</v>
      </c>
      <c r="V246" s="411" t="n">
        <v>44.3495189296843</v>
      </c>
      <c r="W246" s="411" t="n">
        <v>44.3495189296843</v>
      </c>
      <c r="X246" s="411" t="n">
        <v>42.50002287028</v>
      </c>
      <c r="Y246" s="411" t="n">
        <v>40.3801730573193</v>
      </c>
      <c r="Z246" s="411" t="n">
        <v>38.868430450539</v>
      </c>
      <c r="AA246" s="411" t="n">
        <v>34.174230876441</v>
      </c>
      <c r="AB246" s="401" t="n">
        <f aca="false">Peak!AB248</f>
        <v>0.894789410756723</v>
      </c>
      <c r="AC246" s="401" t="n">
        <f aca="false">Peak!AC248</f>
        <v>0</v>
      </c>
      <c r="AD246" s="405" t="n">
        <f aca="false">Peak!AD248</f>
        <v>771.788531652048</v>
      </c>
      <c r="AE246" s="405" t="n">
        <f aca="false">Peak!AE248</f>
        <v>1127.07162975123</v>
      </c>
      <c r="AF246" s="401" t="n">
        <f aca="false">Peak!AF248</f>
        <v>1</v>
      </c>
      <c r="AG246" s="406" t="n">
        <f aca="false">Peak!AG248</f>
        <v>0</v>
      </c>
      <c r="AH246" s="401" t="n">
        <f aca="false">Peak!AH248</f>
        <v>4.89938688589656</v>
      </c>
      <c r="AI246" s="401" t="n">
        <f aca="false">Peak!AI248</f>
        <v>4.6188061432033</v>
      </c>
      <c r="AJ246" s="401" t="n">
        <f aca="false">Peak!AJ248</f>
        <v>0</v>
      </c>
      <c r="AK246" s="401" t="n">
        <f aca="false">Peak!AK248</f>
        <v>0</v>
      </c>
      <c r="AL246" s="1"/>
    </row>
    <row r="247" customFormat="false" ht="12.75" hidden="false" customHeight="false" outlineLevel="0" collapsed="false">
      <c r="A247" s="400" t="n">
        <f aca="false">A246+30.417</f>
        <v>43779.246</v>
      </c>
      <c r="B247" s="401" t="n">
        <f aca="false">IF($B$7="Coal",AG247,IF($B$7="Gas",AH247,IF($B$7="Oil",AI247,0)))</f>
        <v>5.36505156463698</v>
      </c>
      <c r="C247" s="402" t="n">
        <f aca="false">(B247*$B$1*1000)/1000000</f>
        <v>60.6505381378216</v>
      </c>
      <c r="D247" s="401" t="n">
        <f aca="false">AB247+AC247</f>
        <v>0.896280726441318</v>
      </c>
      <c r="E247" s="401" t="n">
        <f aca="false">(($AJ247*$B$1*AD247*1000)/2000)/1000000</f>
        <v>0</v>
      </c>
      <c r="F247" s="401" t="n">
        <f aca="false">AF247*(($AK247*$B$1*AE247*1000)/2000)/1000000</f>
        <v>0</v>
      </c>
      <c r="G247" s="403" t="str">
        <f aca="false">IF(IS!$C$2="Peak","-",SUM(C247:F247))</f>
        <v>-</v>
      </c>
      <c r="H247" s="411" t="n">
        <v>122.971380427169</v>
      </c>
      <c r="I247" s="411" t="n">
        <v>108.225406303383</v>
      </c>
      <c r="J247" s="411" t="n">
        <v>104.418678899402</v>
      </c>
      <c r="K247" s="411" t="n">
        <v>97.7864590482063</v>
      </c>
      <c r="L247" s="411" t="n">
        <v>97.1345687340717</v>
      </c>
      <c r="M247" s="411" t="n">
        <v>86.7338576274571</v>
      </c>
      <c r="N247" s="411" t="n">
        <v>71.2722520743003</v>
      </c>
      <c r="O247" s="411" t="n">
        <v>67.2027032189239</v>
      </c>
      <c r="P247" s="411" t="n">
        <v>60.8221956308339</v>
      </c>
      <c r="Q247" s="411" t="n">
        <v>50.4929204690784</v>
      </c>
      <c r="R247" s="411" t="n">
        <v>47.2599427056569</v>
      </c>
      <c r="S247" s="411" t="n">
        <v>46.8034197969744</v>
      </c>
      <c r="T247" s="411" t="n">
        <v>46.4203218196802</v>
      </c>
      <c r="U247" s="411" t="n">
        <v>46.4167807092592</v>
      </c>
      <c r="V247" s="411" t="n">
        <v>46.4167733831653</v>
      </c>
      <c r="W247" s="411" t="n">
        <v>46.4167733831653</v>
      </c>
      <c r="X247" s="411" t="n">
        <v>46.4164999314377</v>
      </c>
      <c r="Y247" s="411" t="n">
        <v>46.4164104894008</v>
      </c>
      <c r="Z247" s="411" t="n">
        <v>46.4164104894008</v>
      </c>
      <c r="AA247" s="411" t="n">
        <v>44.3406162723549</v>
      </c>
      <c r="AB247" s="401" t="n">
        <f aca="false">Peak!AB249</f>
        <v>0.896280726441318</v>
      </c>
      <c r="AC247" s="401" t="n">
        <f aca="false">Peak!AC249</f>
        <v>0</v>
      </c>
      <c r="AD247" s="405" t="n">
        <f aca="false">Peak!AD249</f>
        <v>771.788531652048</v>
      </c>
      <c r="AE247" s="405" t="n">
        <f aca="false">Peak!AE249</f>
        <v>1127.07162975123</v>
      </c>
      <c r="AF247" s="401" t="n">
        <f aca="false">Peak!AF249</f>
        <v>1</v>
      </c>
      <c r="AG247" s="406" t="n">
        <f aca="false">Peak!AG249</f>
        <v>0</v>
      </c>
      <c r="AH247" s="401" t="n">
        <f aca="false">Peak!AH249</f>
        <v>5.36505156463698</v>
      </c>
      <c r="AI247" s="401" t="n">
        <f aca="false">Peak!AI249</f>
        <v>5.00775823947305</v>
      </c>
      <c r="AJ247" s="401" t="n">
        <f aca="false">Peak!AJ249</f>
        <v>0</v>
      </c>
      <c r="AK247" s="401" t="n">
        <f aca="false">Peak!AK249</f>
        <v>0</v>
      </c>
      <c r="AL247" s="1"/>
    </row>
    <row r="248" customFormat="false" ht="12.75" hidden="false" customHeight="false" outlineLevel="0" collapsed="false">
      <c r="A248" s="400" t="n">
        <f aca="false">A247+30.417</f>
        <v>43809.663</v>
      </c>
      <c r="B248" s="401" t="n">
        <f aca="false">IF($B$7="Coal",AG248,IF($B$7="Gas",AH248,IF($B$7="Oil",AI248,0)))</f>
        <v>5.80594684557206</v>
      </c>
      <c r="C248" s="402" t="n">
        <f aca="false">(B248*$B$1*1000)/1000000</f>
        <v>65.6347467197848</v>
      </c>
      <c r="D248" s="401" t="n">
        <f aca="false">AB248+AC248</f>
        <v>0.897774527652053</v>
      </c>
      <c r="E248" s="401" t="n">
        <f aca="false">(($AJ248*$B$1*AD248*1000)/2000)/1000000</f>
        <v>0</v>
      </c>
      <c r="F248" s="401" t="n">
        <f aca="false">AF248*(($AK248*$B$1*AE248*1000)/2000)/1000000</f>
        <v>0</v>
      </c>
      <c r="G248" s="403" t="str">
        <f aca="false">IF(IS!$C$2="Peak","-",SUM(C248:F248))</f>
        <v>-</v>
      </c>
      <c r="H248" s="411" t="n">
        <v>138.837046686427</v>
      </c>
      <c r="I248" s="411" t="n">
        <v>124.763322648473</v>
      </c>
      <c r="J248" s="411" t="n">
        <v>121.119027352912</v>
      </c>
      <c r="K248" s="411" t="n">
        <v>112.99283766398</v>
      </c>
      <c r="L248" s="411" t="n">
        <v>111.986419924373</v>
      </c>
      <c r="M248" s="411" t="n">
        <v>105.231875507463</v>
      </c>
      <c r="N248" s="411" t="n">
        <v>75.8429942004619</v>
      </c>
      <c r="O248" s="411" t="n">
        <v>70.0539274446217</v>
      </c>
      <c r="P248" s="411" t="n">
        <v>68.0543702241265</v>
      </c>
      <c r="Q248" s="411" t="n">
        <v>54.2532232158332</v>
      </c>
      <c r="R248" s="411" t="n">
        <v>53.2923956485069</v>
      </c>
      <c r="S248" s="411" t="n">
        <v>52.8563960336799</v>
      </c>
      <c r="T248" s="411" t="n">
        <v>52.8563927172014</v>
      </c>
      <c r="U248" s="411" t="n">
        <v>52.8563815049448</v>
      </c>
      <c r="V248" s="411" t="n">
        <v>52.8563815049448</v>
      </c>
      <c r="W248" s="411" t="n">
        <v>52.8563457765865</v>
      </c>
      <c r="X248" s="411" t="n">
        <v>52.8560178636786</v>
      </c>
      <c r="Y248" s="411" t="n">
        <v>52.8560178636786</v>
      </c>
      <c r="Z248" s="411" t="n">
        <v>52.8560178636786</v>
      </c>
      <c r="AA248" s="411" t="n">
        <v>48.6311359613625</v>
      </c>
      <c r="AB248" s="401" t="n">
        <f aca="false">Peak!AB250</f>
        <v>0.897774527652053</v>
      </c>
      <c r="AC248" s="401" t="n">
        <f aca="false">Peak!AC250</f>
        <v>0</v>
      </c>
      <c r="AD248" s="405" t="n">
        <f aca="false">Peak!AD250</f>
        <v>771.788531652048</v>
      </c>
      <c r="AE248" s="405" t="n">
        <f aca="false">Peak!AE250</f>
        <v>1127.07162975123</v>
      </c>
      <c r="AF248" s="401" t="n">
        <f aca="false">Peak!AF250</f>
        <v>1</v>
      </c>
      <c r="AG248" s="406" t="n">
        <f aca="false">Peak!AG250</f>
        <v>0</v>
      </c>
      <c r="AH248" s="401" t="n">
        <f aca="false">Peak!AH250</f>
        <v>5.80594684557206</v>
      </c>
      <c r="AI248" s="401" t="n">
        <f aca="false">Peak!AI250</f>
        <v>5.25085329964165</v>
      </c>
      <c r="AJ248" s="401" t="n">
        <f aca="false">Peak!AJ250</f>
        <v>0</v>
      </c>
      <c r="AK248" s="401" t="n">
        <f aca="false">Peak!AK250</f>
        <v>0</v>
      </c>
      <c r="AL248" s="1"/>
    </row>
  </sheetData>
  <mergeCells count="2">
    <mergeCell ref="AL6:AP6"/>
    <mergeCell ref="AL12:AP1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50"/>
  <sheetViews>
    <sheetView showFormulas="false" showGridLines="true" showRowColHeaders="true" showZeros="true" rightToLeft="false" tabSelected="false" showOutlineSymbols="true" defaultGridColor="true" view="normal" topLeftCell="X1" colorId="64" zoomScale="100" zoomScaleNormal="100" zoomScalePageLayoutView="100" workbookViewId="0">
      <selection pane="topLeft" activeCell="AM17" activeCellId="0" sqref="AM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28"/>
    <col collapsed="false" customWidth="true" hidden="false" outlineLevel="0" max="2" min="2" style="0" width="11.42"/>
    <col collapsed="false" customWidth="true" hidden="false" outlineLevel="0" max="7" min="7" style="1" width="9.14"/>
    <col collapsed="false" customWidth="true" hidden="false" outlineLevel="0" max="27" min="22" style="0" width="8.56"/>
    <col collapsed="false" customWidth="true" hidden="false" outlineLevel="0" max="29" min="28" style="0" width="4.7"/>
    <col collapsed="false" customWidth="true" hidden="false" outlineLevel="0" max="30" min="30" style="0" width="4.99"/>
    <col collapsed="false" customWidth="true" hidden="false" outlineLevel="0" max="31" min="31" style="0" width="5.71"/>
    <col collapsed="false" customWidth="true" hidden="false" outlineLevel="0" max="32" min="32" style="0" width="8.85"/>
    <col collapsed="false" customWidth="true" hidden="false" outlineLevel="0" max="35" min="33" style="0" width="4.99"/>
    <col collapsed="false" customWidth="true" hidden="false" outlineLevel="0" max="37" min="36" style="0" width="4.41"/>
    <col collapsed="false" customWidth="true" hidden="false" outlineLevel="0" max="38" min="38" style="0" width="7.99"/>
    <col collapsed="false" customWidth="true" hidden="false" outlineLevel="0" max="41" min="39" style="0" width="6.85"/>
    <col collapsed="false" customWidth="true" hidden="false" outlineLevel="0" max="42" min="42" style="0" width="7.56"/>
  </cols>
  <sheetData>
    <row r="1" customFormat="false" ht="12.75" hidden="false" customHeight="false" outlineLevel="0" collapsed="false">
      <c r="A1" s="263" t="s">
        <v>165</v>
      </c>
      <c r="B1" s="391" t="n">
        <f aca="false">VLOOKUP($C$1,UnitData,9)</f>
        <v>11304.7446808511</v>
      </c>
      <c r="C1" s="392" t="n">
        <f aca="false">IS!B1</f>
        <v>33</v>
      </c>
    </row>
    <row r="2" customFormat="false" ht="12.75" hidden="false" customHeight="false" outlineLevel="0" collapsed="false">
      <c r="A2" s="263"/>
      <c r="B2" s="391"/>
      <c r="C2" s="392"/>
    </row>
    <row r="3" customFormat="false" ht="12.75" hidden="false" customHeight="false" outlineLevel="0" collapsed="false">
      <c r="A3" s="263"/>
      <c r="B3" s="391"/>
      <c r="C3" s="392"/>
    </row>
    <row r="4" customFormat="false" ht="12.75" hidden="false" customHeight="false" outlineLevel="0" collapsed="false">
      <c r="A4" s="263"/>
      <c r="B4" s="391"/>
      <c r="C4" s="392"/>
    </row>
    <row r="5" customFormat="false" ht="12.75" hidden="false" customHeight="false" outlineLevel="0" collapsed="false">
      <c r="A5" s="263"/>
      <c r="B5" s="391"/>
      <c r="C5" s="392"/>
    </row>
    <row r="6" customFormat="false" ht="12.75" hidden="false" customHeight="false" outlineLevel="0" collapsed="false">
      <c r="A6" s="263"/>
      <c r="B6" s="391"/>
      <c r="C6" s="392"/>
    </row>
    <row r="7" customFormat="false" ht="13.5" hidden="false" customHeight="false" outlineLevel="0" collapsed="false">
      <c r="A7" s="263"/>
      <c r="B7" s="391"/>
      <c r="C7" s="392"/>
    </row>
    <row r="8" customFormat="false" ht="13.5" hidden="false" customHeight="false" outlineLevel="0" collapsed="false">
      <c r="C8" s="368"/>
      <c r="D8" s="368"/>
      <c r="G8" s="368" t="s">
        <v>266</v>
      </c>
      <c r="H8" s="393" t="s">
        <v>267</v>
      </c>
      <c r="I8" s="394"/>
      <c r="J8" s="394"/>
      <c r="K8" s="394"/>
      <c r="L8" s="394"/>
      <c r="M8" s="394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394"/>
      <c r="Y8" s="394"/>
      <c r="Z8" s="394"/>
      <c r="AA8" s="395"/>
      <c r="AB8" s="273" t="s">
        <v>268</v>
      </c>
      <c r="AC8" s="273" t="s">
        <v>269</v>
      </c>
      <c r="AD8" s="368" t="s">
        <v>111</v>
      </c>
      <c r="AE8" s="368" t="s">
        <v>112</v>
      </c>
      <c r="AF8" s="368" t="s">
        <v>112</v>
      </c>
      <c r="AG8" s="368" t="s">
        <v>131</v>
      </c>
      <c r="AH8" s="368" t="s">
        <v>135</v>
      </c>
      <c r="AI8" s="368" t="s">
        <v>133</v>
      </c>
      <c r="AJ8" s="368" t="s">
        <v>111</v>
      </c>
      <c r="AK8" s="368" t="s">
        <v>112</v>
      </c>
      <c r="AL8" s="273" t="s">
        <v>270</v>
      </c>
      <c r="AM8" s="273"/>
      <c r="AN8" s="273"/>
      <c r="AO8" s="273"/>
      <c r="AP8" s="273"/>
    </row>
    <row r="9" customFormat="false" ht="13.5" hidden="false" customHeight="false" outlineLevel="0" collapsed="false">
      <c r="B9" s="396" t="str">
        <f aca="false">VLOOKUP($C$1,UnitData,13)</f>
        <v>Gas</v>
      </c>
      <c r="C9" s="368" t="s">
        <v>21</v>
      </c>
      <c r="D9" s="368" t="s">
        <v>271</v>
      </c>
      <c r="E9" s="368" t="s">
        <v>111</v>
      </c>
      <c r="F9" s="368" t="s">
        <v>112</v>
      </c>
      <c r="G9" s="368" t="s">
        <v>272</v>
      </c>
      <c r="H9" s="397" t="s">
        <v>273</v>
      </c>
      <c r="I9" s="397" t="s">
        <v>274</v>
      </c>
      <c r="J9" s="397" t="s">
        <v>275</v>
      </c>
      <c r="K9" s="397" t="s">
        <v>276</v>
      </c>
      <c r="L9" s="397" t="s">
        <v>277</v>
      </c>
      <c r="M9" s="397" t="s">
        <v>278</v>
      </c>
      <c r="N9" s="397" t="s">
        <v>279</v>
      </c>
      <c r="O9" s="397" t="s">
        <v>280</v>
      </c>
      <c r="P9" s="397" t="s">
        <v>281</v>
      </c>
      <c r="Q9" s="397" t="s">
        <v>282</v>
      </c>
      <c r="R9" s="397" t="s">
        <v>283</v>
      </c>
      <c r="S9" s="397" t="s">
        <v>284</v>
      </c>
      <c r="T9" s="397" t="s">
        <v>285</v>
      </c>
      <c r="U9" s="397" t="s">
        <v>286</v>
      </c>
      <c r="V9" s="397" t="s">
        <v>287</v>
      </c>
      <c r="W9" s="397" t="s">
        <v>288</v>
      </c>
      <c r="X9" s="397" t="s">
        <v>289</v>
      </c>
      <c r="Y9" s="397" t="s">
        <v>290</v>
      </c>
      <c r="Z9" s="397" t="s">
        <v>291</v>
      </c>
      <c r="AA9" s="397" t="s">
        <v>292</v>
      </c>
      <c r="AB9" s="273" t="s">
        <v>271</v>
      </c>
      <c r="AC9" s="273" t="s">
        <v>271</v>
      </c>
      <c r="AD9" s="368" t="s">
        <v>143</v>
      </c>
      <c r="AE9" s="368" t="s">
        <v>143</v>
      </c>
      <c r="AF9" s="368" t="s">
        <v>293</v>
      </c>
      <c r="AG9" s="368" t="s">
        <v>143</v>
      </c>
      <c r="AH9" s="368" t="s">
        <v>143</v>
      </c>
      <c r="AI9" s="368" t="s">
        <v>143</v>
      </c>
      <c r="AJ9" s="368" t="s">
        <v>129</v>
      </c>
      <c r="AK9" s="368" t="s">
        <v>129</v>
      </c>
      <c r="AL9" s="277" t="s">
        <v>124</v>
      </c>
      <c r="AM9" s="277" t="s">
        <v>125</v>
      </c>
      <c r="AN9" s="277" t="s">
        <v>294</v>
      </c>
      <c r="AO9" s="277" t="s">
        <v>295</v>
      </c>
      <c r="AP9" s="277" t="s">
        <v>296</v>
      </c>
    </row>
    <row r="10" customFormat="false" ht="12.75" hidden="false" customHeight="false" outlineLevel="0" collapsed="false">
      <c r="H10" s="398" t="n">
        <v>5</v>
      </c>
      <c r="I10" s="399" t="n">
        <v>5</v>
      </c>
      <c r="J10" s="399" t="n">
        <v>10</v>
      </c>
      <c r="K10" s="399" t="n">
        <v>20</v>
      </c>
      <c r="L10" s="399" t="n">
        <v>20</v>
      </c>
      <c r="M10" s="399" t="n">
        <v>40</v>
      </c>
      <c r="N10" s="399" t="n">
        <v>40</v>
      </c>
      <c r="O10" s="399" t="n">
        <v>40</v>
      </c>
      <c r="P10" s="399" t="n">
        <v>40</v>
      </c>
      <c r="Q10" s="399" t="n">
        <v>40</v>
      </c>
      <c r="R10" s="399" t="n">
        <v>40</v>
      </c>
      <c r="S10" s="399" t="n">
        <v>40</v>
      </c>
      <c r="T10" s="399" t="n">
        <v>40</v>
      </c>
      <c r="U10" s="399" t="n">
        <v>40</v>
      </c>
      <c r="V10" s="399" t="n">
        <v>40</v>
      </c>
      <c r="W10" s="399" t="n">
        <v>40</v>
      </c>
      <c r="X10" s="399" t="n">
        <v>40</v>
      </c>
      <c r="Y10" s="399" t="n">
        <v>40</v>
      </c>
      <c r="Z10" s="399" t="n">
        <v>40</v>
      </c>
      <c r="AA10" s="399" t="n">
        <v>110</v>
      </c>
    </row>
    <row r="11" customFormat="false" ht="12.75" hidden="false" customHeight="false" outlineLevel="0" collapsed="false">
      <c r="A11" s="400" t="n">
        <v>36540</v>
      </c>
      <c r="B11" s="401" t="n">
        <f aca="false">IF($B$9="Coal",AG11,IF($B$9="Gas",AH11,IF($B$9="Oil",AI11,0)))</f>
        <v>3.25338889786042</v>
      </c>
      <c r="C11" s="402" t="n">
        <f aca="false">(B11*$B$1*1000)/1000000</f>
        <v>36.7787308378275</v>
      </c>
      <c r="D11" s="401" t="n">
        <f aca="false">AB11+AC11</f>
        <v>0.603</v>
      </c>
      <c r="E11" s="401" t="n">
        <f aca="false">(($AJ11*$B$1*AD11*1000)/2000)/1000000</f>
        <v>0</v>
      </c>
      <c r="F11" s="401" t="n">
        <f aca="false">AF11*(($AK11*$B$1*AE11*1000)/2000)/1000000</f>
        <v>0</v>
      </c>
      <c r="G11" s="403" t="n">
        <f aca="false">IF('Peak Revenue'!$A$1="BL","-",SUM(C11:F11))</f>
        <v>37.3817308378275</v>
      </c>
      <c r="H11" s="404" t="n">
        <v>0</v>
      </c>
      <c r="I11" s="404" t="n">
        <v>0</v>
      </c>
      <c r="J11" s="404" t="n">
        <v>0</v>
      </c>
      <c r="K11" s="404" t="n">
        <v>0</v>
      </c>
      <c r="L11" s="404" t="n">
        <v>0</v>
      </c>
      <c r="M11" s="404" t="n">
        <v>0</v>
      </c>
      <c r="N11" s="404" t="n">
        <v>0</v>
      </c>
      <c r="O11" s="404" t="n">
        <v>0</v>
      </c>
      <c r="P11" s="404" t="n">
        <v>0</v>
      </c>
      <c r="Q11" s="404" t="n">
        <v>0</v>
      </c>
      <c r="R11" s="404" t="n">
        <v>0</v>
      </c>
      <c r="S11" s="404" t="n">
        <v>0</v>
      </c>
      <c r="T11" s="404" t="n">
        <v>0</v>
      </c>
      <c r="U11" s="404" t="n">
        <v>0</v>
      </c>
      <c r="V11" s="404" t="n">
        <v>0</v>
      </c>
      <c r="W11" s="404" t="n">
        <v>0</v>
      </c>
      <c r="X11" s="404" t="n">
        <v>0</v>
      </c>
      <c r="Y11" s="404" t="n">
        <v>0</v>
      </c>
      <c r="Z11" s="404" t="n">
        <v>0</v>
      </c>
      <c r="AA11" s="404" t="n">
        <v>0</v>
      </c>
      <c r="AB11" s="401" t="n">
        <f aca="false">VLOOKUP($C$1,UnitData,7)</f>
        <v>0.603</v>
      </c>
      <c r="AC11" s="401" t="n">
        <f aca="false">VLOOKUP($C$1,EnvVOM,3)</f>
        <v>0</v>
      </c>
      <c r="AD11" s="405" t="n">
        <f aca="false">Assumptions!B12</f>
        <v>181.155995101763</v>
      </c>
      <c r="AE11" s="405" t="n">
        <f aca="false">Assumptions!C12</f>
        <v>0</v>
      </c>
      <c r="AF11" s="392" t="n">
        <v>0</v>
      </c>
      <c r="AG11" s="406" t="n">
        <f aca="false">VLOOKUP($C$1,Coal,3)</f>
        <v>0</v>
      </c>
      <c r="AH11" s="401" t="n">
        <f aca="false">Assumptions!$E$12*Assumptions!H12</f>
        <v>3.25338889786042</v>
      </c>
      <c r="AI11" s="401" t="n">
        <f aca="false">Assumptions!$F$12*Assumptions!I12</f>
        <v>3.37248327876854</v>
      </c>
      <c r="AJ11" s="401" t="n">
        <f aca="false">VLOOKUP($C$1,SO2Rate,3)</f>
        <v>0</v>
      </c>
      <c r="AK11" s="401" t="n">
        <f aca="false">VLOOKUP($C$1,NOxRate,3)</f>
        <v>0</v>
      </c>
      <c r="AL11" s="407" t="n">
        <f aca="false">VLOOKUP($C$1,UnitData,10)</f>
        <v>0.966121359095586</v>
      </c>
      <c r="AM11" s="407" t="n">
        <f aca="false">VLOOKUP($C$1,UnitData,11)</f>
        <v>0.924276618786118</v>
      </c>
      <c r="AN11" s="407" t="n">
        <f aca="false">VLOOKUP($C$1,UnitData,12)</f>
        <v>0.95</v>
      </c>
      <c r="AO11" s="407" t="n">
        <f aca="false">AN11</f>
        <v>0.95</v>
      </c>
      <c r="AP11" s="407" t="n">
        <f aca="false">AVERAGE(AL11:AO11)</f>
        <v>0.947599494470426</v>
      </c>
    </row>
    <row r="12" customFormat="false" ht="12.75" hidden="false" customHeight="false" outlineLevel="0" collapsed="false">
      <c r="A12" s="400" t="n">
        <f aca="false">A11+30.417</f>
        <v>36570.417</v>
      </c>
      <c r="B12" s="401" t="n">
        <f aca="false">IF($B$9="Coal",AG12,IF($B$9="Gas",AH12,IF($B$9="Oil",AI12,0)))</f>
        <v>2.91593632600788</v>
      </c>
      <c r="C12" s="402" t="n">
        <f aca="false">(B12*$B$1*1000)/1000000</f>
        <v>32.9639156711379</v>
      </c>
      <c r="D12" s="401" t="n">
        <f aca="false">AB12+AC12</f>
        <v>0.604005</v>
      </c>
      <c r="E12" s="401" t="n">
        <f aca="false">(($AJ12*$B$1*AD12*1000)/2000)/1000000</f>
        <v>0</v>
      </c>
      <c r="F12" s="401" t="n">
        <f aca="false">AF12*(($AK12*$B$1*AE12*1000)/2000)/1000000</f>
        <v>0</v>
      </c>
      <c r="G12" s="403" t="n">
        <f aca="false">IF('Peak Revenue'!$A$1="BL","-",SUM(C12:F12))</f>
        <v>33.5679206711379</v>
      </c>
      <c r="H12" s="404" t="n">
        <v>0</v>
      </c>
      <c r="I12" s="404" t="n">
        <v>0</v>
      </c>
      <c r="J12" s="404" t="n">
        <v>0</v>
      </c>
      <c r="K12" s="404" t="n">
        <v>0</v>
      </c>
      <c r="L12" s="404" t="n">
        <v>0</v>
      </c>
      <c r="M12" s="404" t="n">
        <v>0</v>
      </c>
      <c r="N12" s="404" t="n">
        <v>0</v>
      </c>
      <c r="O12" s="404" t="n">
        <v>0</v>
      </c>
      <c r="P12" s="404" t="n">
        <v>0</v>
      </c>
      <c r="Q12" s="404" t="n">
        <v>0</v>
      </c>
      <c r="R12" s="404" t="n">
        <v>0</v>
      </c>
      <c r="S12" s="404" t="n">
        <v>0</v>
      </c>
      <c r="T12" s="404" t="n">
        <v>0</v>
      </c>
      <c r="U12" s="404" t="n">
        <v>0</v>
      </c>
      <c r="V12" s="404" t="n">
        <v>0</v>
      </c>
      <c r="W12" s="404" t="n">
        <v>0</v>
      </c>
      <c r="X12" s="404" t="n">
        <v>0</v>
      </c>
      <c r="Y12" s="404" t="n">
        <v>0</v>
      </c>
      <c r="Z12" s="404" t="n">
        <v>0</v>
      </c>
      <c r="AA12" s="404" t="n">
        <v>0</v>
      </c>
      <c r="AB12" s="401" t="n">
        <f aca="false">AB11*(1+Assumptions!$L$13/12)</f>
        <v>0.604005</v>
      </c>
      <c r="AC12" s="401" t="n">
        <f aca="false">AC11</f>
        <v>0</v>
      </c>
      <c r="AD12" s="405" t="n">
        <f aca="false">AD11</f>
        <v>181.155995101763</v>
      </c>
      <c r="AE12" s="405" t="n">
        <f aca="false">AE11</f>
        <v>0</v>
      </c>
      <c r="AF12" s="392" t="n">
        <v>0</v>
      </c>
      <c r="AG12" s="406" t="n">
        <f aca="false">AG11</f>
        <v>0</v>
      </c>
      <c r="AH12" s="401" t="n">
        <f aca="false">Assumptions!$E$12*Assumptions!H13</f>
        <v>2.91593632600788</v>
      </c>
      <c r="AI12" s="401" t="n">
        <f aca="false">Assumptions!$F$12*Assumptions!I13</f>
        <v>3.3412565817429</v>
      </c>
      <c r="AJ12" s="401" t="n">
        <f aca="false">AJ11</f>
        <v>0</v>
      </c>
      <c r="AK12" s="401" t="n">
        <f aca="false">AK11</f>
        <v>0</v>
      </c>
    </row>
    <row r="13" customFormat="false" ht="12.75" hidden="false" customHeight="false" outlineLevel="0" collapsed="false">
      <c r="A13" s="400" t="n">
        <f aca="false">A12+30.417</f>
        <v>36600.834</v>
      </c>
      <c r="B13" s="401" t="n">
        <f aca="false">IF($B$9="Coal",AG13,IF($B$9="Gas",AH13,IF($B$9="Oil",AI13,0)))</f>
        <v>2.8669047557387</v>
      </c>
      <c r="C13" s="402" t="n">
        <f aca="false">(B13*$B$1*1000)/1000000</f>
        <v>32.4096262879437</v>
      </c>
      <c r="D13" s="401" t="n">
        <f aca="false">AB13+AC13</f>
        <v>0.605011675</v>
      </c>
      <c r="E13" s="401" t="n">
        <f aca="false">(($AJ13*$B$1*AD13*1000)/2000)/1000000</f>
        <v>0</v>
      </c>
      <c r="F13" s="401" t="n">
        <f aca="false">AF13*(($AK13*$B$1*AE13*1000)/2000)/1000000</f>
        <v>0</v>
      </c>
      <c r="G13" s="403" t="n">
        <f aca="false">IF('Peak Revenue'!$A$1="BL","-",SUM(C13:F13))</f>
        <v>33.0146379629437</v>
      </c>
      <c r="H13" s="404" t="n">
        <v>0</v>
      </c>
      <c r="I13" s="404" t="n">
        <v>0</v>
      </c>
      <c r="J13" s="404" t="n">
        <v>0</v>
      </c>
      <c r="K13" s="404" t="n">
        <v>0</v>
      </c>
      <c r="L13" s="404" t="n">
        <v>0</v>
      </c>
      <c r="M13" s="404" t="n">
        <v>0</v>
      </c>
      <c r="N13" s="404" t="n">
        <v>0</v>
      </c>
      <c r="O13" s="404" t="n">
        <v>0</v>
      </c>
      <c r="P13" s="404" t="n">
        <v>0</v>
      </c>
      <c r="Q13" s="404" t="n">
        <v>0</v>
      </c>
      <c r="R13" s="404" t="n">
        <v>0</v>
      </c>
      <c r="S13" s="404" t="n">
        <v>0</v>
      </c>
      <c r="T13" s="404" t="n">
        <v>0</v>
      </c>
      <c r="U13" s="404" t="n">
        <v>0</v>
      </c>
      <c r="V13" s="404" t="n">
        <v>0</v>
      </c>
      <c r="W13" s="404" t="n">
        <v>0</v>
      </c>
      <c r="X13" s="404" t="n">
        <v>0</v>
      </c>
      <c r="Y13" s="404" t="n">
        <v>0</v>
      </c>
      <c r="Z13" s="404" t="n">
        <v>0</v>
      </c>
      <c r="AA13" s="404" t="n">
        <v>0</v>
      </c>
      <c r="AB13" s="401" t="n">
        <f aca="false">AB12*(1+Assumptions!$L$13/12)</f>
        <v>0.605011675</v>
      </c>
      <c r="AC13" s="401" t="n">
        <f aca="false">AC12</f>
        <v>0</v>
      </c>
      <c r="AD13" s="405" t="n">
        <f aca="false">AD12</f>
        <v>181.155995101763</v>
      </c>
      <c r="AE13" s="405" t="n">
        <f aca="false">AE12</f>
        <v>0</v>
      </c>
      <c r="AF13" s="392" t="n">
        <v>0</v>
      </c>
      <c r="AG13" s="406" t="n">
        <f aca="false">AG12</f>
        <v>0</v>
      </c>
      <c r="AH13" s="401" t="n">
        <f aca="false">Assumptions!$E$12*Assumptions!H14</f>
        <v>2.8669047557387</v>
      </c>
      <c r="AI13" s="401" t="n">
        <f aca="false">Assumptions!$F$12*Assumptions!I14</f>
        <v>3.21634979364036</v>
      </c>
      <c r="AJ13" s="401" t="n">
        <f aca="false">AJ12</f>
        <v>0</v>
      </c>
      <c r="AK13" s="401" t="n">
        <f aca="false">AK12</f>
        <v>0</v>
      </c>
    </row>
    <row r="14" customFormat="false" ht="12.75" hidden="false" customHeight="false" outlineLevel="0" collapsed="false">
      <c r="A14" s="400" t="n">
        <f aca="false">A13+30.417</f>
        <v>36631.251</v>
      </c>
      <c r="B14" s="401" t="n">
        <f aca="false">IF($B$9="Coal",AG14,IF($B$9="Gas",AH14,IF($B$9="Oil",AI14,0)))</f>
        <v>2.72557846496285</v>
      </c>
      <c r="C14" s="402" t="n">
        <f aca="false">(B14*$B$1*1000)/1000000</f>
        <v>30.811968654031</v>
      </c>
      <c r="D14" s="401" t="n">
        <f aca="false">AB14+AC14</f>
        <v>0.606020027791667</v>
      </c>
      <c r="E14" s="401" t="n">
        <f aca="false">(($AJ14*$B$1*AD14*1000)/2000)/1000000</f>
        <v>0</v>
      </c>
      <c r="F14" s="401" t="n">
        <f aca="false">AF14*(($AK14*$B$1*AE14*1000)/2000)/1000000</f>
        <v>0</v>
      </c>
      <c r="G14" s="403" t="n">
        <f aca="false">IF('Peak Revenue'!$A$1="BL","-",SUM(C14:F14))</f>
        <v>31.4179886818227</v>
      </c>
      <c r="H14" s="404" t="n">
        <v>0</v>
      </c>
      <c r="I14" s="404" t="n">
        <v>0</v>
      </c>
      <c r="J14" s="404" t="n">
        <v>0</v>
      </c>
      <c r="K14" s="404" t="n">
        <v>0</v>
      </c>
      <c r="L14" s="404" t="n">
        <v>0</v>
      </c>
      <c r="M14" s="404" t="n">
        <v>0</v>
      </c>
      <c r="N14" s="404" t="n">
        <v>0</v>
      </c>
      <c r="O14" s="404" t="n">
        <v>0</v>
      </c>
      <c r="P14" s="404" t="n">
        <v>0</v>
      </c>
      <c r="Q14" s="404" t="n">
        <v>0</v>
      </c>
      <c r="R14" s="404" t="n">
        <v>0</v>
      </c>
      <c r="S14" s="404" t="n">
        <v>0</v>
      </c>
      <c r="T14" s="404" t="n">
        <v>0</v>
      </c>
      <c r="U14" s="404" t="n">
        <v>0</v>
      </c>
      <c r="V14" s="404" t="n">
        <v>0</v>
      </c>
      <c r="W14" s="404" t="n">
        <v>0</v>
      </c>
      <c r="X14" s="404" t="n">
        <v>0</v>
      </c>
      <c r="Y14" s="404" t="n">
        <v>0</v>
      </c>
      <c r="Z14" s="404" t="n">
        <v>0</v>
      </c>
      <c r="AA14" s="404" t="n">
        <v>0</v>
      </c>
      <c r="AB14" s="401" t="n">
        <f aca="false">AB13*(1+Assumptions!$L$13/12)</f>
        <v>0.606020027791667</v>
      </c>
      <c r="AC14" s="401" t="n">
        <f aca="false">AC13</f>
        <v>0</v>
      </c>
      <c r="AD14" s="405" t="n">
        <f aca="false">AD13</f>
        <v>181.155995101763</v>
      </c>
      <c r="AE14" s="405" t="n">
        <f aca="false">AE13</f>
        <v>0</v>
      </c>
      <c r="AF14" s="392" t="n">
        <v>0</v>
      </c>
      <c r="AG14" s="406" t="n">
        <f aca="false">AG13</f>
        <v>0</v>
      </c>
      <c r="AH14" s="401" t="n">
        <f aca="false">Assumptions!$E$12*Assumptions!H15</f>
        <v>2.72557846496285</v>
      </c>
      <c r="AI14" s="401" t="n">
        <f aca="false">Assumptions!$F$12*Assumptions!I15</f>
        <v>3.09144300553783</v>
      </c>
      <c r="AJ14" s="401" t="n">
        <f aca="false">AJ13</f>
        <v>0</v>
      </c>
      <c r="AK14" s="401" t="n">
        <f aca="false">AK13</f>
        <v>0</v>
      </c>
      <c r="AL14" s="273" t="s">
        <v>5</v>
      </c>
      <c r="AM14" s="273"/>
      <c r="AN14" s="273"/>
      <c r="AO14" s="273"/>
      <c r="AP14" s="273"/>
    </row>
    <row r="15" customFormat="false" ht="13.5" hidden="false" customHeight="false" outlineLevel="0" collapsed="false">
      <c r="A15" s="400" t="n">
        <f aca="false">A14+30.417</f>
        <v>36661.668</v>
      </c>
      <c r="B15" s="401" t="n">
        <f aca="false">IF($B$9="Coal",AG15,IF($B$9="Gas",AH15,IF($B$9="Oil",AI15,0)))</f>
        <v>2.86978896575454</v>
      </c>
      <c r="C15" s="402" t="n">
        <f aca="false">(B15*$B$1*1000)/1000000</f>
        <v>32.4422315457787</v>
      </c>
      <c r="D15" s="401" t="n">
        <f aca="false">AB15+AC15</f>
        <v>0.60703006117132</v>
      </c>
      <c r="E15" s="401" t="n">
        <f aca="false">(($AJ15*$B$1*AD15*1000)/2000)/1000000</f>
        <v>0</v>
      </c>
      <c r="F15" s="401" t="n">
        <f aca="false">AF15*(($AK15*$B$1*AE15*1000)/2000)/1000000</f>
        <v>0</v>
      </c>
      <c r="G15" s="403" t="n">
        <f aca="false">IF('Peak Revenue'!$A$1="BL","-",SUM(C15:F15))</f>
        <v>33.04926160695</v>
      </c>
      <c r="H15" s="404" t="n">
        <v>0</v>
      </c>
      <c r="I15" s="404" t="n">
        <v>0</v>
      </c>
      <c r="J15" s="404" t="n">
        <v>0</v>
      </c>
      <c r="K15" s="404" t="n">
        <v>0</v>
      </c>
      <c r="L15" s="404" t="n">
        <v>0</v>
      </c>
      <c r="M15" s="404" t="n">
        <v>0</v>
      </c>
      <c r="N15" s="404" t="n">
        <v>0</v>
      </c>
      <c r="O15" s="404" t="n">
        <v>0</v>
      </c>
      <c r="P15" s="404" t="n">
        <v>0</v>
      </c>
      <c r="Q15" s="404" t="n">
        <v>0</v>
      </c>
      <c r="R15" s="404" t="n">
        <v>0</v>
      </c>
      <c r="S15" s="404" t="n">
        <v>0</v>
      </c>
      <c r="T15" s="404" t="n">
        <v>0</v>
      </c>
      <c r="U15" s="404" t="n">
        <v>0</v>
      </c>
      <c r="V15" s="404" t="n">
        <v>0</v>
      </c>
      <c r="W15" s="404" t="n">
        <v>0</v>
      </c>
      <c r="X15" s="404" t="n">
        <v>0</v>
      </c>
      <c r="Y15" s="404" t="n">
        <v>0</v>
      </c>
      <c r="Z15" s="404" t="n">
        <v>0</v>
      </c>
      <c r="AA15" s="404" t="n">
        <v>0</v>
      </c>
      <c r="AB15" s="401" t="n">
        <f aca="false">AB14*(1+Assumptions!$L$13/12)</f>
        <v>0.60703006117132</v>
      </c>
      <c r="AC15" s="401" t="n">
        <f aca="false">AC14</f>
        <v>0</v>
      </c>
      <c r="AD15" s="405" t="n">
        <f aca="false">AD14</f>
        <v>181.155995101763</v>
      </c>
      <c r="AE15" s="405" t="n">
        <f aca="false">AE14</f>
        <v>0</v>
      </c>
      <c r="AF15" s="392" t="n">
        <v>0</v>
      </c>
      <c r="AG15" s="406" t="n">
        <f aca="false">AG14</f>
        <v>0</v>
      </c>
      <c r="AH15" s="401" t="n">
        <f aca="false">Assumptions!$E$12*Assumptions!H16</f>
        <v>2.86978896575454</v>
      </c>
      <c r="AI15" s="401" t="n">
        <f aca="false">Assumptions!$F$12*Assumptions!I16</f>
        <v>2.96653621743529</v>
      </c>
      <c r="AJ15" s="401" t="n">
        <f aca="false">AJ14</f>
        <v>0</v>
      </c>
      <c r="AK15" s="401" t="n">
        <f aca="false">AK14</f>
        <v>0</v>
      </c>
      <c r="AL15" s="277" t="s">
        <v>124</v>
      </c>
      <c r="AM15" s="277" t="s">
        <v>125</v>
      </c>
      <c r="AN15" s="277" t="s">
        <v>294</v>
      </c>
      <c r="AO15" s="277" t="s">
        <v>295</v>
      </c>
      <c r="AP15" s="277" t="s">
        <v>296</v>
      </c>
    </row>
    <row r="16" customFormat="false" ht="12.75" hidden="false" customHeight="false" outlineLevel="0" collapsed="false">
      <c r="A16" s="400" t="n">
        <f aca="false">A15+30.417</f>
        <v>36692.085</v>
      </c>
      <c r="B16" s="401" t="n">
        <f aca="false">IF($B$9="Coal",AG16,IF($B$9="Gas",AH16,IF($B$9="Oil",AI16,0)))</f>
        <v>2.73423109501035</v>
      </c>
      <c r="C16" s="402" t="n">
        <f aca="false">(B16*$B$1*1000)/1000000</f>
        <v>30.9097844275359</v>
      </c>
      <c r="D16" s="401" t="n">
        <f aca="false">AB16+AC16</f>
        <v>0.608041777939939</v>
      </c>
      <c r="E16" s="401" t="n">
        <f aca="false">(($AJ16*$B$1*AD16*1000)/2000)/1000000</f>
        <v>0</v>
      </c>
      <c r="F16" s="401" t="n">
        <f aca="false">AF16*(($AK16*$B$1*AE16*1000)/2000)/1000000</f>
        <v>0</v>
      </c>
      <c r="G16" s="403" t="n">
        <f aca="false">IF('Peak Revenue'!$A$1="BL","-",SUM(C16:F16))</f>
        <v>31.5178262054758</v>
      </c>
      <c r="H16" s="404" t="n">
        <v>0</v>
      </c>
      <c r="I16" s="404" t="n">
        <v>0</v>
      </c>
      <c r="J16" s="404" t="n">
        <v>0</v>
      </c>
      <c r="K16" s="404" t="n">
        <v>0</v>
      </c>
      <c r="L16" s="404" t="n">
        <v>0</v>
      </c>
      <c r="M16" s="404" t="n">
        <v>0</v>
      </c>
      <c r="N16" s="404" t="n">
        <v>0</v>
      </c>
      <c r="O16" s="404" t="n">
        <v>0</v>
      </c>
      <c r="P16" s="404" t="n">
        <v>0</v>
      </c>
      <c r="Q16" s="404" t="n">
        <v>0</v>
      </c>
      <c r="R16" s="404" t="n">
        <v>0</v>
      </c>
      <c r="S16" s="404" t="n">
        <v>0</v>
      </c>
      <c r="T16" s="404" t="n">
        <v>0</v>
      </c>
      <c r="U16" s="404" t="n">
        <v>0</v>
      </c>
      <c r="V16" s="404" t="n">
        <v>0</v>
      </c>
      <c r="W16" s="404" t="n">
        <v>0</v>
      </c>
      <c r="X16" s="404" t="n">
        <v>0</v>
      </c>
      <c r="Y16" s="404" t="n">
        <v>0</v>
      </c>
      <c r="Z16" s="404" t="n">
        <v>0</v>
      </c>
      <c r="AA16" s="404" t="n">
        <v>0</v>
      </c>
      <c r="AB16" s="401" t="n">
        <f aca="false">AB15*(1+Assumptions!$L$13/12)</f>
        <v>0.608041777939939</v>
      </c>
      <c r="AC16" s="401" t="n">
        <f aca="false">AC15</f>
        <v>0</v>
      </c>
      <c r="AD16" s="405" t="n">
        <f aca="false">AD15</f>
        <v>181.155995101763</v>
      </c>
      <c r="AE16" s="405" t="n">
        <f aca="false">AE15</f>
        <v>0</v>
      </c>
      <c r="AF16" s="392" t="n">
        <v>0</v>
      </c>
      <c r="AG16" s="406" t="n">
        <f aca="false">AG15</f>
        <v>0</v>
      </c>
      <c r="AH16" s="401" t="n">
        <f aca="false">Assumptions!$E$12*Assumptions!H17</f>
        <v>2.73423109501035</v>
      </c>
      <c r="AI16" s="401" t="n">
        <f aca="false">Assumptions!$F$12*Assumptions!I17</f>
        <v>2.96653621743529</v>
      </c>
      <c r="AJ16" s="401" t="n">
        <f aca="false">AJ15</f>
        <v>0</v>
      </c>
      <c r="AK16" s="401" t="n">
        <f aca="false">AK15</f>
        <v>0</v>
      </c>
    </row>
    <row r="17" customFormat="false" ht="12.75" hidden="false" customHeight="false" outlineLevel="0" collapsed="false">
      <c r="A17" s="400" t="n">
        <f aca="false">A16+30.417</f>
        <v>36722.502</v>
      </c>
      <c r="B17" s="401" t="n">
        <f aca="false">IF($B$9="Coal",AG17,IF($B$9="Gas",AH17,IF($B$9="Oil",AI17,0)))</f>
        <v>2.72557846496285</v>
      </c>
      <c r="C17" s="402" t="n">
        <f aca="false">(B17*$B$1*1000)/1000000</f>
        <v>30.811968654031</v>
      </c>
      <c r="D17" s="401" t="n">
        <f aca="false">AB17+AC17</f>
        <v>0.609055180903172</v>
      </c>
      <c r="E17" s="401" t="n">
        <f aca="false">(($AJ17*$B$1*AD17*1000)/2000)/1000000</f>
        <v>0</v>
      </c>
      <c r="F17" s="401" t="n">
        <f aca="false">AF17*(($AK17*$B$1*AE17*1000)/2000)/1000000</f>
        <v>0</v>
      </c>
      <c r="G17" s="403" t="n">
        <f aca="false">IF('Peak Revenue'!$A$1="BL","-",SUM(C17:F17))</f>
        <v>31.4210238349342</v>
      </c>
      <c r="H17" s="404" t="n">
        <v>0</v>
      </c>
      <c r="I17" s="404" t="n">
        <v>0</v>
      </c>
      <c r="J17" s="404" t="n">
        <v>0</v>
      </c>
      <c r="K17" s="404" t="n">
        <v>0</v>
      </c>
      <c r="L17" s="404" t="n">
        <v>0</v>
      </c>
      <c r="M17" s="404" t="n">
        <v>0</v>
      </c>
      <c r="N17" s="404" t="n">
        <v>0</v>
      </c>
      <c r="O17" s="404" t="n">
        <v>0</v>
      </c>
      <c r="P17" s="404" t="n">
        <v>0</v>
      </c>
      <c r="Q17" s="404" t="n">
        <v>0</v>
      </c>
      <c r="R17" s="404" t="n">
        <v>0</v>
      </c>
      <c r="S17" s="404" t="n">
        <v>0</v>
      </c>
      <c r="T17" s="404" t="n">
        <v>0</v>
      </c>
      <c r="U17" s="404" t="n">
        <v>0</v>
      </c>
      <c r="V17" s="404" t="n">
        <v>0</v>
      </c>
      <c r="W17" s="404" t="n">
        <v>0</v>
      </c>
      <c r="X17" s="404" t="n">
        <v>0</v>
      </c>
      <c r="Y17" s="404" t="n">
        <v>0</v>
      </c>
      <c r="Z17" s="404" t="n">
        <v>0</v>
      </c>
      <c r="AA17" s="404" t="n">
        <v>0</v>
      </c>
      <c r="AB17" s="401" t="n">
        <f aca="false">AB16*(1+Assumptions!$L$13/12)</f>
        <v>0.609055180903172</v>
      </c>
      <c r="AC17" s="401" t="n">
        <f aca="false">AC16</f>
        <v>0</v>
      </c>
      <c r="AD17" s="405" t="n">
        <f aca="false">AD16</f>
        <v>181.155995101763</v>
      </c>
      <c r="AE17" s="405" t="n">
        <f aca="false">AE16</f>
        <v>0</v>
      </c>
      <c r="AF17" s="392" t="n">
        <v>0</v>
      </c>
      <c r="AG17" s="406" t="n">
        <f aca="false">AG16</f>
        <v>0</v>
      </c>
      <c r="AH17" s="401" t="n">
        <f aca="false">Assumptions!$E$12*Assumptions!H18</f>
        <v>2.72557846496285</v>
      </c>
      <c r="AI17" s="401" t="n">
        <f aca="false">Assumptions!$F$12*Assumptions!I18</f>
        <v>2.96653621743529</v>
      </c>
      <c r="AJ17" s="401" t="n">
        <f aca="false">AJ16</f>
        <v>0</v>
      </c>
      <c r="AK17" s="401" t="n">
        <f aca="false">AK16</f>
        <v>0</v>
      </c>
      <c r="AL17" s="410" t="n">
        <f aca="false">VLOOKUP($C$1,UnitData,3)</f>
        <v>705</v>
      </c>
      <c r="AM17" s="410" t="n">
        <f aca="false">VLOOKUP($C$1,UnitData,4)</f>
        <v>705</v>
      </c>
      <c r="AN17" s="410" t="n">
        <f aca="false">VLOOKUP($C$1,UnitData,5)</f>
        <v>705</v>
      </c>
      <c r="AO17" s="410" t="n">
        <f aca="false">AN17</f>
        <v>705</v>
      </c>
      <c r="AP17" s="410" t="n">
        <f aca="false">AVERAGE(AL17:AO17)</f>
        <v>705</v>
      </c>
    </row>
    <row r="18" customFormat="false" ht="12.75" hidden="false" customHeight="false" outlineLevel="0" collapsed="false">
      <c r="A18" s="400" t="n">
        <f aca="false">A17+30.417</f>
        <v>36752.919</v>
      </c>
      <c r="B18" s="401" t="n">
        <f aca="false">IF($B$9="Coal",AG18,IF($B$9="Gas",AH18,IF($B$9="Oil",AI18,0)))</f>
        <v>2.584252174187</v>
      </c>
      <c r="C18" s="402" t="n">
        <f aca="false">(B18*$B$1*1000)/1000000</f>
        <v>29.2143110201183</v>
      </c>
      <c r="D18" s="401" t="n">
        <f aca="false">AB18+AC18</f>
        <v>0.610070272871344</v>
      </c>
      <c r="E18" s="401" t="n">
        <f aca="false">(($AJ18*$B$1*AD18*1000)/2000)/1000000</f>
        <v>0</v>
      </c>
      <c r="F18" s="401" t="n">
        <f aca="false">AF18*(($AK18*$B$1*AE18*1000)/2000)/1000000</f>
        <v>0</v>
      </c>
      <c r="G18" s="403" t="n">
        <f aca="false">IF('Peak Revenue'!$A$1="BL","-",SUM(C18:F18))</f>
        <v>29.8243812929896</v>
      </c>
      <c r="H18" s="404" t="n">
        <v>0</v>
      </c>
      <c r="I18" s="404" t="n">
        <v>0</v>
      </c>
      <c r="J18" s="404" t="n">
        <v>0</v>
      </c>
      <c r="K18" s="404" t="n">
        <v>0</v>
      </c>
      <c r="L18" s="404" t="n">
        <v>0</v>
      </c>
      <c r="M18" s="404" t="n">
        <v>0</v>
      </c>
      <c r="N18" s="404" t="n">
        <v>0</v>
      </c>
      <c r="O18" s="404" t="n">
        <v>0</v>
      </c>
      <c r="P18" s="404" t="n">
        <v>0</v>
      </c>
      <c r="Q18" s="404" t="n">
        <v>0</v>
      </c>
      <c r="R18" s="404" t="n">
        <v>0</v>
      </c>
      <c r="S18" s="404" t="n">
        <v>0</v>
      </c>
      <c r="T18" s="404" t="n">
        <v>0</v>
      </c>
      <c r="U18" s="404" t="n">
        <v>0</v>
      </c>
      <c r="V18" s="404" t="n">
        <v>0</v>
      </c>
      <c r="W18" s="404" t="n">
        <v>0</v>
      </c>
      <c r="X18" s="404" t="n">
        <v>0</v>
      </c>
      <c r="Y18" s="404" t="n">
        <v>0</v>
      </c>
      <c r="Z18" s="404" t="n">
        <v>0</v>
      </c>
      <c r="AA18" s="404" t="n">
        <v>0</v>
      </c>
      <c r="AB18" s="401" t="n">
        <f aca="false">AB17*(1+Assumptions!$L$13/12)</f>
        <v>0.610070272871344</v>
      </c>
      <c r="AC18" s="401" t="n">
        <f aca="false">AC17</f>
        <v>0</v>
      </c>
      <c r="AD18" s="405" t="n">
        <f aca="false">AD17</f>
        <v>181.155995101763</v>
      </c>
      <c r="AE18" s="405" t="n">
        <f aca="false">AE17</f>
        <v>0</v>
      </c>
      <c r="AF18" s="392" t="n">
        <v>0</v>
      </c>
      <c r="AG18" s="406" t="n">
        <f aca="false">AG17</f>
        <v>0</v>
      </c>
      <c r="AH18" s="401" t="n">
        <f aca="false">Assumptions!$E$12*Assumptions!H19</f>
        <v>2.584252174187</v>
      </c>
      <c r="AI18" s="401" t="n">
        <f aca="false">Assumptions!$F$12*Assumptions!I19</f>
        <v>2.96653621743529</v>
      </c>
      <c r="AJ18" s="401" t="n">
        <f aca="false">AJ17</f>
        <v>0</v>
      </c>
      <c r="AK18" s="401" t="n">
        <f aca="false">AK17</f>
        <v>0</v>
      </c>
    </row>
    <row r="19" customFormat="false" ht="12.75" hidden="false" customHeight="false" outlineLevel="0" collapsed="false">
      <c r="A19" s="400" t="n">
        <f aca="false">A18+30.417</f>
        <v>36783.336</v>
      </c>
      <c r="B19" s="401" t="n">
        <f aca="false">IF($B$9="Coal",AG19,IF($B$9="Gas",AH19,IF($B$9="Oil",AI19,0)))</f>
        <v>2.5755995441395</v>
      </c>
      <c r="C19" s="402" t="n">
        <f aca="false">(B19*$B$1*1000)/1000000</f>
        <v>29.1164952466134</v>
      </c>
      <c r="D19" s="401" t="n">
        <f aca="false">AB19+AC19</f>
        <v>0.611087056659463</v>
      </c>
      <c r="E19" s="401" t="n">
        <f aca="false">(($AJ19*$B$1*AD19*1000)/2000)/1000000</f>
        <v>0</v>
      </c>
      <c r="F19" s="401" t="n">
        <f aca="false">AF19*(($AK19*$B$1*AE19*1000)/2000)/1000000</f>
        <v>0</v>
      </c>
      <c r="G19" s="403" t="n">
        <f aca="false">IF('Peak Revenue'!$A$1="BL","-",SUM(C19:F19))</f>
        <v>29.7275823032729</v>
      </c>
      <c r="H19" s="404" t="n">
        <v>0</v>
      </c>
      <c r="I19" s="404" t="n">
        <v>0</v>
      </c>
      <c r="J19" s="404" t="n">
        <v>0</v>
      </c>
      <c r="K19" s="404" t="n">
        <v>0</v>
      </c>
      <c r="L19" s="404" t="n">
        <v>0</v>
      </c>
      <c r="M19" s="404" t="n">
        <v>0</v>
      </c>
      <c r="N19" s="404" t="n">
        <v>0</v>
      </c>
      <c r="O19" s="404" t="n">
        <v>0</v>
      </c>
      <c r="P19" s="404" t="n">
        <v>0</v>
      </c>
      <c r="Q19" s="404" t="n">
        <v>0</v>
      </c>
      <c r="R19" s="404" t="n">
        <v>0</v>
      </c>
      <c r="S19" s="404" t="n">
        <v>0</v>
      </c>
      <c r="T19" s="404" t="n">
        <v>0</v>
      </c>
      <c r="U19" s="404" t="n">
        <v>0</v>
      </c>
      <c r="V19" s="404" t="n">
        <v>0</v>
      </c>
      <c r="W19" s="404" t="n">
        <v>0</v>
      </c>
      <c r="X19" s="404" t="n">
        <v>0</v>
      </c>
      <c r="Y19" s="404" t="n">
        <v>0</v>
      </c>
      <c r="Z19" s="404" t="n">
        <v>0</v>
      </c>
      <c r="AA19" s="404" t="n">
        <v>0</v>
      </c>
      <c r="AB19" s="401" t="n">
        <f aca="false">AB18*(1+Assumptions!$L$13/12)</f>
        <v>0.611087056659463</v>
      </c>
      <c r="AC19" s="401" t="n">
        <f aca="false">AC18</f>
        <v>0</v>
      </c>
      <c r="AD19" s="405" t="n">
        <f aca="false">AD18</f>
        <v>181.155995101763</v>
      </c>
      <c r="AE19" s="405" t="n">
        <f aca="false">AE18</f>
        <v>0</v>
      </c>
      <c r="AF19" s="392" t="n">
        <v>0</v>
      </c>
      <c r="AG19" s="406" t="n">
        <f aca="false">AG18</f>
        <v>0</v>
      </c>
      <c r="AH19" s="401" t="n">
        <f aca="false">Assumptions!$E$12*Assumptions!H20</f>
        <v>2.5755995441395</v>
      </c>
      <c r="AI19" s="401" t="n">
        <f aca="false">Assumptions!$F$12*Assumptions!I20</f>
        <v>2.96653621743529</v>
      </c>
      <c r="AJ19" s="401" t="n">
        <f aca="false">AJ18</f>
        <v>0</v>
      </c>
      <c r="AK19" s="401" t="n">
        <f aca="false">AK18</f>
        <v>0</v>
      </c>
    </row>
    <row r="20" customFormat="false" ht="12.75" hidden="false" customHeight="false" outlineLevel="0" collapsed="false">
      <c r="A20" s="400" t="n">
        <f aca="false">A19+30.417</f>
        <v>36813.753</v>
      </c>
      <c r="B20" s="401" t="n">
        <f aca="false">IF($B$9="Coal",AG20,IF($B$9="Gas",AH20,IF($B$9="Oil",AI20,0)))</f>
        <v>2.85248370565954</v>
      </c>
      <c r="C20" s="402" t="n">
        <f aca="false">(B20*$B$1*1000)/1000000</f>
        <v>32.246599998769</v>
      </c>
      <c r="D20" s="401" t="n">
        <f aca="false">AB20+AC20</f>
        <v>0.612105535087229</v>
      </c>
      <c r="E20" s="401" t="n">
        <f aca="false">(($AJ20*$B$1*AD20*1000)/2000)/1000000</f>
        <v>0</v>
      </c>
      <c r="F20" s="401" t="n">
        <f aca="false">AF20*(($AK20*$B$1*AE20*1000)/2000)/1000000</f>
        <v>0</v>
      </c>
      <c r="G20" s="403" t="n">
        <f aca="false">IF('Peak Revenue'!$A$1="BL","-",SUM(C20:F20))</f>
        <v>32.8587055338562</v>
      </c>
      <c r="H20" s="404" t="n">
        <v>0</v>
      </c>
      <c r="I20" s="404" t="n">
        <v>0</v>
      </c>
      <c r="J20" s="404" t="n">
        <v>0</v>
      </c>
      <c r="K20" s="404" t="n">
        <v>0</v>
      </c>
      <c r="L20" s="404" t="n">
        <v>0</v>
      </c>
      <c r="M20" s="404" t="n">
        <v>0</v>
      </c>
      <c r="N20" s="404" t="n">
        <v>0</v>
      </c>
      <c r="O20" s="404" t="n">
        <v>0</v>
      </c>
      <c r="P20" s="404" t="n">
        <v>0</v>
      </c>
      <c r="Q20" s="404" t="n">
        <v>0</v>
      </c>
      <c r="R20" s="404" t="n">
        <v>0</v>
      </c>
      <c r="S20" s="404" t="n">
        <v>0</v>
      </c>
      <c r="T20" s="404" t="n">
        <v>0</v>
      </c>
      <c r="U20" s="404" t="n">
        <v>0</v>
      </c>
      <c r="V20" s="404" t="n">
        <v>0</v>
      </c>
      <c r="W20" s="404" t="n">
        <v>0</v>
      </c>
      <c r="X20" s="404" t="n">
        <v>0</v>
      </c>
      <c r="Y20" s="404" t="n">
        <v>0</v>
      </c>
      <c r="Z20" s="404" t="n">
        <v>0</v>
      </c>
      <c r="AA20" s="404" t="n">
        <v>0</v>
      </c>
      <c r="AB20" s="401" t="n">
        <f aca="false">AB19*(1+Assumptions!$L$13/12)</f>
        <v>0.612105535087229</v>
      </c>
      <c r="AC20" s="401" t="n">
        <f aca="false">AC19</f>
        <v>0</v>
      </c>
      <c r="AD20" s="405" t="n">
        <f aca="false">AD19</f>
        <v>181.155995101763</v>
      </c>
      <c r="AE20" s="405" t="n">
        <f aca="false">AE19</f>
        <v>0</v>
      </c>
      <c r="AF20" s="392" t="n">
        <v>0</v>
      </c>
      <c r="AG20" s="406" t="n">
        <f aca="false">AG19</f>
        <v>0</v>
      </c>
      <c r="AH20" s="401" t="n">
        <f aca="false">Assumptions!$E$12*Assumptions!H21</f>
        <v>2.85248370565954</v>
      </c>
      <c r="AI20" s="401" t="n">
        <f aca="false">Assumptions!$F$12*Assumptions!I21</f>
        <v>2.96653621743529</v>
      </c>
      <c r="AJ20" s="401" t="n">
        <f aca="false">AJ19</f>
        <v>0</v>
      </c>
      <c r="AK20" s="401" t="n">
        <f aca="false">AK19</f>
        <v>0</v>
      </c>
    </row>
    <row r="21" customFormat="false" ht="12.75" hidden="false" customHeight="false" outlineLevel="0" collapsed="false">
      <c r="A21" s="400" t="n">
        <f aca="false">A20+30.417</f>
        <v>36844.17</v>
      </c>
      <c r="B21" s="401" t="n">
        <f aca="false">IF($B$9="Coal",AG21,IF($B$9="Gas",AH21,IF($B$9="Oil",AI21,0)))</f>
        <v>3.1235994471479</v>
      </c>
      <c r="C21" s="402" t="n">
        <f aca="false">(B21*$B$1*1000)/1000000</f>
        <v>35.3114942352546</v>
      </c>
      <c r="D21" s="401" t="n">
        <f aca="false">AB21+AC21</f>
        <v>0.613125710979041</v>
      </c>
      <c r="E21" s="401" t="n">
        <f aca="false">(($AJ21*$B$1*AD21*1000)/2000)/1000000</f>
        <v>0</v>
      </c>
      <c r="F21" s="401" t="n">
        <f aca="false">AF21*(($AK21*$B$1*AE21*1000)/2000)/1000000</f>
        <v>0</v>
      </c>
      <c r="G21" s="403" t="n">
        <f aca="false">IF('Peak Revenue'!$A$1="BL","-",SUM(C21:F21))</f>
        <v>35.9246199462336</v>
      </c>
      <c r="H21" s="404" t="n">
        <v>0</v>
      </c>
      <c r="I21" s="404" t="n">
        <v>0</v>
      </c>
      <c r="J21" s="404" t="n">
        <v>0</v>
      </c>
      <c r="K21" s="404" t="n">
        <v>0</v>
      </c>
      <c r="L21" s="404" t="n">
        <v>0</v>
      </c>
      <c r="M21" s="404" t="n">
        <v>0</v>
      </c>
      <c r="N21" s="404" t="n">
        <v>0</v>
      </c>
      <c r="O21" s="404" t="n">
        <v>0</v>
      </c>
      <c r="P21" s="404" t="n">
        <v>0</v>
      </c>
      <c r="Q21" s="404" t="n">
        <v>0</v>
      </c>
      <c r="R21" s="404" t="n">
        <v>0</v>
      </c>
      <c r="S21" s="404" t="n">
        <v>0</v>
      </c>
      <c r="T21" s="404" t="n">
        <v>0</v>
      </c>
      <c r="U21" s="404" t="n">
        <v>0</v>
      </c>
      <c r="V21" s="404" t="n">
        <v>0</v>
      </c>
      <c r="W21" s="404" t="n">
        <v>0</v>
      </c>
      <c r="X21" s="404" t="n">
        <v>0</v>
      </c>
      <c r="Y21" s="404" t="n">
        <v>0</v>
      </c>
      <c r="Z21" s="404" t="n">
        <v>0</v>
      </c>
      <c r="AA21" s="404" t="n">
        <v>0</v>
      </c>
      <c r="AB21" s="401" t="n">
        <f aca="false">AB20*(1+Assumptions!$L$13/12)</f>
        <v>0.613125710979041</v>
      </c>
      <c r="AC21" s="401" t="n">
        <f aca="false">AC20</f>
        <v>0</v>
      </c>
      <c r="AD21" s="405" t="n">
        <f aca="false">AD20</f>
        <v>181.155995101763</v>
      </c>
      <c r="AE21" s="405" t="n">
        <f aca="false">AE20</f>
        <v>0</v>
      </c>
      <c r="AF21" s="392" t="n">
        <v>0</v>
      </c>
      <c r="AG21" s="406" t="n">
        <f aca="false">AG20</f>
        <v>0</v>
      </c>
      <c r="AH21" s="401" t="n">
        <f aca="false">Assumptions!$E$12*Assumptions!H22</f>
        <v>3.1235994471479</v>
      </c>
      <c r="AI21" s="401" t="n">
        <f aca="false">Assumptions!$F$12*Assumptions!I22</f>
        <v>3.21634979364036</v>
      </c>
      <c r="AJ21" s="401" t="n">
        <f aca="false">AJ20</f>
        <v>0</v>
      </c>
      <c r="AK21" s="401" t="n">
        <f aca="false">AK20</f>
        <v>0</v>
      </c>
    </row>
    <row r="22" customFormat="false" ht="12.75" hidden="false" customHeight="false" outlineLevel="0" collapsed="false">
      <c r="A22" s="400" t="n">
        <f aca="false">A21+30.417</f>
        <v>36874.587</v>
      </c>
      <c r="B22" s="401" t="n">
        <f aca="false">IF($B$9="Coal",AG22,IF($B$9="Gas",AH22,IF($B$9="Oil",AI22,0)))</f>
        <v>3.3802941385571</v>
      </c>
      <c r="C22" s="402" t="n">
        <f aca="false">(B22*$B$1*1000)/1000000</f>
        <v>38.2133621825654</v>
      </c>
      <c r="D22" s="401" t="n">
        <f aca="false">AB22+AC22</f>
        <v>0.614147587164006</v>
      </c>
      <c r="E22" s="401" t="n">
        <f aca="false">(($AJ22*$B$1*AD22*1000)/2000)/1000000</f>
        <v>0</v>
      </c>
      <c r="F22" s="401" t="n">
        <f aca="false">AF22*(($AK22*$B$1*AE22*1000)/2000)/1000000</f>
        <v>0</v>
      </c>
      <c r="G22" s="403" t="n">
        <f aca="false">IF('Peak Revenue'!$A$1="BL","-",SUM(C22:F22))</f>
        <v>38.8275097697294</v>
      </c>
      <c r="H22" s="404" t="n">
        <v>0</v>
      </c>
      <c r="I22" s="404" t="n">
        <v>0</v>
      </c>
      <c r="J22" s="404" t="n">
        <v>0</v>
      </c>
      <c r="K22" s="404" t="n">
        <v>0</v>
      </c>
      <c r="L22" s="404" t="n">
        <v>0</v>
      </c>
      <c r="M22" s="404" t="n">
        <v>0</v>
      </c>
      <c r="N22" s="404" t="n">
        <v>0</v>
      </c>
      <c r="O22" s="404" t="n">
        <v>0</v>
      </c>
      <c r="P22" s="404" t="n">
        <v>0</v>
      </c>
      <c r="Q22" s="404" t="n">
        <v>0</v>
      </c>
      <c r="R22" s="404" t="n">
        <v>0</v>
      </c>
      <c r="S22" s="404" t="n">
        <v>0</v>
      </c>
      <c r="T22" s="404" t="n">
        <v>0</v>
      </c>
      <c r="U22" s="404" t="n">
        <v>0</v>
      </c>
      <c r="V22" s="404" t="n">
        <v>0</v>
      </c>
      <c r="W22" s="404" t="n">
        <v>0</v>
      </c>
      <c r="X22" s="404" t="n">
        <v>0</v>
      </c>
      <c r="Y22" s="404" t="n">
        <v>0</v>
      </c>
      <c r="Z22" s="404" t="n">
        <v>0</v>
      </c>
      <c r="AA22" s="404" t="n">
        <v>0</v>
      </c>
      <c r="AB22" s="401" t="n">
        <f aca="false">AB21*(1+Assumptions!$L$13/12)</f>
        <v>0.614147587164006</v>
      </c>
      <c r="AC22" s="401" t="n">
        <f aca="false">AC21</f>
        <v>0</v>
      </c>
      <c r="AD22" s="405" t="n">
        <f aca="false">AD21</f>
        <v>181.155995101763</v>
      </c>
      <c r="AE22" s="405" t="n">
        <f aca="false">AE21</f>
        <v>0</v>
      </c>
      <c r="AF22" s="392" t="n">
        <v>0</v>
      </c>
      <c r="AG22" s="406" t="n">
        <f aca="false">AG21</f>
        <v>0</v>
      </c>
      <c r="AH22" s="401" t="n">
        <f aca="false">Assumptions!$E$12*Assumptions!H23</f>
        <v>3.3802941385571</v>
      </c>
      <c r="AI22" s="401" t="n">
        <f aca="false">Assumptions!$F$12*Assumptions!I23</f>
        <v>3.37248327876854</v>
      </c>
      <c r="AJ22" s="401" t="n">
        <f aca="false">AJ21</f>
        <v>0</v>
      </c>
      <c r="AK22" s="401" t="n">
        <f aca="false">AK21</f>
        <v>0</v>
      </c>
    </row>
    <row r="23" customFormat="false" ht="12.75" hidden="false" customHeight="false" outlineLevel="0" collapsed="false">
      <c r="A23" s="400" t="n">
        <f aca="false">A22+30.417</f>
        <v>36905.004</v>
      </c>
      <c r="B23" s="401" t="n">
        <f aca="false">IF($B$9="Coal",AG23,IF($B$9="Gas",AH23,IF($B$9="Oil",AI23,0)))</f>
        <v>4.56523008256774</v>
      </c>
      <c r="C23" s="402" t="n">
        <f aca="false">(B23*$B$1*1000)/1000000</f>
        <v>51.6087604927689</v>
      </c>
      <c r="D23" s="401" t="n">
        <f aca="false">AB23+AC23</f>
        <v>0.615171166475946</v>
      </c>
      <c r="E23" s="401" t="n">
        <f aca="false">(($AJ23*$B$1*AD23*1000)/2000)/1000000</f>
        <v>0</v>
      </c>
      <c r="F23" s="401" t="n">
        <f aca="false">AF23*(($AK23*$B$1*AE23*1000)/2000)/1000000</f>
        <v>0</v>
      </c>
      <c r="G23" s="403" t="n">
        <f aca="false">IF('Peak Revenue'!$A$1="BL","-",SUM(C23:F23))</f>
        <v>52.2239316592449</v>
      </c>
      <c r="H23" s="411" t="n">
        <v>65.5010201343135</v>
      </c>
      <c r="I23" s="411" t="n">
        <v>64.3634569624166</v>
      </c>
      <c r="J23" s="411" t="n">
        <v>62.3114323554482</v>
      </c>
      <c r="K23" s="411" t="n">
        <v>59.0528385415521</v>
      </c>
      <c r="L23" s="411" t="n">
        <v>58.5291486009261</v>
      </c>
      <c r="M23" s="411" t="n">
        <v>58.1032802823324</v>
      </c>
      <c r="N23" s="411" t="n">
        <v>53.9888119944864</v>
      </c>
      <c r="O23" s="411" t="n">
        <v>43.8005903394595</v>
      </c>
      <c r="P23" s="411" t="n">
        <v>38.9834948676735</v>
      </c>
      <c r="Q23" s="411" t="n">
        <v>34.8645747447947</v>
      </c>
      <c r="R23" s="411" t="n">
        <v>32.4614850653813</v>
      </c>
      <c r="S23" s="411" t="n">
        <v>25.7727368861078</v>
      </c>
      <c r="T23" s="411" t="n">
        <v>24.5694775102396</v>
      </c>
      <c r="U23" s="411" t="n">
        <v>23.5244150055249</v>
      </c>
      <c r="V23" s="411" t="n">
        <v>22.359215127741</v>
      </c>
      <c r="W23" s="411" t="n">
        <v>21.8533829623393</v>
      </c>
      <c r="X23" s="411" t="n">
        <v>21.4230122579887</v>
      </c>
      <c r="Y23" s="411" t="n">
        <v>21.2246389595014</v>
      </c>
      <c r="Z23" s="411" t="n">
        <v>21.0165402447901</v>
      </c>
      <c r="AA23" s="411" t="n">
        <v>20.5913011318948</v>
      </c>
      <c r="AB23" s="401" t="n">
        <f aca="false">AB22*(1+Assumptions!$L$13/12)</f>
        <v>0.615171166475946</v>
      </c>
      <c r="AC23" s="401" t="n">
        <f aca="false">VLOOKUP($C$1,EnvVOM,4)</f>
        <v>0</v>
      </c>
      <c r="AD23" s="405" t="n">
        <f aca="false">Assumptions!B13</f>
        <v>198.925208663874</v>
      </c>
      <c r="AE23" s="405" t="n">
        <f aca="false">Assumptions!C13</f>
        <v>0</v>
      </c>
      <c r="AF23" s="392" t="n">
        <v>0</v>
      </c>
      <c r="AG23" s="406" t="n">
        <f aca="false">VLOOKUP($C$1,Coal,4)</f>
        <v>0</v>
      </c>
      <c r="AH23" s="401" t="n">
        <f aca="false">Assumptions!$E$13*Assumptions!H12</f>
        <v>4.56523008256774</v>
      </c>
      <c r="AI23" s="401" t="n">
        <f aca="false">Assumptions!$F$13*Assumptions!I12</f>
        <v>4.29234146341463</v>
      </c>
      <c r="AJ23" s="401" t="n">
        <f aca="false">VLOOKUP($C$1,SO2Rate,4)</f>
        <v>0</v>
      </c>
      <c r="AK23" s="401" t="n">
        <f aca="false">VLOOKUP($C$1,NOxRate,4)</f>
        <v>0</v>
      </c>
    </row>
    <row r="24" customFormat="false" ht="12.75" hidden="false" customHeight="false" outlineLevel="0" collapsed="false">
      <c r="A24" s="400" t="n">
        <f aca="false">A23+30.417</f>
        <v>36935.421</v>
      </c>
      <c r="B24" s="401" t="n">
        <f aca="false">IF($B$9="Coal",AG24,IF($B$9="Gas",AH24,IF($B$9="Oil",AI24,0)))</f>
        <v>4.09170887719502</v>
      </c>
      <c r="C24" s="402" t="n">
        <f aca="false">(B24*$B$1*1000)/1000000</f>
        <v>46.2557241650615</v>
      </c>
      <c r="D24" s="401" t="n">
        <f aca="false">AB24+AC24</f>
        <v>0.616196451753406</v>
      </c>
      <c r="E24" s="401" t="n">
        <f aca="false">(($AJ24*$B$1*AD24*1000)/2000)/1000000</f>
        <v>0</v>
      </c>
      <c r="F24" s="401" t="n">
        <f aca="false">AF24*(($AK24*$B$1*AE24*1000)/2000)/1000000</f>
        <v>0</v>
      </c>
      <c r="G24" s="403" t="n">
        <f aca="false">IF('Peak Revenue'!$A$1="BL","-",SUM(C24:F24))</f>
        <v>46.8719206168149</v>
      </c>
      <c r="H24" s="411" t="n">
        <v>72.2959882219521</v>
      </c>
      <c r="I24" s="411" t="n">
        <v>70.2425027074945</v>
      </c>
      <c r="J24" s="411" t="n">
        <v>66.9658381939083</v>
      </c>
      <c r="K24" s="411" t="n">
        <v>65.0467228067253</v>
      </c>
      <c r="L24" s="411" t="n">
        <v>64.8875362986721</v>
      </c>
      <c r="M24" s="411" t="n">
        <v>61.8884526589196</v>
      </c>
      <c r="N24" s="411" t="n">
        <v>52.6014350904024</v>
      </c>
      <c r="O24" s="411" t="n">
        <v>44.4233872421263</v>
      </c>
      <c r="P24" s="411" t="n">
        <v>36.9843517540415</v>
      </c>
      <c r="Q24" s="411" t="n">
        <v>35.4416237147591</v>
      </c>
      <c r="R24" s="411" t="n">
        <v>27.625153444357</v>
      </c>
      <c r="S24" s="411" t="n">
        <v>25.7263678111215</v>
      </c>
      <c r="T24" s="411" t="n">
        <v>24.9480782762066</v>
      </c>
      <c r="U24" s="411" t="n">
        <v>23.6982887026215</v>
      </c>
      <c r="V24" s="411" t="n">
        <v>23.1632008241761</v>
      </c>
      <c r="W24" s="411" t="n">
        <v>22.7394623187078</v>
      </c>
      <c r="X24" s="411" t="n">
        <v>22.3815351239894</v>
      </c>
      <c r="Y24" s="411" t="n">
        <v>22.1124018971062</v>
      </c>
      <c r="Z24" s="411" t="n">
        <v>21.9560588540641</v>
      </c>
      <c r="AA24" s="411" t="n">
        <v>21.6308720425199</v>
      </c>
      <c r="AB24" s="401" t="n">
        <f aca="false">AB23*(1+Assumptions!$L$13/12)</f>
        <v>0.616196451753406</v>
      </c>
      <c r="AC24" s="401" t="n">
        <f aca="false">AC23</f>
        <v>0</v>
      </c>
      <c r="AD24" s="405" t="n">
        <f aca="false">AD23</f>
        <v>198.925208663874</v>
      </c>
      <c r="AE24" s="405" t="n">
        <f aca="false">AE23</f>
        <v>0</v>
      </c>
      <c r="AF24" s="392" t="n">
        <v>0</v>
      </c>
      <c r="AG24" s="406" t="n">
        <f aca="false">AG23</f>
        <v>0</v>
      </c>
      <c r="AH24" s="401" t="n">
        <f aca="false">Assumptions!$E$13*Assumptions!H13</f>
        <v>4.09170887719502</v>
      </c>
      <c r="AI24" s="401" t="n">
        <f aca="false">Assumptions!$F$13*Assumptions!I13</f>
        <v>4.25259756097561</v>
      </c>
      <c r="AJ24" s="401" t="n">
        <f aca="false">AJ23</f>
        <v>0</v>
      </c>
      <c r="AK24" s="401" t="n">
        <f aca="false">AK23</f>
        <v>0</v>
      </c>
    </row>
    <row r="25" customFormat="false" ht="12.75" hidden="false" customHeight="false" outlineLevel="0" collapsed="false">
      <c r="A25" s="400" t="n">
        <f aca="false">A24+30.417</f>
        <v>36965.838</v>
      </c>
      <c r="B25" s="401" t="n">
        <f aca="false">IF($B$9="Coal",AG25,IF($B$9="Gas",AH25,IF($B$9="Oil",AI25,0)))</f>
        <v>4.02290665077335</v>
      </c>
      <c r="C25" s="402" t="n">
        <f aca="false">(B25*$B$1*1000)/1000000</f>
        <v>45.4779325618904</v>
      </c>
      <c r="D25" s="401" t="n">
        <f aca="false">AB25+AC25</f>
        <v>0.617223445839661</v>
      </c>
      <c r="E25" s="401" t="n">
        <f aca="false">(($AJ25*$B$1*AD25*1000)/2000)/1000000</f>
        <v>0</v>
      </c>
      <c r="F25" s="401" t="n">
        <f aca="false">AF25*(($AK25*$B$1*AE25*1000)/2000)/1000000</f>
        <v>0</v>
      </c>
      <c r="G25" s="403" t="n">
        <f aca="false">IF('Peak Revenue'!$A$1="BL","-",SUM(C25:F25))</f>
        <v>46.09515600773</v>
      </c>
      <c r="H25" s="411" t="n">
        <v>70.4255630924272</v>
      </c>
      <c r="I25" s="411" t="n">
        <v>68.4865613665765</v>
      </c>
      <c r="J25" s="411" t="n">
        <v>66.3396505274274</v>
      </c>
      <c r="K25" s="411" t="n">
        <v>64.031830692906</v>
      </c>
      <c r="L25" s="411" t="n">
        <v>63.6822235231905</v>
      </c>
      <c r="M25" s="411" t="n">
        <v>62.5511252739161</v>
      </c>
      <c r="N25" s="411" t="n">
        <v>57.8362121984519</v>
      </c>
      <c r="O25" s="411" t="n">
        <v>46.6487822524843</v>
      </c>
      <c r="P25" s="411" t="n">
        <v>42.6788677129588</v>
      </c>
      <c r="Q25" s="411" t="n">
        <v>36.2971858790349</v>
      </c>
      <c r="R25" s="411" t="n">
        <v>36.102620449962</v>
      </c>
      <c r="S25" s="411" t="n">
        <v>27.1967464950053</v>
      </c>
      <c r="T25" s="411" t="n">
        <v>24.1692187369441</v>
      </c>
      <c r="U25" s="411" t="n">
        <v>23.7109987820545</v>
      </c>
      <c r="V25" s="411" t="n">
        <v>22.6758143802516</v>
      </c>
      <c r="W25" s="411" t="n">
        <v>21.7417525953148</v>
      </c>
      <c r="X25" s="411" t="n">
        <v>21.3672768934649</v>
      </c>
      <c r="Y25" s="411" t="n">
        <v>20.9503742939157</v>
      </c>
      <c r="Z25" s="411" t="n">
        <v>20.653748138456</v>
      </c>
      <c r="AA25" s="411" t="n">
        <v>20.2122660516059</v>
      </c>
      <c r="AB25" s="401" t="n">
        <f aca="false">AB24*(1+Assumptions!$L$13/12)</f>
        <v>0.617223445839661</v>
      </c>
      <c r="AC25" s="401" t="n">
        <f aca="false">AC24</f>
        <v>0</v>
      </c>
      <c r="AD25" s="405" t="n">
        <f aca="false">AD24</f>
        <v>198.925208663874</v>
      </c>
      <c r="AE25" s="405" t="n">
        <f aca="false">AE24</f>
        <v>0</v>
      </c>
      <c r="AF25" s="392" t="n">
        <v>0</v>
      </c>
      <c r="AG25" s="406" t="n">
        <f aca="false">AG24</f>
        <v>0</v>
      </c>
      <c r="AH25" s="401" t="n">
        <f aca="false">Assumptions!$E$13*Assumptions!H14</f>
        <v>4.02290665077335</v>
      </c>
      <c r="AI25" s="401" t="n">
        <f aca="false">Assumptions!$F$13*Assumptions!I14</f>
        <v>4.09362195121951</v>
      </c>
      <c r="AJ25" s="401" t="n">
        <f aca="false">AJ24</f>
        <v>0</v>
      </c>
      <c r="AK25" s="401" t="n">
        <f aca="false">AK24</f>
        <v>0</v>
      </c>
    </row>
    <row r="26" customFormat="false" ht="12.75" hidden="false" customHeight="false" outlineLevel="0" collapsed="false">
      <c r="A26" s="400" t="n">
        <f aca="false">A25+30.417</f>
        <v>36996.255</v>
      </c>
      <c r="B26" s="401" t="n">
        <f aca="false">IF($B$9="Coal",AG26,IF($B$9="Gas",AH26,IF($B$9="Oil",AI26,0)))</f>
        <v>3.82459435108734</v>
      </c>
      <c r="C26" s="402" t="n">
        <f aca="false">(B26*$B$1*1000)/1000000</f>
        <v>43.2360626468676</v>
      </c>
      <c r="D26" s="401" t="n">
        <f aca="false">AB26+AC26</f>
        <v>0.618252151582728</v>
      </c>
      <c r="E26" s="401" t="n">
        <f aca="false">(($AJ26*$B$1*AD26*1000)/2000)/1000000</f>
        <v>0</v>
      </c>
      <c r="F26" s="401" t="n">
        <f aca="false">AF26*(($AK26*$B$1*AE26*1000)/2000)/1000000</f>
        <v>0</v>
      </c>
      <c r="G26" s="403" t="n">
        <f aca="false">IF('Peak Revenue'!$A$1="BL","-",SUM(C26:F26))</f>
        <v>43.8543147984503</v>
      </c>
      <c r="H26" s="411" t="n">
        <v>69.3414092523791</v>
      </c>
      <c r="I26" s="411" t="n">
        <v>66.6765795070748</v>
      </c>
      <c r="J26" s="411" t="n">
        <v>65.6435817367094</v>
      </c>
      <c r="K26" s="411" t="n">
        <v>65.5583199643681</v>
      </c>
      <c r="L26" s="411" t="n">
        <v>64.61135932493</v>
      </c>
      <c r="M26" s="411" t="n">
        <v>59.4523273573205</v>
      </c>
      <c r="N26" s="411" t="n">
        <v>47.2834342459507</v>
      </c>
      <c r="O26" s="411" t="n">
        <v>41.5963890226285</v>
      </c>
      <c r="P26" s="411" t="n">
        <v>37.297770647663</v>
      </c>
      <c r="Q26" s="411" t="n">
        <v>31.8486382000295</v>
      </c>
      <c r="R26" s="411" t="n">
        <v>23.1017408493681</v>
      </c>
      <c r="S26" s="411" t="n">
        <v>22.5212680830476</v>
      </c>
      <c r="T26" s="411" t="n">
        <v>21.2803191728195</v>
      </c>
      <c r="U26" s="411" t="n">
        <v>20.3315952655667</v>
      </c>
      <c r="V26" s="411" t="n">
        <v>19.8183801060861</v>
      </c>
      <c r="W26" s="411" t="n">
        <v>19.4601849091051</v>
      </c>
      <c r="X26" s="411" t="n">
        <v>19.2309945764977</v>
      </c>
      <c r="Y26" s="411" t="n">
        <v>19.0562406085527</v>
      </c>
      <c r="Z26" s="411" t="n">
        <v>18.7971140369618</v>
      </c>
      <c r="AA26" s="411" t="n">
        <v>18.528378831198</v>
      </c>
      <c r="AB26" s="401" t="n">
        <f aca="false">AB25*(1+Assumptions!$L$13/12)</f>
        <v>0.618252151582728</v>
      </c>
      <c r="AC26" s="401" t="n">
        <f aca="false">AC25</f>
        <v>0</v>
      </c>
      <c r="AD26" s="405" t="n">
        <f aca="false">AD25</f>
        <v>198.925208663874</v>
      </c>
      <c r="AE26" s="405" t="n">
        <f aca="false">AE25</f>
        <v>0</v>
      </c>
      <c r="AF26" s="392" t="n">
        <v>0</v>
      </c>
      <c r="AG26" s="406" t="n">
        <f aca="false">AG25</f>
        <v>0</v>
      </c>
      <c r="AH26" s="401" t="n">
        <f aca="false">Assumptions!$E$13*Assumptions!H15</f>
        <v>3.82459435108734</v>
      </c>
      <c r="AI26" s="401" t="n">
        <f aca="false">Assumptions!$F$13*Assumptions!I15</f>
        <v>3.93464634146341</v>
      </c>
      <c r="AJ26" s="401" t="n">
        <f aca="false">AJ25</f>
        <v>0</v>
      </c>
      <c r="AK26" s="401" t="n">
        <f aca="false">AK25</f>
        <v>0</v>
      </c>
    </row>
    <row r="27" customFormat="false" ht="12.75" hidden="false" customHeight="false" outlineLevel="0" collapsed="false">
      <c r="A27" s="400" t="n">
        <f aca="false">A26+30.417</f>
        <v>37026.672</v>
      </c>
      <c r="B27" s="401" t="n">
        <f aca="false">IF($B$9="Coal",AG27,IF($B$9="Gas",AH27,IF($B$9="Oil",AI27,0)))</f>
        <v>4.02695384056286</v>
      </c>
      <c r="C27" s="402" t="n">
        <f aca="false">(B27*$B$1*1000)/1000000</f>
        <v>45.5236850091357</v>
      </c>
      <c r="D27" s="401" t="n">
        <f aca="false">AB27+AC27</f>
        <v>0.619282571835365</v>
      </c>
      <c r="E27" s="401" t="n">
        <f aca="false">(($AJ27*$B$1*AD27*1000)/2000)/1000000</f>
        <v>0</v>
      </c>
      <c r="F27" s="401" t="n">
        <f aca="false">AF27*(($AK27*$B$1*AE27*1000)/2000)/1000000</f>
        <v>0</v>
      </c>
      <c r="G27" s="403" t="n">
        <f aca="false">IF('Peak Revenue'!$A$1="BL","-",SUM(C27:F27))</f>
        <v>46.1429675809711</v>
      </c>
      <c r="H27" s="411" t="n">
        <v>63.1139801761495</v>
      </c>
      <c r="I27" s="411" t="n">
        <v>55.5500945318675</v>
      </c>
      <c r="J27" s="411" t="n">
        <v>53.705110089514</v>
      </c>
      <c r="K27" s="411" t="n">
        <v>51.3806480301037</v>
      </c>
      <c r="L27" s="411" t="n">
        <v>48.0886064232894</v>
      </c>
      <c r="M27" s="411" t="n">
        <v>46.8931315681123</v>
      </c>
      <c r="N27" s="411" t="n">
        <v>45.2889625256863</v>
      </c>
      <c r="O27" s="411" t="n">
        <v>35.9562750737411</v>
      </c>
      <c r="P27" s="411" t="n">
        <v>31.9233517652015</v>
      </c>
      <c r="Q27" s="411" t="n">
        <v>27.4277285846719</v>
      </c>
      <c r="R27" s="411" t="n">
        <v>27.2449302781604</v>
      </c>
      <c r="S27" s="411" t="n">
        <v>25.5847309795858</v>
      </c>
      <c r="T27" s="411" t="n">
        <v>24.9239128947484</v>
      </c>
      <c r="U27" s="411" t="n">
        <v>23.4267217027506</v>
      </c>
      <c r="V27" s="411" t="n">
        <v>22.7810729458066</v>
      </c>
      <c r="W27" s="411" t="n">
        <v>22.3136556986075</v>
      </c>
      <c r="X27" s="411" t="n">
        <v>22.0468889797926</v>
      </c>
      <c r="Y27" s="411" t="n">
        <v>21.7834024204805</v>
      </c>
      <c r="Z27" s="411" t="n">
        <v>21.6240187186611</v>
      </c>
      <c r="AA27" s="411" t="n">
        <v>21.2819407126101</v>
      </c>
      <c r="AB27" s="401" t="n">
        <f aca="false">AB26*(1+Assumptions!$L$13/12)</f>
        <v>0.619282571835365</v>
      </c>
      <c r="AC27" s="401" t="n">
        <f aca="false">AC26</f>
        <v>0</v>
      </c>
      <c r="AD27" s="405" t="n">
        <f aca="false">AD26</f>
        <v>198.925208663874</v>
      </c>
      <c r="AE27" s="405" t="n">
        <f aca="false">AE26</f>
        <v>0</v>
      </c>
      <c r="AF27" s="392" t="n">
        <v>0</v>
      </c>
      <c r="AG27" s="406" t="n">
        <f aca="false">AG26</f>
        <v>0</v>
      </c>
      <c r="AH27" s="401" t="n">
        <f aca="false">Assumptions!$E$13*Assumptions!H16</f>
        <v>4.02695384056286</v>
      </c>
      <c r="AI27" s="401" t="n">
        <f aca="false">Assumptions!$F$13*Assumptions!I16</f>
        <v>3.77567073170732</v>
      </c>
      <c r="AJ27" s="401" t="n">
        <f aca="false">AJ26</f>
        <v>0</v>
      </c>
      <c r="AK27" s="401" t="n">
        <f aca="false">AK26</f>
        <v>0</v>
      </c>
    </row>
    <row r="28" customFormat="false" ht="12.75" hidden="false" customHeight="false" outlineLevel="0" collapsed="false">
      <c r="A28" s="400" t="n">
        <f aca="false">A27+30.417</f>
        <v>37057.089</v>
      </c>
      <c r="B28" s="401" t="n">
        <f aca="false">IF($B$9="Coal",AG28,IF($B$9="Gas",AH28,IF($B$9="Oil",AI28,0)))</f>
        <v>3.83673592045587</v>
      </c>
      <c r="C28" s="402" t="n">
        <f aca="false">(B28*$B$1*1000)/1000000</f>
        <v>43.3733199886037</v>
      </c>
      <c r="D28" s="401" t="n">
        <f aca="false">AB28+AC28</f>
        <v>0.620314709455091</v>
      </c>
      <c r="E28" s="401" t="n">
        <f aca="false">(($AJ28*$B$1*AD28*1000)/2000)/1000000</f>
        <v>0</v>
      </c>
      <c r="F28" s="401" t="n">
        <f aca="false">AF28*(($AK28*$B$1*AE28*1000)/2000)/1000000</f>
        <v>0</v>
      </c>
      <c r="G28" s="403" t="n">
        <f aca="false">IF('Peak Revenue'!$A$1="BL","-",SUM(C28:F28))</f>
        <v>43.9936346980588</v>
      </c>
      <c r="H28" s="411" t="n">
        <v>168.691537627165</v>
      </c>
      <c r="I28" s="411" t="n">
        <v>88.1028124527601</v>
      </c>
      <c r="J28" s="411" t="n">
        <v>78.341358306821</v>
      </c>
      <c r="K28" s="411" t="n">
        <v>73.4799788694639</v>
      </c>
      <c r="L28" s="411" t="n">
        <v>68.1679467577682</v>
      </c>
      <c r="M28" s="411" t="n">
        <v>66.7221724552345</v>
      </c>
      <c r="N28" s="411" t="n">
        <v>55.0383213924608</v>
      </c>
      <c r="O28" s="411" t="n">
        <v>42.5177073975074</v>
      </c>
      <c r="P28" s="411" t="n">
        <v>37.2644344630584</v>
      </c>
      <c r="Q28" s="411" t="n">
        <v>27.4420082924455</v>
      </c>
      <c r="R28" s="411" t="n">
        <v>25.9094711922948</v>
      </c>
      <c r="S28" s="411" t="n">
        <v>24.0120061928186</v>
      </c>
      <c r="T28" s="411" t="n">
        <v>23.305382169286</v>
      </c>
      <c r="U28" s="411" t="n">
        <v>22.5619894371891</v>
      </c>
      <c r="V28" s="411" t="n">
        <v>22.1412558116268</v>
      </c>
      <c r="W28" s="411" t="n">
        <v>21.8758446851691</v>
      </c>
      <c r="X28" s="411" t="n">
        <v>21.5830107590588</v>
      </c>
      <c r="Y28" s="411" t="n">
        <v>21.4522677395284</v>
      </c>
      <c r="Z28" s="411" t="n">
        <v>21.3431219171366</v>
      </c>
      <c r="AA28" s="411" t="n">
        <v>20.954189432858</v>
      </c>
      <c r="AB28" s="401" t="n">
        <f aca="false">AB27*(1+Assumptions!$L$13/12)</f>
        <v>0.620314709455091</v>
      </c>
      <c r="AC28" s="401" t="n">
        <f aca="false">AC27</f>
        <v>0</v>
      </c>
      <c r="AD28" s="405" t="n">
        <f aca="false">AD27</f>
        <v>198.925208663874</v>
      </c>
      <c r="AE28" s="405" t="n">
        <f aca="false">AE27</f>
        <v>0</v>
      </c>
      <c r="AF28" s="392" t="n">
        <v>0</v>
      </c>
      <c r="AG28" s="406" t="n">
        <f aca="false">AG27</f>
        <v>0</v>
      </c>
      <c r="AH28" s="401" t="n">
        <f aca="false">Assumptions!$E$13*Assumptions!H17</f>
        <v>3.83673592045587</v>
      </c>
      <c r="AI28" s="401" t="n">
        <f aca="false">Assumptions!$F$13*Assumptions!I17</f>
        <v>3.77567073170732</v>
      </c>
      <c r="AJ28" s="401" t="n">
        <f aca="false">AJ27</f>
        <v>0</v>
      </c>
      <c r="AK28" s="401" t="n">
        <f aca="false">AK27</f>
        <v>0</v>
      </c>
    </row>
    <row r="29" customFormat="false" ht="12.75" hidden="false" customHeight="false" outlineLevel="0" collapsed="false">
      <c r="A29" s="400" t="n">
        <f aca="false">A28+30.417</f>
        <v>37087.506</v>
      </c>
      <c r="B29" s="401" t="n">
        <f aca="false">IF($B$9="Coal",AG29,IF($B$9="Gas",AH29,IF($B$9="Oil",AI29,0)))</f>
        <v>3.82459435108734</v>
      </c>
      <c r="C29" s="402" t="n">
        <f aca="false">(B29*$B$1*1000)/1000000</f>
        <v>43.2360626468676</v>
      </c>
      <c r="D29" s="401" t="n">
        <f aca="false">AB29+AC29</f>
        <v>0.621348567304183</v>
      </c>
      <c r="E29" s="401" t="n">
        <f aca="false">(($AJ29*$B$1*AD29*1000)/2000)/1000000</f>
        <v>0</v>
      </c>
      <c r="F29" s="401" t="n">
        <f aca="false">AF29*(($AK29*$B$1*AE29*1000)/2000)/1000000</f>
        <v>0</v>
      </c>
      <c r="G29" s="403" t="n">
        <f aca="false">IF('Peak Revenue'!$A$1="BL","-",SUM(C29:F29))</f>
        <v>43.8574112141718</v>
      </c>
      <c r="H29" s="411" t="n">
        <v>1335.65615203424</v>
      </c>
      <c r="I29" s="411" t="n">
        <v>672.526353989818</v>
      </c>
      <c r="J29" s="411" t="n">
        <v>399.319077232689</v>
      </c>
      <c r="K29" s="411" t="n">
        <v>234.199971969021</v>
      </c>
      <c r="L29" s="411" t="n">
        <v>74.2947766797887</v>
      </c>
      <c r="M29" s="411" t="n">
        <v>53.7069886988138</v>
      </c>
      <c r="N29" s="411" t="n">
        <v>49.5320518212082</v>
      </c>
      <c r="O29" s="411" t="n">
        <v>46.7828848592439</v>
      </c>
      <c r="P29" s="411" t="n">
        <v>45.6159514505194</v>
      </c>
      <c r="Q29" s="411" t="n">
        <v>37.5830841660709</v>
      </c>
      <c r="R29" s="411" t="n">
        <v>30.5236004280784</v>
      </c>
      <c r="S29" s="411" t="n">
        <v>27.2426175644764</v>
      </c>
      <c r="T29" s="411" t="n">
        <v>24.2767559103886</v>
      </c>
      <c r="U29" s="411" t="n">
        <v>23.1111130927239</v>
      </c>
      <c r="V29" s="411" t="n">
        <v>21.5083360939602</v>
      </c>
      <c r="W29" s="411" t="n">
        <v>20.8603427769238</v>
      </c>
      <c r="X29" s="411" t="n">
        <v>20.2994746455038</v>
      </c>
      <c r="Y29" s="411" t="n">
        <v>19.9889951031299</v>
      </c>
      <c r="Z29" s="411" t="n">
        <v>19.701044467192</v>
      </c>
      <c r="AA29" s="411" t="n">
        <v>19.2149502061105</v>
      </c>
      <c r="AB29" s="401" t="n">
        <f aca="false">AB28*(1+Assumptions!$L$13/12)</f>
        <v>0.621348567304183</v>
      </c>
      <c r="AC29" s="401" t="n">
        <f aca="false">AC28</f>
        <v>0</v>
      </c>
      <c r="AD29" s="405" t="n">
        <f aca="false">AD28</f>
        <v>198.925208663874</v>
      </c>
      <c r="AE29" s="405" t="n">
        <f aca="false">AE28</f>
        <v>0</v>
      </c>
      <c r="AF29" s="392" t="n">
        <v>0</v>
      </c>
      <c r="AG29" s="406" t="n">
        <f aca="false">AG28</f>
        <v>0</v>
      </c>
      <c r="AH29" s="401" t="n">
        <f aca="false">Assumptions!$E$13*Assumptions!H18</f>
        <v>3.82459435108734</v>
      </c>
      <c r="AI29" s="401" t="n">
        <f aca="false">Assumptions!$F$13*Assumptions!I18</f>
        <v>3.77567073170732</v>
      </c>
      <c r="AJ29" s="401" t="n">
        <f aca="false">AJ28</f>
        <v>0</v>
      </c>
      <c r="AK29" s="401" t="n">
        <f aca="false">AK28</f>
        <v>0</v>
      </c>
    </row>
    <row r="30" customFormat="false" ht="12.75" hidden="false" customHeight="false" outlineLevel="0" collapsed="false">
      <c r="A30" s="400" t="n">
        <f aca="false">A29+30.417</f>
        <v>37117.923</v>
      </c>
      <c r="B30" s="401" t="n">
        <f aca="false">IF($B$9="Coal",AG30,IF($B$9="Gas",AH30,IF($B$9="Oil",AI30,0)))</f>
        <v>3.62628205140133</v>
      </c>
      <c r="C30" s="402" t="n">
        <f aca="false">(B30*$B$1*1000)/1000000</f>
        <v>40.9941927318448</v>
      </c>
      <c r="D30" s="401" t="n">
        <f aca="false">AB30+AC30</f>
        <v>0.62238414824969</v>
      </c>
      <c r="E30" s="401" t="n">
        <f aca="false">(($AJ30*$B$1*AD30*1000)/2000)/1000000</f>
        <v>0</v>
      </c>
      <c r="F30" s="401" t="n">
        <f aca="false">AF30*(($AK30*$B$1*AE30*1000)/2000)/1000000</f>
        <v>0</v>
      </c>
      <c r="G30" s="403" t="n">
        <f aca="false">IF('Peak Revenue'!$A$1="BL","-",SUM(C30:F30))</f>
        <v>41.6165768800945</v>
      </c>
      <c r="H30" s="411" t="n">
        <v>4372.25177087777</v>
      </c>
      <c r="I30" s="411" t="n">
        <v>1648.17581585337</v>
      </c>
      <c r="J30" s="411" t="n">
        <v>879.772630279141</v>
      </c>
      <c r="K30" s="411" t="n">
        <v>402.738527257934</v>
      </c>
      <c r="L30" s="411" t="n">
        <v>223.549344566243</v>
      </c>
      <c r="M30" s="411" t="n">
        <v>56.9514507712682</v>
      </c>
      <c r="N30" s="411" t="n">
        <v>45.1256637627615</v>
      </c>
      <c r="O30" s="411" t="n">
        <v>40.4098583818245</v>
      </c>
      <c r="P30" s="411" t="n">
        <v>38.4809720120316</v>
      </c>
      <c r="Q30" s="411" t="n">
        <v>29.936979013596</v>
      </c>
      <c r="R30" s="411" t="n">
        <v>25.1769800316707</v>
      </c>
      <c r="S30" s="411" t="n">
        <v>23.6446091970667</v>
      </c>
      <c r="T30" s="411" t="n">
        <v>23.3220028939195</v>
      </c>
      <c r="U30" s="411" t="n">
        <v>21.9746464056894</v>
      </c>
      <c r="V30" s="411" t="n">
        <v>21.298522792005</v>
      </c>
      <c r="W30" s="411" t="n">
        <v>20.7935580111322</v>
      </c>
      <c r="X30" s="411" t="n">
        <v>20.4063289264819</v>
      </c>
      <c r="Y30" s="411" t="n">
        <v>20.1664728187563</v>
      </c>
      <c r="Z30" s="411" t="n">
        <v>19.9516388508968</v>
      </c>
      <c r="AA30" s="411" t="n">
        <v>19.5552531049087</v>
      </c>
      <c r="AB30" s="401" t="n">
        <f aca="false">AB29*(1+Assumptions!$L$13/12)</f>
        <v>0.62238414824969</v>
      </c>
      <c r="AC30" s="401" t="n">
        <f aca="false">AC29</f>
        <v>0</v>
      </c>
      <c r="AD30" s="405" t="n">
        <f aca="false">AD29</f>
        <v>198.925208663874</v>
      </c>
      <c r="AE30" s="405" t="n">
        <f aca="false">AE29</f>
        <v>0</v>
      </c>
      <c r="AF30" s="392" t="n">
        <v>0</v>
      </c>
      <c r="AG30" s="406" t="n">
        <f aca="false">AG29</f>
        <v>0</v>
      </c>
      <c r="AH30" s="401" t="n">
        <f aca="false">Assumptions!$E$13*Assumptions!H19</f>
        <v>3.62628205140133</v>
      </c>
      <c r="AI30" s="401" t="n">
        <f aca="false">Assumptions!$F$13*Assumptions!I19</f>
        <v>3.77567073170732</v>
      </c>
      <c r="AJ30" s="401" t="n">
        <f aca="false">AJ29</f>
        <v>0</v>
      </c>
      <c r="AK30" s="401" t="n">
        <f aca="false">AK29</f>
        <v>0</v>
      </c>
    </row>
    <row r="31" customFormat="false" ht="12.75" hidden="false" customHeight="false" outlineLevel="0" collapsed="false">
      <c r="A31" s="400" t="n">
        <f aca="false">A30+30.417</f>
        <v>37148.34</v>
      </c>
      <c r="B31" s="401" t="n">
        <f aca="false">IF($B$9="Coal",AG31,IF($B$9="Gas",AH31,IF($B$9="Oil",AI31,0)))</f>
        <v>3.6141404820328</v>
      </c>
      <c r="C31" s="402" t="n">
        <f aca="false">(B31*$B$1*1000)/1000000</f>
        <v>40.8569353901087</v>
      </c>
      <c r="D31" s="401" t="n">
        <f aca="false">AB31+AC31</f>
        <v>0.623421455163439</v>
      </c>
      <c r="E31" s="401" t="n">
        <f aca="false">(($AJ31*$B$1*AD31*1000)/2000)/1000000</f>
        <v>0</v>
      </c>
      <c r="F31" s="401" t="n">
        <f aca="false">AF31*(($AK31*$B$1*AE31*1000)/2000)/1000000</f>
        <v>0</v>
      </c>
      <c r="G31" s="403" t="n">
        <f aca="false">IF('Peak Revenue'!$A$1="BL","-",SUM(C31:F31))</f>
        <v>41.4803568452722</v>
      </c>
      <c r="H31" s="411" t="n">
        <v>465.6028125066</v>
      </c>
      <c r="I31" s="411" t="n">
        <v>264.92218756673</v>
      </c>
      <c r="J31" s="411" t="n">
        <v>182.292619177769</v>
      </c>
      <c r="K31" s="411" t="n">
        <v>73.2773679323233</v>
      </c>
      <c r="L31" s="411" t="n">
        <v>49.927519241861</v>
      </c>
      <c r="M31" s="411" t="n">
        <v>43.4699493978648</v>
      </c>
      <c r="N31" s="411" t="n">
        <v>39.3861824628089</v>
      </c>
      <c r="O31" s="411" t="n">
        <v>38.6825616084856</v>
      </c>
      <c r="P31" s="411" t="n">
        <v>34.4203759889254</v>
      </c>
      <c r="Q31" s="411" t="n">
        <v>28.4389716401005</v>
      </c>
      <c r="R31" s="411" t="n">
        <v>25.7328015443777</v>
      </c>
      <c r="S31" s="411" t="n">
        <v>23.7582765071998</v>
      </c>
      <c r="T31" s="411" t="n">
        <v>23.1109064611717</v>
      </c>
      <c r="U31" s="411" t="n">
        <v>22.9646357825448</v>
      </c>
      <c r="V31" s="411" t="n">
        <v>22.1620187356178</v>
      </c>
      <c r="W31" s="411" t="n">
        <v>21.4357075321712</v>
      </c>
      <c r="X31" s="411" t="n">
        <v>21.0385543561998</v>
      </c>
      <c r="Y31" s="411" t="n">
        <v>20.813617536225</v>
      </c>
      <c r="Z31" s="411" t="n">
        <v>20.5189359016768</v>
      </c>
      <c r="AA31" s="411" t="n">
        <v>20.0276321508686</v>
      </c>
      <c r="AB31" s="401" t="n">
        <f aca="false">AB30*(1+Assumptions!$L$13/12)</f>
        <v>0.623421455163439</v>
      </c>
      <c r="AC31" s="401" t="n">
        <f aca="false">AC30</f>
        <v>0</v>
      </c>
      <c r="AD31" s="405" t="n">
        <f aca="false">AD30</f>
        <v>198.925208663874</v>
      </c>
      <c r="AE31" s="405" t="n">
        <f aca="false">AE30</f>
        <v>0</v>
      </c>
      <c r="AF31" s="392" t="n">
        <v>0</v>
      </c>
      <c r="AG31" s="406" t="n">
        <f aca="false">AG30</f>
        <v>0</v>
      </c>
      <c r="AH31" s="401" t="n">
        <f aca="false">Assumptions!$E$13*Assumptions!H20</f>
        <v>3.6141404820328</v>
      </c>
      <c r="AI31" s="401" t="n">
        <f aca="false">Assumptions!$F$13*Assumptions!I20</f>
        <v>3.77567073170732</v>
      </c>
      <c r="AJ31" s="401" t="n">
        <f aca="false">AJ30</f>
        <v>0</v>
      </c>
      <c r="AK31" s="401" t="n">
        <f aca="false">AK30</f>
        <v>0</v>
      </c>
    </row>
    <row r="32" customFormat="false" ht="12.75" hidden="false" customHeight="false" outlineLevel="0" collapsed="false">
      <c r="A32" s="400" t="n">
        <f aca="false">A31+30.417</f>
        <v>37178.757</v>
      </c>
      <c r="B32" s="401" t="n">
        <f aca="false">IF($B$9="Coal",AG32,IF($B$9="Gas",AH32,IF($B$9="Oil",AI32,0)))</f>
        <v>4.00267070182579</v>
      </c>
      <c r="C32" s="402" t="n">
        <f aca="false">(B32*$B$1*1000)/1000000</f>
        <v>45.2491703256635</v>
      </c>
      <c r="D32" s="401" t="n">
        <f aca="false">AB32+AC32</f>
        <v>0.624460490922045</v>
      </c>
      <c r="E32" s="401" t="n">
        <f aca="false">(($AJ32*$B$1*AD32*1000)/2000)/1000000</f>
        <v>0</v>
      </c>
      <c r="F32" s="401" t="n">
        <f aca="false">AF32*(($AK32*$B$1*AE32*1000)/2000)/1000000</f>
        <v>0</v>
      </c>
      <c r="G32" s="403" t="n">
        <f aca="false">IF('Peak Revenue'!$A$1="BL","-",SUM(C32:F32))</f>
        <v>45.8736308165856</v>
      </c>
      <c r="H32" s="411" t="n">
        <v>61.3042447117023</v>
      </c>
      <c r="I32" s="411" t="n">
        <v>60.2189417527596</v>
      </c>
      <c r="J32" s="411" t="n">
        <v>59.0158973993425</v>
      </c>
      <c r="K32" s="411" t="n">
        <v>55.8078569324565</v>
      </c>
      <c r="L32" s="411" t="n">
        <v>54.3348521874902</v>
      </c>
      <c r="M32" s="411" t="n">
        <v>54.2424822102549</v>
      </c>
      <c r="N32" s="411" t="n">
        <v>52.5494197964998</v>
      </c>
      <c r="O32" s="411" t="n">
        <v>41.0742345449845</v>
      </c>
      <c r="P32" s="411" t="n">
        <v>38.3193393676871</v>
      </c>
      <c r="Q32" s="411" t="n">
        <v>38.2926074293905</v>
      </c>
      <c r="R32" s="411" t="n">
        <v>37.0015243312339</v>
      </c>
      <c r="S32" s="411" t="n">
        <v>26.9815097948894</v>
      </c>
      <c r="T32" s="411" t="n">
        <v>24.6049014780622</v>
      </c>
      <c r="U32" s="411" t="n">
        <v>24.0471837291744</v>
      </c>
      <c r="V32" s="411" t="n">
        <v>22.7627606080579</v>
      </c>
      <c r="W32" s="411" t="n">
        <v>22.0288933769026</v>
      </c>
      <c r="X32" s="411" t="n">
        <v>21.598624196739</v>
      </c>
      <c r="Y32" s="411" t="n">
        <v>21.365199788655</v>
      </c>
      <c r="Z32" s="411" t="n">
        <v>21.0976945550386</v>
      </c>
      <c r="AA32" s="411" t="n">
        <v>20.6581436740314</v>
      </c>
      <c r="AB32" s="401" t="n">
        <f aca="false">AB31*(1+Assumptions!$L$13/12)</f>
        <v>0.624460490922045</v>
      </c>
      <c r="AC32" s="401" t="n">
        <f aca="false">AC31</f>
        <v>0</v>
      </c>
      <c r="AD32" s="405" t="n">
        <f aca="false">AD31</f>
        <v>198.925208663874</v>
      </c>
      <c r="AE32" s="405" t="n">
        <f aca="false">AE31</f>
        <v>0</v>
      </c>
      <c r="AF32" s="392" t="n">
        <v>0</v>
      </c>
      <c r="AG32" s="406" t="n">
        <f aca="false">AG31</f>
        <v>0</v>
      </c>
      <c r="AH32" s="401" t="n">
        <f aca="false">Assumptions!$E$13*Assumptions!H21</f>
        <v>4.00267070182579</v>
      </c>
      <c r="AI32" s="401" t="n">
        <f aca="false">Assumptions!$F$13*Assumptions!I21</f>
        <v>3.77567073170732</v>
      </c>
      <c r="AJ32" s="401" t="n">
        <f aca="false">AJ31</f>
        <v>0</v>
      </c>
      <c r="AK32" s="401" t="n">
        <f aca="false">AK31</f>
        <v>0</v>
      </c>
    </row>
    <row r="33" customFormat="false" ht="12.75" hidden="false" customHeight="false" outlineLevel="0" collapsed="false">
      <c r="A33" s="400" t="n">
        <f aca="false">A32+30.417</f>
        <v>37209.174</v>
      </c>
      <c r="B33" s="401" t="n">
        <f aca="false">IF($B$9="Coal",AG33,IF($B$9="Gas",AH33,IF($B$9="Oil",AI33,0)))</f>
        <v>4.38310654203977</v>
      </c>
      <c r="C33" s="402" t="n">
        <f aca="false">(B33*$B$1*1000)/1000000</f>
        <v>49.5499003667276</v>
      </c>
      <c r="D33" s="401" t="n">
        <f aca="false">AB33+AC33</f>
        <v>0.625501258406915</v>
      </c>
      <c r="E33" s="401" t="n">
        <f aca="false">(($AJ33*$B$1*AD33*1000)/2000)/1000000</f>
        <v>0</v>
      </c>
      <c r="F33" s="401" t="n">
        <f aca="false">AF33*(($AK33*$B$1*AE33*1000)/2000)/1000000</f>
        <v>0</v>
      </c>
      <c r="G33" s="403" t="n">
        <f aca="false">IF('Peak Revenue'!$A$1="BL","-",SUM(C33:F33))</f>
        <v>50.1754016251345</v>
      </c>
      <c r="H33" s="411" t="n">
        <v>89.6017607292956</v>
      </c>
      <c r="I33" s="411" t="n">
        <v>79.1633629535914</v>
      </c>
      <c r="J33" s="411" t="n">
        <v>69.3966194689685</v>
      </c>
      <c r="K33" s="411" t="n">
        <v>59.2016064269162</v>
      </c>
      <c r="L33" s="411" t="n">
        <v>56.7589267268185</v>
      </c>
      <c r="M33" s="411" t="n">
        <v>53.2019783856748</v>
      </c>
      <c r="N33" s="411" t="n">
        <v>50.7080125000678</v>
      </c>
      <c r="O33" s="411" t="n">
        <v>50.6082788293629</v>
      </c>
      <c r="P33" s="411" t="n">
        <v>47.1387033543913</v>
      </c>
      <c r="Q33" s="411" t="n">
        <v>37.5206481558311</v>
      </c>
      <c r="R33" s="411" t="n">
        <v>34.0422674169349</v>
      </c>
      <c r="S33" s="411" t="n">
        <v>29.3776066667028</v>
      </c>
      <c r="T33" s="411" t="n">
        <v>28.9677975833906</v>
      </c>
      <c r="U33" s="411" t="n">
        <v>26.0023666609377</v>
      </c>
      <c r="V33" s="411" t="n">
        <v>25.0901981827611</v>
      </c>
      <c r="W33" s="411" t="n">
        <v>23.5486921446168</v>
      </c>
      <c r="X33" s="411" t="n">
        <v>22.8475410138885</v>
      </c>
      <c r="Y33" s="411" t="n">
        <v>22.3091368089558</v>
      </c>
      <c r="Z33" s="411" t="n">
        <v>21.8792830638419</v>
      </c>
      <c r="AA33" s="411" t="n">
        <v>21.3454727633755</v>
      </c>
      <c r="AB33" s="401" t="n">
        <f aca="false">AB32*(1+Assumptions!$L$13/12)</f>
        <v>0.625501258406915</v>
      </c>
      <c r="AC33" s="401" t="n">
        <f aca="false">AC32</f>
        <v>0</v>
      </c>
      <c r="AD33" s="405" t="n">
        <f aca="false">AD32</f>
        <v>198.925208663874</v>
      </c>
      <c r="AE33" s="405" t="n">
        <f aca="false">AE32</f>
        <v>0</v>
      </c>
      <c r="AF33" s="392" t="n">
        <v>0</v>
      </c>
      <c r="AG33" s="406" t="n">
        <f aca="false">AG32</f>
        <v>0</v>
      </c>
      <c r="AH33" s="401" t="n">
        <f aca="false">Assumptions!$E$13*Assumptions!H22</f>
        <v>4.38310654203977</v>
      </c>
      <c r="AI33" s="401" t="n">
        <f aca="false">Assumptions!$F$13*Assumptions!I22</f>
        <v>4.09362195121951</v>
      </c>
      <c r="AJ33" s="401" t="n">
        <f aca="false">AJ32</f>
        <v>0</v>
      </c>
      <c r="AK33" s="401" t="n">
        <f aca="false">AK32</f>
        <v>0</v>
      </c>
    </row>
    <row r="34" customFormat="false" ht="12.75" hidden="false" customHeight="false" outlineLevel="0" collapsed="false">
      <c r="A34" s="400" t="n">
        <f aca="false">A33+30.417</f>
        <v>37239.591</v>
      </c>
      <c r="B34" s="401" t="n">
        <f aca="false">IF($B$9="Coal",AG34,IF($B$9="Gas",AH34,IF($B$9="Oil",AI34,0)))</f>
        <v>4.7433064333062</v>
      </c>
      <c r="C34" s="402" t="n">
        <f aca="false">(B34*$B$1*1000)/1000000</f>
        <v>53.6218681715649</v>
      </c>
      <c r="D34" s="401" t="n">
        <f aca="false">AB34+AC34</f>
        <v>0.62654376050426</v>
      </c>
      <c r="E34" s="401" t="n">
        <f aca="false">(($AJ34*$B$1*AD34*1000)/2000)/1000000</f>
        <v>0</v>
      </c>
      <c r="F34" s="401" t="n">
        <f aca="false">AF34*(($AK34*$B$1*AE34*1000)/2000)/1000000</f>
        <v>0</v>
      </c>
      <c r="G34" s="403" t="n">
        <f aca="false">IF('Peak Revenue'!$A$1="BL","-",SUM(C34:F34))</f>
        <v>54.2484119320691</v>
      </c>
      <c r="H34" s="411" t="n">
        <v>93.2787089783178</v>
      </c>
      <c r="I34" s="411" t="n">
        <v>89.7124572896967</v>
      </c>
      <c r="J34" s="411" t="n">
        <v>86.8092533956857</v>
      </c>
      <c r="K34" s="411" t="n">
        <v>86.3072651128374</v>
      </c>
      <c r="L34" s="411" t="n">
        <v>86.2900435852827</v>
      </c>
      <c r="M34" s="411" t="n">
        <v>82.5339563482674</v>
      </c>
      <c r="N34" s="411" t="n">
        <v>65.7299298490499</v>
      </c>
      <c r="O34" s="411" t="n">
        <v>58.2115086369399</v>
      </c>
      <c r="P34" s="411" t="n">
        <v>55.4196804684356</v>
      </c>
      <c r="Q34" s="411" t="n">
        <v>55.3337162376862</v>
      </c>
      <c r="R34" s="411" t="n">
        <v>27.9130330222082</v>
      </c>
      <c r="S34" s="411" t="n">
        <v>24.9268414448854</v>
      </c>
      <c r="T34" s="411" t="n">
        <v>24.2989164906878</v>
      </c>
      <c r="U34" s="411" t="n">
        <v>23.4269365369365</v>
      </c>
      <c r="V34" s="411" t="n">
        <v>22.3204814495537</v>
      </c>
      <c r="W34" s="411" t="n">
        <v>21.8585672038391</v>
      </c>
      <c r="X34" s="411" t="n">
        <v>21.4736089562984</v>
      </c>
      <c r="Y34" s="411" t="n">
        <v>21.2329410484453</v>
      </c>
      <c r="Z34" s="411" t="n">
        <v>20.9923274611571</v>
      </c>
      <c r="AA34" s="411" t="n">
        <v>20.5223563246287</v>
      </c>
      <c r="AB34" s="401" t="n">
        <f aca="false">AB33*(1+Assumptions!$L$13/12)</f>
        <v>0.62654376050426</v>
      </c>
      <c r="AC34" s="401" t="n">
        <f aca="false">AC33</f>
        <v>0</v>
      </c>
      <c r="AD34" s="405" t="n">
        <f aca="false">AD33</f>
        <v>198.925208663874</v>
      </c>
      <c r="AE34" s="405" t="n">
        <f aca="false">AE33</f>
        <v>0</v>
      </c>
      <c r="AF34" s="392" t="n">
        <v>0</v>
      </c>
      <c r="AG34" s="406" t="n">
        <f aca="false">AG33</f>
        <v>0</v>
      </c>
      <c r="AH34" s="401" t="n">
        <f aca="false">Assumptions!$E$13*Assumptions!H23</f>
        <v>4.7433064333062</v>
      </c>
      <c r="AI34" s="401" t="n">
        <f aca="false">Assumptions!$F$13*Assumptions!I23</f>
        <v>4.29234146341463</v>
      </c>
      <c r="AJ34" s="401" t="n">
        <f aca="false">AJ33</f>
        <v>0</v>
      </c>
      <c r="AK34" s="401" t="n">
        <f aca="false">AK33</f>
        <v>0</v>
      </c>
    </row>
    <row r="35" customFormat="false" ht="12.75" hidden="false" customHeight="false" outlineLevel="0" collapsed="false">
      <c r="A35" s="400" t="n">
        <f aca="false">A34+30.417</f>
        <v>37270.008</v>
      </c>
      <c r="B35" s="401" t="n">
        <f aca="false">IF($B$9="Coal",AG35,IF($B$9="Gas",AH35,IF($B$9="Oil",AI35,0)))</f>
        <v>4.16069756758278</v>
      </c>
      <c r="C35" s="402" t="n">
        <f aca="false">(B35*$B$1*1000)/1000000</f>
        <v>47.0356236957614</v>
      </c>
      <c r="D35" s="401" t="n">
        <f aca="false">AB35+AC35</f>
        <v>0.627588000105101</v>
      </c>
      <c r="E35" s="401" t="n">
        <f aca="false">(($AJ35*$B$1*AD35*1000)/2000)/1000000</f>
        <v>0</v>
      </c>
      <c r="F35" s="401" t="n">
        <f aca="false">AF35*(($AK35*$B$1*AE35*1000)/2000)/1000000</f>
        <v>0</v>
      </c>
      <c r="G35" s="403" t="n">
        <f aca="false">IF('Peak Revenue'!$A$1="BL","-",SUM(C35:F35))</f>
        <v>47.6632116958665</v>
      </c>
      <c r="H35" s="411" t="n">
        <v>77.6196889376829</v>
      </c>
      <c r="I35" s="411" t="n">
        <v>75.7112037865044</v>
      </c>
      <c r="J35" s="411" t="n">
        <v>73.78410128803</v>
      </c>
      <c r="K35" s="411" t="n">
        <v>69.6929183565946</v>
      </c>
      <c r="L35" s="411" t="n">
        <v>68.6578008104708</v>
      </c>
      <c r="M35" s="411" t="n">
        <v>68.2998431049891</v>
      </c>
      <c r="N35" s="411" t="n">
        <v>64.436204034382</v>
      </c>
      <c r="O35" s="411" t="n">
        <v>52.5804802351467</v>
      </c>
      <c r="P35" s="411" t="n">
        <v>46.2066415035795</v>
      </c>
      <c r="Q35" s="411" t="n">
        <v>41.405894413389</v>
      </c>
      <c r="R35" s="411" t="n">
        <v>37.8802970878247</v>
      </c>
      <c r="S35" s="411" t="n">
        <v>26.6156223235944</v>
      </c>
      <c r="T35" s="411" t="n">
        <v>24.7978147637334</v>
      </c>
      <c r="U35" s="411" t="n">
        <v>24.1169290072544</v>
      </c>
      <c r="V35" s="411" t="n">
        <v>22.7943541664707</v>
      </c>
      <c r="W35" s="411" t="n">
        <v>22.2071323416593</v>
      </c>
      <c r="X35" s="411" t="n">
        <v>21.8613314037535</v>
      </c>
      <c r="Y35" s="411" t="n">
        <v>21.5285883246107</v>
      </c>
      <c r="Z35" s="411" t="n">
        <v>21.3018694704013</v>
      </c>
      <c r="AA35" s="411" t="n">
        <v>20.8474075295821</v>
      </c>
      <c r="AB35" s="401" t="n">
        <f aca="false">AB34*(1+Assumptions!$L$13/12)</f>
        <v>0.627588000105101</v>
      </c>
      <c r="AC35" s="401" t="n">
        <f aca="false">VLOOKUP($C$1,EnvVOM,5)</f>
        <v>0</v>
      </c>
      <c r="AD35" s="405" t="n">
        <f aca="false">Assumptions!B14</f>
        <v>218.802581025907</v>
      </c>
      <c r="AE35" s="405" t="n">
        <f aca="false">Assumptions!C14</f>
        <v>0</v>
      </c>
      <c r="AF35" s="392" t="n">
        <v>0</v>
      </c>
      <c r="AG35" s="406" t="n">
        <f aca="false">VLOOKUP($C$1,Coal,5)</f>
        <v>0</v>
      </c>
      <c r="AH35" s="401" t="n">
        <f aca="false">Assumptions!$E$14*Assumptions!H12</f>
        <v>4.16069756758278</v>
      </c>
      <c r="AI35" s="401" t="n">
        <f aca="false">Assumptions!$F$14*Assumptions!I12</f>
        <v>3.90546043583535</v>
      </c>
      <c r="AJ35" s="401" t="n">
        <f aca="false">VLOOKUP($C$1,SO2Rate,5)</f>
        <v>0</v>
      </c>
      <c r="AK35" s="401" t="n">
        <f aca="false">VLOOKUP($C$1,NOxRate,5)</f>
        <v>0</v>
      </c>
    </row>
    <row r="36" customFormat="false" ht="12.75" hidden="false" customHeight="false" outlineLevel="0" collapsed="false">
      <c r="A36" s="400" t="n">
        <f aca="false">A35+30.417</f>
        <v>37300.425</v>
      </c>
      <c r="B36" s="401" t="n">
        <f aca="false">IF($B$9="Coal",AG36,IF($B$9="Gas",AH36,IF($B$9="Oil",AI36,0)))</f>
        <v>3.72913585179627</v>
      </c>
      <c r="C36" s="402" t="n">
        <f aca="false">(B36*$B$1*1000)/1000000</f>
        <v>42.1569286847649</v>
      </c>
      <c r="D36" s="401" t="n">
        <f aca="false">AB36+AC36</f>
        <v>0.628633980105276</v>
      </c>
      <c r="E36" s="401" t="n">
        <f aca="false">(($AJ36*$B$1*AD36*1000)/2000)/1000000</f>
        <v>0</v>
      </c>
      <c r="F36" s="401" t="n">
        <f aca="false">AF36*(($AK36*$B$1*AE36*1000)/2000)/1000000</f>
        <v>0</v>
      </c>
      <c r="G36" s="403" t="n">
        <f aca="false">IF('Peak Revenue'!$A$1="BL","-",SUM(C36:F36))</f>
        <v>42.7855626648701</v>
      </c>
      <c r="H36" s="411" t="n">
        <v>187.536973826093</v>
      </c>
      <c r="I36" s="411" t="n">
        <v>104.022470613001</v>
      </c>
      <c r="J36" s="411" t="n">
        <v>86.0598356188797</v>
      </c>
      <c r="K36" s="411" t="n">
        <v>65.2570617581788</v>
      </c>
      <c r="L36" s="411" t="n">
        <v>55.4811563239129</v>
      </c>
      <c r="M36" s="411" t="n">
        <v>52.189227629941</v>
      </c>
      <c r="N36" s="411" t="n">
        <v>48.314758359371</v>
      </c>
      <c r="O36" s="411" t="n">
        <v>47.9193605118938</v>
      </c>
      <c r="P36" s="411" t="n">
        <v>45.3942521491016</v>
      </c>
      <c r="Q36" s="411" t="n">
        <v>36.1183280934132</v>
      </c>
      <c r="R36" s="411" t="n">
        <v>34.0546176682478</v>
      </c>
      <c r="S36" s="411" t="n">
        <v>28.9654822600466</v>
      </c>
      <c r="T36" s="411" t="n">
        <v>27.8903256063434</v>
      </c>
      <c r="U36" s="411" t="n">
        <v>27.1873730532561</v>
      </c>
      <c r="V36" s="411" t="n">
        <v>26.2203415407655</v>
      </c>
      <c r="W36" s="411" t="n">
        <v>24.7794117125217</v>
      </c>
      <c r="X36" s="411" t="n">
        <v>24.135924287315</v>
      </c>
      <c r="Y36" s="411" t="n">
        <v>23.4246660761241</v>
      </c>
      <c r="Z36" s="411" t="n">
        <v>22.8179112546633</v>
      </c>
      <c r="AA36" s="411" t="n">
        <v>22.3380502868798</v>
      </c>
      <c r="AB36" s="401" t="n">
        <f aca="false">AB35*(1+Assumptions!$L$13/12)</f>
        <v>0.628633980105276</v>
      </c>
      <c r="AC36" s="401" t="n">
        <f aca="false">AC35</f>
        <v>0</v>
      </c>
      <c r="AD36" s="405" t="n">
        <f aca="false">AD35</f>
        <v>218.802581025907</v>
      </c>
      <c r="AE36" s="405" t="n">
        <f aca="false">AE35</f>
        <v>0</v>
      </c>
      <c r="AF36" s="392" t="n">
        <v>0</v>
      </c>
      <c r="AG36" s="406" t="n">
        <f aca="false">AG35</f>
        <v>0</v>
      </c>
      <c r="AH36" s="401" t="n">
        <f aca="false">Assumptions!$E$14*Assumptions!H13</f>
        <v>3.72913585179627</v>
      </c>
      <c r="AI36" s="401" t="n">
        <f aca="false">Assumptions!$F$14*Assumptions!I13</f>
        <v>3.86929876513317</v>
      </c>
      <c r="AJ36" s="401" t="n">
        <f aca="false">AJ35</f>
        <v>0</v>
      </c>
      <c r="AK36" s="401" t="n">
        <f aca="false">AK35</f>
        <v>0</v>
      </c>
    </row>
    <row r="37" customFormat="false" ht="12.75" hidden="false" customHeight="false" outlineLevel="0" collapsed="false">
      <c r="A37" s="400" t="n">
        <f aca="false">A36+30.417</f>
        <v>37330.842</v>
      </c>
      <c r="B37" s="401" t="n">
        <f aca="false">IF($B$9="Coal",AG37,IF($B$9="Gas",AH37,IF($B$9="Oil",AI37,0)))</f>
        <v>3.66643030334865</v>
      </c>
      <c r="C37" s="402" t="n">
        <f aca="false">(B37*$B$1*1000)/1000000</f>
        <v>41.4480584694919</v>
      </c>
      <c r="D37" s="401" t="n">
        <f aca="false">AB37+AC37</f>
        <v>0.629681703405451</v>
      </c>
      <c r="E37" s="401" t="n">
        <f aca="false">(($AJ37*$B$1*AD37*1000)/2000)/1000000</f>
        <v>0</v>
      </c>
      <c r="F37" s="401" t="n">
        <f aca="false">AF37*(($AK37*$B$1*AE37*1000)/2000)/1000000</f>
        <v>0</v>
      </c>
      <c r="G37" s="403" t="n">
        <f aca="false">IF('Peak Revenue'!$A$1="BL","-",SUM(C37:F37))</f>
        <v>42.0777401728973</v>
      </c>
      <c r="H37" s="411" t="n">
        <v>74.4723447084062</v>
      </c>
      <c r="I37" s="411" t="n">
        <v>71.6996746533382</v>
      </c>
      <c r="J37" s="411" t="n">
        <v>70.5159548499276</v>
      </c>
      <c r="K37" s="411" t="n">
        <v>66.8210772203605</v>
      </c>
      <c r="L37" s="411" t="n">
        <v>64.9145370029161</v>
      </c>
      <c r="M37" s="411" t="n">
        <v>64.768200365505</v>
      </c>
      <c r="N37" s="411" t="n">
        <v>62.7646827946407</v>
      </c>
      <c r="O37" s="411" t="n">
        <v>49.3172061558768</v>
      </c>
      <c r="P37" s="411" t="n">
        <v>45.0372116500509</v>
      </c>
      <c r="Q37" s="411" t="n">
        <v>44.8847277745282</v>
      </c>
      <c r="R37" s="411" t="n">
        <v>44.7227997701569</v>
      </c>
      <c r="S37" s="411" t="n">
        <v>25.7823663980378</v>
      </c>
      <c r="T37" s="411" t="n">
        <v>23.2643928009705</v>
      </c>
      <c r="U37" s="411" t="n">
        <v>22.8376200921564</v>
      </c>
      <c r="V37" s="411" t="n">
        <v>21.6383356142021</v>
      </c>
      <c r="W37" s="411" t="n">
        <v>20.9410500195921</v>
      </c>
      <c r="X37" s="411" t="n">
        <v>20.4612313627486</v>
      </c>
      <c r="Y37" s="411" t="n">
        <v>20.0163433979588</v>
      </c>
      <c r="Z37" s="411" t="n">
        <v>19.7639241298297</v>
      </c>
      <c r="AA37" s="411" t="n">
        <v>19.2537751973559</v>
      </c>
      <c r="AB37" s="401" t="n">
        <f aca="false">AB36*(1+Assumptions!$L$13/12)</f>
        <v>0.629681703405451</v>
      </c>
      <c r="AC37" s="401" t="n">
        <f aca="false">AC36</f>
        <v>0</v>
      </c>
      <c r="AD37" s="405" t="n">
        <f aca="false">AD36</f>
        <v>218.802581025907</v>
      </c>
      <c r="AE37" s="405" t="n">
        <f aca="false">AE36</f>
        <v>0</v>
      </c>
      <c r="AF37" s="392" t="n">
        <v>0</v>
      </c>
      <c r="AG37" s="406" t="n">
        <f aca="false">AG36</f>
        <v>0</v>
      </c>
      <c r="AH37" s="401" t="n">
        <f aca="false">Assumptions!$E$14*Assumptions!H14</f>
        <v>3.66643030334865</v>
      </c>
      <c r="AI37" s="401" t="n">
        <f aca="false">Assumptions!$F$14*Assumptions!I14</f>
        <v>3.72465208232446</v>
      </c>
      <c r="AJ37" s="401" t="n">
        <f aca="false">AJ36</f>
        <v>0</v>
      </c>
      <c r="AK37" s="401" t="n">
        <f aca="false">AK36</f>
        <v>0</v>
      </c>
    </row>
    <row r="38" customFormat="false" ht="12.75" hidden="false" customHeight="false" outlineLevel="0" collapsed="false">
      <c r="A38" s="400" t="n">
        <f aca="false">A37+30.417</f>
        <v>37361.259</v>
      </c>
      <c r="B38" s="401" t="n">
        <f aca="false">IF($B$9="Coal",AG38,IF($B$9="Gas",AH38,IF($B$9="Oil",AI38,0)))</f>
        <v>3.48569078135259</v>
      </c>
      <c r="C38" s="402" t="n">
        <f aca="false">(B38*$B$1*1000)/1000000</f>
        <v>39.4048443195873</v>
      </c>
      <c r="D38" s="401" t="n">
        <f aca="false">AB38+AC38</f>
        <v>0.630731172911127</v>
      </c>
      <c r="E38" s="401" t="n">
        <f aca="false">(($AJ38*$B$1*AD38*1000)/2000)/1000000</f>
        <v>0</v>
      </c>
      <c r="F38" s="401" t="n">
        <f aca="false">AF38*(($AK38*$B$1*AE38*1000)/2000)/1000000</f>
        <v>0</v>
      </c>
      <c r="G38" s="403" t="n">
        <f aca="false">IF('Peak Revenue'!$A$1="BL","-",SUM(C38:F38))</f>
        <v>40.0355754924985</v>
      </c>
      <c r="H38" s="411" t="n">
        <v>69.0993442669766</v>
      </c>
      <c r="I38" s="411" t="n">
        <v>66.375706093133</v>
      </c>
      <c r="J38" s="411" t="n">
        <v>64.2544605025312</v>
      </c>
      <c r="K38" s="411" t="n">
        <v>63.772249657019</v>
      </c>
      <c r="L38" s="411" t="n">
        <v>63.4065575084015</v>
      </c>
      <c r="M38" s="411" t="n">
        <v>60.1592150775127</v>
      </c>
      <c r="N38" s="411" t="n">
        <v>47.2630037555728</v>
      </c>
      <c r="O38" s="411" t="n">
        <v>42.3358097176553</v>
      </c>
      <c r="P38" s="411" t="n">
        <v>39.5058594857418</v>
      </c>
      <c r="Q38" s="411" t="n">
        <v>33.4650258388788</v>
      </c>
      <c r="R38" s="411" t="n">
        <v>23.1546554599254</v>
      </c>
      <c r="S38" s="411" t="n">
        <v>21.9226292470507</v>
      </c>
      <c r="T38" s="411" t="n">
        <v>21.3804900876443</v>
      </c>
      <c r="U38" s="411" t="n">
        <v>20.3086841748832</v>
      </c>
      <c r="V38" s="411" t="n">
        <v>19.8357007721463</v>
      </c>
      <c r="W38" s="411" t="n">
        <v>19.4534737493543</v>
      </c>
      <c r="X38" s="411" t="n">
        <v>19.2072964024113</v>
      </c>
      <c r="Y38" s="411" t="n">
        <v>19.0392401234501</v>
      </c>
      <c r="Z38" s="411" t="n">
        <v>18.8996971316578</v>
      </c>
      <c r="AA38" s="411" t="n">
        <v>18.4859722516303</v>
      </c>
      <c r="AB38" s="401" t="n">
        <f aca="false">AB37*(1+Assumptions!$L$13/12)</f>
        <v>0.630731172911127</v>
      </c>
      <c r="AC38" s="401" t="n">
        <f aca="false">AC37</f>
        <v>0</v>
      </c>
      <c r="AD38" s="405" t="n">
        <f aca="false">AD37</f>
        <v>218.802581025907</v>
      </c>
      <c r="AE38" s="405" t="n">
        <f aca="false">AE37</f>
        <v>0</v>
      </c>
      <c r="AF38" s="392" t="n">
        <v>0</v>
      </c>
      <c r="AG38" s="406" t="n">
        <f aca="false">AG37</f>
        <v>0</v>
      </c>
      <c r="AH38" s="401" t="n">
        <f aca="false">Assumptions!$E$14*Assumptions!H15</f>
        <v>3.48569078135259</v>
      </c>
      <c r="AI38" s="401" t="n">
        <f aca="false">Assumptions!$F$14*Assumptions!I15</f>
        <v>3.58000539951574</v>
      </c>
      <c r="AJ38" s="401" t="n">
        <f aca="false">AJ37</f>
        <v>0</v>
      </c>
      <c r="AK38" s="401" t="n">
        <f aca="false">AK37</f>
        <v>0</v>
      </c>
    </row>
    <row r="39" customFormat="false" ht="12.75" hidden="false" customHeight="false" outlineLevel="0" collapsed="false">
      <c r="A39" s="400" t="n">
        <f aca="false">A38+30.417</f>
        <v>37391.676</v>
      </c>
      <c r="B39" s="401" t="n">
        <f aca="false">IF($B$9="Coal",AG39,IF($B$9="Gas",AH39,IF($B$9="Oil",AI39,0)))</f>
        <v>3.67011886502204</v>
      </c>
      <c r="C39" s="402" t="n">
        <f aca="false">(B39*$B$1*1000)/1000000</f>
        <v>41.4897567174491</v>
      </c>
      <c r="D39" s="401" t="n">
        <f aca="false">AB39+AC39</f>
        <v>0.631782391532646</v>
      </c>
      <c r="E39" s="401" t="n">
        <f aca="false">(($AJ39*$B$1*AD39*1000)/2000)/1000000</f>
        <v>0</v>
      </c>
      <c r="F39" s="401" t="n">
        <f aca="false">AF39*(($AK39*$B$1*AE39*1000)/2000)/1000000</f>
        <v>0</v>
      </c>
      <c r="G39" s="403" t="n">
        <f aca="false">IF('Peak Revenue'!$A$1="BL","-",SUM(C39:F39))</f>
        <v>42.1215391089817</v>
      </c>
      <c r="H39" s="411" t="n">
        <v>60.9204300113091</v>
      </c>
      <c r="I39" s="411" t="n">
        <v>57.7636388347586</v>
      </c>
      <c r="J39" s="411" t="n">
        <v>55.3938178892378</v>
      </c>
      <c r="K39" s="411" t="n">
        <v>51.3641135846174</v>
      </c>
      <c r="L39" s="411" t="n">
        <v>50.8351561176689</v>
      </c>
      <c r="M39" s="411" t="n">
        <v>45.3091737507614</v>
      </c>
      <c r="N39" s="411" t="n">
        <v>37.4343870692296</v>
      </c>
      <c r="O39" s="411" t="n">
        <v>36.3961372855524</v>
      </c>
      <c r="P39" s="411" t="n">
        <v>32.8762548004304</v>
      </c>
      <c r="Q39" s="411" t="n">
        <v>29.4479652181044</v>
      </c>
      <c r="R39" s="411" t="n">
        <v>27.4018615810041</v>
      </c>
      <c r="S39" s="411" t="n">
        <v>26.4634458350625</v>
      </c>
      <c r="T39" s="411" t="n">
        <v>25.6379538462589</v>
      </c>
      <c r="U39" s="411" t="n">
        <v>24.846873383356</v>
      </c>
      <c r="V39" s="411" t="n">
        <v>23.1666112467903</v>
      </c>
      <c r="W39" s="411" t="n">
        <v>22.482630798047</v>
      </c>
      <c r="X39" s="411" t="n">
        <v>21.8430239522425</v>
      </c>
      <c r="Y39" s="411" t="n">
        <v>21.4493650485585</v>
      </c>
      <c r="Z39" s="411" t="n">
        <v>21.1870163418506</v>
      </c>
      <c r="AA39" s="411" t="n">
        <v>20.67426584329</v>
      </c>
      <c r="AB39" s="401" t="n">
        <f aca="false">AB38*(1+Assumptions!$L$13/12)</f>
        <v>0.631782391532646</v>
      </c>
      <c r="AC39" s="401" t="n">
        <f aca="false">AC38</f>
        <v>0</v>
      </c>
      <c r="AD39" s="405" t="n">
        <f aca="false">AD38</f>
        <v>218.802581025907</v>
      </c>
      <c r="AE39" s="405" t="n">
        <f aca="false">AE38</f>
        <v>0</v>
      </c>
      <c r="AF39" s="392" t="n">
        <v>0</v>
      </c>
      <c r="AG39" s="406" t="n">
        <f aca="false">AG38</f>
        <v>0</v>
      </c>
      <c r="AH39" s="401" t="n">
        <f aca="false">Assumptions!$E$14*Assumptions!H16</f>
        <v>3.67011886502204</v>
      </c>
      <c r="AI39" s="401" t="n">
        <f aca="false">Assumptions!$F$14*Assumptions!I16</f>
        <v>3.43535871670702</v>
      </c>
      <c r="AJ39" s="401" t="n">
        <f aca="false">AJ38</f>
        <v>0</v>
      </c>
      <c r="AK39" s="401" t="n">
        <f aca="false">AK38</f>
        <v>0</v>
      </c>
    </row>
    <row r="40" customFormat="false" ht="12.75" hidden="false" customHeight="false" outlineLevel="0" collapsed="false">
      <c r="A40" s="400" t="n">
        <f aca="false">A39+30.417</f>
        <v>37422.093</v>
      </c>
      <c r="B40" s="401" t="n">
        <f aca="false">IF($B$9="Coal",AG40,IF($B$9="Gas",AH40,IF($B$9="Oil",AI40,0)))</f>
        <v>3.49675646637276</v>
      </c>
      <c r="C40" s="402" t="n">
        <f aca="false">(B40*$B$1*1000)/1000000</f>
        <v>39.529939063459</v>
      </c>
      <c r="D40" s="401" t="n">
        <f aca="false">AB40+AC40</f>
        <v>0.6328353621852</v>
      </c>
      <c r="E40" s="401" t="n">
        <f aca="false">(($AJ40*$B$1*AD40*1000)/2000)/1000000</f>
        <v>0</v>
      </c>
      <c r="F40" s="401" t="n">
        <f aca="false">AF40*(($AK40*$B$1*AE40*1000)/2000)/1000000</f>
        <v>0</v>
      </c>
      <c r="G40" s="403" t="n">
        <f aca="false">IF('Peak Revenue'!$A$1="BL","-",SUM(C40:F40))</f>
        <v>40.1627744256442</v>
      </c>
      <c r="H40" s="411" t="n">
        <v>369.696526143145</v>
      </c>
      <c r="I40" s="411" t="n">
        <v>232.204623159638</v>
      </c>
      <c r="J40" s="411" t="n">
        <v>126.006091116765</v>
      </c>
      <c r="K40" s="411" t="n">
        <v>58.2823973926352</v>
      </c>
      <c r="L40" s="411" t="n">
        <v>53.7959140115548</v>
      </c>
      <c r="M40" s="411" t="n">
        <v>49.7355717816172</v>
      </c>
      <c r="N40" s="411" t="n">
        <v>48.5446619053872</v>
      </c>
      <c r="O40" s="411" t="n">
        <v>43.9283109551518</v>
      </c>
      <c r="P40" s="411" t="n">
        <v>34.2260347275984</v>
      </c>
      <c r="Q40" s="411" t="n">
        <v>29.1136102767567</v>
      </c>
      <c r="R40" s="411" t="n">
        <v>27.0572564065059</v>
      </c>
      <c r="S40" s="411" t="n">
        <v>24.6255436126456</v>
      </c>
      <c r="T40" s="411" t="n">
        <v>23.1463771358704</v>
      </c>
      <c r="U40" s="411" t="n">
        <v>21.9424295192147</v>
      </c>
      <c r="V40" s="411" t="n">
        <v>21.253758935961</v>
      </c>
      <c r="W40" s="411" t="n">
        <v>20.9984538263583</v>
      </c>
      <c r="X40" s="411" t="n">
        <v>20.818182725659</v>
      </c>
      <c r="Y40" s="411" t="n">
        <v>20.5354410308754</v>
      </c>
      <c r="Z40" s="411" t="n">
        <v>20.3727847270488</v>
      </c>
      <c r="AA40" s="411" t="n">
        <v>19.9499048287137</v>
      </c>
      <c r="AB40" s="401" t="n">
        <f aca="false">AB39*(1+Assumptions!$L$13/12)</f>
        <v>0.6328353621852</v>
      </c>
      <c r="AC40" s="401" t="n">
        <f aca="false">AC39</f>
        <v>0</v>
      </c>
      <c r="AD40" s="405" t="n">
        <f aca="false">AD39</f>
        <v>218.802581025907</v>
      </c>
      <c r="AE40" s="405" t="n">
        <f aca="false">AE39</f>
        <v>0</v>
      </c>
      <c r="AF40" s="392" t="n">
        <v>0</v>
      </c>
      <c r="AG40" s="406" t="n">
        <f aca="false">AG39</f>
        <v>0</v>
      </c>
      <c r="AH40" s="401" t="n">
        <f aca="false">Assumptions!$E$14*Assumptions!H17</f>
        <v>3.49675646637276</v>
      </c>
      <c r="AI40" s="401" t="n">
        <f aca="false">Assumptions!$F$14*Assumptions!I17</f>
        <v>3.43535871670702</v>
      </c>
      <c r="AJ40" s="401" t="n">
        <f aca="false">AJ39</f>
        <v>0</v>
      </c>
      <c r="AK40" s="401" t="n">
        <f aca="false">AK39</f>
        <v>0</v>
      </c>
    </row>
    <row r="41" customFormat="false" ht="12.75" hidden="false" customHeight="false" outlineLevel="0" collapsed="false">
      <c r="A41" s="400" t="n">
        <f aca="false">A40+30.417</f>
        <v>37452.51</v>
      </c>
      <c r="B41" s="401" t="n">
        <f aca="false">IF($B$9="Coal",AG41,IF($B$9="Gas",AH41,IF($B$9="Oil",AI41,0)))</f>
        <v>3.48569078135259</v>
      </c>
      <c r="C41" s="402" t="n">
        <f aca="false">(B41*$B$1*1000)/1000000</f>
        <v>39.4048443195873</v>
      </c>
      <c r="D41" s="401" t="n">
        <f aca="false">AB41+AC41</f>
        <v>0.633890087788842</v>
      </c>
      <c r="E41" s="401" t="n">
        <f aca="false">(($AJ41*$B$1*AD41*1000)/2000)/1000000</f>
        <v>0</v>
      </c>
      <c r="F41" s="401" t="n">
        <f aca="false">AF41*(($AK41*$B$1*AE41*1000)/2000)/1000000</f>
        <v>0</v>
      </c>
      <c r="G41" s="403" t="n">
        <f aca="false">IF('Peak Revenue'!$A$1="BL","-",SUM(C41:F41))</f>
        <v>40.0387344073762</v>
      </c>
      <c r="H41" s="411" t="n">
        <v>1055.58316138253</v>
      </c>
      <c r="I41" s="411" t="n">
        <v>557.808103554805</v>
      </c>
      <c r="J41" s="411" t="n">
        <v>347.357461533352</v>
      </c>
      <c r="K41" s="411" t="n">
        <v>212.791042941262</v>
      </c>
      <c r="L41" s="411" t="n">
        <v>68.0335709021381</v>
      </c>
      <c r="M41" s="411" t="n">
        <v>58.6694964590046</v>
      </c>
      <c r="N41" s="411" t="n">
        <v>53.8162710480055</v>
      </c>
      <c r="O41" s="411" t="n">
        <v>51.527330112054</v>
      </c>
      <c r="P41" s="411" t="n">
        <v>49.4827428988761</v>
      </c>
      <c r="Q41" s="411" t="n">
        <v>39.8427019100808</v>
      </c>
      <c r="R41" s="411" t="n">
        <v>32.1770111648736</v>
      </c>
      <c r="S41" s="411" t="n">
        <v>29.0403200277139</v>
      </c>
      <c r="T41" s="411" t="n">
        <v>24.4419755860528</v>
      </c>
      <c r="U41" s="411" t="n">
        <v>23.0781088107544</v>
      </c>
      <c r="V41" s="411" t="n">
        <v>21.5415276088619</v>
      </c>
      <c r="W41" s="411" t="n">
        <v>20.8702055232873</v>
      </c>
      <c r="X41" s="411" t="n">
        <v>20.4330952016911</v>
      </c>
      <c r="Y41" s="411" t="n">
        <v>20.0836652436863</v>
      </c>
      <c r="Z41" s="411" t="n">
        <v>19.8581944701895</v>
      </c>
      <c r="AA41" s="411" t="n">
        <v>19.3581281303295</v>
      </c>
      <c r="AB41" s="401" t="n">
        <f aca="false">AB40*(1+Assumptions!$L$13/12)</f>
        <v>0.633890087788842</v>
      </c>
      <c r="AC41" s="401" t="n">
        <f aca="false">AC40</f>
        <v>0</v>
      </c>
      <c r="AD41" s="405" t="n">
        <f aca="false">AD40</f>
        <v>218.802581025907</v>
      </c>
      <c r="AE41" s="405" t="n">
        <f aca="false">AE40</f>
        <v>0</v>
      </c>
      <c r="AF41" s="392" t="n">
        <v>0</v>
      </c>
      <c r="AG41" s="406" t="n">
        <f aca="false">AG40</f>
        <v>0</v>
      </c>
      <c r="AH41" s="401" t="n">
        <f aca="false">Assumptions!$E$14*Assumptions!H18</f>
        <v>3.48569078135259</v>
      </c>
      <c r="AI41" s="401" t="n">
        <f aca="false">Assumptions!$F$14*Assumptions!I18</f>
        <v>3.43535871670702</v>
      </c>
      <c r="AJ41" s="401" t="n">
        <f aca="false">AJ40</f>
        <v>0</v>
      </c>
      <c r="AK41" s="401" t="n">
        <f aca="false">AK40</f>
        <v>0</v>
      </c>
    </row>
    <row r="42" customFormat="false" ht="12.75" hidden="false" customHeight="false" outlineLevel="0" collapsed="false">
      <c r="A42" s="400" t="n">
        <f aca="false">A41+30.417</f>
        <v>37482.927</v>
      </c>
      <c r="B42" s="401" t="n">
        <f aca="false">IF($B$9="Coal",AG42,IF($B$9="Gas",AH42,IF($B$9="Oil",AI42,0)))</f>
        <v>3.30495125935653</v>
      </c>
      <c r="C42" s="402" t="n">
        <f aca="false">(B42*$B$1*1000)/1000000</f>
        <v>37.3616301696828</v>
      </c>
      <c r="D42" s="401" t="n">
        <f aca="false">AB42+AC42</f>
        <v>0.63494657126849</v>
      </c>
      <c r="E42" s="401" t="n">
        <f aca="false">(($AJ42*$B$1*AD42*1000)/2000)/1000000</f>
        <v>0</v>
      </c>
      <c r="F42" s="401" t="n">
        <f aca="false">AF42*(($AK42*$B$1*AE42*1000)/2000)/1000000</f>
        <v>0</v>
      </c>
      <c r="G42" s="403" t="n">
        <f aca="false">IF('Peak Revenue'!$A$1="BL","-",SUM(C42:F42))</f>
        <v>37.9965767409513</v>
      </c>
      <c r="H42" s="411" t="n">
        <v>2214.61985152562</v>
      </c>
      <c r="I42" s="411" t="n">
        <v>982.19166419557</v>
      </c>
      <c r="J42" s="411" t="n">
        <v>550.782477704548</v>
      </c>
      <c r="K42" s="411" t="n">
        <v>276.995175563328</v>
      </c>
      <c r="L42" s="411" t="n">
        <v>133.316628859661</v>
      </c>
      <c r="M42" s="411" t="n">
        <v>71.6393606965395</v>
      </c>
      <c r="N42" s="411" t="n">
        <v>63.9400045492543</v>
      </c>
      <c r="O42" s="411" t="n">
        <v>60.9809285816008</v>
      </c>
      <c r="P42" s="411" t="n">
        <v>48.6414434970592</v>
      </c>
      <c r="Q42" s="411" t="n">
        <v>40.5840158869682</v>
      </c>
      <c r="R42" s="411" t="n">
        <v>34.5142544069456</v>
      </c>
      <c r="S42" s="411" t="n">
        <v>32.1272592089061</v>
      </c>
      <c r="T42" s="411" t="n">
        <v>30.8389363117075</v>
      </c>
      <c r="U42" s="411" t="n">
        <v>26.0109707362115</v>
      </c>
      <c r="V42" s="411" t="n">
        <v>24.4269052243261</v>
      </c>
      <c r="W42" s="411" t="n">
        <v>22.9960109685827</v>
      </c>
      <c r="X42" s="411" t="n">
        <v>22.179932264453</v>
      </c>
      <c r="Y42" s="411" t="n">
        <v>21.8698647714432</v>
      </c>
      <c r="Z42" s="411" t="n">
        <v>21.6162164013194</v>
      </c>
      <c r="AA42" s="411" t="n">
        <v>20.9668810616367</v>
      </c>
      <c r="AB42" s="401" t="n">
        <f aca="false">AB41*(1+Assumptions!$L$13/12)</f>
        <v>0.63494657126849</v>
      </c>
      <c r="AC42" s="401" t="n">
        <f aca="false">AC41</f>
        <v>0</v>
      </c>
      <c r="AD42" s="405" t="n">
        <f aca="false">AD41</f>
        <v>218.802581025907</v>
      </c>
      <c r="AE42" s="405" t="n">
        <f aca="false">AE41</f>
        <v>0</v>
      </c>
      <c r="AF42" s="392" t="n">
        <v>0</v>
      </c>
      <c r="AG42" s="406" t="n">
        <f aca="false">AG41</f>
        <v>0</v>
      </c>
      <c r="AH42" s="401" t="n">
        <f aca="false">Assumptions!$E$14*Assumptions!H19</f>
        <v>3.30495125935653</v>
      </c>
      <c r="AI42" s="401" t="n">
        <f aca="false">Assumptions!$F$14*Assumptions!I19</f>
        <v>3.43535871670702</v>
      </c>
      <c r="AJ42" s="401" t="n">
        <f aca="false">AJ41</f>
        <v>0</v>
      </c>
      <c r="AK42" s="401" t="n">
        <f aca="false">AK41</f>
        <v>0</v>
      </c>
    </row>
    <row r="43" customFormat="false" ht="12.75" hidden="false" customHeight="false" outlineLevel="0" collapsed="false">
      <c r="A43" s="400" t="n">
        <f aca="false">A42+30.417</f>
        <v>37513.344</v>
      </c>
      <c r="B43" s="401" t="n">
        <f aca="false">IF($B$9="Coal",AG43,IF($B$9="Gas",AH43,IF($B$9="Oil",AI43,0)))</f>
        <v>3.29388557433637</v>
      </c>
      <c r="C43" s="402" t="n">
        <f aca="false">(B43*$B$1*1000)/1000000</f>
        <v>37.2365354258111</v>
      </c>
      <c r="D43" s="401" t="n">
        <f aca="false">AB43+AC43</f>
        <v>0.636004815553938</v>
      </c>
      <c r="E43" s="401" t="n">
        <f aca="false">(($AJ43*$B$1*AD43*1000)/2000)/1000000</f>
        <v>0</v>
      </c>
      <c r="F43" s="401" t="n">
        <f aca="false">AF43*(($AK43*$B$1*AE43*1000)/2000)/1000000</f>
        <v>0</v>
      </c>
      <c r="G43" s="403" t="n">
        <f aca="false">IF('Peak Revenue'!$A$1="BL","-",SUM(C43:F43))</f>
        <v>37.872540241365</v>
      </c>
      <c r="H43" s="411" t="n">
        <v>456.216625568159</v>
      </c>
      <c r="I43" s="411" t="n">
        <v>267.899047373576</v>
      </c>
      <c r="J43" s="411" t="n">
        <v>197.839236664334</v>
      </c>
      <c r="K43" s="411" t="n">
        <v>63.3884341678702</v>
      </c>
      <c r="L43" s="411" t="n">
        <v>46.357745399998</v>
      </c>
      <c r="M43" s="411" t="n">
        <v>40.1851460100286</v>
      </c>
      <c r="N43" s="411" t="n">
        <v>36.3585995057574</v>
      </c>
      <c r="O43" s="411" t="n">
        <v>35.3046658163617</v>
      </c>
      <c r="P43" s="411" t="n">
        <v>32.5850802840176</v>
      </c>
      <c r="Q43" s="411" t="n">
        <v>26.6524975718202</v>
      </c>
      <c r="R43" s="411" t="n">
        <v>25.0738630983928</v>
      </c>
      <c r="S43" s="411" t="n">
        <v>23.836612299808</v>
      </c>
      <c r="T43" s="411" t="n">
        <v>22.0500068353284</v>
      </c>
      <c r="U43" s="411" t="n">
        <v>21.1860627370844</v>
      </c>
      <c r="V43" s="411" t="n">
        <v>21.1164984253922</v>
      </c>
      <c r="W43" s="411" t="n">
        <v>20.7716985302678</v>
      </c>
      <c r="X43" s="411" t="n">
        <v>20.3628042131278</v>
      </c>
      <c r="Y43" s="411" t="n">
        <v>20.0310620259853</v>
      </c>
      <c r="Z43" s="411" t="n">
        <v>19.7877342477449</v>
      </c>
      <c r="AA43" s="411" t="n">
        <v>19.3475170151171</v>
      </c>
      <c r="AB43" s="401" t="n">
        <f aca="false">AB42*(1+Assumptions!$L$13/12)</f>
        <v>0.636004815553938</v>
      </c>
      <c r="AC43" s="401" t="n">
        <f aca="false">AC42</f>
        <v>0</v>
      </c>
      <c r="AD43" s="405" t="n">
        <f aca="false">AD42</f>
        <v>218.802581025907</v>
      </c>
      <c r="AE43" s="405" t="n">
        <f aca="false">AE42</f>
        <v>0</v>
      </c>
      <c r="AF43" s="392" t="n">
        <v>0</v>
      </c>
      <c r="AG43" s="406" t="n">
        <f aca="false">AG42</f>
        <v>0</v>
      </c>
      <c r="AH43" s="401" t="n">
        <f aca="false">Assumptions!$E$14*Assumptions!H20</f>
        <v>3.29388557433637</v>
      </c>
      <c r="AI43" s="401" t="n">
        <f aca="false">Assumptions!$F$14*Assumptions!I20</f>
        <v>3.43535871670702</v>
      </c>
      <c r="AJ43" s="401" t="n">
        <f aca="false">AJ42</f>
        <v>0</v>
      </c>
      <c r="AK43" s="401" t="n">
        <f aca="false">AK42</f>
        <v>0</v>
      </c>
    </row>
    <row r="44" customFormat="false" ht="12.75" hidden="false" customHeight="false" outlineLevel="0" collapsed="false">
      <c r="A44" s="400" t="n">
        <f aca="false">A43+30.417</f>
        <v>37543.761</v>
      </c>
      <c r="B44" s="401" t="n">
        <f aca="false">IF($B$9="Coal",AG44,IF($B$9="Gas",AH44,IF($B$9="Oil",AI44,0)))</f>
        <v>3.64798749498171</v>
      </c>
      <c r="C44" s="402" t="n">
        <f aca="false">(B44*$B$1*1000)/1000000</f>
        <v>41.2395672297057</v>
      </c>
      <c r="D44" s="401" t="n">
        <f aca="false">AB44+AC44</f>
        <v>0.637064823579861</v>
      </c>
      <c r="E44" s="401" t="n">
        <f aca="false">(($AJ44*$B$1*AD44*1000)/2000)/1000000</f>
        <v>0</v>
      </c>
      <c r="F44" s="401" t="n">
        <f aca="false">AF44*(($AK44*$B$1*AE44*1000)/2000)/1000000</f>
        <v>0</v>
      </c>
      <c r="G44" s="403" t="n">
        <f aca="false">IF('Peak Revenue'!$A$1="BL","-",SUM(C44:F44))</f>
        <v>41.8766320532855</v>
      </c>
      <c r="H44" s="411" t="n">
        <v>57.0061429225247</v>
      </c>
      <c r="I44" s="411" t="n">
        <v>56.0407617326173</v>
      </c>
      <c r="J44" s="411" t="n">
        <v>54.7408863696327</v>
      </c>
      <c r="K44" s="411" t="n">
        <v>52.6276840750601</v>
      </c>
      <c r="L44" s="411" t="n">
        <v>50.2177952427687</v>
      </c>
      <c r="M44" s="411" t="n">
        <v>48.7655995199353</v>
      </c>
      <c r="N44" s="411" t="n">
        <v>48.6387252965684</v>
      </c>
      <c r="O44" s="411" t="n">
        <v>45.6833764917486</v>
      </c>
      <c r="P44" s="411" t="n">
        <v>36.6887482325508</v>
      </c>
      <c r="Q44" s="411" t="n">
        <v>34.3655455236345</v>
      </c>
      <c r="R44" s="411" t="n">
        <v>28.9062736855212</v>
      </c>
      <c r="S44" s="411" t="n">
        <v>28.3332612038071</v>
      </c>
      <c r="T44" s="411" t="n">
        <v>27.2317695220401</v>
      </c>
      <c r="U44" s="411" t="n">
        <v>26.2400795714086</v>
      </c>
      <c r="V44" s="411" t="n">
        <v>24.7504387976298</v>
      </c>
      <c r="W44" s="411" t="n">
        <v>23.6824606525554</v>
      </c>
      <c r="X44" s="411" t="n">
        <v>23.0356556244327</v>
      </c>
      <c r="Y44" s="411" t="n">
        <v>22.4322959198023</v>
      </c>
      <c r="Z44" s="411" t="n">
        <v>22.1260967471184</v>
      </c>
      <c r="AA44" s="411" t="n">
        <v>21.5798002896476</v>
      </c>
      <c r="AB44" s="401" t="n">
        <f aca="false">AB43*(1+Assumptions!$L$13/12)</f>
        <v>0.637064823579861</v>
      </c>
      <c r="AC44" s="401" t="n">
        <f aca="false">AC43</f>
        <v>0</v>
      </c>
      <c r="AD44" s="405" t="n">
        <f aca="false">AD43</f>
        <v>218.802581025907</v>
      </c>
      <c r="AE44" s="405" t="n">
        <f aca="false">AE43</f>
        <v>0</v>
      </c>
      <c r="AF44" s="392" t="n">
        <v>0</v>
      </c>
      <c r="AG44" s="406" t="n">
        <f aca="false">AG43</f>
        <v>0</v>
      </c>
      <c r="AH44" s="401" t="n">
        <f aca="false">Assumptions!$E$14*Assumptions!H21</f>
        <v>3.64798749498171</v>
      </c>
      <c r="AI44" s="401" t="n">
        <f aca="false">Assumptions!$F$14*Assumptions!I21</f>
        <v>3.43535871670702</v>
      </c>
      <c r="AJ44" s="401" t="n">
        <f aca="false">AJ43</f>
        <v>0</v>
      </c>
      <c r="AK44" s="401" t="n">
        <f aca="false">AK43</f>
        <v>0</v>
      </c>
    </row>
    <row r="45" customFormat="false" ht="12.75" hidden="false" customHeight="false" outlineLevel="0" collapsed="false">
      <c r="A45" s="400" t="n">
        <f aca="false">A44+30.417</f>
        <v>37574.178</v>
      </c>
      <c r="B45" s="401" t="n">
        <f aca="false">IF($B$9="Coal",AG45,IF($B$9="Gas",AH45,IF($B$9="Oil",AI45,0)))</f>
        <v>3.99471229228027</v>
      </c>
      <c r="C45" s="402" t="n">
        <f aca="false">(B45*$B$1*1000)/1000000</f>
        <v>45.1592025376858</v>
      </c>
      <c r="D45" s="401" t="n">
        <f aca="false">AB45+AC45</f>
        <v>0.638126598285827</v>
      </c>
      <c r="E45" s="401" t="n">
        <f aca="false">(($AJ45*$B$1*AD45*1000)/2000)/1000000</f>
        <v>0</v>
      </c>
      <c r="F45" s="401" t="n">
        <f aca="false">AF45*(($AK45*$B$1*AE45*1000)/2000)/1000000</f>
        <v>0</v>
      </c>
      <c r="G45" s="403" t="n">
        <f aca="false">IF('Peak Revenue'!$A$1="BL","-",SUM(C45:F45))</f>
        <v>45.7973291359716</v>
      </c>
      <c r="H45" s="411" t="n">
        <v>81.7196670912373</v>
      </c>
      <c r="I45" s="411" t="n">
        <v>70.1593203319372</v>
      </c>
      <c r="J45" s="411" t="n">
        <v>67.0957526850731</v>
      </c>
      <c r="K45" s="411" t="n">
        <v>63.8539075154577</v>
      </c>
      <c r="L45" s="411" t="n">
        <v>59.8032052655382</v>
      </c>
      <c r="M45" s="411" t="n">
        <v>58.0079577676461</v>
      </c>
      <c r="N45" s="411" t="n">
        <v>56.9829659791842</v>
      </c>
      <c r="O45" s="411" t="n">
        <v>47.962078826275</v>
      </c>
      <c r="P45" s="411" t="n">
        <v>40.6721567736933</v>
      </c>
      <c r="Q45" s="411" t="n">
        <v>33.4669100316176</v>
      </c>
      <c r="R45" s="411" t="n">
        <v>32.5858139800866</v>
      </c>
      <c r="S45" s="411" t="n">
        <v>29.6259664338363</v>
      </c>
      <c r="T45" s="411" t="n">
        <v>29.6259664338363</v>
      </c>
      <c r="U45" s="411" t="n">
        <v>29.5416709099007</v>
      </c>
      <c r="V45" s="411" t="n">
        <v>29.2994003756555</v>
      </c>
      <c r="W45" s="411" t="n">
        <v>24.080534054726</v>
      </c>
      <c r="X45" s="411" t="n">
        <v>22.7599200177393</v>
      </c>
      <c r="Y45" s="411" t="n">
        <v>21.5317073946193</v>
      </c>
      <c r="Z45" s="411" t="n">
        <v>20.6474939286122</v>
      </c>
      <c r="AA45" s="411" t="n">
        <v>19.695587829447</v>
      </c>
      <c r="AB45" s="401" t="n">
        <f aca="false">AB44*(1+Assumptions!$L$13/12)</f>
        <v>0.638126598285827</v>
      </c>
      <c r="AC45" s="401" t="n">
        <f aca="false">AC44</f>
        <v>0</v>
      </c>
      <c r="AD45" s="405" t="n">
        <f aca="false">AD44</f>
        <v>218.802581025907</v>
      </c>
      <c r="AE45" s="405" t="n">
        <f aca="false">AE44</f>
        <v>0</v>
      </c>
      <c r="AF45" s="392" t="n">
        <v>0</v>
      </c>
      <c r="AG45" s="406" t="n">
        <f aca="false">AG44</f>
        <v>0</v>
      </c>
      <c r="AH45" s="401" t="n">
        <f aca="false">Assumptions!$E$14*Assumptions!H22</f>
        <v>3.99471229228027</v>
      </c>
      <c r="AI45" s="401" t="n">
        <f aca="false">Assumptions!$F$14*Assumptions!I22</f>
        <v>3.72465208232446</v>
      </c>
      <c r="AJ45" s="401" t="n">
        <f aca="false">AJ44</f>
        <v>0</v>
      </c>
      <c r="AK45" s="401" t="n">
        <f aca="false">AK44</f>
        <v>0</v>
      </c>
    </row>
    <row r="46" customFormat="false" ht="12.75" hidden="false" customHeight="false" outlineLevel="0" collapsed="false">
      <c r="A46" s="400" t="n">
        <f aca="false">A45+30.417</f>
        <v>37604.595</v>
      </c>
      <c r="B46" s="401" t="n">
        <f aca="false">IF($B$9="Coal",AG46,IF($B$9="Gas",AH46,IF($B$9="Oil",AI46,0)))</f>
        <v>4.32299428121189</v>
      </c>
      <c r="C46" s="402" t="n">
        <f aca="false">(B46*$B$1*1000)/1000000</f>
        <v>48.8703466058797</v>
      </c>
      <c r="D46" s="401" t="n">
        <f aca="false">AB46+AC46</f>
        <v>0.639190142616304</v>
      </c>
      <c r="E46" s="401" t="n">
        <f aca="false">(($AJ46*$B$1*AD46*1000)/2000)/1000000</f>
        <v>0</v>
      </c>
      <c r="F46" s="401" t="n">
        <f aca="false">AF46*(($AK46*$B$1*AE46*1000)/2000)/1000000</f>
        <v>0</v>
      </c>
      <c r="G46" s="403" t="n">
        <f aca="false">IF('Peak Revenue'!$A$1="BL","-",SUM(C46:F46))</f>
        <v>49.509536748496</v>
      </c>
      <c r="H46" s="411" t="n">
        <v>84.1194268622227</v>
      </c>
      <c r="I46" s="411" t="n">
        <v>76.1235325868451</v>
      </c>
      <c r="J46" s="411" t="n">
        <v>74.332274868709</v>
      </c>
      <c r="K46" s="411" t="n">
        <v>70.8844437201191</v>
      </c>
      <c r="L46" s="411" t="n">
        <v>66.7276702625454</v>
      </c>
      <c r="M46" s="411" t="n">
        <v>65.0321987404994</v>
      </c>
      <c r="N46" s="411" t="n">
        <v>64.4938768894602</v>
      </c>
      <c r="O46" s="411" t="n">
        <v>59.2443237214147</v>
      </c>
      <c r="P46" s="411" t="n">
        <v>46.9717424269585</v>
      </c>
      <c r="Q46" s="411" t="n">
        <v>42.8872912631591</v>
      </c>
      <c r="R46" s="411" t="n">
        <v>37.0146470764432</v>
      </c>
      <c r="S46" s="411" t="n">
        <v>35.6257333491954</v>
      </c>
      <c r="T46" s="411" t="n">
        <v>26.8157386494157</v>
      </c>
      <c r="U46" s="411" t="n">
        <v>25.7289337763558</v>
      </c>
      <c r="V46" s="411" t="n">
        <v>24.0026087016041</v>
      </c>
      <c r="W46" s="411" t="n">
        <v>22.7763214470616</v>
      </c>
      <c r="X46" s="411" t="n">
        <v>22.2265652651438</v>
      </c>
      <c r="Y46" s="411" t="n">
        <v>21.8196440302367</v>
      </c>
      <c r="Z46" s="411" t="n">
        <v>21.4661304332792</v>
      </c>
      <c r="AA46" s="411" t="n">
        <v>20.8566240014891</v>
      </c>
      <c r="AB46" s="401" t="n">
        <f aca="false">AB45*(1+Assumptions!$L$13/12)</f>
        <v>0.639190142616304</v>
      </c>
      <c r="AC46" s="401" t="n">
        <f aca="false">AC45</f>
        <v>0</v>
      </c>
      <c r="AD46" s="405" t="n">
        <f aca="false">AD45</f>
        <v>218.802581025907</v>
      </c>
      <c r="AE46" s="405" t="n">
        <f aca="false">AE45</f>
        <v>0</v>
      </c>
      <c r="AF46" s="392" t="n">
        <v>0</v>
      </c>
      <c r="AG46" s="406" t="n">
        <f aca="false">AG45</f>
        <v>0</v>
      </c>
      <c r="AH46" s="401" t="n">
        <f aca="false">Assumptions!$E$14*Assumptions!H23</f>
        <v>4.32299428121189</v>
      </c>
      <c r="AI46" s="401" t="n">
        <f aca="false">Assumptions!$F$14*Assumptions!I23</f>
        <v>3.90546043583535</v>
      </c>
      <c r="AJ46" s="401" t="n">
        <f aca="false">AJ45</f>
        <v>0</v>
      </c>
      <c r="AK46" s="401" t="n">
        <f aca="false">AK45</f>
        <v>0</v>
      </c>
    </row>
    <row r="47" customFormat="false" ht="12.75" hidden="false" customHeight="false" outlineLevel="0" collapsed="false">
      <c r="A47" s="400" t="n">
        <f aca="false">A46+30.417</f>
        <v>37635.012</v>
      </c>
      <c r="B47" s="401" t="n">
        <f aca="false">IF($B$9="Coal",AG47,IF($B$9="Gas",AH47,IF($B$9="Oil",AI47,0)))</f>
        <v>3.98965553633527</v>
      </c>
      <c r="C47" s="402" t="n">
        <f aca="false">(B47*$B$1*1000)/1000000</f>
        <v>45.1020372028141</v>
      </c>
      <c r="D47" s="401" t="n">
        <f aca="false">AB47+AC47</f>
        <v>0.640255459520664</v>
      </c>
      <c r="E47" s="401" t="n">
        <f aca="false">(($AJ47*$B$1*AD47*1000)/2000)/1000000</f>
        <v>0</v>
      </c>
      <c r="F47" s="401" t="n">
        <f aca="false">AF47*(($AK47*$B$1*AE47*1000)/2000)/1000000</f>
        <v>0</v>
      </c>
      <c r="G47" s="403" t="n">
        <f aca="false">IF('Peak Revenue'!$A$1="BL","-",SUM(C47:F47))</f>
        <v>45.7422926623348</v>
      </c>
      <c r="H47" s="411" t="n">
        <v>74.0282318426408</v>
      </c>
      <c r="I47" s="411" t="n">
        <v>71.633993864981</v>
      </c>
      <c r="J47" s="411" t="n">
        <v>66.8839733229678</v>
      </c>
      <c r="K47" s="411" t="n">
        <v>60.3215970980396</v>
      </c>
      <c r="L47" s="411" t="n">
        <v>55.0626126790492</v>
      </c>
      <c r="M47" s="411" t="n">
        <v>52.4801105420314</v>
      </c>
      <c r="N47" s="411" t="n">
        <v>49.3289714552085</v>
      </c>
      <c r="O47" s="411" t="n">
        <v>48.8977657394326</v>
      </c>
      <c r="P47" s="411" t="n">
        <v>47.5131465399331</v>
      </c>
      <c r="Q47" s="411" t="n">
        <v>37.3619300083291</v>
      </c>
      <c r="R47" s="411" t="n">
        <v>35.5736410450379</v>
      </c>
      <c r="S47" s="411" t="n">
        <v>34.9317625632406</v>
      </c>
      <c r="T47" s="411" t="n">
        <v>27.888519862783</v>
      </c>
      <c r="U47" s="411" t="n">
        <v>25.6021553624771</v>
      </c>
      <c r="V47" s="411" t="n">
        <v>25.421649063099</v>
      </c>
      <c r="W47" s="411" t="n">
        <v>25.0187274725012</v>
      </c>
      <c r="X47" s="411" t="n">
        <v>23.99576382982</v>
      </c>
      <c r="Y47" s="411" t="n">
        <v>23.190517805433</v>
      </c>
      <c r="Z47" s="411" t="n">
        <v>22.1234271492416</v>
      </c>
      <c r="AA47" s="411" t="n">
        <v>21.0314655505284</v>
      </c>
      <c r="AB47" s="401" t="n">
        <f aca="false">AB46*(1+Assumptions!$L$13/12)</f>
        <v>0.640255459520664</v>
      </c>
      <c r="AC47" s="401" t="n">
        <f aca="false">VLOOKUP($C$1,EnvVOM,6)</f>
        <v>0</v>
      </c>
      <c r="AD47" s="405" t="n">
        <f aca="false">Assumptions!B15</f>
        <v>240.408053917863</v>
      </c>
      <c r="AE47" s="405" t="n">
        <f aca="false">Assumptions!C15</f>
        <v>4274.50397546497</v>
      </c>
      <c r="AF47" s="392" t="n">
        <f aca="false">IF(Assumptions!D$15=1,0,1)</f>
        <v>0</v>
      </c>
      <c r="AG47" s="406" t="n">
        <f aca="false">VLOOKUP($C$1,Coal,6)</f>
        <v>0</v>
      </c>
      <c r="AH47" s="401" t="n">
        <f aca="false">Assumptions!$E$15*Assumptions!H12</f>
        <v>3.98965553633527</v>
      </c>
      <c r="AI47" s="401" t="n">
        <f aca="false">Assumptions!$F$15*Assumptions!I12</f>
        <v>3.80839609756098</v>
      </c>
      <c r="AJ47" s="401" t="n">
        <f aca="false">VLOOKUP($C$1,SO2Rate,6)</f>
        <v>0</v>
      </c>
      <c r="AK47" s="401" t="n">
        <f aca="false">VLOOKUP($C$1,NOxRate,6)</f>
        <v>0</v>
      </c>
      <c r="AL47" s="1"/>
    </row>
    <row r="48" customFormat="false" ht="12.75" hidden="false" customHeight="false" outlineLevel="0" collapsed="false">
      <c r="A48" s="400" t="n">
        <f aca="false">A47+30.417</f>
        <v>37665.429</v>
      </c>
      <c r="B48" s="401" t="n">
        <f aca="false">IF($B$9="Coal",AG48,IF($B$9="Gas",AH48,IF($B$9="Oil",AI48,0)))</f>
        <v>3.57583488230049</v>
      </c>
      <c r="C48" s="402" t="n">
        <f aca="false">(B48*$B$1*1000)/1000000</f>
        <v>40.4239003652882</v>
      </c>
      <c r="D48" s="401" t="n">
        <f aca="false">AB48+AC48</f>
        <v>0.641322551953199</v>
      </c>
      <c r="E48" s="401" t="n">
        <f aca="false">(($AJ48*$B$1*AD48*1000)/2000)/1000000</f>
        <v>0</v>
      </c>
      <c r="F48" s="401" t="n">
        <f aca="false">AF48*(($AK48*$B$1*AE48*1000)/2000)/1000000</f>
        <v>0</v>
      </c>
      <c r="G48" s="403" t="n">
        <f aca="false">IF('Peak Revenue'!$A$1="BL","-",SUM(C48:F48))</f>
        <v>41.0652229172414</v>
      </c>
      <c r="H48" s="411" t="n">
        <v>117.505029831623</v>
      </c>
      <c r="I48" s="411" t="n">
        <v>73.0565603331321</v>
      </c>
      <c r="J48" s="411" t="n">
        <v>64.7076557123664</v>
      </c>
      <c r="K48" s="411" t="n">
        <v>59.5879519199595</v>
      </c>
      <c r="L48" s="411" t="n">
        <v>57.0495266579341</v>
      </c>
      <c r="M48" s="411" t="n">
        <v>53.9746720359764</v>
      </c>
      <c r="N48" s="411" t="n">
        <v>51.1432376751139</v>
      </c>
      <c r="O48" s="411" t="n">
        <v>50.9025693558944</v>
      </c>
      <c r="P48" s="411" t="n">
        <v>46.2568065566041</v>
      </c>
      <c r="Q48" s="411" t="n">
        <v>36.7172279878261</v>
      </c>
      <c r="R48" s="411" t="n">
        <v>31.8259573386895</v>
      </c>
      <c r="S48" s="411" t="n">
        <v>29.5798544896798</v>
      </c>
      <c r="T48" s="411" t="n">
        <v>27.3102038189112</v>
      </c>
      <c r="U48" s="411" t="n">
        <v>25.319175204034</v>
      </c>
      <c r="V48" s="411" t="n">
        <v>24.4567291623468</v>
      </c>
      <c r="W48" s="411" t="n">
        <v>23.2120754979939</v>
      </c>
      <c r="X48" s="411" t="n">
        <v>22.735601559568</v>
      </c>
      <c r="Y48" s="411" t="n">
        <v>22.3270779112427</v>
      </c>
      <c r="Z48" s="411" t="n">
        <v>21.9260885902527</v>
      </c>
      <c r="AA48" s="411" t="n">
        <v>21.4390215406757</v>
      </c>
      <c r="AB48" s="401" t="n">
        <f aca="false">AB47*(1+Assumptions!$L$13/12)</f>
        <v>0.641322551953199</v>
      </c>
      <c r="AC48" s="401" t="n">
        <f aca="false">AC47</f>
        <v>0</v>
      </c>
      <c r="AD48" s="405" t="n">
        <f aca="false">AD47</f>
        <v>240.408053917863</v>
      </c>
      <c r="AE48" s="405" t="n">
        <f aca="false">AE47</f>
        <v>4274.50397546497</v>
      </c>
      <c r="AF48" s="392" t="n">
        <f aca="false">IF(Assumptions!D$15=1,0,1)</f>
        <v>0</v>
      </c>
      <c r="AG48" s="406" t="n">
        <f aca="false">AG47</f>
        <v>0</v>
      </c>
      <c r="AH48" s="401" t="n">
        <f aca="false">Assumptions!$E$15*Assumptions!H13</f>
        <v>3.57583488230049</v>
      </c>
      <c r="AI48" s="401" t="n">
        <f aca="false">Assumptions!$F$15*Assumptions!I13</f>
        <v>3.77313317073171</v>
      </c>
      <c r="AJ48" s="401" t="n">
        <f aca="false">AJ47</f>
        <v>0</v>
      </c>
      <c r="AK48" s="401" t="n">
        <f aca="false">AK47</f>
        <v>0</v>
      </c>
      <c r="AL48" s="1"/>
    </row>
    <row r="49" customFormat="false" ht="12.75" hidden="false" customHeight="false" outlineLevel="0" collapsed="false">
      <c r="A49" s="400" t="n">
        <f aca="false">A48+30.417</f>
        <v>37695.846</v>
      </c>
      <c r="B49" s="401" t="n">
        <f aca="false">IF($B$9="Coal",AG49,IF($B$9="Gas",AH49,IF($B$9="Oil",AI49,0)))</f>
        <v>3.5157070949621</v>
      </c>
      <c r="C49" s="402" t="n">
        <f aca="false">(B49*$B$1*1000)/1000000</f>
        <v>39.7441710812032</v>
      </c>
      <c r="D49" s="401" t="n">
        <f aca="false">AB49+AC49</f>
        <v>0.642391422873121</v>
      </c>
      <c r="E49" s="401" t="n">
        <f aca="false">(($AJ49*$B$1*AD49*1000)/2000)/1000000</f>
        <v>0</v>
      </c>
      <c r="F49" s="401" t="n">
        <f aca="false">AF49*(($AK49*$B$1*AE49*1000)/2000)/1000000</f>
        <v>0</v>
      </c>
      <c r="G49" s="403" t="n">
        <f aca="false">IF('Peak Revenue'!$A$1="BL","-",SUM(C49:F49))</f>
        <v>40.3865625040763</v>
      </c>
      <c r="H49" s="411" t="n">
        <v>79.2008631067303</v>
      </c>
      <c r="I49" s="411" t="n">
        <v>70.2137355611387</v>
      </c>
      <c r="J49" s="411" t="n">
        <v>62.3471276307508</v>
      </c>
      <c r="K49" s="411" t="n">
        <v>59.974670810237</v>
      </c>
      <c r="L49" s="411" t="n">
        <v>57.2875500272619</v>
      </c>
      <c r="M49" s="411" t="n">
        <v>53.7108445457223</v>
      </c>
      <c r="N49" s="411" t="n">
        <v>53.1033384459064</v>
      </c>
      <c r="O49" s="411" t="n">
        <v>51.9983722885178</v>
      </c>
      <c r="P49" s="411" t="n">
        <v>45.2524049318588</v>
      </c>
      <c r="Q49" s="411" t="n">
        <v>37.6025075220291</v>
      </c>
      <c r="R49" s="411" t="n">
        <v>34.2195669524462</v>
      </c>
      <c r="S49" s="411" t="n">
        <v>30.6551138378167</v>
      </c>
      <c r="T49" s="411" t="n">
        <v>30.4801094834275</v>
      </c>
      <c r="U49" s="411" t="n">
        <v>27.377428571777</v>
      </c>
      <c r="V49" s="411" t="n">
        <v>26.3735788064296</v>
      </c>
      <c r="W49" s="411" t="n">
        <v>25.4556814148337</v>
      </c>
      <c r="X49" s="411" t="n">
        <v>24.1697479352537</v>
      </c>
      <c r="Y49" s="411" t="n">
        <v>23.7079907010417</v>
      </c>
      <c r="Z49" s="411" t="n">
        <v>23.1631118572708</v>
      </c>
      <c r="AA49" s="411" t="n">
        <v>22.5250687396643</v>
      </c>
      <c r="AB49" s="401" t="n">
        <f aca="false">AB48*(1+Assumptions!$L$13/12)</f>
        <v>0.642391422873121</v>
      </c>
      <c r="AC49" s="401" t="n">
        <f aca="false">AC48</f>
        <v>0</v>
      </c>
      <c r="AD49" s="405" t="n">
        <f aca="false">AD48</f>
        <v>240.408053917863</v>
      </c>
      <c r="AE49" s="405" t="n">
        <f aca="false">AE48</f>
        <v>4274.50397546497</v>
      </c>
      <c r="AF49" s="392" t="n">
        <f aca="false">IF(Assumptions!D$15=1,0,1)</f>
        <v>0</v>
      </c>
      <c r="AG49" s="406" t="n">
        <f aca="false">AG48</f>
        <v>0</v>
      </c>
      <c r="AH49" s="401" t="n">
        <f aca="false">Assumptions!$E$15*Assumptions!H14</f>
        <v>3.5157070949621</v>
      </c>
      <c r="AI49" s="401" t="n">
        <f aca="false">Assumptions!$F$15*Assumptions!I14</f>
        <v>3.63208146341463</v>
      </c>
      <c r="AJ49" s="401" t="n">
        <f aca="false">AJ48</f>
        <v>0</v>
      </c>
      <c r="AK49" s="401" t="n">
        <f aca="false">AK48</f>
        <v>0</v>
      </c>
      <c r="AL49" s="1"/>
    </row>
    <row r="50" customFormat="false" ht="12.75" hidden="false" customHeight="false" outlineLevel="0" collapsed="false">
      <c r="A50" s="400" t="n">
        <f aca="false">A49+30.417</f>
        <v>37726.263</v>
      </c>
      <c r="B50" s="401" t="n">
        <f aca="false">IF($B$9="Coal",AG50,IF($B$9="Gas",AH50,IF($B$9="Oil",AI50,0)))</f>
        <v>3.34239759028087</v>
      </c>
      <c r="C50" s="402" t="n">
        <f aca="false">(B50*$B$1*1000)/1000000</f>
        <v>37.7849513800171</v>
      </c>
      <c r="D50" s="401" t="n">
        <f aca="false">AB50+AC50</f>
        <v>0.643462075244576</v>
      </c>
      <c r="E50" s="401" t="n">
        <f aca="false">(($AJ50*$B$1*AD50*1000)/2000)/1000000</f>
        <v>0</v>
      </c>
      <c r="F50" s="401" t="n">
        <f aca="false">AF50*(($AK50*$B$1*AE50*1000)/2000)/1000000</f>
        <v>0</v>
      </c>
      <c r="G50" s="403" t="n">
        <f aca="false">IF('Peak Revenue'!$A$1="BL","-",SUM(C50:F50))</f>
        <v>38.4284134552617</v>
      </c>
      <c r="H50" s="411" t="n">
        <v>63.6775848109194</v>
      </c>
      <c r="I50" s="411" t="n">
        <v>63.6775848109194</v>
      </c>
      <c r="J50" s="411" t="n">
        <v>63.2279611107449</v>
      </c>
      <c r="K50" s="411" t="n">
        <v>59.6348107299518</v>
      </c>
      <c r="L50" s="411" t="n">
        <v>49.7369846228677</v>
      </c>
      <c r="M50" s="411" t="n">
        <v>42.4085316921288</v>
      </c>
      <c r="N50" s="411" t="n">
        <v>37.7336389681585</v>
      </c>
      <c r="O50" s="411" t="n">
        <v>34.7137769861328</v>
      </c>
      <c r="P50" s="411" t="n">
        <v>32.3952048636245</v>
      </c>
      <c r="Q50" s="411" t="n">
        <v>32.3952048636245</v>
      </c>
      <c r="R50" s="411" t="n">
        <v>32.3952048636245</v>
      </c>
      <c r="S50" s="411" t="n">
        <v>30.0323299906833</v>
      </c>
      <c r="T50" s="411" t="n">
        <v>26.4789469769396</v>
      </c>
      <c r="U50" s="411" t="n">
        <v>25.8011550275758</v>
      </c>
      <c r="V50" s="411" t="n">
        <v>24.5996348909272</v>
      </c>
      <c r="W50" s="411" t="n">
        <v>23.7948879999605</v>
      </c>
      <c r="X50" s="411" t="n">
        <v>23.4371620869707</v>
      </c>
      <c r="Y50" s="411" t="n">
        <v>23.0787562907291</v>
      </c>
      <c r="Z50" s="411" t="n">
        <v>22.8225966989693</v>
      </c>
      <c r="AA50" s="411" t="n">
        <v>22.3253500752654</v>
      </c>
      <c r="AB50" s="401" t="n">
        <f aca="false">AB49*(1+Assumptions!$L$13/12)</f>
        <v>0.643462075244576</v>
      </c>
      <c r="AC50" s="401" t="n">
        <f aca="false">AC49</f>
        <v>0</v>
      </c>
      <c r="AD50" s="405" t="n">
        <f aca="false">AD49</f>
        <v>240.408053917863</v>
      </c>
      <c r="AE50" s="405" t="n">
        <f aca="false">AE49</f>
        <v>4274.50397546497</v>
      </c>
      <c r="AF50" s="392" t="n">
        <f aca="false">IF(Assumptions!D$15=1,0,1)</f>
        <v>0</v>
      </c>
      <c r="AG50" s="406" t="n">
        <f aca="false">AG49</f>
        <v>0</v>
      </c>
      <c r="AH50" s="401" t="n">
        <f aca="false">Assumptions!$E$15*Assumptions!H15</f>
        <v>3.34239759028087</v>
      </c>
      <c r="AI50" s="401" t="n">
        <f aca="false">Assumptions!$F$15*Assumptions!I15</f>
        <v>3.49102975609756</v>
      </c>
      <c r="AJ50" s="401" t="n">
        <f aca="false">AJ49</f>
        <v>0</v>
      </c>
      <c r="AK50" s="401" t="n">
        <f aca="false">AK49</f>
        <v>0</v>
      </c>
      <c r="AL50" s="1"/>
    </row>
    <row r="51" customFormat="false" ht="12.75" hidden="false" customHeight="false" outlineLevel="0" collapsed="false">
      <c r="A51" s="400" t="n">
        <f aca="false">A50+30.417</f>
        <v>37756.68</v>
      </c>
      <c r="B51" s="401" t="n">
        <f aca="false">IF($B$9="Coal",AG51,IF($B$9="Gas",AH51,IF($B$9="Oil",AI51,0)))</f>
        <v>3.51924402362907</v>
      </c>
      <c r="C51" s="402" t="n">
        <f aca="false">(B51*$B$1*1000)/1000000</f>
        <v>39.7841551567376</v>
      </c>
      <c r="D51" s="401" t="n">
        <f aca="false">AB51+AC51</f>
        <v>0.64453451203665</v>
      </c>
      <c r="E51" s="401" t="n">
        <f aca="false">(($AJ51*$B$1*AD51*1000)/2000)/1000000</f>
        <v>0</v>
      </c>
      <c r="F51" s="401" t="n">
        <f aca="false">AF51*(($AK51*$B$1*AE51*1000)/2000)/1000000</f>
        <v>0</v>
      </c>
      <c r="G51" s="403" t="n">
        <f aca="false">IF('Peak Revenue'!$A$1="BL","-",SUM(C51:F51))</f>
        <v>40.4286896687743</v>
      </c>
      <c r="H51" s="411" t="n">
        <v>78.4322961885071</v>
      </c>
      <c r="I51" s="411" t="n">
        <v>72.1786187294352</v>
      </c>
      <c r="J51" s="411" t="n">
        <v>68.7199513967088</v>
      </c>
      <c r="K51" s="411" t="n">
        <v>64.1945054965649</v>
      </c>
      <c r="L51" s="411" t="n">
        <v>60.1383953400184</v>
      </c>
      <c r="M51" s="411" t="n">
        <v>58.2279730523128</v>
      </c>
      <c r="N51" s="411" t="n">
        <v>56.7038025787821</v>
      </c>
      <c r="O51" s="411" t="n">
        <v>43.4821408087958</v>
      </c>
      <c r="P51" s="411" t="n">
        <v>38.7947905612625</v>
      </c>
      <c r="Q51" s="411" t="n">
        <v>33.5378440814198</v>
      </c>
      <c r="R51" s="411" t="n">
        <v>33.3323771509335</v>
      </c>
      <c r="S51" s="411" t="n">
        <v>32.0627472456595</v>
      </c>
      <c r="T51" s="411" t="n">
        <v>30.0623675506733</v>
      </c>
      <c r="U51" s="411" t="n">
        <v>28.7806482333857</v>
      </c>
      <c r="V51" s="411" t="n">
        <v>28.4848450633474</v>
      </c>
      <c r="W51" s="411" t="n">
        <v>27.8671354924915</v>
      </c>
      <c r="X51" s="411" t="n">
        <v>27.1915634413249</v>
      </c>
      <c r="Y51" s="411" t="n">
        <v>26.7482982902991</v>
      </c>
      <c r="Z51" s="411" t="n">
        <v>26.3154332296573</v>
      </c>
      <c r="AA51" s="411" t="n">
        <v>25.6186115542719</v>
      </c>
      <c r="AB51" s="401" t="n">
        <f aca="false">AB50*(1+Assumptions!$L$13/12)</f>
        <v>0.64453451203665</v>
      </c>
      <c r="AC51" s="401" t="n">
        <f aca="false">AC50</f>
        <v>0</v>
      </c>
      <c r="AD51" s="405" t="n">
        <f aca="false">AD50</f>
        <v>240.408053917863</v>
      </c>
      <c r="AE51" s="405" t="n">
        <f aca="false">AE50</f>
        <v>4274.50397546497</v>
      </c>
      <c r="AF51" s="392" t="n">
        <v>1</v>
      </c>
      <c r="AG51" s="406" t="n">
        <f aca="false">AG50</f>
        <v>0</v>
      </c>
      <c r="AH51" s="401" t="n">
        <f aca="false">Assumptions!$E$15*Assumptions!H16</f>
        <v>3.51924402362907</v>
      </c>
      <c r="AI51" s="401" t="n">
        <f aca="false">Assumptions!$F$15*Assumptions!I16</f>
        <v>3.34997804878049</v>
      </c>
      <c r="AJ51" s="401" t="n">
        <f aca="false">AJ50</f>
        <v>0</v>
      </c>
      <c r="AK51" s="401" t="n">
        <f aca="false">AK50</f>
        <v>0</v>
      </c>
      <c r="AL51" s="1"/>
    </row>
    <row r="52" customFormat="false" ht="12.75" hidden="false" customHeight="false" outlineLevel="0" collapsed="false">
      <c r="A52" s="400" t="n">
        <f aca="false">A51+30.417</f>
        <v>37787.097</v>
      </c>
      <c r="B52" s="401" t="n">
        <f aca="false">IF($B$9="Coal",AG52,IF($B$9="Gas",AH52,IF($B$9="Oil",AI52,0)))</f>
        <v>3.35300837628177</v>
      </c>
      <c r="C52" s="402" t="n">
        <f aca="false">(B52*$B$1*1000)/1000000</f>
        <v>37.9049036066204</v>
      </c>
      <c r="D52" s="401" t="n">
        <f aca="false">AB52+AC52</f>
        <v>0.645608736223378</v>
      </c>
      <c r="E52" s="401" t="n">
        <f aca="false">(($AJ52*$B$1*AD52*1000)/2000)/1000000</f>
        <v>0</v>
      </c>
      <c r="F52" s="401" t="n">
        <f aca="false">AF52*(($AK52*$B$1*AE52*1000)/2000)/1000000</f>
        <v>0</v>
      </c>
      <c r="G52" s="403" t="n">
        <f aca="false">IF('Peak Revenue'!$A$1="BL","-",SUM(C52:F52))</f>
        <v>38.5505123428437</v>
      </c>
      <c r="H52" s="411" t="n">
        <v>279.59627063945</v>
      </c>
      <c r="I52" s="411" t="n">
        <v>193.650801846542</v>
      </c>
      <c r="J52" s="411" t="n">
        <v>107.374530316604</v>
      </c>
      <c r="K52" s="411" t="n">
        <v>76.6824793139985</v>
      </c>
      <c r="L52" s="411" t="n">
        <v>65.0249068026209</v>
      </c>
      <c r="M52" s="411" t="n">
        <v>59.0538721676548</v>
      </c>
      <c r="N52" s="411" t="n">
        <v>54.0825171479566</v>
      </c>
      <c r="O52" s="411" t="n">
        <v>51.5318312895667</v>
      </c>
      <c r="P52" s="411" t="n">
        <v>40.1080411493594</v>
      </c>
      <c r="Q52" s="411" t="n">
        <v>39.0169878959214</v>
      </c>
      <c r="R52" s="411" t="n">
        <v>36.6848635575433</v>
      </c>
      <c r="S52" s="411" t="n">
        <v>31.6769100246655</v>
      </c>
      <c r="T52" s="411" t="n">
        <v>29.8915938670776</v>
      </c>
      <c r="U52" s="411" t="n">
        <v>29.1503944111994</v>
      </c>
      <c r="V52" s="411" t="n">
        <v>28.4722783375979</v>
      </c>
      <c r="W52" s="411" t="n">
        <v>28.0450543021383</v>
      </c>
      <c r="X52" s="411" t="n">
        <v>27.3064336397721</v>
      </c>
      <c r="Y52" s="411" t="n">
        <v>26.7188200623537</v>
      </c>
      <c r="Z52" s="411" t="n">
        <v>26.028026406249</v>
      </c>
      <c r="AA52" s="411" t="n">
        <v>24.4563403174099</v>
      </c>
      <c r="AB52" s="401" t="n">
        <f aca="false">AB51*(1+Assumptions!$L$13/12)</f>
        <v>0.645608736223378</v>
      </c>
      <c r="AC52" s="401" t="n">
        <f aca="false">AC51</f>
        <v>0</v>
      </c>
      <c r="AD52" s="405" t="n">
        <f aca="false">AD51</f>
        <v>240.408053917863</v>
      </c>
      <c r="AE52" s="405" t="n">
        <f aca="false">AE51</f>
        <v>4274.50397546497</v>
      </c>
      <c r="AF52" s="392" t="n">
        <v>1</v>
      </c>
      <c r="AG52" s="406" t="n">
        <f aca="false">AG51</f>
        <v>0</v>
      </c>
      <c r="AH52" s="401" t="n">
        <f aca="false">Assumptions!$E$15*Assumptions!H17</f>
        <v>3.35300837628177</v>
      </c>
      <c r="AI52" s="401" t="n">
        <f aca="false">Assumptions!$F$15*Assumptions!I17</f>
        <v>3.34997804878049</v>
      </c>
      <c r="AJ52" s="401" t="n">
        <f aca="false">AJ51</f>
        <v>0</v>
      </c>
      <c r="AK52" s="401" t="n">
        <f aca="false">AK51</f>
        <v>0</v>
      </c>
      <c r="AL52" s="1"/>
    </row>
    <row r="53" customFormat="false" ht="12.75" hidden="false" customHeight="false" outlineLevel="0" collapsed="false">
      <c r="A53" s="400" t="n">
        <f aca="false">A52+30.417</f>
        <v>37817.514</v>
      </c>
      <c r="B53" s="401" t="n">
        <f aca="false">IF($B$9="Coal",AG53,IF($B$9="Gas",AH53,IF($B$9="Oil",AI53,0)))</f>
        <v>3.34239759028087</v>
      </c>
      <c r="C53" s="402" t="n">
        <f aca="false">(B53*$B$1*1000)/1000000</f>
        <v>37.7849513800171</v>
      </c>
      <c r="D53" s="401" t="n">
        <f aca="false">AB53+AC53</f>
        <v>0.64668475078375</v>
      </c>
      <c r="E53" s="401" t="n">
        <f aca="false">(($AJ53*$B$1*AD53*1000)/2000)/1000000</f>
        <v>0</v>
      </c>
      <c r="F53" s="401" t="n">
        <f aca="false">AF53*(($AK53*$B$1*AE53*1000)/2000)/1000000</f>
        <v>0</v>
      </c>
      <c r="G53" s="403" t="n">
        <f aca="false">IF('Peak Revenue'!$A$1="BL","-",SUM(C53:F53))</f>
        <v>38.4316361308009</v>
      </c>
      <c r="H53" s="411" t="n">
        <v>859.483055815033</v>
      </c>
      <c r="I53" s="411" t="n">
        <v>473.707575794506</v>
      </c>
      <c r="J53" s="411" t="n">
        <v>303.815925648622</v>
      </c>
      <c r="K53" s="411" t="n">
        <v>195.493779568914</v>
      </c>
      <c r="L53" s="411" t="n">
        <v>89.5892842518663</v>
      </c>
      <c r="M53" s="411" t="n">
        <v>72.6691092148563</v>
      </c>
      <c r="N53" s="411" t="n">
        <v>60.1053362077817</v>
      </c>
      <c r="O53" s="411" t="n">
        <v>54.9549470321731</v>
      </c>
      <c r="P53" s="411" t="n">
        <v>52.4537114592692</v>
      </c>
      <c r="Q53" s="411" t="n">
        <v>49.7071232491224</v>
      </c>
      <c r="R53" s="411" t="n">
        <v>40.8713022954519</v>
      </c>
      <c r="S53" s="411" t="n">
        <v>39.4944092356473</v>
      </c>
      <c r="T53" s="411" t="n">
        <v>37.1840111165415</v>
      </c>
      <c r="U53" s="411" t="n">
        <v>35.2060048245711</v>
      </c>
      <c r="V53" s="411" t="n">
        <v>33.2456760006669</v>
      </c>
      <c r="W53" s="411" t="n">
        <v>31.7043214932958</v>
      </c>
      <c r="X53" s="411" t="n">
        <v>30.9228160191766</v>
      </c>
      <c r="Y53" s="411" t="n">
        <v>30.4180364378759</v>
      </c>
      <c r="Z53" s="411" t="n">
        <v>29.7240093689972</v>
      </c>
      <c r="AA53" s="411" t="n">
        <v>27.3958955797347</v>
      </c>
      <c r="AB53" s="401" t="n">
        <f aca="false">AB52*(1+Assumptions!$L$13/12)</f>
        <v>0.64668475078375</v>
      </c>
      <c r="AC53" s="401" t="n">
        <f aca="false">AC52</f>
        <v>0</v>
      </c>
      <c r="AD53" s="405" t="n">
        <f aca="false">AD52</f>
        <v>240.408053917863</v>
      </c>
      <c r="AE53" s="405" t="n">
        <f aca="false">AE52</f>
        <v>4274.50397546497</v>
      </c>
      <c r="AF53" s="392" t="n">
        <v>1</v>
      </c>
      <c r="AG53" s="406" t="n">
        <f aca="false">AG52</f>
        <v>0</v>
      </c>
      <c r="AH53" s="401" t="n">
        <f aca="false">Assumptions!$E$15*Assumptions!H18</f>
        <v>3.34239759028087</v>
      </c>
      <c r="AI53" s="401" t="n">
        <f aca="false">Assumptions!$F$15*Assumptions!I18</f>
        <v>3.34997804878049</v>
      </c>
      <c r="AJ53" s="401" t="n">
        <f aca="false">AJ52</f>
        <v>0</v>
      </c>
      <c r="AK53" s="401" t="n">
        <f aca="false">AK52</f>
        <v>0</v>
      </c>
      <c r="AL53" s="1"/>
    </row>
    <row r="54" customFormat="false" ht="12.75" hidden="false" customHeight="false" outlineLevel="0" collapsed="false">
      <c r="A54" s="400" t="n">
        <f aca="false">A53+30.417</f>
        <v>37847.931</v>
      </c>
      <c r="B54" s="401" t="n">
        <f aca="false">IF($B$9="Coal",AG54,IF($B$9="Gas",AH54,IF($B$9="Oil",AI54,0)))</f>
        <v>3.16908808559964</v>
      </c>
      <c r="C54" s="402" t="n">
        <f aca="false">(B54*$B$1*1000)/1000000</f>
        <v>35.8257316788311</v>
      </c>
      <c r="D54" s="401" t="n">
        <f aca="false">AB54+AC54</f>
        <v>0.647762558701723</v>
      </c>
      <c r="E54" s="401" t="n">
        <f aca="false">(($AJ54*$B$1*AD54*1000)/2000)/1000000</f>
        <v>0</v>
      </c>
      <c r="F54" s="401" t="n">
        <f aca="false">AF54*(($AK54*$B$1*AE54*1000)/2000)/1000000</f>
        <v>0</v>
      </c>
      <c r="G54" s="403" t="n">
        <f aca="false">IF('Peak Revenue'!$A$1="BL","-",SUM(C54:F54))</f>
        <v>36.4734942375328</v>
      </c>
      <c r="H54" s="411" t="n">
        <v>1783.45841204624</v>
      </c>
      <c r="I54" s="411" t="n">
        <v>821.600196973626</v>
      </c>
      <c r="J54" s="411" t="n">
        <v>477.675862085417</v>
      </c>
      <c r="K54" s="411" t="n">
        <v>247.968544785246</v>
      </c>
      <c r="L54" s="411" t="n">
        <v>150.136415582224</v>
      </c>
      <c r="M54" s="411" t="n">
        <v>91.0648055530633</v>
      </c>
      <c r="N54" s="411" t="n">
        <v>78.3485913943815</v>
      </c>
      <c r="O54" s="411" t="n">
        <v>72.7951757376807</v>
      </c>
      <c r="P54" s="411" t="n">
        <v>64.3699434833345</v>
      </c>
      <c r="Q54" s="411" t="n">
        <v>47.9587086354098</v>
      </c>
      <c r="R54" s="411" t="n">
        <v>41.118750635394</v>
      </c>
      <c r="S54" s="411" t="n">
        <v>37.7354277659409</v>
      </c>
      <c r="T54" s="411" t="n">
        <v>34.0331290406463</v>
      </c>
      <c r="U54" s="411" t="n">
        <v>32.6644907588085</v>
      </c>
      <c r="V54" s="411" t="n">
        <v>32.0714136217103</v>
      </c>
      <c r="W54" s="411" t="n">
        <v>31.5070167508922</v>
      </c>
      <c r="X54" s="411" t="n">
        <v>30.6172903493683</v>
      </c>
      <c r="Y54" s="411" t="n">
        <v>29.7567187237078</v>
      </c>
      <c r="Z54" s="411" t="n">
        <v>28.7457395427825</v>
      </c>
      <c r="AA54" s="411" t="n">
        <v>27.0994596330453</v>
      </c>
      <c r="AB54" s="401" t="n">
        <f aca="false">AB53*(1+Assumptions!$L$13/12)</f>
        <v>0.647762558701723</v>
      </c>
      <c r="AC54" s="401" t="n">
        <f aca="false">AC53</f>
        <v>0</v>
      </c>
      <c r="AD54" s="405" t="n">
        <f aca="false">AD53</f>
        <v>240.408053917863</v>
      </c>
      <c r="AE54" s="405" t="n">
        <f aca="false">AE53</f>
        <v>4274.50397546497</v>
      </c>
      <c r="AF54" s="392" t="n">
        <v>1</v>
      </c>
      <c r="AG54" s="406" t="n">
        <f aca="false">AG53</f>
        <v>0</v>
      </c>
      <c r="AH54" s="401" t="n">
        <f aca="false">Assumptions!$E$15*Assumptions!H19</f>
        <v>3.16908808559964</v>
      </c>
      <c r="AI54" s="401" t="n">
        <f aca="false">Assumptions!$F$15*Assumptions!I19</f>
        <v>3.34997804878049</v>
      </c>
      <c r="AJ54" s="401" t="n">
        <f aca="false">AJ53</f>
        <v>0</v>
      </c>
      <c r="AK54" s="401" t="n">
        <f aca="false">AK53</f>
        <v>0</v>
      </c>
      <c r="AL54" s="1"/>
    </row>
    <row r="55" customFormat="false" ht="12.75" hidden="false" customHeight="false" outlineLevel="0" collapsed="false">
      <c r="A55" s="400" t="n">
        <f aca="false">A54+30.417</f>
        <v>37878.348</v>
      </c>
      <c r="B55" s="401" t="n">
        <f aca="false">IF($B$9="Coal",AG55,IF($B$9="Gas",AH55,IF($B$9="Oil",AI55,0)))</f>
        <v>3.15847729959875</v>
      </c>
      <c r="C55" s="402" t="n">
        <f aca="false">(B55*$B$1*1000)/1000000</f>
        <v>35.7057794522278</v>
      </c>
      <c r="D55" s="401" t="n">
        <f aca="false">AB55+AC55</f>
        <v>0.648842162966226</v>
      </c>
      <c r="E55" s="401" t="n">
        <f aca="false">(($AJ55*$B$1*AD55*1000)/2000)/1000000</f>
        <v>0</v>
      </c>
      <c r="F55" s="401" t="n">
        <f aca="false">AF55*(($AK55*$B$1*AE55*1000)/2000)/1000000</f>
        <v>0</v>
      </c>
      <c r="G55" s="403" t="n">
        <f aca="false">IF('Peak Revenue'!$A$1="BL","-",SUM(C55:F55))</f>
        <v>36.3546216151941</v>
      </c>
      <c r="H55" s="411" t="n">
        <v>189.49241030635</v>
      </c>
      <c r="I55" s="411" t="n">
        <v>116.492556021448</v>
      </c>
      <c r="J55" s="411" t="n">
        <v>99.2801728237371</v>
      </c>
      <c r="K55" s="411" t="n">
        <v>67.6220729007531</v>
      </c>
      <c r="L55" s="411" t="n">
        <v>54.1772335389036</v>
      </c>
      <c r="M55" s="411" t="n">
        <v>52.7637771479791</v>
      </c>
      <c r="N55" s="411" t="n">
        <v>49.1924056898616</v>
      </c>
      <c r="O55" s="411" t="n">
        <v>45.4046031149511</v>
      </c>
      <c r="P55" s="411" t="n">
        <v>45.0225350373164</v>
      </c>
      <c r="Q55" s="411" t="n">
        <v>41.8256687786168</v>
      </c>
      <c r="R55" s="411" t="n">
        <v>37.4551613762003</v>
      </c>
      <c r="S55" s="411" t="n">
        <v>35.1584151289541</v>
      </c>
      <c r="T55" s="411" t="n">
        <v>34.2614900063157</v>
      </c>
      <c r="U55" s="411" t="n">
        <v>33.1611860434737</v>
      </c>
      <c r="V55" s="411" t="n">
        <v>32.7184431433945</v>
      </c>
      <c r="W55" s="411" t="n">
        <v>32.5064591003419</v>
      </c>
      <c r="X55" s="411" t="n">
        <v>32.0380692712918</v>
      </c>
      <c r="Y55" s="411" t="n">
        <v>31.2952267325352</v>
      </c>
      <c r="Z55" s="411" t="n">
        <v>30.7587007806097</v>
      </c>
      <c r="AA55" s="411" t="n">
        <v>28.926725315633</v>
      </c>
      <c r="AB55" s="401" t="n">
        <f aca="false">AB54*(1+Assumptions!$L$13/12)</f>
        <v>0.648842162966226</v>
      </c>
      <c r="AC55" s="401" t="n">
        <f aca="false">AC54</f>
        <v>0</v>
      </c>
      <c r="AD55" s="405" t="n">
        <f aca="false">AD54</f>
        <v>240.408053917863</v>
      </c>
      <c r="AE55" s="405" t="n">
        <f aca="false">AE54</f>
        <v>4274.50397546497</v>
      </c>
      <c r="AF55" s="392" t="n">
        <v>1</v>
      </c>
      <c r="AG55" s="406" t="n">
        <f aca="false">AG54</f>
        <v>0</v>
      </c>
      <c r="AH55" s="401" t="n">
        <f aca="false">Assumptions!$E$15*Assumptions!H20</f>
        <v>3.15847729959875</v>
      </c>
      <c r="AI55" s="401" t="n">
        <f aca="false">Assumptions!$F$15*Assumptions!I20</f>
        <v>3.34997804878049</v>
      </c>
      <c r="AJ55" s="401" t="n">
        <f aca="false">AJ54</f>
        <v>0</v>
      </c>
      <c r="AK55" s="401" t="n">
        <f aca="false">AK54</f>
        <v>0</v>
      </c>
      <c r="AL55" s="1"/>
    </row>
    <row r="56" customFormat="false" ht="12.75" hidden="false" customHeight="false" outlineLevel="0" collapsed="false">
      <c r="A56" s="400" t="n">
        <f aca="false">A55+30.417</f>
        <v>37908.765</v>
      </c>
      <c r="B56" s="401" t="n">
        <f aca="false">IF($B$9="Coal",AG56,IF($B$9="Gas",AH56,IF($B$9="Oil",AI56,0)))</f>
        <v>3.49802245162729</v>
      </c>
      <c r="C56" s="402" t="n">
        <f aca="false">(B56*$B$1*1000)/1000000</f>
        <v>39.5442507035312</v>
      </c>
      <c r="D56" s="401" t="n">
        <f aca="false">AB56+AC56</f>
        <v>0.64992356657117</v>
      </c>
      <c r="E56" s="401" t="n">
        <f aca="false">(($AJ56*$B$1*AD56*1000)/2000)/1000000</f>
        <v>0</v>
      </c>
      <c r="F56" s="401" t="n">
        <f aca="false">AF56*(($AK56*$B$1*AE56*1000)/2000)/1000000</f>
        <v>0</v>
      </c>
      <c r="G56" s="403" t="n">
        <f aca="false">IF('Peak Revenue'!$A$1="BL","-",SUM(C56:F56))</f>
        <v>40.1941742701023</v>
      </c>
      <c r="H56" s="411" t="n">
        <v>65.9779339288736</v>
      </c>
      <c r="I56" s="411" t="n">
        <v>63.7414957048921</v>
      </c>
      <c r="J56" s="411" t="n">
        <v>62.5542353060047</v>
      </c>
      <c r="K56" s="411" t="n">
        <v>59.0499166882414</v>
      </c>
      <c r="L56" s="411" t="n">
        <v>57.4366814850542</v>
      </c>
      <c r="M56" s="411" t="n">
        <v>57.2855194863892</v>
      </c>
      <c r="N56" s="411" t="n">
        <v>51.640111540665</v>
      </c>
      <c r="O56" s="411" t="n">
        <v>43.6962399341609</v>
      </c>
      <c r="P56" s="411" t="n">
        <v>42.9055291873166</v>
      </c>
      <c r="Q56" s="411" t="n">
        <v>40.3724056870502</v>
      </c>
      <c r="R56" s="411" t="n">
        <v>31.2599231264939</v>
      </c>
      <c r="S56" s="411" t="n">
        <v>29.3755728583629</v>
      </c>
      <c r="T56" s="411" t="n">
        <v>28.9677773623265</v>
      </c>
      <c r="U56" s="411" t="n">
        <v>28.9387937338468</v>
      </c>
      <c r="V56" s="411" t="n">
        <v>25.8799771005373</v>
      </c>
      <c r="W56" s="411" t="n">
        <v>24.6447464893895</v>
      </c>
      <c r="X56" s="411" t="n">
        <v>23.2628671812788</v>
      </c>
      <c r="Y56" s="411" t="n">
        <v>22.3966407666341</v>
      </c>
      <c r="Z56" s="411" t="n">
        <v>21.7488565905142</v>
      </c>
      <c r="AA56" s="411" t="n">
        <v>21.0210562405544</v>
      </c>
      <c r="AB56" s="401" t="n">
        <f aca="false">AB55*(1+Assumptions!$L$13/12)</f>
        <v>0.64992356657117</v>
      </c>
      <c r="AC56" s="401" t="n">
        <f aca="false">AC55</f>
        <v>0</v>
      </c>
      <c r="AD56" s="405" t="n">
        <f aca="false">AD55</f>
        <v>240.408053917863</v>
      </c>
      <c r="AE56" s="405" t="n">
        <f aca="false">AE55</f>
        <v>4274.50397546497</v>
      </c>
      <c r="AF56" s="392" t="n">
        <f aca="false">IF(Assumptions!D$15=1,0,1)</f>
        <v>0</v>
      </c>
      <c r="AG56" s="406" t="n">
        <f aca="false">AG55</f>
        <v>0</v>
      </c>
      <c r="AH56" s="401" t="n">
        <f aca="false">Assumptions!$E$15*Assumptions!H21</f>
        <v>3.49802245162729</v>
      </c>
      <c r="AI56" s="401" t="n">
        <f aca="false">Assumptions!$F$15*Assumptions!I21</f>
        <v>3.34997804878049</v>
      </c>
      <c r="AJ56" s="401" t="n">
        <f aca="false">AJ55</f>
        <v>0</v>
      </c>
      <c r="AK56" s="401" t="n">
        <f aca="false">AK55</f>
        <v>0</v>
      </c>
      <c r="AL56" s="1"/>
    </row>
    <row r="57" customFormat="false" ht="12.75" hidden="false" customHeight="false" outlineLevel="0" collapsed="false">
      <c r="A57" s="400" t="n">
        <f aca="false">A56+30.417</f>
        <v>37939.182</v>
      </c>
      <c r="B57" s="401" t="n">
        <f aca="false">IF($B$9="Coal",AG57,IF($B$9="Gas",AH57,IF($B$9="Oil",AI57,0)))</f>
        <v>3.83049374632189</v>
      </c>
      <c r="C57" s="402" t="n">
        <f aca="false">(B57*$B$1*1000)/1000000</f>
        <v>43.3027538037657</v>
      </c>
      <c r="D57" s="401" t="n">
        <f aca="false">AB57+AC57</f>
        <v>0.651006772515455</v>
      </c>
      <c r="E57" s="401" t="n">
        <f aca="false">(($AJ57*$B$1*AD57*1000)/2000)/1000000</f>
        <v>0</v>
      </c>
      <c r="F57" s="401" t="n">
        <f aca="false">AF57*(($AK57*$B$1*AE57*1000)/2000)/1000000</f>
        <v>0</v>
      </c>
      <c r="G57" s="403" t="n">
        <f aca="false">IF('Peak Revenue'!$A$1="BL","-",SUM(C57:F57))</f>
        <v>43.9537605762811</v>
      </c>
      <c r="H57" s="411" t="n">
        <v>75.65780380123</v>
      </c>
      <c r="I57" s="411" t="n">
        <v>73.8787939457204</v>
      </c>
      <c r="J57" s="411" t="n">
        <v>71.3928116245499</v>
      </c>
      <c r="K57" s="411" t="n">
        <v>66.9007073855341</v>
      </c>
      <c r="L57" s="411" t="n">
        <v>65.1367660733183</v>
      </c>
      <c r="M57" s="411" t="n">
        <v>64.5974856088184</v>
      </c>
      <c r="N57" s="411" t="n">
        <v>57.3542866778401</v>
      </c>
      <c r="O57" s="411" t="n">
        <v>45.2527859468374</v>
      </c>
      <c r="P57" s="411" t="n">
        <v>39.2993425274832</v>
      </c>
      <c r="Q57" s="411" t="n">
        <v>37.0729419057698</v>
      </c>
      <c r="R57" s="411" t="n">
        <v>34.0622551280649</v>
      </c>
      <c r="S57" s="411" t="n">
        <v>33.3214328649869</v>
      </c>
      <c r="T57" s="411" t="n">
        <v>32.3988088354028</v>
      </c>
      <c r="U57" s="411" t="n">
        <v>26.7900413959368</v>
      </c>
      <c r="V57" s="411" t="n">
        <v>25.2961775379038</v>
      </c>
      <c r="W57" s="411" t="n">
        <v>24.4074279621158</v>
      </c>
      <c r="X57" s="411" t="n">
        <v>23.2678533793193</v>
      </c>
      <c r="Y57" s="411" t="n">
        <v>22.8346556783017</v>
      </c>
      <c r="Z57" s="411" t="n">
        <v>22.4399193315549</v>
      </c>
      <c r="AA57" s="411" t="n">
        <v>21.8113077538313</v>
      </c>
      <c r="AB57" s="401" t="n">
        <f aca="false">AB56*(1+Assumptions!$L$13/12)</f>
        <v>0.651006772515455</v>
      </c>
      <c r="AC57" s="401" t="n">
        <f aca="false">AC56</f>
        <v>0</v>
      </c>
      <c r="AD57" s="405" t="n">
        <f aca="false">AD56</f>
        <v>240.408053917863</v>
      </c>
      <c r="AE57" s="405" t="n">
        <f aca="false">AE56</f>
        <v>4274.50397546497</v>
      </c>
      <c r="AF57" s="392" t="n">
        <f aca="false">IF(Assumptions!D$15=1,0,1)</f>
        <v>0</v>
      </c>
      <c r="AG57" s="406" t="n">
        <f aca="false">AG56</f>
        <v>0</v>
      </c>
      <c r="AH57" s="401" t="n">
        <f aca="false">Assumptions!$E$15*Assumptions!H22</f>
        <v>3.83049374632189</v>
      </c>
      <c r="AI57" s="401" t="n">
        <f aca="false">Assumptions!$F$15*Assumptions!I22</f>
        <v>3.63208146341463</v>
      </c>
      <c r="AJ57" s="401" t="n">
        <f aca="false">AJ56</f>
        <v>0</v>
      </c>
      <c r="AK57" s="401" t="n">
        <f aca="false">AK56</f>
        <v>0</v>
      </c>
      <c r="AL57" s="1"/>
    </row>
    <row r="58" customFormat="false" ht="12.75" hidden="false" customHeight="false" outlineLevel="0" collapsed="false">
      <c r="A58" s="400" t="n">
        <f aca="false">A57+30.417</f>
        <v>37969.599</v>
      </c>
      <c r="B58" s="401" t="n">
        <f aca="false">IF($B$9="Coal",AG58,IF($B$9="Gas",AH58,IF($B$9="Oil",AI58,0)))</f>
        <v>4.14528039768168</v>
      </c>
      <c r="C58" s="402" t="n">
        <f aca="false">(B58*$B$1*1000)/1000000</f>
        <v>46.8613365263281</v>
      </c>
      <c r="D58" s="401" t="n">
        <f aca="false">AB58+AC58</f>
        <v>0.652091783802981</v>
      </c>
      <c r="E58" s="401" t="n">
        <f aca="false">(($AJ58*$B$1*AD58*1000)/2000)/1000000</f>
        <v>0</v>
      </c>
      <c r="F58" s="401" t="n">
        <f aca="false">AF58*(($AK58*$B$1*AE58*1000)/2000)/1000000</f>
        <v>0</v>
      </c>
      <c r="G58" s="403" t="n">
        <f aca="false">IF('Peak Revenue'!$A$1="BL","-",SUM(C58:F58))</f>
        <v>47.5134283101311</v>
      </c>
      <c r="H58" s="411" t="n">
        <v>86.5031016363551</v>
      </c>
      <c r="I58" s="411" t="n">
        <v>75.3004605740161</v>
      </c>
      <c r="J58" s="411" t="n">
        <v>73.1534846338856</v>
      </c>
      <c r="K58" s="411" t="n">
        <v>69.6214386866868</v>
      </c>
      <c r="L58" s="411" t="n">
        <v>65.2237504460607</v>
      </c>
      <c r="M58" s="411" t="n">
        <v>64.385070052265</v>
      </c>
      <c r="N58" s="411" t="n">
        <v>62.5221722096413</v>
      </c>
      <c r="O58" s="411" t="n">
        <v>51.4972498055316</v>
      </c>
      <c r="P58" s="411" t="n">
        <v>44.5642014340309</v>
      </c>
      <c r="Q58" s="411" t="n">
        <v>36.829296098969</v>
      </c>
      <c r="R58" s="411" t="n">
        <v>36.5370495260068</v>
      </c>
      <c r="S58" s="411" t="n">
        <v>32.6137747606403</v>
      </c>
      <c r="T58" s="411" t="n">
        <v>32.4700624109474</v>
      </c>
      <c r="U58" s="411" t="n">
        <v>32.4700624109474</v>
      </c>
      <c r="V58" s="411" t="n">
        <v>32.4700624109474</v>
      </c>
      <c r="W58" s="411" t="n">
        <v>32.4700624109474</v>
      </c>
      <c r="X58" s="411" t="n">
        <v>31.2043656107807</v>
      </c>
      <c r="Y58" s="411" t="n">
        <v>27.6095966387031</v>
      </c>
      <c r="Z58" s="411" t="n">
        <v>26.6791848268728</v>
      </c>
      <c r="AA58" s="411" t="n">
        <v>24.0829999032438</v>
      </c>
      <c r="AB58" s="401" t="n">
        <f aca="false">AB57*(1+Assumptions!$L$13/12)</f>
        <v>0.652091783802981</v>
      </c>
      <c r="AC58" s="401" t="n">
        <f aca="false">AC57</f>
        <v>0</v>
      </c>
      <c r="AD58" s="405" t="n">
        <f aca="false">AD57</f>
        <v>240.408053917863</v>
      </c>
      <c r="AE58" s="405" t="n">
        <f aca="false">AE57</f>
        <v>4274.50397546497</v>
      </c>
      <c r="AF58" s="392" t="n">
        <f aca="false">IF(Assumptions!D$15=1,0,1)</f>
        <v>0</v>
      </c>
      <c r="AG58" s="406" t="n">
        <f aca="false">AG57</f>
        <v>0</v>
      </c>
      <c r="AH58" s="401" t="n">
        <f aca="false">Assumptions!$E$15*Assumptions!H23</f>
        <v>4.14528039768168</v>
      </c>
      <c r="AI58" s="401" t="n">
        <f aca="false">Assumptions!$F$15*Assumptions!I23</f>
        <v>3.80839609756098</v>
      </c>
      <c r="AJ58" s="401" t="n">
        <f aca="false">AJ57</f>
        <v>0</v>
      </c>
      <c r="AK58" s="401" t="n">
        <f aca="false">AK57</f>
        <v>0</v>
      </c>
      <c r="AL58" s="1"/>
    </row>
    <row r="59" customFormat="false" ht="12.75" hidden="false" customHeight="false" outlineLevel="0" collapsed="false">
      <c r="A59" s="400" t="n">
        <f aca="false">A58+30.417</f>
        <v>38000.016</v>
      </c>
      <c r="B59" s="401" t="n">
        <f aca="false">IF($B$9="Coal",AG59,IF($B$9="Gas",AH59,IF($B$9="Oil",AI59,0)))</f>
        <v>4.01469335177133</v>
      </c>
      <c r="C59" s="402" t="n">
        <f aca="false">(B59*$B$1*1000)/1000000</f>
        <v>45.3850833136851</v>
      </c>
      <c r="D59" s="401" t="n">
        <f aca="false">AB59+AC59</f>
        <v>0.653178603442653</v>
      </c>
      <c r="E59" s="401" t="n">
        <f aca="false">(($AJ59*$B$1*AD59*1000)/2000)/1000000</f>
        <v>0</v>
      </c>
      <c r="F59" s="401" t="n">
        <f aca="false">AF59*(($AK59*$B$1*AE59*1000)/2000)/1000000</f>
        <v>0</v>
      </c>
      <c r="G59" s="403" t="n">
        <f aca="false">IF('Peak Revenue'!$A$1="BL","-",SUM(C59:F59))</f>
        <v>46.0382619171277</v>
      </c>
      <c r="H59" s="411" t="n">
        <v>77.924930636924</v>
      </c>
      <c r="I59" s="411" t="n">
        <v>74.6663662014206</v>
      </c>
      <c r="J59" s="411" t="n">
        <v>73.4658304686504</v>
      </c>
      <c r="K59" s="411" t="n">
        <v>73.3498734190395</v>
      </c>
      <c r="L59" s="411" t="n">
        <v>72.2070547378776</v>
      </c>
      <c r="M59" s="411" t="n">
        <v>66.3840157916668</v>
      </c>
      <c r="N59" s="411" t="n">
        <v>50.5522983973044</v>
      </c>
      <c r="O59" s="411" t="n">
        <v>45.5632071210733</v>
      </c>
      <c r="P59" s="411" t="n">
        <v>44.2376504710471</v>
      </c>
      <c r="Q59" s="411" t="n">
        <v>37.5409905395244</v>
      </c>
      <c r="R59" s="411" t="n">
        <v>37.0269390560608</v>
      </c>
      <c r="S59" s="411" t="n">
        <v>33.0627023158709</v>
      </c>
      <c r="T59" s="411" t="n">
        <v>26.8944521220569</v>
      </c>
      <c r="U59" s="411" t="n">
        <v>25.4981542113011</v>
      </c>
      <c r="V59" s="411" t="n">
        <v>24.9246399059358</v>
      </c>
      <c r="W59" s="411" t="n">
        <v>23.7464610637242</v>
      </c>
      <c r="X59" s="411" t="n">
        <v>23.3177157597044</v>
      </c>
      <c r="Y59" s="411" t="n">
        <v>23.0067974529647</v>
      </c>
      <c r="Z59" s="411" t="n">
        <v>22.7150196590616</v>
      </c>
      <c r="AA59" s="411" t="n">
        <v>22.1971773582188</v>
      </c>
      <c r="AB59" s="401" t="n">
        <f aca="false">AB58*(1+Assumptions!$L$13/12)</f>
        <v>0.653178603442653</v>
      </c>
      <c r="AC59" s="401" t="n">
        <f aca="false">VLOOKUP($C$1,EnvVOM,7)</f>
        <v>0</v>
      </c>
      <c r="AD59" s="405" t="n">
        <f aca="false">Assumptions!B16</f>
        <v>264.146595696653</v>
      </c>
      <c r="AE59" s="405" t="n">
        <f aca="false">Assumptions!C16</f>
        <v>3642.14532635839</v>
      </c>
      <c r="AF59" s="392" t="n">
        <f aca="false">IF(Assumptions!D$16=1,0,1)</f>
        <v>0</v>
      </c>
      <c r="AG59" s="406" t="n">
        <f aca="false">VLOOKUP($C$1,Coal,7)</f>
        <v>0</v>
      </c>
      <c r="AH59" s="401" t="n">
        <f aca="false">Assumptions!$E$16*Assumptions!H12</f>
        <v>4.01469335177133</v>
      </c>
      <c r="AI59" s="401" t="n">
        <f aca="false">Assumptions!$F$16*Assumptions!I12</f>
        <v>3.84424981132076</v>
      </c>
      <c r="AJ59" s="401" t="n">
        <f aca="false">VLOOKUP($C$1,SO2Rate,7)</f>
        <v>0</v>
      </c>
      <c r="AK59" s="401" t="n">
        <f aca="false">VLOOKUP($C$1,NOxRate,7)</f>
        <v>0</v>
      </c>
      <c r="AL59" s="1"/>
    </row>
    <row r="60" customFormat="false" ht="12.75" hidden="false" customHeight="false" outlineLevel="0" collapsed="false">
      <c r="A60" s="400" t="n">
        <f aca="false">A59+30.417</f>
        <v>38030.433</v>
      </c>
      <c r="B60" s="401" t="n">
        <f aca="false">IF($B$9="Coal",AG60,IF($B$9="Gas",AH60,IF($B$9="Oil",AI60,0)))</f>
        <v>3.59827569028441</v>
      </c>
      <c r="C60" s="402" t="n">
        <f aca="false">(B60*$B$1*1000)/1000000</f>
        <v>40.6775879699784</v>
      </c>
      <c r="D60" s="401" t="n">
        <f aca="false">AB60+AC60</f>
        <v>0.65426723444839</v>
      </c>
      <c r="E60" s="401" t="n">
        <f aca="false">(($AJ60*$B$1*AD60*1000)/2000)/1000000</f>
        <v>0</v>
      </c>
      <c r="F60" s="401" t="n">
        <f aca="false">AF60*(($AK60*$B$1*AE60*1000)/2000)/1000000</f>
        <v>0</v>
      </c>
      <c r="G60" s="403" t="n">
        <f aca="false">IF('Peak Revenue'!$A$1="BL","-",SUM(C60:F60))</f>
        <v>41.3318552044268</v>
      </c>
      <c r="H60" s="411" t="n">
        <v>78.1428131137958</v>
      </c>
      <c r="I60" s="411" t="n">
        <v>72.2813337378532</v>
      </c>
      <c r="J60" s="411" t="n">
        <v>70.1737616729536</v>
      </c>
      <c r="K60" s="411" t="n">
        <v>65.946439253957</v>
      </c>
      <c r="L60" s="411" t="n">
        <v>64.9257923953009</v>
      </c>
      <c r="M60" s="411" t="n">
        <v>64.1861819667218</v>
      </c>
      <c r="N60" s="411" t="n">
        <v>52.7861638797041</v>
      </c>
      <c r="O60" s="411" t="n">
        <v>43.8464347386292</v>
      </c>
      <c r="P60" s="411" t="n">
        <v>40.8338433130381</v>
      </c>
      <c r="Q60" s="411" t="n">
        <v>35.8562971368567</v>
      </c>
      <c r="R60" s="411" t="n">
        <v>32.9727994747533</v>
      </c>
      <c r="S60" s="411" t="n">
        <v>32.9727994747533</v>
      </c>
      <c r="T60" s="411" t="n">
        <v>32.5602720312392</v>
      </c>
      <c r="U60" s="411" t="n">
        <v>28.8043826637986</v>
      </c>
      <c r="V60" s="411" t="n">
        <v>26.4420554032814</v>
      </c>
      <c r="W60" s="411" t="n">
        <v>25.86142342249</v>
      </c>
      <c r="X60" s="411" t="n">
        <v>24.8816225021763</v>
      </c>
      <c r="Y60" s="411" t="n">
        <v>24.4115104537525</v>
      </c>
      <c r="Z60" s="411" t="n">
        <v>24.1469090590522</v>
      </c>
      <c r="AA60" s="411" t="n">
        <v>23.6256901001405</v>
      </c>
      <c r="AB60" s="401" t="n">
        <f aca="false">AB59*(1+Assumptions!$L$13/12)</f>
        <v>0.65426723444839</v>
      </c>
      <c r="AC60" s="401" t="n">
        <f aca="false">AC59</f>
        <v>0</v>
      </c>
      <c r="AD60" s="405" t="n">
        <f aca="false">AD59</f>
        <v>264.146595696653</v>
      </c>
      <c r="AE60" s="405" t="n">
        <f aca="false">AE59</f>
        <v>3642.14532635839</v>
      </c>
      <c r="AF60" s="392" t="n">
        <f aca="false">IF(Assumptions!D$16=1,0,1)</f>
        <v>0</v>
      </c>
      <c r="AG60" s="406" t="n">
        <f aca="false">AG59</f>
        <v>0</v>
      </c>
      <c r="AH60" s="401" t="n">
        <f aca="false">Assumptions!$E$16*Assumptions!H13</f>
        <v>3.59827569028441</v>
      </c>
      <c r="AI60" s="401" t="n">
        <f aca="false">Assumptions!$F$16*Assumptions!I13</f>
        <v>3.80865490566038</v>
      </c>
      <c r="AJ60" s="401" t="n">
        <f aca="false">AJ59</f>
        <v>0</v>
      </c>
      <c r="AK60" s="401" t="n">
        <f aca="false">AK59</f>
        <v>0</v>
      </c>
      <c r="AL60" s="1"/>
    </row>
    <row r="61" customFormat="false" ht="12.75" hidden="false" customHeight="false" outlineLevel="0" collapsed="false">
      <c r="A61" s="400" t="n">
        <f aca="false">A60+30.417</f>
        <v>38060.85</v>
      </c>
      <c r="B61" s="401" t="n">
        <f aca="false">IF($B$9="Coal",AG61,IF($B$9="Gas",AH61,IF($B$9="Oil",AI61,0)))</f>
        <v>3.53777055998289</v>
      </c>
      <c r="C61" s="402" t="n">
        <f aca="false">(B61*$B$1*1000)/1000000</f>
        <v>39.9935929200381</v>
      </c>
      <c r="D61" s="401" t="n">
        <f aca="false">AB61+AC61</f>
        <v>0.655357679839138</v>
      </c>
      <c r="E61" s="401" t="n">
        <f aca="false">(($AJ61*$B$1*AD61*1000)/2000)/1000000</f>
        <v>0</v>
      </c>
      <c r="F61" s="401" t="n">
        <f aca="false">AF61*(($AK61*$B$1*AE61*1000)/2000)/1000000</f>
        <v>0</v>
      </c>
      <c r="G61" s="403" t="n">
        <f aca="false">IF('Peak Revenue'!$A$1="BL","-",SUM(C61:F61))</f>
        <v>40.6489505998772</v>
      </c>
      <c r="H61" s="411" t="n">
        <v>102.872585168762</v>
      </c>
      <c r="I61" s="411" t="n">
        <v>75.1107899040433</v>
      </c>
      <c r="J61" s="411" t="n">
        <v>62.7547550324484</v>
      </c>
      <c r="K61" s="411" t="n">
        <v>60.2176139188661</v>
      </c>
      <c r="L61" s="411" t="n">
        <v>56.6461915737362</v>
      </c>
      <c r="M61" s="411" t="n">
        <v>53.7799380740994</v>
      </c>
      <c r="N61" s="411" t="n">
        <v>53.3712220252706</v>
      </c>
      <c r="O61" s="411" t="n">
        <v>48.4857181609654</v>
      </c>
      <c r="P61" s="411" t="n">
        <v>38.5159186460431</v>
      </c>
      <c r="Q61" s="411" t="n">
        <v>33.858109398151</v>
      </c>
      <c r="R61" s="411" t="n">
        <v>30.9172502314773</v>
      </c>
      <c r="S61" s="411" t="n">
        <v>28.736500981308</v>
      </c>
      <c r="T61" s="411" t="n">
        <v>27.7068365387673</v>
      </c>
      <c r="U61" s="411" t="n">
        <v>27.7068365387673</v>
      </c>
      <c r="V61" s="411" t="n">
        <v>27.5869362683382</v>
      </c>
      <c r="W61" s="411" t="n">
        <v>27.4962588806366</v>
      </c>
      <c r="X61" s="411" t="n">
        <v>27.380342368651</v>
      </c>
      <c r="Y61" s="411" t="n">
        <v>26.6918933442351</v>
      </c>
      <c r="Z61" s="411" t="n">
        <v>23.5526135595155</v>
      </c>
      <c r="AA61" s="411" t="n">
        <v>21.1993417100792</v>
      </c>
      <c r="AB61" s="401" t="n">
        <f aca="false">AB60*(1+Assumptions!$L$13/12)</f>
        <v>0.655357679839138</v>
      </c>
      <c r="AC61" s="401" t="n">
        <f aca="false">AC60</f>
        <v>0</v>
      </c>
      <c r="AD61" s="405" t="n">
        <f aca="false">AD60</f>
        <v>264.146595696653</v>
      </c>
      <c r="AE61" s="405" t="n">
        <f aca="false">AE60</f>
        <v>3642.14532635839</v>
      </c>
      <c r="AF61" s="392" t="n">
        <f aca="false">IF(Assumptions!D$16=1,0,1)</f>
        <v>0</v>
      </c>
      <c r="AG61" s="406" t="n">
        <f aca="false">AG60</f>
        <v>0</v>
      </c>
      <c r="AH61" s="401" t="n">
        <f aca="false">Assumptions!$E$16*Assumptions!H14</f>
        <v>3.53777055998289</v>
      </c>
      <c r="AI61" s="401" t="n">
        <f aca="false">Assumptions!$F$16*Assumptions!I14</f>
        <v>3.66627528301887</v>
      </c>
      <c r="AJ61" s="401" t="n">
        <f aca="false">AJ60</f>
        <v>0</v>
      </c>
      <c r="AK61" s="401" t="n">
        <f aca="false">AK60</f>
        <v>0</v>
      </c>
      <c r="AL61" s="1"/>
    </row>
    <row r="62" customFormat="false" ht="12.75" hidden="false" customHeight="false" outlineLevel="0" collapsed="false">
      <c r="A62" s="400" t="n">
        <f aca="false">A61+30.417</f>
        <v>38091.267</v>
      </c>
      <c r="B62" s="401" t="n">
        <f aca="false">IF($B$9="Coal",AG62,IF($B$9="Gas",AH62,IF($B$9="Oil",AI62,0)))</f>
        <v>3.36337341970205</v>
      </c>
      <c r="C62" s="402" t="n">
        <f aca="false">(B62*$B$1*1000)/1000000</f>
        <v>38.0220777760926</v>
      </c>
      <c r="D62" s="401" t="n">
        <f aca="false">AB62+AC62</f>
        <v>0.65644994263887</v>
      </c>
      <c r="E62" s="401" t="n">
        <f aca="false">(($AJ62*$B$1*AD62*1000)/2000)/1000000</f>
        <v>0</v>
      </c>
      <c r="F62" s="401" t="n">
        <f aca="false">AF62*(($AK62*$B$1*AE62*1000)/2000)/1000000</f>
        <v>0</v>
      </c>
      <c r="G62" s="403" t="n">
        <f aca="false">IF('Peak Revenue'!$A$1="BL","-",SUM(C62:F62))</f>
        <v>38.6785277187314</v>
      </c>
      <c r="H62" s="411" t="n">
        <v>64.0941350834628</v>
      </c>
      <c r="I62" s="411" t="n">
        <v>56.2522296894601</v>
      </c>
      <c r="J62" s="411" t="n">
        <v>54.4245560138604</v>
      </c>
      <c r="K62" s="411" t="n">
        <v>50.8945991123589</v>
      </c>
      <c r="L62" s="411" t="n">
        <v>49.146184882368</v>
      </c>
      <c r="M62" s="411" t="n">
        <v>49.0281681095105</v>
      </c>
      <c r="N62" s="411" t="n">
        <v>41.2238425646407</v>
      </c>
      <c r="O62" s="411" t="n">
        <v>35.65766847222</v>
      </c>
      <c r="P62" s="411" t="n">
        <v>35.4670538723979</v>
      </c>
      <c r="Q62" s="411" t="n">
        <v>35.1205407733958</v>
      </c>
      <c r="R62" s="411" t="n">
        <v>29.8505012407561</v>
      </c>
      <c r="S62" s="411" t="n">
        <v>27.1489319902788</v>
      </c>
      <c r="T62" s="411" t="n">
        <v>25.7196777277545</v>
      </c>
      <c r="U62" s="411" t="n">
        <v>25.5469758145155</v>
      </c>
      <c r="V62" s="411" t="n">
        <v>25.5469758145155</v>
      </c>
      <c r="W62" s="411" t="n">
        <v>25.359563037389</v>
      </c>
      <c r="X62" s="411" t="n">
        <v>24.3694565486532</v>
      </c>
      <c r="Y62" s="411" t="n">
        <v>24.1615649731563</v>
      </c>
      <c r="Z62" s="411" t="n">
        <v>23.862147244439</v>
      </c>
      <c r="AA62" s="411" t="n">
        <v>23.2428706612669</v>
      </c>
      <c r="AB62" s="401" t="n">
        <f aca="false">AB61*(1+Assumptions!$L$13/12)</f>
        <v>0.65644994263887</v>
      </c>
      <c r="AC62" s="401" t="n">
        <f aca="false">AC61</f>
        <v>0</v>
      </c>
      <c r="AD62" s="405" t="n">
        <f aca="false">AD61</f>
        <v>264.146595696653</v>
      </c>
      <c r="AE62" s="405" t="n">
        <f aca="false">AE61</f>
        <v>3642.14532635839</v>
      </c>
      <c r="AF62" s="392" t="n">
        <f aca="false">IF(Assumptions!D$16=1,0,1)</f>
        <v>0</v>
      </c>
      <c r="AG62" s="406" t="n">
        <f aca="false">AG61</f>
        <v>0</v>
      </c>
      <c r="AH62" s="401" t="n">
        <f aca="false">Assumptions!$E$16*Assumptions!H15</f>
        <v>3.36337341970205</v>
      </c>
      <c r="AI62" s="401" t="n">
        <f aca="false">Assumptions!$F$16*Assumptions!I15</f>
        <v>3.52389566037736</v>
      </c>
      <c r="AJ62" s="401" t="n">
        <f aca="false">AJ61</f>
        <v>0</v>
      </c>
      <c r="AK62" s="401" t="n">
        <f aca="false">AK61</f>
        <v>0</v>
      </c>
      <c r="AL62" s="1"/>
    </row>
    <row r="63" customFormat="false" ht="12.75" hidden="false" customHeight="false" outlineLevel="0" collapsed="false">
      <c r="A63" s="400" t="n">
        <f aca="false">A62+30.417</f>
        <v>38121.684</v>
      </c>
      <c r="B63" s="401" t="n">
        <f aca="false">IF($B$9="Coal",AG63,IF($B$9="Gas",AH63,IF($B$9="Oil",AI63,0)))</f>
        <v>3.54132968529475</v>
      </c>
      <c r="C63" s="402" t="n">
        <f aca="false">(B63*$B$1*1000)/1000000</f>
        <v>40.0338279229758</v>
      </c>
      <c r="D63" s="401" t="n">
        <f aca="false">AB63+AC63</f>
        <v>0.657544025876601</v>
      </c>
      <c r="E63" s="401" t="n">
        <f aca="false">(($AJ63*$B$1*AD63*1000)/2000)/1000000</f>
        <v>0</v>
      </c>
      <c r="F63" s="401" t="n">
        <f aca="false">AF63*(($AK63*$B$1*AE63*1000)/2000)/1000000</f>
        <v>0</v>
      </c>
      <c r="G63" s="403" t="n">
        <f aca="false">IF('Peak Revenue'!$A$1="BL","-",SUM(C63:F63))</f>
        <v>40.6913719488524</v>
      </c>
      <c r="H63" s="411" t="n">
        <v>72.2656414839052</v>
      </c>
      <c r="I63" s="411" t="n">
        <v>68.5324513475269</v>
      </c>
      <c r="J63" s="411" t="n">
        <v>64.9994907978399</v>
      </c>
      <c r="K63" s="411" t="n">
        <v>64.410875507792</v>
      </c>
      <c r="L63" s="411" t="n">
        <v>57.5204703535312</v>
      </c>
      <c r="M63" s="411" t="n">
        <v>51.228044258166</v>
      </c>
      <c r="N63" s="411" t="n">
        <v>44.6908813748923</v>
      </c>
      <c r="O63" s="411" t="n">
        <v>35.4087164497375</v>
      </c>
      <c r="P63" s="411" t="n">
        <v>32.4226546880594</v>
      </c>
      <c r="Q63" s="411" t="n">
        <v>31.6198793021691</v>
      </c>
      <c r="R63" s="411" t="n">
        <v>31.498410041091</v>
      </c>
      <c r="S63" s="411" t="n">
        <v>31.498410041091</v>
      </c>
      <c r="T63" s="411" t="n">
        <v>31.3678044794808</v>
      </c>
      <c r="U63" s="411" t="n">
        <v>31.2488421077471</v>
      </c>
      <c r="V63" s="411" t="n">
        <v>30.7037330881663</v>
      </c>
      <c r="W63" s="411" t="n">
        <v>29.6763082960123</v>
      </c>
      <c r="X63" s="411" t="n">
        <v>29.1426198208102</v>
      </c>
      <c r="Y63" s="411" t="n">
        <v>28.9998313394666</v>
      </c>
      <c r="Z63" s="411" t="n">
        <v>28.6064114514303</v>
      </c>
      <c r="AA63" s="411" t="n">
        <v>27.3652199319645</v>
      </c>
      <c r="AB63" s="401" t="n">
        <f aca="false">AB62*(1+Assumptions!$L$13/12)</f>
        <v>0.657544025876601</v>
      </c>
      <c r="AC63" s="401" t="n">
        <f aca="false">AC62</f>
        <v>0</v>
      </c>
      <c r="AD63" s="405" t="n">
        <f aca="false">AD62</f>
        <v>264.146595696653</v>
      </c>
      <c r="AE63" s="405" t="n">
        <f aca="false">AE62</f>
        <v>3642.14532635839</v>
      </c>
      <c r="AF63" s="392" t="n">
        <v>1</v>
      </c>
      <c r="AG63" s="406" t="n">
        <f aca="false">AG62</f>
        <v>0</v>
      </c>
      <c r="AH63" s="401" t="n">
        <f aca="false">Assumptions!$E$16*Assumptions!H16</f>
        <v>3.54132968529475</v>
      </c>
      <c r="AI63" s="401" t="n">
        <f aca="false">Assumptions!$F$16*Assumptions!I16</f>
        <v>3.38151603773585</v>
      </c>
      <c r="AJ63" s="401" t="n">
        <f aca="false">AJ62</f>
        <v>0</v>
      </c>
      <c r="AK63" s="401" t="n">
        <f aca="false">AK62</f>
        <v>0</v>
      </c>
      <c r="AL63" s="1"/>
    </row>
    <row r="64" customFormat="false" ht="12.75" hidden="false" customHeight="false" outlineLevel="0" collapsed="false">
      <c r="A64" s="400" t="n">
        <f aca="false">A63+30.417</f>
        <v>38152.101</v>
      </c>
      <c r="B64" s="401" t="n">
        <f aca="false">IF($B$9="Coal",AG64,IF($B$9="Gas",AH64,IF($B$9="Oil",AI64,0)))</f>
        <v>3.37405079563761</v>
      </c>
      <c r="C64" s="402" t="n">
        <f aca="false">(B64*$B$1*1000)/1000000</f>
        <v>38.1427827849056</v>
      </c>
      <c r="D64" s="401" t="n">
        <f aca="false">AB64+AC64</f>
        <v>0.658639932586396</v>
      </c>
      <c r="E64" s="401" t="n">
        <f aca="false">(($AJ64*$B$1*AD64*1000)/2000)/1000000</f>
        <v>0</v>
      </c>
      <c r="F64" s="401" t="n">
        <f aca="false">AF64*(($AK64*$B$1*AE64*1000)/2000)/1000000</f>
        <v>0</v>
      </c>
      <c r="G64" s="403" t="n">
        <f aca="false">IF('Peak Revenue'!$A$1="BL","-",SUM(C64:F64))</f>
        <v>38.801422717492</v>
      </c>
      <c r="H64" s="411" t="n">
        <v>329.795687235008</v>
      </c>
      <c r="I64" s="411" t="n">
        <v>213.938915217477</v>
      </c>
      <c r="J64" s="411" t="n">
        <v>157.458258502794</v>
      </c>
      <c r="K64" s="411" t="n">
        <v>67.2247614681808</v>
      </c>
      <c r="L64" s="411" t="n">
        <v>57.6344791636769</v>
      </c>
      <c r="M64" s="411" t="n">
        <v>51.5638109724897</v>
      </c>
      <c r="N64" s="411" t="n">
        <v>47.2581673267546</v>
      </c>
      <c r="O64" s="411" t="n">
        <v>45.6161288772365</v>
      </c>
      <c r="P64" s="411" t="n">
        <v>35.7547539443551</v>
      </c>
      <c r="Q64" s="411" t="n">
        <v>33.8055348549431</v>
      </c>
      <c r="R64" s="411" t="n">
        <v>32.1507372108072</v>
      </c>
      <c r="S64" s="411" t="n">
        <v>29.3170294771574</v>
      </c>
      <c r="T64" s="411" t="n">
        <v>27.7622607147068</v>
      </c>
      <c r="U64" s="411" t="n">
        <v>27.3854133536578</v>
      </c>
      <c r="V64" s="411" t="n">
        <v>26.4617203939214</v>
      </c>
      <c r="W64" s="411" t="n">
        <v>25.8272356115502</v>
      </c>
      <c r="X64" s="411" t="n">
        <v>24.8024728412719</v>
      </c>
      <c r="Y64" s="411" t="n">
        <v>24.097291563206</v>
      </c>
      <c r="Z64" s="411" t="n">
        <v>23.9985146910645</v>
      </c>
      <c r="AA64" s="411" t="n">
        <v>22.6786175790278</v>
      </c>
      <c r="AB64" s="401" t="n">
        <f aca="false">AB63*(1+Assumptions!$L$13/12)</f>
        <v>0.658639932586396</v>
      </c>
      <c r="AC64" s="401" t="n">
        <f aca="false">AC63</f>
        <v>0</v>
      </c>
      <c r="AD64" s="405" t="n">
        <f aca="false">AD63</f>
        <v>264.146595696653</v>
      </c>
      <c r="AE64" s="405" t="n">
        <f aca="false">AE63</f>
        <v>3642.14532635839</v>
      </c>
      <c r="AF64" s="392" t="n">
        <v>1</v>
      </c>
      <c r="AG64" s="406" t="n">
        <f aca="false">AG63</f>
        <v>0</v>
      </c>
      <c r="AH64" s="401" t="n">
        <f aca="false">Assumptions!$E$16*Assumptions!H17</f>
        <v>3.37405079563761</v>
      </c>
      <c r="AI64" s="401" t="n">
        <f aca="false">Assumptions!$F$16*Assumptions!I17</f>
        <v>3.38151603773585</v>
      </c>
      <c r="AJ64" s="401" t="n">
        <f aca="false">AJ63</f>
        <v>0</v>
      </c>
      <c r="AK64" s="401" t="n">
        <f aca="false">AK63</f>
        <v>0</v>
      </c>
      <c r="AL64" s="1"/>
    </row>
    <row r="65" customFormat="false" ht="12.75" hidden="false" customHeight="false" outlineLevel="0" collapsed="false">
      <c r="A65" s="400" t="n">
        <f aca="false">A64+30.417</f>
        <v>38182.518</v>
      </c>
      <c r="B65" s="401" t="n">
        <f aca="false">IF($B$9="Coal",AG65,IF($B$9="Gas",AH65,IF($B$9="Oil",AI65,0)))</f>
        <v>3.36337341970205</v>
      </c>
      <c r="C65" s="402" t="n">
        <f aca="false">(B65*$B$1*1000)/1000000</f>
        <v>38.0220777760926</v>
      </c>
      <c r="D65" s="401" t="n">
        <f aca="false">AB65+AC65</f>
        <v>0.659737665807373</v>
      </c>
      <c r="E65" s="401" t="n">
        <f aca="false">(($AJ65*$B$1*AD65*1000)/2000)/1000000</f>
        <v>0</v>
      </c>
      <c r="F65" s="401" t="n">
        <f aca="false">AF65*(($AK65*$B$1*AE65*1000)/2000)/1000000</f>
        <v>0</v>
      </c>
      <c r="G65" s="403" t="n">
        <f aca="false">IF('Peak Revenue'!$A$1="BL","-",SUM(C65:F65))</f>
        <v>38.6818154418999</v>
      </c>
      <c r="H65" s="411" t="n">
        <v>480.700518397047</v>
      </c>
      <c r="I65" s="411" t="n">
        <v>279.433926239012</v>
      </c>
      <c r="J65" s="411" t="n">
        <v>200.463989792302</v>
      </c>
      <c r="K65" s="411" t="n">
        <v>115.821220623947</v>
      </c>
      <c r="L65" s="411" t="n">
        <v>85.1778874844273</v>
      </c>
      <c r="M65" s="411" t="n">
        <v>74.8492122549576</v>
      </c>
      <c r="N65" s="411" t="n">
        <v>68.815570285161</v>
      </c>
      <c r="O65" s="411" t="n">
        <v>66.9245655100864</v>
      </c>
      <c r="P65" s="411" t="n">
        <v>50.1143335554454</v>
      </c>
      <c r="Q65" s="411" t="n">
        <v>44.7058642617837</v>
      </c>
      <c r="R65" s="411" t="n">
        <v>41.8971372668145</v>
      </c>
      <c r="S65" s="411" t="n">
        <v>35.5535676086672</v>
      </c>
      <c r="T65" s="411" t="n">
        <v>33.1676771432352</v>
      </c>
      <c r="U65" s="411" t="n">
        <v>33.1463715165037</v>
      </c>
      <c r="V65" s="411" t="n">
        <v>33.1463715165037</v>
      </c>
      <c r="W65" s="411" t="n">
        <v>32.8626346331532</v>
      </c>
      <c r="X65" s="411" t="n">
        <v>31.7432716785634</v>
      </c>
      <c r="Y65" s="411" t="n">
        <v>31.3274097686362</v>
      </c>
      <c r="Z65" s="411" t="n">
        <v>30.5835691041639</v>
      </c>
      <c r="AA65" s="411" t="n">
        <v>28.756178860418</v>
      </c>
      <c r="AB65" s="401" t="n">
        <f aca="false">AB64*(1+Assumptions!$L$13/12)</f>
        <v>0.659737665807373</v>
      </c>
      <c r="AC65" s="401" t="n">
        <f aca="false">AC64</f>
        <v>0</v>
      </c>
      <c r="AD65" s="405" t="n">
        <f aca="false">AD64</f>
        <v>264.146595696653</v>
      </c>
      <c r="AE65" s="405" t="n">
        <f aca="false">AE64</f>
        <v>3642.14532635839</v>
      </c>
      <c r="AF65" s="392" t="n">
        <v>1</v>
      </c>
      <c r="AG65" s="406" t="n">
        <f aca="false">AG64</f>
        <v>0</v>
      </c>
      <c r="AH65" s="401" t="n">
        <f aca="false">Assumptions!$E$16*Assumptions!H18</f>
        <v>3.36337341970205</v>
      </c>
      <c r="AI65" s="401" t="n">
        <f aca="false">Assumptions!$F$16*Assumptions!I18</f>
        <v>3.38151603773585</v>
      </c>
      <c r="AJ65" s="401" t="n">
        <f aca="false">AJ64</f>
        <v>0</v>
      </c>
      <c r="AK65" s="401" t="n">
        <f aca="false">AK64</f>
        <v>0</v>
      </c>
      <c r="AL65" s="1"/>
    </row>
    <row r="66" customFormat="false" ht="12.75" hidden="false" customHeight="false" outlineLevel="0" collapsed="false">
      <c r="A66" s="400" t="n">
        <f aca="false">A65+30.417</f>
        <v>38212.935</v>
      </c>
      <c r="B66" s="401" t="n">
        <f aca="false">IF($B$9="Coal",AG66,IF($B$9="Gas",AH66,IF($B$9="Oil",AI66,0)))</f>
        <v>3.1889762794212</v>
      </c>
      <c r="C66" s="402" t="n">
        <f aca="false">(B66*$B$1*1000)/1000000</f>
        <v>36.050562632147</v>
      </c>
      <c r="D66" s="401" t="n">
        <f aca="false">AB66+AC66</f>
        <v>0.660837228583719</v>
      </c>
      <c r="E66" s="401" t="n">
        <f aca="false">(($AJ66*$B$1*AD66*1000)/2000)/1000000</f>
        <v>0</v>
      </c>
      <c r="F66" s="401" t="n">
        <f aca="false">AF66*(($AK66*$B$1*AE66*1000)/2000)/1000000</f>
        <v>0</v>
      </c>
      <c r="G66" s="403" t="n">
        <f aca="false">IF('Peak Revenue'!$A$1="BL","-",SUM(C66:F66))</f>
        <v>36.7113998607307</v>
      </c>
      <c r="H66" s="411" t="n">
        <v>1628.70240364017</v>
      </c>
      <c r="I66" s="411" t="n">
        <v>797.535023354733</v>
      </c>
      <c r="J66" s="411" t="n">
        <v>480.885588008332</v>
      </c>
      <c r="K66" s="411" t="n">
        <v>258.597298195951</v>
      </c>
      <c r="L66" s="411" t="n">
        <v>155.218708715085</v>
      </c>
      <c r="M66" s="411" t="n">
        <v>64.1803526602458</v>
      </c>
      <c r="N66" s="411" t="n">
        <v>51.1226843686867</v>
      </c>
      <c r="O66" s="411" t="n">
        <v>45.4803483439638</v>
      </c>
      <c r="P66" s="411" t="n">
        <v>43.827749891304</v>
      </c>
      <c r="Q66" s="411" t="n">
        <v>35.5972353920859</v>
      </c>
      <c r="R66" s="411" t="n">
        <v>32.3953125262472</v>
      </c>
      <c r="S66" s="411" t="n">
        <v>31.3961190189906</v>
      </c>
      <c r="T66" s="411" t="n">
        <v>30.5527081259688</v>
      </c>
      <c r="U66" s="411" t="n">
        <v>29.6014383768829</v>
      </c>
      <c r="V66" s="411" t="n">
        <v>29.1591957570102</v>
      </c>
      <c r="W66" s="411" t="n">
        <v>28.6337691775633</v>
      </c>
      <c r="X66" s="411" t="n">
        <v>28.0753941063084</v>
      </c>
      <c r="Y66" s="411" t="n">
        <v>27.5084963761069</v>
      </c>
      <c r="Z66" s="411" t="n">
        <v>26.8968948476715</v>
      </c>
      <c r="AA66" s="411" t="n">
        <v>26.005201303072</v>
      </c>
      <c r="AB66" s="401" t="n">
        <f aca="false">AB65*(1+Assumptions!$L$13/12)</f>
        <v>0.660837228583719</v>
      </c>
      <c r="AC66" s="401" t="n">
        <f aca="false">AC65</f>
        <v>0</v>
      </c>
      <c r="AD66" s="405" t="n">
        <f aca="false">AD65</f>
        <v>264.146595696653</v>
      </c>
      <c r="AE66" s="405" t="n">
        <f aca="false">AE65</f>
        <v>3642.14532635839</v>
      </c>
      <c r="AF66" s="392" t="n">
        <v>1</v>
      </c>
      <c r="AG66" s="406" t="n">
        <f aca="false">AG65</f>
        <v>0</v>
      </c>
      <c r="AH66" s="401" t="n">
        <f aca="false">Assumptions!$E$16*Assumptions!H19</f>
        <v>3.1889762794212</v>
      </c>
      <c r="AI66" s="401" t="n">
        <f aca="false">Assumptions!$F$16*Assumptions!I19</f>
        <v>3.38151603773585</v>
      </c>
      <c r="AJ66" s="401" t="n">
        <f aca="false">AJ65</f>
        <v>0</v>
      </c>
      <c r="AK66" s="401" t="n">
        <f aca="false">AK65</f>
        <v>0</v>
      </c>
      <c r="AL66" s="1"/>
    </row>
    <row r="67" customFormat="false" ht="12.75" hidden="false" customHeight="false" outlineLevel="0" collapsed="false">
      <c r="A67" s="400" t="n">
        <f aca="false">A66+30.417</f>
        <v>38243.352</v>
      </c>
      <c r="B67" s="401" t="n">
        <f aca="false">IF($B$9="Coal",AG67,IF($B$9="Gas",AH67,IF($B$9="Oil",AI67,0)))</f>
        <v>3.17829890348564</v>
      </c>
      <c r="C67" s="402" t="n">
        <f aca="false">(B67*$B$1*1000)/1000000</f>
        <v>35.929857623334</v>
      </c>
      <c r="D67" s="401" t="n">
        <f aca="false">AB67+AC67</f>
        <v>0.661938623964691</v>
      </c>
      <c r="E67" s="401" t="n">
        <f aca="false">(($AJ67*$B$1*AD67*1000)/2000)/1000000</f>
        <v>0</v>
      </c>
      <c r="F67" s="401" t="n">
        <f aca="false">AF67*(($AK67*$B$1*AE67*1000)/2000)/1000000</f>
        <v>0</v>
      </c>
      <c r="G67" s="403" t="n">
        <f aca="false">IF('Peak Revenue'!$A$1="BL","-",SUM(C67:F67))</f>
        <v>36.5917962472987</v>
      </c>
      <c r="H67" s="411" t="n">
        <v>116.617136025117</v>
      </c>
      <c r="I67" s="411" t="n">
        <v>92.5986822535089</v>
      </c>
      <c r="J67" s="411" t="n">
        <v>78.2923840395749</v>
      </c>
      <c r="K67" s="411" t="n">
        <v>68.6905840088322</v>
      </c>
      <c r="L67" s="411" t="n">
        <v>63.8053600426686</v>
      </c>
      <c r="M67" s="411" t="n">
        <v>61.937232257057</v>
      </c>
      <c r="N67" s="411" t="n">
        <v>53.6823147072369</v>
      </c>
      <c r="O67" s="411" t="n">
        <v>46.1650741798893</v>
      </c>
      <c r="P67" s="411" t="n">
        <v>39.1499542176814</v>
      </c>
      <c r="Q67" s="411" t="n">
        <v>33.3850203600342</v>
      </c>
      <c r="R67" s="411" t="n">
        <v>31.8692956404677</v>
      </c>
      <c r="S67" s="411" t="n">
        <v>31.1488445645565</v>
      </c>
      <c r="T67" s="411" t="n">
        <v>31.0417190877379</v>
      </c>
      <c r="U67" s="411" t="n">
        <v>31.0417190877379</v>
      </c>
      <c r="V67" s="411" t="n">
        <v>30.8109650790532</v>
      </c>
      <c r="W67" s="411" t="n">
        <v>30.6989118522239</v>
      </c>
      <c r="X67" s="411" t="n">
        <v>29.9409701230669</v>
      </c>
      <c r="Y67" s="411" t="n">
        <v>29.3948469696203</v>
      </c>
      <c r="Z67" s="411" t="n">
        <v>29.1503332552414</v>
      </c>
      <c r="AA67" s="411" t="n">
        <v>27.7968033955815</v>
      </c>
      <c r="AB67" s="401" t="n">
        <f aca="false">AB66*(1+Assumptions!$L$13/12)</f>
        <v>0.661938623964691</v>
      </c>
      <c r="AC67" s="401" t="n">
        <f aca="false">AC66</f>
        <v>0</v>
      </c>
      <c r="AD67" s="405" t="n">
        <f aca="false">AD66</f>
        <v>264.146595696653</v>
      </c>
      <c r="AE67" s="405" t="n">
        <f aca="false">AE66</f>
        <v>3642.14532635839</v>
      </c>
      <c r="AF67" s="392" t="n">
        <v>1</v>
      </c>
      <c r="AG67" s="406" t="n">
        <f aca="false">AG66</f>
        <v>0</v>
      </c>
      <c r="AH67" s="401" t="n">
        <f aca="false">Assumptions!$E$16*Assumptions!H20</f>
        <v>3.17829890348564</v>
      </c>
      <c r="AI67" s="401" t="n">
        <f aca="false">Assumptions!$F$16*Assumptions!I20</f>
        <v>3.38151603773585</v>
      </c>
      <c r="AJ67" s="401" t="n">
        <f aca="false">AJ66</f>
        <v>0</v>
      </c>
      <c r="AK67" s="401" t="n">
        <f aca="false">AK66</f>
        <v>0</v>
      </c>
      <c r="AL67" s="1"/>
    </row>
    <row r="68" customFormat="false" ht="12.75" hidden="false" customHeight="false" outlineLevel="0" collapsed="false">
      <c r="A68" s="400" t="n">
        <f aca="false">A67+30.417</f>
        <v>38273.769</v>
      </c>
      <c r="B68" s="401" t="n">
        <f aca="false">IF($B$9="Coal",AG68,IF($B$9="Gas",AH68,IF($B$9="Oil",AI68,0)))</f>
        <v>3.51997493342362</v>
      </c>
      <c r="C68" s="402" t="n">
        <f aca="false">(B68*$B$1*1000)/1000000</f>
        <v>39.7924179053498</v>
      </c>
      <c r="D68" s="401" t="n">
        <f aca="false">AB68+AC68</f>
        <v>0.663041855004633</v>
      </c>
      <c r="E68" s="401" t="n">
        <f aca="false">(($AJ68*$B$1*AD68*1000)/2000)/1000000</f>
        <v>0</v>
      </c>
      <c r="F68" s="401" t="n">
        <f aca="false">AF68*(($AK68*$B$1*AE68*1000)/2000)/1000000</f>
        <v>0</v>
      </c>
      <c r="G68" s="403" t="n">
        <f aca="false">IF('Peak Revenue'!$A$1="BL","-",SUM(C68:F68))</f>
        <v>40.4554597603544</v>
      </c>
      <c r="H68" s="411" t="n">
        <v>64.4164342672902</v>
      </c>
      <c r="I68" s="411" t="n">
        <v>62.9642144759309</v>
      </c>
      <c r="J68" s="411" t="n">
        <v>60.1209416343349</v>
      </c>
      <c r="K68" s="411" t="n">
        <v>57.1313235671002</v>
      </c>
      <c r="L68" s="411" t="n">
        <v>56.8426165313254</v>
      </c>
      <c r="M68" s="411" t="n">
        <v>54.4982601203961</v>
      </c>
      <c r="N68" s="411" t="n">
        <v>42.3336737252148</v>
      </c>
      <c r="O68" s="411" t="n">
        <v>36.4200081908254</v>
      </c>
      <c r="P68" s="411" t="n">
        <v>32.6493954833736</v>
      </c>
      <c r="Q68" s="411" t="n">
        <v>30.3613202889472</v>
      </c>
      <c r="R68" s="411" t="n">
        <v>29.1564053302287</v>
      </c>
      <c r="S68" s="411" t="n">
        <v>29.1564053302287</v>
      </c>
      <c r="T68" s="411" t="n">
        <v>29.0088749744739</v>
      </c>
      <c r="U68" s="411" t="n">
        <v>28.9317539919262</v>
      </c>
      <c r="V68" s="411" t="n">
        <v>28.7713667617377</v>
      </c>
      <c r="W68" s="411" t="n">
        <v>28.7076483221427</v>
      </c>
      <c r="X68" s="411" t="n">
        <v>28.3975677670747</v>
      </c>
      <c r="Y68" s="411" t="n">
        <v>24.0399385888164</v>
      </c>
      <c r="Z68" s="411" t="n">
        <v>22.8768572502789</v>
      </c>
      <c r="AA68" s="411" t="n">
        <v>21.0473392900541</v>
      </c>
      <c r="AB68" s="401" t="n">
        <f aca="false">AB67*(1+Assumptions!$L$13/12)</f>
        <v>0.663041855004633</v>
      </c>
      <c r="AC68" s="401" t="n">
        <f aca="false">AC67</f>
        <v>0</v>
      </c>
      <c r="AD68" s="405" t="n">
        <f aca="false">AD67</f>
        <v>264.146595696653</v>
      </c>
      <c r="AE68" s="405" t="n">
        <f aca="false">AE67</f>
        <v>3642.14532635839</v>
      </c>
      <c r="AF68" s="392" t="n">
        <f aca="false">IF(Assumptions!D$16=1,0,1)</f>
        <v>0</v>
      </c>
      <c r="AG68" s="406" t="n">
        <f aca="false">AG67</f>
        <v>0</v>
      </c>
      <c r="AH68" s="401" t="n">
        <f aca="false">Assumptions!$E$16*Assumptions!H21</f>
        <v>3.51997493342362</v>
      </c>
      <c r="AI68" s="401" t="n">
        <f aca="false">Assumptions!$F$16*Assumptions!I21</f>
        <v>3.38151603773585</v>
      </c>
      <c r="AJ68" s="401" t="n">
        <f aca="false">AJ67</f>
        <v>0</v>
      </c>
      <c r="AK68" s="401" t="n">
        <f aca="false">AK67</f>
        <v>0</v>
      </c>
      <c r="AL68" s="1"/>
    </row>
    <row r="69" customFormat="false" ht="12.75" hidden="false" customHeight="false" outlineLevel="0" collapsed="false">
      <c r="A69" s="400" t="n">
        <f aca="false">A68+30.417</f>
        <v>38304.186</v>
      </c>
      <c r="B69" s="401" t="n">
        <f aca="false">IF($B$9="Coal",AG69,IF($B$9="Gas",AH69,IF($B$9="Oil",AI69,0)))</f>
        <v>3.8545327127379</v>
      </c>
      <c r="C69" s="402" t="n">
        <f aca="false">(B69*$B$1*1000)/1000000</f>
        <v>43.5745081814902</v>
      </c>
      <c r="D69" s="401" t="n">
        <f aca="false">AB69+AC69</f>
        <v>0.664146924762974</v>
      </c>
      <c r="E69" s="401" t="n">
        <f aca="false">(($AJ69*$B$1*AD69*1000)/2000)/1000000</f>
        <v>0</v>
      </c>
      <c r="F69" s="401" t="n">
        <f aca="false">AF69*(($AK69*$B$1*AE69*1000)/2000)/1000000</f>
        <v>0</v>
      </c>
      <c r="G69" s="403" t="n">
        <f aca="false">IF('Peak Revenue'!$A$1="BL","-",SUM(C69:F69))</f>
        <v>44.2386551062532</v>
      </c>
      <c r="H69" s="411" t="n">
        <v>80.2085531625746</v>
      </c>
      <c r="I69" s="411" t="n">
        <v>78.1817208468768</v>
      </c>
      <c r="J69" s="411" t="n">
        <v>78.1157769685552</v>
      </c>
      <c r="K69" s="411" t="n">
        <v>77.5738734741168</v>
      </c>
      <c r="L69" s="411" t="n">
        <v>74.3161344048044</v>
      </c>
      <c r="M69" s="411" t="n">
        <v>59.9304835973471</v>
      </c>
      <c r="N69" s="411" t="n">
        <v>50.5949865873709</v>
      </c>
      <c r="O69" s="411" t="n">
        <v>45.2247591339395</v>
      </c>
      <c r="P69" s="411" t="n">
        <v>40.6238891758721</v>
      </c>
      <c r="Q69" s="411" t="n">
        <v>28.9064016310187</v>
      </c>
      <c r="R69" s="411" t="n">
        <v>28.0880706578814</v>
      </c>
      <c r="S69" s="411" t="n">
        <v>26.7481803595118</v>
      </c>
      <c r="T69" s="411" t="n">
        <v>25.6515691453974</v>
      </c>
      <c r="U69" s="411" t="n">
        <v>25.2089379436773</v>
      </c>
      <c r="V69" s="411" t="n">
        <v>24.8018757443602</v>
      </c>
      <c r="W69" s="411" t="n">
        <v>24.4820971290301</v>
      </c>
      <c r="X69" s="411" t="n">
        <v>24.2388136089356</v>
      </c>
      <c r="Y69" s="411" t="n">
        <v>23.9546025791628</v>
      </c>
      <c r="Z69" s="411" t="n">
        <v>23.7959966229384</v>
      </c>
      <c r="AA69" s="411" t="n">
        <v>23.2846942356072</v>
      </c>
      <c r="AB69" s="401" t="n">
        <f aca="false">AB68*(1+Assumptions!$L$13/12)</f>
        <v>0.664146924762974</v>
      </c>
      <c r="AC69" s="401" t="n">
        <f aca="false">AC68</f>
        <v>0</v>
      </c>
      <c r="AD69" s="405" t="n">
        <f aca="false">AD68</f>
        <v>264.146595696653</v>
      </c>
      <c r="AE69" s="405" t="n">
        <f aca="false">AE68</f>
        <v>3642.14532635839</v>
      </c>
      <c r="AF69" s="392" t="n">
        <f aca="false">IF(Assumptions!D$16=1,0,1)</f>
        <v>0</v>
      </c>
      <c r="AG69" s="406" t="n">
        <f aca="false">AG68</f>
        <v>0</v>
      </c>
      <c r="AH69" s="401" t="n">
        <f aca="false">Assumptions!$E$16*Assumptions!H22</f>
        <v>3.8545327127379</v>
      </c>
      <c r="AI69" s="401" t="n">
        <f aca="false">Assumptions!$F$16*Assumptions!I22</f>
        <v>3.66627528301887</v>
      </c>
      <c r="AJ69" s="401" t="n">
        <f aca="false">AJ68</f>
        <v>0</v>
      </c>
      <c r="AK69" s="401" t="n">
        <f aca="false">AK68</f>
        <v>0</v>
      </c>
      <c r="AL69" s="1"/>
    </row>
    <row r="70" customFormat="false" ht="12.75" hidden="false" customHeight="false" outlineLevel="0" collapsed="false">
      <c r="A70" s="400" t="n">
        <f aca="false">A69+30.417</f>
        <v>38334.603</v>
      </c>
      <c r="B70" s="401" t="n">
        <f aca="false">IF($B$9="Coal",AG70,IF($B$9="Gas",AH70,IF($B$9="Oil",AI70,0)))</f>
        <v>4.17129486549291</v>
      </c>
      <c r="C70" s="402" t="n">
        <f aca="false">(B70*$B$1*1000)/1000000</f>
        <v>47.1554234429423</v>
      </c>
      <c r="D70" s="401" t="n">
        <f aca="false">AB70+AC70</f>
        <v>0.665253836304245</v>
      </c>
      <c r="E70" s="401" t="n">
        <f aca="false">(($AJ70*$B$1*AD70*1000)/2000)/1000000</f>
        <v>0</v>
      </c>
      <c r="F70" s="401" t="n">
        <f aca="false">AF70*(($AK70*$B$1*AE70*1000)/2000)/1000000</f>
        <v>0</v>
      </c>
      <c r="G70" s="403" t="n">
        <f aca="false">IF('Peak Revenue'!$A$1="BL","-",SUM(C70:F70))</f>
        <v>47.8206772792466</v>
      </c>
      <c r="H70" s="411" t="n">
        <v>74.0625917257011</v>
      </c>
      <c r="I70" s="411" t="n">
        <v>71.8753153256562</v>
      </c>
      <c r="J70" s="411" t="n">
        <v>69.7837489924391</v>
      </c>
      <c r="K70" s="411" t="n">
        <v>65.858541797324</v>
      </c>
      <c r="L70" s="411" t="n">
        <v>65.0642611910474</v>
      </c>
      <c r="M70" s="411" t="n">
        <v>64.3699436607157</v>
      </c>
      <c r="N70" s="411" t="n">
        <v>53.6605457196416</v>
      </c>
      <c r="O70" s="411" t="n">
        <v>48.5071523880901</v>
      </c>
      <c r="P70" s="411" t="n">
        <v>46.5785221513517</v>
      </c>
      <c r="Q70" s="411" t="n">
        <v>42.6295137225595</v>
      </c>
      <c r="R70" s="411" t="n">
        <v>32.7950191973524</v>
      </c>
      <c r="S70" s="411" t="n">
        <v>32.7950191973524</v>
      </c>
      <c r="T70" s="411" t="n">
        <v>32.6791388494118</v>
      </c>
      <c r="U70" s="411" t="n">
        <v>32.5347407321912</v>
      </c>
      <c r="V70" s="411" t="n">
        <v>32.4812467920034</v>
      </c>
      <c r="W70" s="411" t="n">
        <v>27.5058497600451</v>
      </c>
      <c r="X70" s="411" t="n">
        <v>25.9540344897455</v>
      </c>
      <c r="Y70" s="411" t="n">
        <v>24.0192253263992</v>
      </c>
      <c r="Z70" s="411" t="n">
        <v>23.1698380833461</v>
      </c>
      <c r="AA70" s="411" t="n">
        <v>22.5039251998747</v>
      </c>
      <c r="AB70" s="401" t="n">
        <f aca="false">AB69*(1+Assumptions!$L$13/12)</f>
        <v>0.665253836304245</v>
      </c>
      <c r="AC70" s="401" t="n">
        <f aca="false">AC69</f>
        <v>0</v>
      </c>
      <c r="AD70" s="405" t="n">
        <f aca="false">AD69</f>
        <v>264.146595696653</v>
      </c>
      <c r="AE70" s="405" t="n">
        <f aca="false">AE69</f>
        <v>3642.14532635839</v>
      </c>
      <c r="AF70" s="392" t="n">
        <f aca="false">IF(Assumptions!D$16=1,0,1)</f>
        <v>0</v>
      </c>
      <c r="AG70" s="406" t="n">
        <f aca="false">AG69</f>
        <v>0</v>
      </c>
      <c r="AH70" s="401" t="n">
        <f aca="false">Assumptions!$E$16*Assumptions!H23</f>
        <v>4.17129486549291</v>
      </c>
      <c r="AI70" s="401" t="n">
        <f aca="false">Assumptions!$F$16*Assumptions!I23</f>
        <v>3.84424981132076</v>
      </c>
      <c r="AJ70" s="401" t="n">
        <f aca="false">AJ69</f>
        <v>0</v>
      </c>
      <c r="AK70" s="401" t="n">
        <f aca="false">AK69</f>
        <v>0</v>
      </c>
      <c r="AL70" s="1"/>
    </row>
    <row r="71" customFormat="false" ht="12.75" hidden="false" customHeight="false" outlineLevel="0" collapsed="false">
      <c r="A71" s="400" t="n">
        <f aca="false">A70+30.417</f>
        <v>38365.02</v>
      </c>
      <c r="B71" s="401" t="n">
        <f aca="false">IF($B$9="Coal",AG71,IF($B$9="Gas",AH71,IF($B$9="Oil",AI71,0)))</f>
        <v>4.05395029213483</v>
      </c>
      <c r="C71" s="402" t="n">
        <f aca="false">(B71*$B$1*1000)/1000000</f>
        <v>45.8288730014459</v>
      </c>
      <c r="D71" s="401" t="n">
        <f aca="false">AB71+AC71</f>
        <v>0.666362592698086</v>
      </c>
      <c r="E71" s="401" t="n">
        <f aca="false">(($AJ71*$B$1*AD71*1000)/2000)/1000000</f>
        <v>0</v>
      </c>
      <c r="F71" s="401" t="n">
        <f aca="false">AF71*(($AK71*$B$1*AE71*1000)/2000)/1000000</f>
        <v>0</v>
      </c>
      <c r="G71" s="403" t="n">
        <f aca="false">IF('Peak Revenue'!$A$1="BL","-",SUM(C71:F71))</f>
        <v>46.4952355941439</v>
      </c>
      <c r="H71" s="411" t="n">
        <v>73.4018957513622</v>
      </c>
      <c r="I71" s="411" t="n">
        <v>71.0687784987236</v>
      </c>
      <c r="J71" s="411" t="n">
        <v>67.7474507497983</v>
      </c>
      <c r="K71" s="411" t="n">
        <v>66.4873406063944</v>
      </c>
      <c r="L71" s="411" t="n">
        <v>66.2544188276857</v>
      </c>
      <c r="M71" s="411" t="n">
        <v>60.45174249697</v>
      </c>
      <c r="N71" s="411" t="n">
        <v>46.5941601260473</v>
      </c>
      <c r="O71" s="411" t="n">
        <v>39.1659869284997</v>
      </c>
      <c r="P71" s="411" t="n">
        <v>37.7338889477001</v>
      </c>
      <c r="Q71" s="411" t="n">
        <v>33.9159310160281</v>
      </c>
      <c r="R71" s="411" t="n">
        <v>33.6872302994563</v>
      </c>
      <c r="S71" s="411" t="n">
        <v>33.6872302994563</v>
      </c>
      <c r="T71" s="411" t="n">
        <v>33.6872302994563</v>
      </c>
      <c r="U71" s="411" t="n">
        <v>33.6872302994563</v>
      </c>
      <c r="V71" s="411" t="n">
        <v>33.6872302994563</v>
      </c>
      <c r="W71" s="411" t="n">
        <v>31.3342431775328</v>
      </c>
      <c r="X71" s="411" t="n">
        <v>28.1834969314219</v>
      </c>
      <c r="Y71" s="411" t="n">
        <v>27.4792301387074</v>
      </c>
      <c r="Z71" s="411" t="n">
        <v>26.3815268557046</v>
      </c>
      <c r="AA71" s="411" t="n">
        <v>25.516315540917</v>
      </c>
      <c r="AB71" s="401" t="n">
        <f aca="false">AB70*(1+Assumptions!$L$13/12)</f>
        <v>0.666362592698086</v>
      </c>
      <c r="AC71" s="401" t="n">
        <f aca="false">VLOOKUP($C$1,EnvVOM,8)</f>
        <v>0</v>
      </c>
      <c r="AD71" s="405" t="n">
        <f aca="false">Assumptions!B17</f>
        <v>290.220969288313</v>
      </c>
      <c r="AE71" s="405" t="n">
        <f aca="false">Assumptions!C17</f>
        <v>3781.04443975663</v>
      </c>
      <c r="AF71" s="392" t="n">
        <f aca="false">IF(Assumptions!D$17=1,0,1)</f>
        <v>0</v>
      </c>
      <c r="AG71" s="406" t="n">
        <f aca="false">VLOOKUP($C$1,Coal,8)</f>
        <v>0</v>
      </c>
      <c r="AH71" s="401" t="n">
        <f aca="false">Assumptions!$E$17*Assumptions!H12</f>
        <v>4.05395029213483</v>
      </c>
      <c r="AI71" s="401" t="n">
        <f aca="false">Assumptions!$F$17*Assumptions!I12</f>
        <v>3.88264605076142</v>
      </c>
      <c r="AJ71" s="401" t="n">
        <f aca="false">VLOOKUP($C$1,SO2Rate,8)</f>
        <v>0</v>
      </c>
      <c r="AK71" s="401" t="n">
        <f aca="false">VLOOKUP($C$1,NOxRate,8)</f>
        <v>0</v>
      </c>
      <c r="AL71" s="1"/>
    </row>
    <row r="72" customFormat="false" ht="12.75" hidden="false" customHeight="false" outlineLevel="0" collapsed="false">
      <c r="A72" s="400" t="n">
        <f aca="false">A71+30.417</f>
        <v>38395.437</v>
      </c>
      <c r="B72" s="401" t="n">
        <f aca="false">IF($B$9="Coal",AG72,IF($B$9="Gas",AH72,IF($B$9="Oil",AI72,0)))</f>
        <v>3.63346076715276</v>
      </c>
      <c r="C72" s="402" t="n">
        <f aca="false">(B72*$B$1*1000)/1000000</f>
        <v>41.0753462805512</v>
      </c>
      <c r="D72" s="401" t="n">
        <f aca="false">AB72+AC72</f>
        <v>0.667473197019249</v>
      </c>
      <c r="E72" s="401" t="n">
        <f aca="false">(($AJ72*$B$1*AD72*1000)/2000)/1000000</f>
        <v>0</v>
      </c>
      <c r="F72" s="401" t="n">
        <f aca="false">AF72*(($AK72*$B$1*AE72*1000)/2000)/1000000</f>
        <v>0</v>
      </c>
      <c r="G72" s="403" t="n">
        <f aca="false">IF('Peak Revenue'!$A$1="BL","-",SUM(C72:F72))</f>
        <v>41.7428194775705</v>
      </c>
      <c r="H72" s="411" t="n">
        <v>81.8893675866082</v>
      </c>
      <c r="I72" s="411" t="n">
        <v>77.0738088746714</v>
      </c>
      <c r="J72" s="411" t="n">
        <v>74.3398653881682</v>
      </c>
      <c r="K72" s="411" t="n">
        <v>70.205037570063</v>
      </c>
      <c r="L72" s="411" t="n">
        <v>69.851329995865</v>
      </c>
      <c r="M72" s="411" t="n">
        <v>63.6973333877659</v>
      </c>
      <c r="N72" s="411" t="n">
        <v>51.5478070144225</v>
      </c>
      <c r="O72" s="411" t="n">
        <v>49.2816578683263</v>
      </c>
      <c r="P72" s="411" t="n">
        <v>40.6178437025453</v>
      </c>
      <c r="Q72" s="411" t="n">
        <v>34.9151064691352</v>
      </c>
      <c r="R72" s="411" t="n">
        <v>34.8628365811063</v>
      </c>
      <c r="S72" s="411" t="n">
        <v>34.6340840391531</v>
      </c>
      <c r="T72" s="411" t="n">
        <v>34.6217811134001</v>
      </c>
      <c r="U72" s="411" t="n">
        <v>27.9447210236802</v>
      </c>
      <c r="V72" s="411" t="n">
        <v>26.5138865373645</v>
      </c>
      <c r="W72" s="411" t="n">
        <v>25.4469483568939</v>
      </c>
      <c r="X72" s="411" t="n">
        <v>24.6340948390491</v>
      </c>
      <c r="Y72" s="411" t="n">
        <v>24.1792744962726</v>
      </c>
      <c r="Z72" s="411" t="n">
        <v>23.7484356896888</v>
      </c>
      <c r="AA72" s="411" t="n">
        <v>22.9776713844808</v>
      </c>
      <c r="AB72" s="401" t="n">
        <f aca="false">AB71*(1+Assumptions!$L$13/12)</f>
        <v>0.667473197019249</v>
      </c>
      <c r="AC72" s="401" t="n">
        <f aca="false">AC71</f>
        <v>0</v>
      </c>
      <c r="AD72" s="405" t="n">
        <f aca="false">AD71</f>
        <v>290.220969288313</v>
      </c>
      <c r="AE72" s="405" t="n">
        <f aca="false">AE71</f>
        <v>3781.04443975663</v>
      </c>
      <c r="AF72" s="392" t="n">
        <f aca="false">IF(Assumptions!D$17=1,0,1)</f>
        <v>0</v>
      </c>
      <c r="AG72" s="406" t="n">
        <f aca="false">AG71</f>
        <v>0</v>
      </c>
      <c r="AH72" s="401" t="n">
        <f aca="false">Assumptions!$E$17*Assumptions!H13</f>
        <v>3.63346076715276</v>
      </c>
      <c r="AI72" s="401" t="n">
        <f aca="false">Assumptions!$F$17*Assumptions!I13</f>
        <v>3.84669562436548</v>
      </c>
      <c r="AJ72" s="401" t="n">
        <f aca="false">AJ71</f>
        <v>0</v>
      </c>
      <c r="AK72" s="401" t="n">
        <f aca="false">AK71</f>
        <v>0</v>
      </c>
      <c r="AL72" s="1"/>
    </row>
    <row r="73" customFormat="false" ht="12.75" hidden="false" customHeight="false" outlineLevel="0" collapsed="false">
      <c r="A73" s="400" t="n">
        <f aca="false">A72+30.417</f>
        <v>38425.854</v>
      </c>
      <c r="B73" s="401" t="n">
        <f aca="false">IF($B$9="Coal",AG73,IF($B$9="Gas",AH73,IF($B$9="Oil",AI73,0)))</f>
        <v>3.57236399856562</v>
      </c>
      <c r="C73" s="402" t="n">
        <f aca="false">(B73*$B$1*1000)/1000000</f>
        <v>40.3846629108486</v>
      </c>
      <c r="D73" s="401" t="n">
        <f aca="false">AB73+AC73</f>
        <v>0.668585652347615</v>
      </c>
      <c r="E73" s="401" t="n">
        <f aca="false">(($AJ73*$B$1*AD73*1000)/2000)/1000000</f>
        <v>0</v>
      </c>
      <c r="F73" s="401" t="n">
        <f aca="false">AF73*(($AK73*$B$1*AE73*1000)/2000)/1000000</f>
        <v>0</v>
      </c>
      <c r="G73" s="403" t="n">
        <f aca="false">IF('Peak Revenue'!$A$1="BL","-",SUM(C73:F73))</f>
        <v>41.0532485631962</v>
      </c>
      <c r="H73" s="411" t="n">
        <v>72.8590339519905</v>
      </c>
      <c r="I73" s="411" t="n">
        <v>70.4400200113076</v>
      </c>
      <c r="J73" s="411" t="n">
        <v>66.9045267343698</v>
      </c>
      <c r="K73" s="411" t="n">
        <v>65.3182989619467</v>
      </c>
      <c r="L73" s="411" t="n">
        <v>65.1399228749621</v>
      </c>
      <c r="M73" s="411" t="n">
        <v>59.2917722884616</v>
      </c>
      <c r="N73" s="411" t="n">
        <v>45.806097924995</v>
      </c>
      <c r="O73" s="411" t="n">
        <v>39.3883885599064</v>
      </c>
      <c r="P73" s="411" t="n">
        <v>37.1697594463716</v>
      </c>
      <c r="Q73" s="411" t="n">
        <v>33.3995124889646</v>
      </c>
      <c r="R73" s="411" t="n">
        <v>32.3909265299779</v>
      </c>
      <c r="S73" s="411" t="n">
        <v>32.3909265299779</v>
      </c>
      <c r="T73" s="411" t="n">
        <v>32.3909265299779</v>
      </c>
      <c r="U73" s="411" t="n">
        <v>32.3909265299779</v>
      </c>
      <c r="V73" s="411" t="n">
        <v>32.2921947945412</v>
      </c>
      <c r="W73" s="411" t="n">
        <v>27.9564661669836</v>
      </c>
      <c r="X73" s="411" t="n">
        <v>26.6840136123995</v>
      </c>
      <c r="Y73" s="411" t="n">
        <v>25.5234760616229</v>
      </c>
      <c r="Z73" s="411" t="n">
        <v>24.5476373212201</v>
      </c>
      <c r="AA73" s="411" t="n">
        <v>23.4056505812004</v>
      </c>
      <c r="AB73" s="401" t="n">
        <f aca="false">AB72*(1+Assumptions!$L$13/12)</f>
        <v>0.668585652347615</v>
      </c>
      <c r="AC73" s="401" t="n">
        <f aca="false">AC72</f>
        <v>0</v>
      </c>
      <c r="AD73" s="405" t="n">
        <f aca="false">AD72</f>
        <v>290.220969288313</v>
      </c>
      <c r="AE73" s="405" t="n">
        <f aca="false">AE72</f>
        <v>3781.04443975663</v>
      </c>
      <c r="AF73" s="392" t="n">
        <f aca="false">IF(Assumptions!D$17=1,0,1)</f>
        <v>0</v>
      </c>
      <c r="AG73" s="406" t="n">
        <f aca="false">AG72</f>
        <v>0</v>
      </c>
      <c r="AH73" s="401" t="n">
        <f aca="false">Assumptions!$E$17*Assumptions!H14</f>
        <v>3.57236399856562</v>
      </c>
      <c r="AI73" s="401" t="n">
        <f aca="false">Assumptions!$F$17*Assumptions!I14</f>
        <v>3.70289391878173</v>
      </c>
      <c r="AJ73" s="401" t="n">
        <f aca="false">AJ72</f>
        <v>0</v>
      </c>
      <c r="AK73" s="401" t="n">
        <f aca="false">AK72</f>
        <v>0</v>
      </c>
      <c r="AL73" s="1"/>
    </row>
    <row r="74" customFormat="false" ht="12.75" hidden="false" customHeight="false" outlineLevel="0" collapsed="false">
      <c r="A74" s="400" t="n">
        <f aca="false">A73+30.417</f>
        <v>38456.271</v>
      </c>
      <c r="B74" s="401" t="n">
        <f aca="false">IF($B$9="Coal",AG74,IF($B$9="Gas",AH74,IF($B$9="Oil",AI74,0)))</f>
        <v>3.39626154793211</v>
      </c>
      <c r="C74" s="402" t="n">
        <f aca="false">(B74*$B$1*1000)/1000000</f>
        <v>38.3938696687645</v>
      </c>
      <c r="D74" s="401" t="n">
        <f aca="false">AB74+AC74</f>
        <v>0.669699961768194</v>
      </c>
      <c r="E74" s="401" t="n">
        <f aca="false">(($AJ74*$B$1*AD74*1000)/2000)/1000000</f>
        <v>0</v>
      </c>
      <c r="F74" s="401" t="n">
        <f aca="false">AF74*(($AK74*$B$1*AE74*1000)/2000)/1000000</f>
        <v>0</v>
      </c>
      <c r="G74" s="403" t="n">
        <f aca="false">IF('Peak Revenue'!$A$1="BL","-",SUM(C74:F74))</f>
        <v>39.0635696305327</v>
      </c>
      <c r="H74" s="411" t="n">
        <v>59.3042076704785</v>
      </c>
      <c r="I74" s="411" t="n">
        <v>57.1531447916612</v>
      </c>
      <c r="J74" s="411" t="n">
        <v>54.5143464828281</v>
      </c>
      <c r="K74" s="411" t="n">
        <v>53.925877605717</v>
      </c>
      <c r="L74" s="411" t="n">
        <v>53.7473794764913</v>
      </c>
      <c r="M74" s="411" t="n">
        <v>44.9211950767835</v>
      </c>
      <c r="N74" s="411" t="n">
        <v>41.1426513002653</v>
      </c>
      <c r="O74" s="411" t="n">
        <v>38.2569805034187</v>
      </c>
      <c r="P74" s="411" t="n">
        <v>33.5800748661213</v>
      </c>
      <c r="Q74" s="411" t="n">
        <v>28.4733099750487</v>
      </c>
      <c r="R74" s="411" t="n">
        <v>28.0918228392895</v>
      </c>
      <c r="S74" s="411" t="n">
        <v>28.0918228392895</v>
      </c>
      <c r="T74" s="411" t="n">
        <v>28.0692356547946</v>
      </c>
      <c r="U74" s="411" t="n">
        <v>27.0000602903384</v>
      </c>
      <c r="V74" s="411" t="n">
        <v>26.0313017660298</v>
      </c>
      <c r="W74" s="411" t="n">
        <v>25.8264181537693</v>
      </c>
      <c r="X74" s="411" t="n">
        <v>24.7877275004429</v>
      </c>
      <c r="Y74" s="411" t="n">
        <v>24.2289928624386</v>
      </c>
      <c r="Z74" s="411" t="n">
        <v>23.7641557090584</v>
      </c>
      <c r="AA74" s="411" t="n">
        <v>23.3424530978076</v>
      </c>
      <c r="AB74" s="401" t="n">
        <f aca="false">AB73*(1+Assumptions!$L$13/12)</f>
        <v>0.669699961768194</v>
      </c>
      <c r="AC74" s="401" t="n">
        <f aca="false">AC73</f>
        <v>0</v>
      </c>
      <c r="AD74" s="405" t="n">
        <f aca="false">AD73</f>
        <v>290.220969288313</v>
      </c>
      <c r="AE74" s="405" t="n">
        <f aca="false">AE73</f>
        <v>3781.04443975663</v>
      </c>
      <c r="AF74" s="392" t="n">
        <f aca="false">IF(Assumptions!D$17=1,0,1)</f>
        <v>0</v>
      </c>
      <c r="AG74" s="406" t="n">
        <f aca="false">AG73</f>
        <v>0</v>
      </c>
      <c r="AH74" s="401" t="n">
        <f aca="false">Assumptions!$E$17*Assumptions!H15</f>
        <v>3.39626154793211</v>
      </c>
      <c r="AI74" s="401" t="n">
        <f aca="false">Assumptions!$F$17*Assumptions!I15</f>
        <v>3.55909221319797</v>
      </c>
      <c r="AJ74" s="401" t="n">
        <f aca="false">AJ73</f>
        <v>0</v>
      </c>
      <c r="AK74" s="401" t="n">
        <f aca="false">AK73</f>
        <v>0</v>
      </c>
      <c r="AL74" s="1"/>
    </row>
    <row r="75" customFormat="false" ht="12.75" hidden="false" customHeight="false" outlineLevel="0" collapsed="false">
      <c r="A75" s="400" t="n">
        <f aca="false">A74+30.417</f>
        <v>38486.688</v>
      </c>
      <c r="B75" s="401" t="n">
        <f aca="false">IF($B$9="Coal",AG75,IF($B$9="Gas",AH75,IF($B$9="Oil",AI75,0)))</f>
        <v>3.57595792612957</v>
      </c>
      <c r="C75" s="402" t="n">
        <f aca="false">(B75*$B$1*1000)/1000000</f>
        <v>40.4252913443605</v>
      </c>
      <c r="D75" s="401" t="n">
        <f aca="false">AB75+AC75</f>
        <v>0.670816128371141</v>
      </c>
      <c r="E75" s="401" t="n">
        <f aca="false">(($AJ75*$B$1*AD75*1000)/2000)/1000000</f>
        <v>0</v>
      </c>
      <c r="F75" s="401" t="n">
        <f aca="false">AF75*(($AK75*$B$1*AE75*1000)/2000)/1000000</f>
        <v>0</v>
      </c>
      <c r="G75" s="403" t="n">
        <f aca="false">IF('Peak Revenue'!$A$1="BL","-",SUM(C75:F75))</f>
        <v>41.0961074727316</v>
      </c>
      <c r="H75" s="411" t="n">
        <v>78.9542430602269</v>
      </c>
      <c r="I75" s="411" t="n">
        <v>68.9043043463696</v>
      </c>
      <c r="J75" s="411" t="n">
        <v>63.7348877337562</v>
      </c>
      <c r="K75" s="411" t="n">
        <v>59.3659672176916</v>
      </c>
      <c r="L75" s="411" t="n">
        <v>56.6534860443971</v>
      </c>
      <c r="M75" s="411" t="n">
        <v>55.7422862938846</v>
      </c>
      <c r="N75" s="411" t="n">
        <v>42.5767792650723</v>
      </c>
      <c r="O75" s="411" t="n">
        <v>38.0953191776513</v>
      </c>
      <c r="P75" s="411" t="n">
        <v>33.5220222695327</v>
      </c>
      <c r="Q75" s="411" t="n">
        <v>32.5931073515832</v>
      </c>
      <c r="R75" s="411" t="n">
        <v>32.5209344505845</v>
      </c>
      <c r="S75" s="411" t="n">
        <v>32.1934094883558</v>
      </c>
      <c r="T75" s="411" t="n">
        <v>31.1459758724841</v>
      </c>
      <c r="U75" s="411" t="n">
        <v>30.5534055089857</v>
      </c>
      <c r="V75" s="411" t="n">
        <v>29.7821988948255</v>
      </c>
      <c r="W75" s="411" t="n">
        <v>28.9436650482983</v>
      </c>
      <c r="X75" s="411" t="n">
        <v>28.5510205749539</v>
      </c>
      <c r="Y75" s="411" t="n">
        <v>28.0750223176549</v>
      </c>
      <c r="Z75" s="411" t="n">
        <v>27.8524201177457</v>
      </c>
      <c r="AA75" s="411" t="n">
        <v>27.3330797652509</v>
      </c>
      <c r="AB75" s="401" t="n">
        <f aca="false">AB74*(1+Assumptions!$L$13/12)</f>
        <v>0.670816128371141</v>
      </c>
      <c r="AC75" s="401" t="n">
        <f aca="false">AC74</f>
        <v>0</v>
      </c>
      <c r="AD75" s="405" t="n">
        <f aca="false">AD74</f>
        <v>290.220969288313</v>
      </c>
      <c r="AE75" s="405" t="n">
        <f aca="false">AE74</f>
        <v>3781.04443975663</v>
      </c>
      <c r="AF75" s="392" t="n">
        <v>1</v>
      </c>
      <c r="AG75" s="406" t="n">
        <f aca="false">AG74</f>
        <v>0</v>
      </c>
      <c r="AH75" s="401" t="n">
        <f aca="false">Assumptions!$E$17*Assumptions!H16</f>
        <v>3.57595792612957</v>
      </c>
      <c r="AI75" s="401" t="n">
        <f aca="false">Assumptions!$F$17*Assumptions!I16</f>
        <v>3.41529050761421</v>
      </c>
      <c r="AJ75" s="401" t="n">
        <f aca="false">AJ74</f>
        <v>0</v>
      </c>
      <c r="AK75" s="401" t="n">
        <f aca="false">AK74</f>
        <v>0</v>
      </c>
      <c r="AL75" s="1"/>
    </row>
    <row r="76" customFormat="false" ht="12.75" hidden="false" customHeight="false" outlineLevel="0" collapsed="false">
      <c r="A76" s="400" t="n">
        <f aca="false">A75+30.417</f>
        <v>38517.105</v>
      </c>
      <c r="B76" s="401" t="n">
        <f aca="false">IF($B$9="Coal",AG76,IF($B$9="Gas",AH76,IF($B$9="Oil",AI76,0)))</f>
        <v>3.40704333062395</v>
      </c>
      <c r="C76" s="402" t="n">
        <f aca="false">(B76*$B$1*1000)/1000000</f>
        <v>38.5157549693002</v>
      </c>
      <c r="D76" s="401" t="n">
        <f aca="false">AB76+AC76</f>
        <v>0.67193415525176</v>
      </c>
      <c r="E76" s="401" t="n">
        <f aca="false">(($AJ76*$B$1*AD76*1000)/2000)/1000000</f>
        <v>0</v>
      </c>
      <c r="F76" s="401" t="n">
        <f aca="false">AF76*(($AK76*$B$1*AE76*1000)/2000)/1000000</f>
        <v>0</v>
      </c>
      <c r="G76" s="403" t="n">
        <f aca="false">IF('Peak Revenue'!$A$1="BL","-",SUM(C76:F76))</f>
        <v>39.187689124552</v>
      </c>
      <c r="H76" s="411" t="n">
        <v>241.706678773595</v>
      </c>
      <c r="I76" s="411" t="n">
        <v>177.473797289504</v>
      </c>
      <c r="J76" s="411" t="n">
        <v>155.066517861813</v>
      </c>
      <c r="K76" s="411" t="n">
        <v>103.084100656769</v>
      </c>
      <c r="L76" s="411" t="n">
        <v>56.5424797598172</v>
      </c>
      <c r="M76" s="411" t="n">
        <v>49.7188625725367</v>
      </c>
      <c r="N76" s="411" t="n">
        <v>45.7715657862344</v>
      </c>
      <c r="O76" s="411" t="n">
        <v>43.8102711975354</v>
      </c>
      <c r="P76" s="411" t="n">
        <v>36.2172399786751</v>
      </c>
      <c r="Q76" s="411" t="n">
        <v>33.0046977573261</v>
      </c>
      <c r="R76" s="411" t="n">
        <v>32.1415832827455</v>
      </c>
      <c r="S76" s="411" t="n">
        <v>30.9268890891793</v>
      </c>
      <c r="T76" s="411" t="n">
        <v>30.4310189004468</v>
      </c>
      <c r="U76" s="411" t="n">
        <v>29.8633074583565</v>
      </c>
      <c r="V76" s="411" t="n">
        <v>29.0643657188437</v>
      </c>
      <c r="W76" s="411" t="n">
        <v>28.1688331545316</v>
      </c>
      <c r="X76" s="411" t="n">
        <v>27.7882753282637</v>
      </c>
      <c r="Y76" s="411" t="n">
        <v>27.2062682875586</v>
      </c>
      <c r="Z76" s="411" t="n">
        <v>26.671895723463</v>
      </c>
      <c r="AA76" s="411" t="n">
        <v>25.3322082817159</v>
      </c>
      <c r="AB76" s="401" t="n">
        <f aca="false">AB75*(1+Assumptions!$L$13/12)</f>
        <v>0.67193415525176</v>
      </c>
      <c r="AC76" s="401" t="n">
        <f aca="false">AC75</f>
        <v>0</v>
      </c>
      <c r="AD76" s="405" t="n">
        <f aca="false">AD75</f>
        <v>290.220969288313</v>
      </c>
      <c r="AE76" s="405" t="n">
        <f aca="false">AE75</f>
        <v>3781.04443975663</v>
      </c>
      <c r="AF76" s="392" t="n">
        <v>1</v>
      </c>
      <c r="AG76" s="406" t="n">
        <f aca="false">AG75</f>
        <v>0</v>
      </c>
      <c r="AH76" s="401" t="n">
        <f aca="false">Assumptions!$E$17*Assumptions!H17</f>
        <v>3.40704333062395</v>
      </c>
      <c r="AI76" s="401" t="n">
        <f aca="false">Assumptions!$F$17*Assumptions!I17</f>
        <v>3.41529050761421</v>
      </c>
      <c r="AJ76" s="401" t="n">
        <f aca="false">AJ75</f>
        <v>0</v>
      </c>
      <c r="AK76" s="401" t="n">
        <f aca="false">AK75</f>
        <v>0</v>
      </c>
      <c r="AL76" s="1"/>
    </row>
    <row r="77" customFormat="false" ht="12.75" hidden="false" customHeight="false" outlineLevel="0" collapsed="false">
      <c r="A77" s="400" t="n">
        <f aca="false">A76+30.417</f>
        <v>38547.522</v>
      </c>
      <c r="B77" s="401" t="n">
        <f aca="false">IF($B$9="Coal",AG77,IF($B$9="Gas",AH77,IF($B$9="Oil",AI77,0)))</f>
        <v>3.39626154793211</v>
      </c>
      <c r="C77" s="402" t="n">
        <f aca="false">(B77*$B$1*1000)/1000000</f>
        <v>38.3938696687645</v>
      </c>
      <c r="D77" s="401" t="n">
        <f aca="false">AB77+AC77</f>
        <v>0.673054045510513</v>
      </c>
      <c r="E77" s="401" t="n">
        <f aca="false">(($AJ77*$B$1*AD77*1000)/2000)/1000000</f>
        <v>0</v>
      </c>
      <c r="F77" s="401" t="n">
        <f aca="false">AF77*(($AK77*$B$1*AE77*1000)/2000)/1000000</f>
        <v>0</v>
      </c>
      <c r="G77" s="403" t="n">
        <f aca="false">IF('Peak Revenue'!$A$1="BL","-",SUM(C77:F77))</f>
        <v>39.066923714275</v>
      </c>
      <c r="H77" s="411" t="n">
        <v>538.651549799349</v>
      </c>
      <c r="I77" s="411" t="n">
        <v>363.789767324432</v>
      </c>
      <c r="J77" s="411" t="n">
        <v>265.115156409251</v>
      </c>
      <c r="K77" s="411" t="n">
        <v>184.264774321848</v>
      </c>
      <c r="L77" s="411" t="n">
        <v>138.265791613459</v>
      </c>
      <c r="M77" s="411" t="n">
        <v>75.8617408336251</v>
      </c>
      <c r="N77" s="411" t="n">
        <v>55.7891672294877</v>
      </c>
      <c r="O77" s="411" t="n">
        <v>50.3557536628972</v>
      </c>
      <c r="P77" s="411" t="n">
        <v>49.400118586027</v>
      </c>
      <c r="Q77" s="411" t="n">
        <v>41.0336262289732</v>
      </c>
      <c r="R77" s="411" t="n">
        <v>35.4554094226909</v>
      </c>
      <c r="S77" s="411" t="n">
        <v>33.6102121659091</v>
      </c>
      <c r="T77" s="411" t="n">
        <v>32.0836967786978</v>
      </c>
      <c r="U77" s="411" t="n">
        <v>31.0529855776808</v>
      </c>
      <c r="V77" s="411" t="n">
        <v>30.6357736223012</v>
      </c>
      <c r="W77" s="411" t="n">
        <v>29.5878726928511</v>
      </c>
      <c r="X77" s="411" t="n">
        <v>28.8405997134481</v>
      </c>
      <c r="Y77" s="411" t="n">
        <v>28.5708290981612</v>
      </c>
      <c r="Z77" s="411" t="n">
        <v>27.6942726373998</v>
      </c>
      <c r="AA77" s="411" t="n">
        <v>25.3646655246117</v>
      </c>
      <c r="AB77" s="401" t="n">
        <f aca="false">AB76*(1+Assumptions!$L$13/12)</f>
        <v>0.673054045510513</v>
      </c>
      <c r="AC77" s="401" t="n">
        <f aca="false">AC76</f>
        <v>0</v>
      </c>
      <c r="AD77" s="405" t="n">
        <f aca="false">AD76</f>
        <v>290.220969288313</v>
      </c>
      <c r="AE77" s="405" t="n">
        <f aca="false">AE76</f>
        <v>3781.04443975663</v>
      </c>
      <c r="AF77" s="392" t="n">
        <v>1</v>
      </c>
      <c r="AG77" s="406" t="n">
        <f aca="false">AG76</f>
        <v>0</v>
      </c>
      <c r="AH77" s="401" t="n">
        <f aca="false">Assumptions!$E$17*Assumptions!H18</f>
        <v>3.39626154793211</v>
      </c>
      <c r="AI77" s="401" t="n">
        <f aca="false">Assumptions!$F$17*Assumptions!I18</f>
        <v>3.41529050761421</v>
      </c>
      <c r="AJ77" s="401" t="n">
        <f aca="false">AJ76</f>
        <v>0</v>
      </c>
      <c r="AK77" s="401" t="n">
        <f aca="false">AK76</f>
        <v>0</v>
      </c>
      <c r="AL77" s="1"/>
    </row>
    <row r="78" customFormat="false" ht="12.75" hidden="false" customHeight="false" outlineLevel="0" collapsed="false">
      <c r="A78" s="400" t="n">
        <f aca="false">A77+30.417</f>
        <v>38577.939</v>
      </c>
      <c r="B78" s="401" t="n">
        <f aca="false">IF($B$9="Coal",AG78,IF($B$9="Gas",AH78,IF($B$9="Oil",AI78,0)))</f>
        <v>3.22015909729859</v>
      </c>
      <c r="C78" s="402" t="n">
        <f aca="false">(B78*$B$1*1000)/1000000</f>
        <v>36.4030764266804</v>
      </c>
      <c r="D78" s="401" t="n">
        <f aca="false">AB78+AC78</f>
        <v>0.67417580225303</v>
      </c>
      <c r="E78" s="401" t="n">
        <f aca="false">(($AJ78*$B$1*AD78*1000)/2000)/1000000</f>
        <v>0</v>
      </c>
      <c r="F78" s="401" t="n">
        <f aca="false">AF78*(($AK78*$B$1*AE78*1000)/2000)/1000000</f>
        <v>0</v>
      </c>
      <c r="G78" s="403" t="n">
        <f aca="false">IF('Peak Revenue'!$A$1="BL","-",SUM(C78:F78))</f>
        <v>37.0772522289334</v>
      </c>
      <c r="H78" s="411" t="n">
        <v>848.604409304927</v>
      </c>
      <c r="I78" s="411" t="n">
        <v>492.213529967238</v>
      </c>
      <c r="J78" s="411" t="n">
        <v>337.341971068257</v>
      </c>
      <c r="K78" s="411" t="n">
        <v>211.360958382009</v>
      </c>
      <c r="L78" s="411" t="n">
        <v>154.352577015209</v>
      </c>
      <c r="M78" s="411" t="n">
        <v>92.4607818369243</v>
      </c>
      <c r="N78" s="411" t="n">
        <v>70.3715088857983</v>
      </c>
      <c r="O78" s="411" t="n">
        <v>63.4103660518716</v>
      </c>
      <c r="P78" s="411" t="n">
        <v>58.6072598446009</v>
      </c>
      <c r="Q78" s="411" t="n">
        <v>44.1586090737072</v>
      </c>
      <c r="R78" s="411" t="n">
        <v>38.5588585344013</v>
      </c>
      <c r="S78" s="411" t="n">
        <v>36.2704607396004</v>
      </c>
      <c r="T78" s="411" t="n">
        <v>35.6852785468207</v>
      </c>
      <c r="U78" s="411" t="n">
        <v>34.9858388640939</v>
      </c>
      <c r="V78" s="411" t="n">
        <v>34.2442977451756</v>
      </c>
      <c r="W78" s="411" t="n">
        <v>33.4970730148352</v>
      </c>
      <c r="X78" s="411" t="n">
        <v>32.3617244231878</v>
      </c>
      <c r="Y78" s="411" t="n">
        <v>31.6275648117236</v>
      </c>
      <c r="Z78" s="411" t="n">
        <v>30.8811685625998</v>
      </c>
      <c r="AA78" s="411" t="n">
        <v>28.4666442566738</v>
      </c>
      <c r="AB78" s="401" t="n">
        <f aca="false">AB77*(1+Assumptions!$L$13/12)</f>
        <v>0.67417580225303</v>
      </c>
      <c r="AC78" s="401" t="n">
        <f aca="false">AC77</f>
        <v>0</v>
      </c>
      <c r="AD78" s="405" t="n">
        <f aca="false">AD77</f>
        <v>290.220969288313</v>
      </c>
      <c r="AE78" s="405" t="n">
        <f aca="false">AE77</f>
        <v>3781.04443975663</v>
      </c>
      <c r="AF78" s="392" t="n">
        <v>1</v>
      </c>
      <c r="AG78" s="406" t="n">
        <f aca="false">AG77</f>
        <v>0</v>
      </c>
      <c r="AH78" s="401" t="n">
        <f aca="false">Assumptions!$E$17*Assumptions!H19</f>
        <v>3.22015909729859</v>
      </c>
      <c r="AI78" s="401" t="n">
        <f aca="false">Assumptions!$F$17*Assumptions!I19</f>
        <v>3.41529050761421</v>
      </c>
      <c r="AJ78" s="401" t="n">
        <f aca="false">AJ77</f>
        <v>0</v>
      </c>
      <c r="AK78" s="401" t="n">
        <f aca="false">AK77</f>
        <v>0</v>
      </c>
      <c r="AL78" s="1"/>
    </row>
    <row r="79" customFormat="false" ht="12.75" hidden="false" customHeight="false" outlineLevel="0" collapsed="false">
      <c r="A79" s="400" t="n">
        <f aca="false">A78+30.417</f>
        <v>38608.356</v>
      </c>
      <c r="B79" s="401" t="n">
        <f aca="false">IF($B$9="Coal",AG79,IF($B$9="Gas",AH79,IF($B$9="Oil",AI79,0)))</f>
        <v>3.20937731460674</v>
      </c>
      <c r="C79" s="402" t="n">
        <f aca="false">(B79*$B$1*1000)/1000000</f>
        <v>36.2811911261446</v>
      </c>
      <c r="D79" s="401" t="n">
        <f aca="false">AB79+AC79</f>
        <v>0.675299428590119</v>
      </c>
      <c r="E79" s="401" t="n">
        <f aca="false">(($AJ79*$B$1*AD79*1000)/2000)/1000000</f>
        <v>0</v>
      </c>
      <c r="F79" s="401" t="n">
        <f aca="false">AF79*(($AK79*$B$1*AE79*1000)/2000)/1000000</f>
        <v>0</v>
      </c>
      <c r="G79" s="403" t="n">
        <f aca="false">IF('Peak Revenue'!$A$1="BL","-",SUM(C79:F79))</f>
        <v>36.9564905547348</v>
      </c>
      <c r="H79" s="411" t="n">
        <v>197.778397092124</v>
      </c>
      <c r="I79" s="411" t="n">
        <v>162.046187414583</v>
      </c>
      <c r="J79" s="411" t="n">
        <v>134.260623547092</v>
      </c>
      <c r="K79" s="411" t="n">
        <v>86.6966522647406</v>
      </c>
      <c r="L79" s="411" t="n">
        <v>66.5155799440643</v>
      </c>
      <c r="M79" s="411" t="n">
        <v>60.2242106255444</v>
      </c>
      <c r="N79" s="411" t="n">
        <v>58.1774009981963</v>
      </c>
      <c r="O79" s="411" t="n">
        <v>47.5586477321527</v>
      </c>
      <c r="P79" s="411" t="n">
        <v>38.8046187910911</v>
      </c>
      <c r="Q79" s="411" t="n">
        <v>33.4516055758517</v>
      </c>
      <c r="R79" s="411" t="n">
        <v>32.599208182595</v>
      </c>
      <c r="S79" s="411" t="n">
        <v>30.9213214561693</v>
      </c>
      <c r="T79" s="411" t="n">
        <v>29.8829537644243</v>
      </c>
      <c r="U79" s="411" t="n">
        <v>29.3384155425631</v>
      </c>
      <c r="V79" s="411" t="n">
        <v>29.0160182233451</v>
      </c>
      <c r="W79" s="411" t="n">
        <v>28.5832195793321</v>
      </c>
      <c r="X79" s="411" t="n">
        <v>28.5796209394923</v>
      </c>
      <c r="Y79" s="411" t="n">
        <v>28.5793014800738</v>
      </c>
      <c r="Z79" s="411" t="n">
        <v>28.5790920439731</v>
      </c>
      <c r="AA79" s="411" t="n">
        <v>27.2878976194308</v>
      </c>
      <c r="AB79" s="401" t="n">
        <f aca="false">AB78*(1+Assumptions!$L$13/12)</f>
        <v>0.675299428590119</v>
      </c>
      <c r="AC79" s="401" t="n">
        <f aca="false">AC78</f>
        <v>0</v>
      </c>
      <c r="AD79" s="405" t="n">
        <f aca="false">AD78</f>
        <v>290.220969288313</v>
      </c>
      <c r="AE79" s="405" t="n">
        <f aca="false">AE78</f>
        <v>3781.04443975663</v>
      </c>
      <c r="AF79" s="392" t="n">
        <v>1</v>
      </c>
      <c r="AG79" s="406" t="n">
        <f aca="false">AG78</f>
        <v>0</v>
      </c>
      <c r="AH79" s="401" t="n">
        <f aca="false">Assumptions!$E$17*Assumptions!H20</f>
        <v>3.20937731460674</v>
      </c>
      <c r="AI79" s="401" t="n">
        <f aca="false">Assumptions!$F$17*Assumptions!I20</f>
        <v>3.41529050761421</v>
      </c>
      <c r="AJ79" s="401" t="n">
        <f aca="false">AJ78</f>
        <v>0</v>
      </c>
      <c r="AK79" s="401" t="n">
        <f aca="false">AK78</f>
        <v>0</v>
      </c>
      <c r="AL79" s="1"/>
    </row>
    <row r="80" customFormat="false" ht="12.75" hidden="false" customHeight="false" outlineLevel="0" collapsed="false">
      <c r="A80" s="400" t="n">
        <f aca="false">A79+30.417</f>
        <v>38638.773</v>
      </c>
      <c r="B80" s="401" t="n">
        <f aca="false">IF($B$9="Coal",AG80,IF($B$9="Gas",AH80,IF($B$9="Oil",AI80,0)))</f>
        <v>3.55439436074588</v>
      </c>
      <c r="C80" s="402" t="n">
        <f aca="false">(B80*$B$1*1000)/1000000</f>
        <v>40.181520743289</v>
      </c>
      <c r="D80" s="401" t="n">
        <f aca="false">AB80+AC80</f>
        <v>0.676424927637769</v>
      </c>
      <c r="E80" s="401" t="n">
        <f aca="false">(($AJ80*$B$1*AD80*1000)/2000)/1000000</f>
        <v>0</v>
      </c>
      <c r="F80" s="401" t="n">
        <f aca="false">AF80*(($AK80*$B$1*AE80*1000)/2000)/1000000</f>
        <v>0</v>
      </c>
      <c r="G80" s="403" t="n">
        <f aca="false">IF('Peak Revenue'!$A$1="BL","-",SUM(C80:F80))</f>
        <v>40.8579456709267</v>
      </c>
      <c r="H80" s="411" t="n">
        <v>70.8451040784516</v>
      </c>
      <c r="I80" s="411" t="n">
        <v>64.726857695635</v>
      </c>
      <c r="J80" s="411" t="n">
        <v>61.0584957687398</v>
      </c>
      <c r="K80" s="411" t="n">
        <v>58.8213514015547</v>
      </c>
      <c r="L80" s="411" t="n">
        <v>56.5648929438929</v>
      </c>
      <c r="M80" s="411" t="n">
        <v>52.7794887449578</v>
      </c>
      <c r="N80" s="411" t="n">
        <v>52.0368012560804</v>
      </c>
      <c r="O80" s="411" t="n">
        <v>50.7538822541614</v>
      </c>
      <c r="P80" s="411" t="n">
        <v>42.0927968566631</v>
      </c>
      <c r="Q80" s="411" t="n">
        <v>37.0277708935079</v>
      </c>
      <c r="R80" s="411" t="n">
        <v>30.6301919597766</v>
      </c>
      <c r="S80" s="411" t="n">
        <v>30.0862940032429</v>
      </c>
      <c r="T80" s="411" t="n">
        <v>28.1324747452094</v>
      </c>
      <c r="U80" s="411" t="n">
        <v>27.4656578855333</v>
      </c>
      <c r="V80" s="411" t="n">
        <v>27.3937322031251</v>
      </c>
      <c r="W80" s="411" t="n">
        <v>25.6248743246691</v>
      </c>
      <c r="X80" s="411" t="n">
        <v>24.7666049130549</v>
      </c>
      <c r="Y80" s="411" t="n">
        <v>24.3899613278243</v>
      </c>
      <c r="Z80" s="411" t="n">
        <v>23.4192446721505</v>
      </c>
      <c r="AA80" s="411" t="n">
        <v>22.4394732952362</v>
      </c>
      <c r="AB80" s="401" t="n">
        <f aca="false">AB79*(1+Assumptions!$L$13/12)</f>
        <v>0.676424927637769</v>
      </c>
      <c r="AC80" s="401" t="n">
        <f aca="false">AC79</f>
        <v>0</v>
      </c>
      <c r="AD80" s="405" t="n">
        <f aca="false">AD79</f>
        <v>290.220969288313</v>
      </c>
      <c r="AE80" s="405" t="n">
        <f aca="false">AE79</f>
        <v>3781.04443975663</v>
      </c>
      <c r="AF80" s="392" t="n">
        <f aca="false">IF(Assumptions!D$17=1,0,1)</f>
        <v>0</v>
      </c>
      <c r="AG80" s="406" t="n">
        <f aca="false">AG79</f>
        <v>0</v>
      </c>
      <c r="AH80" s="401" t="n">
        <f aca="false">Assumptions!$E$17*Assumptions!H21</f>
        <v>3.55439436074588</v>
      </c>
      <c r="AI80" s="401" t="n">
        <f aca="false">Assumptions!$F$17*Assumptions!I21</f>
        <v>3.41529050761421</v>
      </c>
      <c r="AJ80" s="401" t="n">
        <f aca="false">AJ79</f>
        <v>0</v>
      </c>
      <c r="AK80" s="401" t="n">
        <f aca="false">AK79</f>
        <v>0</v>
      </c>
      <c r="AL80" s="1"/>
    </row>
    <row r="81" customFormat="false" ht="12.75" hidden="false" customHeight="false" outlineLevel="0" collapsed="false">
      <c r="A81" s="400" t="n">
        <f aca="false">A80+30.417</f>
        <v>38669.19</v>
      </c>
      <c r="B81" s="401" t="n">
        <f aca="false">IF($B$9="Coal",AG81,IF($B$9="Gas",AH81,IF($B$9="Oil",AI81,0)))</f>
        <v>3.89222355175711</v>
      </c>
      <c r="C81" s="402" t="n">
        <f aca="false">(B81*$B$1*1000)/1000000</f>
        <v>44.0005934934095</v>
      </c>
      <c r="D81" s="401" t="n">
        <f aca="false">AB81+AC81</f>
        <v>0.677552302517165</v>
      </c>
      <c r="E81" s="401" t="n">
        <f aca="false">(($AJ81*$B$1*AD81*1000)/2000)/1000000</f>
        <v>0</v>
      </c>
      <c r="F81" s="401" t="n">
        <f aca="false">AF81*(($AK81*$B$1*AE81*1000)/2000)/1000000</f>
        <v>0</v>
      </c>
      <c r="G81" s="403" t="n">
        <f aca="false">IF('Peak Revenue'!$A$1="BL","-",SUM(C81:F81))</f>
        <v>44.6781457959266</v>
      </c>
      <c r="H81" s="411" t="n">
        <v>78.5916063147165</v>
      </c>
      <c r="I81" s="411" t="n">
        <v>73.4556751391259</v>
      </c>
      <c r="J81" s="411" t="n">
        <v>67.1922910776857</v>
      </c>
      <c r="K81" s="411" t="n">
        <v>64.2637800035092</v>
      </c>
      <c r="L81" s="411" t="n">
        <v>60.8615158788516</v>
      </c>
      <c r="M81" s="411" t="n">
        <v>58.4379172228107</v>
      </c>
      <c r="N81" s="411" t="n">
        <v>58.2298756021037</v>
      </c>
      <c r="O81" s="411" t="n">
        <v>53.4023235747575</v>
      </c>
      <c r="P81" s="411" t="n">
        <v>41.003007553521</v>
      </c>
      <c r="Q81" s="411" t="n">
        <v>40.8932533509934</v>
      </c>
      <c r="R81" s="411" t="n">
        <v>40.8544605936029</v>
      </c>
      <c r="S81" s="411" t="n">
        <v>31.630371233466</v>
      </c>
      <c r="T81" s="411" t="n">
        <v>29.5920539428444</v>
      </c>
      <c r="U81" s="411" t="n">
        <v>29.3932050220488</v>
      </c>
      <c r="V81" s="411" t="n">
        <v>28.4121829342622</v>
      </c>
      <c r="W81" s="411" t="n">
        <v>26.6894398499468</v>
      </c>
      <c r="X81" s="411" t="n">
        <v>26.2478302976634</v>
      </c>
      <c r="Y81" s="411" t="n">
        <v>25.4469867557435</v>
      </c>
      <c r="Z81" s="411" t="n">
        <v>24.7031397884469</v>
      </c>
      <c r="AA81" s="411" t="n">
        <v>23.8044495063156</v>
      </c>
      <c r="AB81" s="401" t="n">
        <f aca="false">AB80*(1+Assumptions!$L$13/12)</f>
        <v>0.677552302517165</v>
      </c>
      <c r="AC81" s="401" t="n">
        <f aca="false">AC80</f>
        <v>0</v>
      </c>
      <c r="AD81" s="405" t="n">
        <f aca="false">AD80</f>
        <v>290.220969288313</v>
      </c>
      <c r="AE81" s="405" t="n">
        <f aca="false">AE80</f>
        <v>3781.04443975663</v>
      </c>
      <c r="AF81" s="392" t="n">
        <f aca="false">IF(Assumptions!D$17=1,0,1)</f>
        <v>0</v>
      </c>
      <c r="AG81" s="406" t="n">
        <f aca="false">AG80</f>
        <v>0</v>
      </c>
      <c r="AH81" s="401" t="n">
        <f aca="false">Assumptions!$E$17*Assumptions!H22</f>
        <v>3.89222355175711</v>
      </c>
      <c r="AI81" s="401" t="n">
        <f aca="false">Assumptions!$F$17*Assumptions!I22</f>
        <v>3.70289391878173</v>
      </c>
      <c r="AJ81" s="401" t="n">
        <f aca="false">AJ80</f>
        <v>0</v>
      </c>
      <c r="AK81" s="401" t="n">
        <f aca="false">AK80</f>
        <v>0</v>
      </c>
      <c r="AL81" s="1"/>
    </row>
    <row r="82" customFormat="false" ht="12.75" hidden="false" customHeight="false" outlineLevel="0" collapsed="false">
      <c r="A82" s="400" t="n">
        <f aca="false">A81+30.417</f>
        <v>38699.607</v>
      </c>
      <c r="B82" s="401" t="n">
        <f aca="false">IF($B$9="Coal",AG82,IF($B$9="Gas",AH82,IF($B$9="Oil",AI82,0)))</f>
        <v>4.2120831049486</v>
      </c>
      <c r="C82" s="402" t="n">
        <f aca="false">(B82*$B$1*1000)/1000000</f>
        <v>47.6165240759703</v>
      </c>
      <c r="D82" s="401" t="n">
        <f aca="false">AB82+AC82</f>
        <v>0.678681556354694</v>
      </c>
      <c r="E82" s="401" t="n">
        <f aca="false">(($AJ82*$B$1*AD82*1000)/2000)/1000000</f>
        <v>0</v>
      </c>
      <c r="F82" s="401" t="n">
        <f aca="false">AF82*(($AK82*$B$1*AE82*1000)/2000)/1000000</f>
        <v>0</v>
      </c>
      <c r="G82" s="403" t="n">
        <f aca="false">IF('Peak Revenue'!$A$1="BL","-",SUM(C82:F82))</f>
        <v>48.295205632325</v>
      </c>
      <c r="H82" s="411" t="n">
        <v>90.4889345708951</v>
      </c>
      <c r="I82" s="411" t="n">
        <v>87.5321165678066</v>
      </c>
      <c r="J82" s="411" t="n">
        <v>84.5306367251571</v>
      </c>
      <c r="K82" s="411" t="n">
        <v>80.4926689779793</v>
      </c>
      <c r="L82" s="411" t="n">
        <v>76.5701063371918</v>
      </c>
      <c r="M82" s="411" t="n">
        <v>76.3397807726965</v>
      </c>
      <c r="N82" s="411" t="n">
        <v>73.8360594910094</v>
      </c>
      <c r="O82" s="411" t="n">
        <v>62.1183525232846</v>
      </c>
      <c r="P82" s="411" t="n">
        <v>52.4410152937267</v>
      </c>
      <c r="Q82" s="411" t="n">
        <v>45.3975201949603</v>
      </c>
      <c r="R82" s="411" t="n">
        <v>43.0478830787715</v>
      </c>
      <c r="S82" s="411" t="n">
        <v>38.1020768891418</v>
      </c>
      <c r="T82" s="411" t="n">
        <v>30.3282711793453</v>
      </c>
      <c r="U82" s="411" t="n">
        <v>28.2994268095184</v>
      </c>
      <c r="V82" s="411" t="n">
        <v>27.2944404157907</v>
      </c>
      <c r="W82" s="411" t="n">
        <v>27.042250375286</v>
      </c>
      <c r="X82" s="411" t="n">
        <v>26.1967481539121</v>
      </c>
      <c r="Y82" s="411" t="n">
        <v>25.4416107872562</v>
      </c>
      <c r="Z82" s="411" t="n">
        <v>24.9739261885598</v>
      </c>
      <c r="AA82" s="411" t="n">
        <v>24.3722670212695</v>
      </c>
      <c r="AB82" s="401" t="n">
        <f aca="false">AB81*(1+Assumptions!$L$13/12)</f>
        <v>0.678681556354694</v>
      </c>
      <c r="AC82" s="401" t="n">
        <f aca="false">AC81</f>
        <v>0</v>
      </c>
      <c r="AD82" s="405" t="n">
        <f aca="false">AD81</f>
        <v>290.220969288313</v>
      </c>
      <c r="AE82" s="405" t="n">
        <f aca="false">AE81</f>
        <v>3781.04443975663</v>
      </c>
      <c r="AF82" s="392" t="n">
        <f aca="false">IF(Assumptions!D$17=1,0,1)</f>
        <v>0</v>
      </c>
      <c r="AG82" s="406" t="n">
        <f aca="false">AG81</f>
        <v>0</v>
      </c>
      <c r="AH82" s="401" t="n">
        <f aca="false">Assumptions!$E$17*Assumptions!H23</f>
        <v>4.2120831049486</v>
      </c>
      <c r="AI82" s="401" t="n">
        <f aca="false">Assumptions!$F$17*Assumptions!I23</f>
        <v>3.88264605076142</v>
      </c>
      <c r="AJ82" s="401" t="n">
        <f aca="false">AJ81</f>
        <v>0</v>
      </c>
      <c r="AK82" s="401" t="n">
        <f aca="false">AK81</f>
        <v>0</v>
      </c>
      <c r="AL82" s="1"/>
    </row>
    <row r="83" customFormat="false" ht="12.75" hidden="false" customHeight="false" outlineLevel="0" collapsed="false">
      <c r="A83" s="400" t="n">
        <f aca="false">A82+30.417</f>
        <v>38730.024</v>
      </c>
      <c r="B83" s="401" t="n">
        <f aca="false">IF($B$9="Coal",AG83,IF($B$9="Gas",AH83,IF($B$9="Oil",AI83,0)))</f>
        <v>4.08275879349654</v>
      </c>
      <c r="C83" s="402" t="n">
        <f aca="false">(B83*$B$1*1000)/1000000</f>
        <v>46.154545753978</v>
      </c>
      <c r="D83" s="401" t="n">
        <f aca="false">AB83+AC83</f>
        <v>0.679812692281952</v>
      </c>
      <c r="E83" s="401" t="n">
        <f aca="false">(($AJ83*$B$1*AD83*1000)/2000)/1000000</f>
        <v>0</v>
      </c>
      <c r="F83" s="401" t="n">
        <f aca="false">AF83*(($AK83*$B$1*AE83*1000)/2000)/1000000</f>
        <v>0</v>
      </c>
      <c r="G83" s="403" t="n">
        <f aca="false">IF('Peak Revenue'!$A$1="BL","-",SUM(C83:F83))</f>
        <v>46.8343584462599</v>
      </c>
      <c r="H83" s="411" t="n">
        <v>90.8714669751743</v>
      </c>
      <c r="I83" s="411" t="n">
        <v>79.4751798886706</v>
      </c>
      <c r="J83" s="411" t="n">
        <v>71.9873762530976</v>
      </c>
      <c r="K83" s="411" t="n">
        <v>66.1068419928232</v>
      </c>
      <c r="L83" s="411" t="n">
        <v>63.4519648725036</v>
      </c>
      <c r="M83" s="411" t="n">
        <v>59.7302443796938</v>
      </c>
      <c r="N83" s="411" t="n">
        <v>56.7108782665286</v>
      </c>
      <c r="O83" s="411" t="n">
        <v>56.4824451320187</v>
      </c>
      <c r="P83" s="411" t="n">
        <v>51.9104808543022</v>
      </c>
      <c r="Q83" s="411" t="n">
        <v>41.1246525023997</v>
      </c>
      <c r="R83" s="411" t="n">
        <v>35.906991274838</v>
      </c>
      <c r="S83" s="411" t="n">
        <v>32.5604576280549</v>
      </c>
      <c r="T83" s="411" t="n">
        <v>30.2861805232704</v>
      </c>
      <c r="U83" s="411" t="n">
        <v>29.2281029946025</v>
      </c>
      <c r="V83" s="411" t="n">
        <v>28.1133072856737</v>
      </c>
      <c r="W83" s="411" t="n">
        <v>25.9704987666177</v>
      </c>
      <c r="X83" s="411" t="n">
        <v>24.994647358507</v>
      </c>
      <c r="Y83" s="411" t="n">
        <v>24.4361074240332</v>
      </c>
      <c r="Z83" s="411" t="n">
        <v>23.9804070119306</v>
      </c>
      <c r="AA83" s="411" t="n">
        <v>22.9371591383455</v>
      </c>
      <c r="AB83" s="401" t="n">
        <f aca="false">AB82*(1+Assumptions!$L$13/12)</f>
        <v>0.679812692281952</v>
      </c>
      <c r="AC83" s="401" t="n">
        <f aca="false">VLOOKUP($C$1,EnvVOM,9)</f>
        <v>0</v>
      </c>
      <c r="AD83" s="405" t="n">
        <f aca="false">Assumptions!B18</f>
        <v>319.924737421536</v>
      </c>
      <c r="AE83" s="405" t="n">
        <f aca="false">Assumptions!C18</f>
        <v>3926.94756165724</v>
      </c>
      <c r="AF83" s="392" t="n">
        <f aca="false">IF(Assumptions!D$18=1,0,1)</f>
        <v>0</v>
      </c>
      <c r="AG83" s="406" t="n">
        <f aca="false">VLOOKUP($C$1,Coal,9)</f>
        <v>0</v>
      </c>
      <c r="AH83" s="401" t="n">
        <f aca="false">Assumptions!$E$18*Assumptions!H12</f>
        <v>4.08275879349654</v>
      </c>
      <c r="AI83" s="401" t="n">
        <f aca="false">Assumptions!$F$18*Assumptions!I12</f>
        <v>3.91636588235294</v>
      </c>
      <c r="AJ83" s="401" t="n">
        <f aca="false">VLOOKUP($C$1,SO2Rate,9)</f>
        <v>0</v>
      </c>
      <c r="AK83" s="401" t="n">
        <f aca="false">VLOOKUP($C$1,NOxRate,9)</f>
        <v>0</v>
      </c>
      <c r="AL83" s="1"/>
    </row>
    <row r="84" customFormat="false" ht="12.75" hidden="false" customHeight="false" outlineLevel="0" collapsed="false">
      <c r="A84" s="400" t="n">
        <f aca="false">A83+30.417</f>
        <v>38760.441</v>
      </c>
      <c r="B84" s="401" t="n">
        <f aca="false">IF($B$9="Coal",AG84,IF($B$9="Gas",AH84,IF($B$9="Oil",AI84,0)))</f>
        <v>3.65928115268174</v>
      </c>
      <c r="C84" s="402" t="n">
        <f aca="false">(B84*$B$1*1000)/1000000</f>
        <v>41.3672391465175</v>
      </c>
      <c r="D84" s="401" t="n">
        <f aca="false">AB84+AC84</f>
        <v>0.680945713435755</v>
      </c>
      <c r="E84" s="401" t="n">
        <f aca="false">(($AJ84*$B$1*AD84*1000)/2000)/1000000</f>
        <v>0</v>
      </c>
      <c r="F84" s="401" t="n">
        <f aca="false">AF84*(($AK84*$B$1*AE84*1000)/2000)/1000000</f>
        <v>0</v>
      </c>
      <c r="G84" s="403" t="n">
        <f aca="false">IF('Peak Revenue'!$A$1="BL","-",SUM(C84:F84))</f>
        <v>42.0481848599532</v>
      </c>
      <c r="H84" s="411" t="n">
        <v>77.0287055501203</v>
      </c>
      <c r="I84" s="411" t="n">
        <v>74.0946009466076</v>
      </c>
      <c r="J84" s="411" t="n">
        <v>74.0800264126242</v>
      </c>
      <c r="K84" s="411" t="n">
        <v>68.9578156641698</v>
      </c>
      <c r="L84" s="411" t="n">
        <v>54.4679003761465</v>
      </c>
      <c r="M84" s="411" t="n">
        <v>52.3940895763308</v>
      </c>
      <c r="N84" s="411" t="n">
        <v>51.6105509125754</v>
      </c>
      <c r="O84" s="411" t="n">
        <v>45.6232081521613</v>
      </c>
      <c r="P84" s="411" t="n">
        <v>41.2956865689673</v>
      </c>
      <c r="Q84" s="411" t="n">
        <v>36.7532578454104</v>
      </c>
      <c r="R84" s="411" t="n">
        <v>36.5107021106038</v>
      </c>
      <c r="S84" s="411" t="n">
        <v>36.5107021106038</v>
      </c>
      <c r="T84" s="411" t="n">
        <v>36.2841574970638</v>
      </c>
      <c r="U84" s="411" t="n">
        <v>36.21197235377</v>
      </c>
      <c r="V84" s="411" t="n">
        <v>36.21197235377</v>
      </c>
      <c r="W84" s="411" t="n">
        <v>36.21197235377</v>
      </c>
      <c r="X84" s="411" t="n">
        <v>36.21197235377</v>
      </c>
      <c r="Y84" s="411" t="n">
        <v>29.2226748483165</v>
      </c>
      <c r="Z84" s="411" t="n">
        <v>23.5472665826791</v>
      </c>
      <c r="AA84" s="411" t="n">
        <v>22.0447803894431</v>
      </c>
      <c r="AB84" s="401" t="n">
        <f aca="false">AB83*(1+Assumptions!$L$13/12)</f>
        <v>0.680945713435755</v>
      </c>
      <c r="AC84" s="401" t="n">
        <f aca="false">AC83</f>
        <v>0</v>
      </c>
      <c r="AD84" s="405" t="n">
        <f aca="false">AD83</f>
        <v>319.924737421536</v>
      </c>
      <c r="AE84" s="405" t="n">
        <f aca="false">AE83</f>
        <v>3926.94756165724</v>
      </c>
      <c r="AF84" s="392" t="n">
        <f aca="false">IF(Assumptions!D$18=1,0,1)</f>
        <v>0</v>
      </c>
      <c r="AG84" s="406" t="n">
        <f aca="false">AG83</f>
        <v>0</v>
      </c>
      <c r="AH84" s="401" t="n">
        <f aca="false">Assumptions!$E$18*Assumptions!H13</f>
        <v>3.65928115268174</v>
      </c>
      <c r="AI84" s="401" t="n">
        <f aca="false">Assumptions!$F$18*Assumptions!I13</f>
        <v>3.88010323529412</v>
      </c>
      <c r="AJ84" s="401" t="n">
        <f aca="false">AJ83</f>
        <v>0</v>
      </c>
      <c r="AK84" s="401" t="n">
        <f aca="false">AK83</f>
        <v>0</v>
      </c>
      <c r="AL84" s="1"/>
    </row>
    <row r="85" customFormat="false" ht="12.75" hidden="false" customHeight="false" outlineLevel="0" collapsed="false">
      <c r="A85" s="400" t="n">
        <f aca="false">A84+30.417</f>
        <v>38790.858</v>
      </c>
      <c r="B85" s="401" t="n">
        <f aca="false">IF($B$9="Coal",AG85,IF($B$9="Gas",AH85,IF($B$9="Oil",AI85,0)))</f>
        <v>3.59775021341805</v>
      </c>
      <c r="C85" s="402" t="n">
        <f aca="false">(B85*$B$1*1000)/1000000</f>
        <v>40.6716475881685</v>
      </c>
      <c r="D85" s="401" t="n">
        <f aca="false">AB85+AC85</f>
        <v>0.682080622958148</v>
      </c>
      <c r="E85" s="401" t="n">
        <f aca="false">(($AJ85*$B$1*AD85*1000)/2000)/1000000</f>
        <v>0</v>
      </c>
      <c r="F85" s="401" t="n">
        <f aca="false">AF85*(($AK85*$B$1*AE85*1000)/2000)/1000000</f>
        <v>0</v>
      </c>
      <c r="G85" s="403" t="n">
        <f aca="false">IF('Peak Revenue'!$A$1="BL","-",SUM(C85:F85))</f>
        <v>41.3537282111267</v>
      </c>
      <c r="H85" s="411" t="n">
        <v>88.2450162672316</v>
      </c>
      <c r="I85" s="411" t="n">
        <v>80.2116535020849</v>
      </c>
      <c r="J85" s="411" t="n">
        <v>69.8513924436736</v>
      </c>
      <c r="K85" s="411" t="n">
        <v>65.5886478308887</v>
      </c>
      <c r="L85" s="411" t="n">
        <v>62.3904200286235</v>
      </c>
      <c r="M85" s="411" t="n">
        <v>58.1517952697367</v>
      </c>
      <c r="N85" s="411" t="n">
        <v>57.4201336031596</v>
      </c>
      <c r="O85" s="411" t="n">
        <v>55.2299270073992</v>
      </c>
      <c r="P85" s="411" t="n">
        <v>45.314459149773</v>
      </c>
      <c r="Q85" s="411" t="n">
        <v>40.0904547128444</v>
      </c>
      <c r="R85" s="411" t="n">
        <v>33.1626962631674</v>
      </c>
      <c r="S85" s="411" t="n">
        <v>32.9439174228574</v>
      </c>
      <c r="T85" s="411" t="n">
        <v>29.5491856943372</v>
      </c>
      <c r="U85" s="411" t="n">
        <v>29.4519203518821</v>
      </c>
      <c r="V85" s="411" t="n">
        <v>29.4519203518821</v>
      </c>
      <c r="W85" s="411" t="n">
        <v>29.3829920588831</v>
      </c>
      <c r="X85" s="411" t="n">
        <v>28.7259037669785</v>
      </c>
      <c r="Y85" s="411" t="n">
        <v>26.2093741663163</v>
      </c>
      <c r="Z85" s="411" t="n">
        <v>24.8135316534995</v>
      </c>
      <c r="AA85" s="411" t="n">
        <v>23.4458972149416</v>
      </c>
      <c r="AB85" s="401" t="n">
        <f aca="false">AB84*(1+Assumptions!$L$13/12)</f>
        <v>0.682080622958148</v>
      </c>
      <c r="AC85" s="401" t="n">
        <f aca="false">AC84</f>
        <v>0</v>
      </c>
      <c r="AD85" s="405" t="n">
        <f aca="false">AD84</f>
        <v>319.924737421536</v>
      </c>
      <c r="AE85" s="405" t="n">
        <f aca="false">AE84</f>
        <v>3926.94756165724</v>
      </c>
      <c r="AF85" s="392" t="n">
        <f aca="false">IF(Assumptions!D$18=1,0,1)</f>
        <v>0</v>
      </c>
      <c r="AG85" s="406" t="n">
        <f aca="false">AG84</f>
        <v>0</v>
      </c>
      <c r="AH85" s="401" t="n">
        <f aca="false">Assumptions!$E$18*Assumptions!H14</f>
        <v>3.59775021341805</v>
      </c>
      <c r="AI85" s="401" t="n">
        <f aca="false">Assumptions!$F$18*Assumptions!I14</f>
        <v>3.73505264705882</v>
      </c>
      <c r="AJ85" s="401" t="n">
        <f aca="false">AJ84</f>
        <v>0</v>
      </c>
      <c r="AK85" s="401" t="n">
        <f aca="false">AK84</f>
        <v>0</v>
      </c>
      <c r="AL85" s="1"/>
    </row>
    <row r="86" customFormat="false" ht="12.75" hidden="false" customHeight="false" outlineLevel="0" collapsed="false">
      <c r="A86" s="400" t="n">
        <f aca="false">A85+30.417</f>
        <v>38821.275</v>
      </c>
      <c r="B86" s="401" t="n">
        <f aca="false">IF($B$9="Coal",AG86,IF($B$9="Gas",AH86,IF($B$9="Oil",AI86,0)))</f>
        <v>3.42039632965801</v>
      </c>
      <c r="C86" s="402" t="n">
        <f aca="false">(B86*$B$1*1000)/1000000</f>
        <v>38.6667072141039</v>
      </c>
      <c r="D86" s="401" t="n">
        <f aca="false">AB86+AC86</f>
        <v>0.683217423996411</v>
      </c>
      <c r="E86" s="401" t="n">
        <f aca="false">(($AJ86*$B$1*AD86*1000)/2000)/1000000</f>
        <v>0</v>
      </c>
      <c r="F86" s="401" t="n">
        <f aca="false">AF86*(($AK86*$B$1*AE86*1000)/2000)/1000000</f>
        <v>0</v>
      </c>
      <c r="G86" s="403" t="n">
        <f aca="false">IF('Peak Revenue'!$A$1="BL","-",SUM(C86:F86))</f>
        <v>39.3499246381003</v>
      </c>
      <c r="H86" s="411" t="n">
        <v>73.4397476269191</v>
      </c>
      <c r="I86" s="411" t="n">
        <v>72.7296057655126</v>
      </c>
      <c r="J86" s="411" t="n">
        <v>72.7296057655126</v>
      </c>
      <c r="K86" s="411" t="n">
        <v>70.9679395153919</v>
      </c>
      <c r="L86" s="411" t="n">
        <v>64.0182273662188</v>
      </c>
      <c r="M86" s="411" t="n">
        <v>51.0060616044195</v>
      </c>
      <c r="N86" s="411" t="n">
        <v>42.1793778902047</v>
      </c>
      <c r="O86" s="411" t="n">
        <v>40.4273539044398</v>
      </c>
      <c r="P86" s="411" t="n">
        <v>35.6307909599751</v>
      </c>
      <c r="Q86" s="411" t="n">
        <v>35.6307909599751</v>
      </c>
      <c r="R86" s="411" t="n">
        <v>35.6307909599751</v>
      </c>
      <c r="S86" s="411" t="n">
        <v>33.1392615199579</v>
      </c>
      <c r="T86" s="411" t="n">
        <v>26.8169208560653</v>
      </c>
      <c r="U86" s="411" t="n">
        <v>25.8984477666932</v>
      </c>
      <c r="V86" s="411" t="n">
        <v>24.7910224339394</v>
      </c>
      <c r="W86" s="411" t="n">
        <v>24.3212065509246</v>
      </c>
      <c r="X86" s="411" t="n">
        <v>23.955195366891</v>
      </c>
      <c r="Y86" s="411" t="n">
        <v>23.6239997803324</v>
      </c>
      <c r="Z86" s="411" t="n">
        <v>23.3043517212177</v>
      </c>
      <c r="AA86" s="411" t="n">
        <v>22.7601089098815</v>
      </c>
      <c r="AB86" s="401" t="n">
        <f aca="false">AB85*(1+Assumptions!$L$13/12)</f>
        <v>0.683217423996411</v>
      </c>
      <c r="AC86" s="401" t="n">
        <f aca="false">AC85</f>
        <v>0</v>
      </c>
      <c r="AD86" s="405" t="n">
        <f aca="false">AD85</f>
        <v>319.924737421536</v>
      </c>
      <c r="AE86" s="405" t="n">
        <f aca="false">AE85</f>
        <v>3926.94756165724</v>
      </c>
      <c r="AF86" s="392" t="n">
        <f aca="false">IF(Assumptions!D$18=1,0,1)</f>
        <v>0</v>
      </c>
      <c r="AG86" s="406" t="n">
        <f aca="false">AG85</f>
        <v>0</v>
      </c>
      <c r="AH86" s="401" t="n">
        <f aca="false">Assumptions!$E$18*Assumptions!H15</f>
        <v>3.42039632965801</v>
      </c>
      <c r="AI86" s="401" t="n">
        <f aca="false">Assumptions!$F$18*Assumptions!I15</f>
        <v>3.59000205882353</v>
      </c>
      <c r="AJ86" s="401" t="n">
        <f aca="false">AJ85</f>
        <v>0</v>
      </c>
      <c r="AK86" s="401" t="n">
        <f aca="false">AK85</f>
        <v>0</v>
      </c>
      <c r="AL86" s="1"/>
    </row>
    <row r="87" customFormat="false" ht="12.75" hidden="false" customHeight="false" outlineLevel="0" collapsed="false">
      <c r="A87" s="400" t="n">
        <f aca="false">A86+30.417</f>
        <v>38851.692</v>
      </c>
      <c r="B87" s="401" t="n">
        <f aca="false">IF($B$9="Coal",AG87,IF($B$9="Gas",AH87,IF($B$9="Oil",AI87,0)))</f>
        <v>3.60136968043357</v>
      </c>
      <c r="C87" s="402" t="n">
        <f aca="false">(B87*$B$1*1000)/1000000</f>
        <v>40.7125647386596</v>
      </c>
      <c r="D87" s="401" t="n">
        <f aca="false">AB87+AC87</f>
        <v>0.684356119703072</v>
      </c>
      <c r="E87" s="401" t="n">
        <f aca="false">(($AJ87*$B$1*AD87*1000)/2000)/1000000</f>
        <v>0</v>
      </c>
      <c r="F87" s="401" t="n">
        <f aca="false">AF87*(($AK87*$B$1*AE87*1000)/2000)/1000000</f>
        <v>0</v>
      </c>
      <c r="G87" s="403" t="n">
        <f aca="false">IF('Peak Revenue'!$A$1="BL","-",SUM(C87:F87))</f>
        <v>41.3969208583627</v>
      </c>
      <c r="H87" s="411" t="n">
        <v>152.950948812294</v>
      </c>
      <c r="I87" s="411" t="n">
        <v>91.4083557108815</v>
      </c>
      <c r="J87" s="411" t="n">
        <v>82.1054591522576</v>
      </c>
      <c r="K87" s="411" t="n">
        <v>75.1977695928725</v>
      </c>
      <c r="L87" s="411" t="n">
        <v>73.4443205963027</v>
      </c>
      <c r="M87" s="411" t="n">
        <v>70.4902423755245</v>
      </c>
      <c r="N87" s="411" t="n">
        <v>51.3092437547242</v>
      </c>
      <c r="O87" s="411" t="n">
        <v>43.4438656681065</v>
      </c>
      <c r="P87" s="411" t="n">
        <v>40.9104326347772</v>
      </c>
      <c r="Q87" s="411" t="n">
        <v>32.3233030380902</v>
      </c>
      <c r="R87" s="411" t="n">
        <v>30.992713004887</v>
      </c>
      <c r="S87" s="411" t="n">
        <v>30.0774740291938</v>
      </c>
      <c r="T87" s="411" t="n">
        <v>29.277743687878</v>
      </c>
      <c r="U87" s="411" t="n">
        <v>28.7716045862577</v>
      </c>
      <c r="V87" s="411" t="n">
        <v>28.3517463122934</v>
      </c>
      <c r="W87" s="411" t="n">
        <v>28.1971768783145</v>
      </c>
      <c r="X87" s="411" t="n">
        <v>28.0455319613172</v>
      </c>
      <c r="Y87" s="411" t="n">
        <v>27.8257134908929</v>
      </c>
      <c r="Z87" s="411" t="n">
        <v>27.7384927772004</v>
      </c>
      <c r="AA87" s="411" t="n">
        <v>26.9844417784015</v>
      </c>
      <c r="AB87" s="401" t="n">
        <f aca="false">AB86*(1+Assumptions!$L$13/12)</f>
        <v>0.684356119703072</v>
      </c>
      <c r="AC87" s="401" t="n">
        <f aca="false">AC86</f>
        <v>0</v>
      </c>
      <c r="AD87" s="405" t="n">
        <f aca="false">AD86</f>
        <v>319.924737421536</v>
      </c>
      <c r="AE87" s="405" t="n">
        <f aca="false">AE86</f>
        <v>3926.94756165724</v>
      </c>
      <c r="AF87" s="392" t="n">
        <v>1</v>
      </c>
      <c r="AG87" s="406" t="n">
        <f aca="false">AG86</f>
        <v>0</v>
      </c>
      <c r="AH87" s="401" t="n">
        <f aca="false">Assumptions!$E$18*Assumptions!H16</f>
        <v>3.60136968043357</v>
      </c>
      <c r="AI87" s="401" t="n">
        <f aca="false">Assumptions!$F$18*Assumptions!I16</f>
        <v>3.44495147058824</v>
      </c>
      <c r="AJ87" s="401" t="n">
        <f aca="false">AJ86</f>
        <v>0</v>
      </c>
      <c r="AK87" s="401" t="n">
        <f aca="false">AK86</f>
        <v>0</v>
      </c>
      <c r="AL87" s="1"/>
    </row>
    <row r="88" customFormat="false" ht="12.75" hidden="false" customHeight="false" outlineLevel="0" collapsed="false">
      <c r="A88" s="400" t="n">
        <f aca="false">A87+30.417</f>
        <v>38882.109</v>
      </c>
      <c r="B88" s="401" t="n">
        <f aca="false">IF($B$9="Coal",AG88,IF($B$9="Gas",AH88,IF($B$9="Oil",AI88,0)))</f>
        <v>3.43125473070454</v>
      </c>
      <c r="C88" s="402" t="n">
        <f aca="false">(B88*$B$1*1000)/1000000</f>
        <v>38.7894586655772</v>
      </c>
      <c r="D88" s="401" t="n">
        <f aca="false">AB88+AC88</f>
        <v>0.685496713235911</v>
      </c>
      <c r="E88" s="401" t="n">
        <f aca="false">(($AJ88*$B$1*AD88*1000)/2000)/1000000</f>
        <v>0</v>
      </c>
      <c r="F88" s="401" t="n">
        <f aca="false">AF88*(($AK88*$B$1*AE88*1000)/2000)/1000000</f>
        <v>0</v>
      </c>
      <c r="G88" s="403" t="n">
        <f aca="false">IF('Peak Revenue'!$A$1="BL","-",SUM(C88:F88))</f>
        <v>39.4749553788132</v>
      </c>
      <c r="H88" s="411" t="n">
        <v>166.074536101625</v>
      </c>
      <c r="I88" s="411" t="n">
        <v>125.324917001883</v>
      </c>
      <c r="J88" s="411" t="n">
        <v>91.4042465220335</v>
      </c>
      <c r="K88" s="411" t="n">
        <v>78.6842272286947</v>
      </c>
      <c r="L88" s="411" t="n">
        <v>71.0597538452094</v>
      </c>
      <c r="M88" s="411" t="n">
        <v>68.9593927699032</v>
      </c>
      <c r="N88" s="411" t="n">
        <v>54.8735099843974</v>
      </c>
      <c r="O88" s="411" t="n">
        <v>45.9989527075568</v>
      </c>
      <c r="P88" s="411" t="n">
        <v>40.0879680423846</v>
      </c>
      <c r="Q88" s="411" t="n">
        <v>39.4029408273559</v>
      </c>
      <c r="R88" s="411" t="n">
        <v>37.8103094474652</v>
      </c>
      <c r="S88" s="411" t="n">
        <v>35.6816077550834</v>
      </c>
      <c r="T88" s="411" t="n">
        <v>34.7241605903502</v>
      </c>
      <c r="U88" s="411" t="n">
        <v>34.0851004023047</v>
      </c>
      <c r="V88" s="411" t="n">
        <v>34.0113141173552</v>
      </c>
      <c r="W88" s="411" t="n">
        <v>33.8958668610083</v>
      </c>
      <c r="X88" s="411" t="n">
        <v>33.7250365396893</v>
      </c>
      <c r="Y88" s="411" t="n">
        <v>33.3873980894847</v>
      </c>
      <c r="Z88" s="411" t="n">
        <v>33.1815518368553</v>
      </c>
      <c r="AA88" s="411" t="n">
        <v>30.693461523324</v>
      </c>
      <c r="AB88" s="401" t="n">
        <f aca="false">AB87*(1+Assumptions!$L$13/12)</f>
        <v>0.685496713235911</v>
      </c>
      <c r="AC88" s="401" t="n">
        <f aca="false">AC87</f>
        <v>0</v>
      </c>
      <c r="AD88" s="405" t="n">
        <f aca="false">AD87</f>
        <v>319.924737421536</v>
      </c>
      <c r="AE88" s="405" t="n">
        <f aca="false">AE87</f>
        <v>3926.94756165724</v>
      </c>
      <c r="AF88" s="392" t="n">
        <v>1</v>
      </c>
      <c r="AG88" s="406" t="n">
        <f aca="false">AG87</f>
        <v>0</v>
      </c>
      <c r="AH88" s="401" t="n">
        <f aca="false">Assumptions!$E$18*Assumptions!H17</f>
        <v>3.43125473070454</v>
      </c>
      <c r="AI88" s="401" t="n">
        <f aca="false">Assumptions!$F$18*Assumptions!I17</f>
        <v>3.44495147058824</v>
      </c>
      <c r="AJ88" s="401" t="n">
        <f aca="false">AJ87</f>
        <v>0</v>
      </c>
      <c r="AK88" s="401" t="n">
        <f aca="false">AK87</f>
        <v>0</v>
      </c>
      <c r="AL88" s="1"/>
    </row>
    <row r="89" customFormat="false" ht="12.75" hidden="false" customHeight="false" outlineLevel="0" collapsed="false">
      <c r="A89" s="400" t="n">
        <f aca="false">A88+30.417</f>
        <v>38912.526</v>
      </c>
      <c r="B89" s="401" t="n">
        <f aca="false">IF($B$9="Coal",AG89,IF($B$9="Gas",AH89,IF($B$9="Oil",AI89,0)))</f>
        <v>3.42039632965801</v>
      </c>
      <c r="C89" s="402" t="n">
        <f aca="false">(B89*$B$1*1000)/1000000</f>
        <v>38.6667072141039</v>
      </c>
      <c r="D89" s="401" t="n">
        <f aca="false">AB89+AC89</f>
        <v>0.68663920775797</v>
      </c>
      <c r="E89" s="401" t="n">
        <f aca="false">(($AJ89*$B$1*AD89*1000)/2000)/1000000</f>
        <v>0</v>
      </c>
      <c r="F89" s="401" t="n">
        <f aca="false">AF89*(($AK89*$B$1*AE89*1000)/2000)/1000000</f>
        <v>0</v>
      </c>
      <c r="G89" s="403" t="n">
        <f aca="false">IF('Peak Revenue'!$A$1="BL","-",SUM(C89:F89))</f>
        <v>39.3533464218619</v>
      </c>
      <c r="H89" s="411" t="n">
        <v>211.339475254855</v>
      </c>
      <c r="I89" s="411" t="n">
        <v>165.509992416826</v>
      </c>
      <c r="J89" s="411" t="n">
        <v>146.60122411564</v>
      </c>
      <c r="K89" s="411" t="n">
        <v>119.192398866968</v>
      </c>
      <c r="L89" s="411" t="n">
        <v>108.655943787602</v>
      </c>
      <c r="M89" s="411" t="n">
        <v>99.653127438509</v>
      </c>
      <c r="N89" s="411" t="n">
        <v>95.1291196796575</v>
      </c>
      <c r="O89" s="411" t="n">
        <v>69.3947607344569</v>
      </c>
      <c r="P89" s="411" t="n">
        <v>55.375049796426</v>
      </c>
      <c r="Q89" s="411" t="n">
        <v>49.1744322701559</v>
      </c>
      <c r="R89" s="411" t="n">
        <v>46.5759310589865</v>
      </c>
      <c r="S89" s="411" t="n">
        <v>46.1319338813732</v>
      </c>
      <c r="T89" s="411" t="n">
        <v>46.1319338813732</v>
      </c>
      <c r="U89" s="411" t="n">
        <v>41.6579640078773</v>
      </c>
      <c r="V89" s="411" t="n">
        <v>36.1769837607079</v>
      </c>
      <c r="W89" s="411" t="n">
        <v>34.5202914635998</v>
      </c>
      <c r="X89" s="411" t="n">
        <v>32.8349786832537</v>
      </c>
      <c r="Y89" s="411" t="n">
        <v>31.9478135024196</v>
      </c>
      <c r="Z89" s="411" t="n">
        <v>31.4930170043022</v>
      </c>
      <c r="AA89" s="411" t="n">
        <v>30.303699682</v>
      </c>
      <c r="AB89" s="401" t="n">
        <f aca="false">AB88*(1+Assumptions!$L$13/12)</f>
        <v>0.68663920775797</v>
      </c>
      <c r="AC89" s="401" t="n">
        <f aca="false">AC88</f>
        <v>0</v>
      </c>
      <c r="AD89" s="405" t="n">
        <f aca="false">AD88</f>
        <v>319.924737421536</v>
      </c>
      <c r="AE89" s="405" t="n">
        <f aca="false">AE88</f>
        <v>3926.94756165724</v>
      </c>
      <c r="AF89" s="392" t="n">
        <v>1</v>
      </c>
      <c r="AG89" s="406" t="n">
        <f aca="false">AG88</f>
        <v>0</v>
      </c>
      <c r="AH89" s="401" t="n">
        <f aca="false">Assumptions!$E$18*Assumptions!H18</f>
        <v>3.42039632965801</v>
      </c>
      <c r="AI89" s="401" t="n">
        <f aca="false">Assumptions!$F$18*Assumptions!I18</f>
        <v>3.44495147058824</v>
      </c>
      <c r="AJ89" s="401" t="n">
        <f aca="false">AJ88</f>
        <v>0</v>
      </c>
      <c r="AK89" s="401" t="n">
        <f aca="false">AK88</f>
        <v>0</v>
      </c>
      <c r="AL89" s="1"/>
    </row>
    <row r="90" customFormat="false" ht="12.75" hidden="false" customHeight="false" outlineLevel="0" collapsed="false">
      <c r="A90" s="400" t="n">
        <f aca="false">A89+30.417</f>
        <v>38942.943</v>
      </c>
      <c r="B90" s="401" t="n">
        <f aca="false">IF($B$9="Coal",AG90,IF($B$9="Gas",AH90,IF($B$9="Oil",AI90,0)))</f>
        <v>3.24304244589796</v>
      </c>
      <c r="C90" s="402" t="n">
        <f aca="false">(B90*$B$1*1000)/1000000</f>
        <v>36.6617668400392</v>
      </c>
      <c r="D90" s="401" t="n">
        <f aca="false">AB90+AC90</f>
        <v>0.687783606437567</v>
      </c>
      <c r="E90" s="401" t="n">
        <f aca="false">(($AJ90*$B$1*AD90*1000)/2000)/1000000</f>
        <v>0</v>
      </c>
      <c r="F90" s="401" t="n">
        <f aca="false">AF90*(($AK90*$B$1*AE90*1000)/2000)/1000000</f>
        <v>0</v>
      </c>
      <c r="G90" s="403" t="n">
        <f aca="false">IF('Peak Revenue'!$A$1="BL","-",SUM(C90:F90))</f>
        <v>37.3495504464768</v>
      </c>
      <c r="H90" s="411" t="n">
        <v>583.764523238252</v>
      </c>
      <c r="I90" s="411" t="n">
        <v>382.228433119379</v>
      </c>
      <c r="J90" s="411" t="n">
        <v>283.016080141042</v>
      </c>
      <c r="K90" s="411" t="n">
        <v>195.605936490327</v>
      </c>
      <c r="L90" s="411" t="n">
        <v>148.100543947241</v>
      </c>
      <c r="M90" s="411" t="n">
        <v>94.0799176187861</v>
      </c>
      <c r="N90" s="411" t="n">
        <v>80.911810218899</v>
      </c>
      <c r="O90" s="411" t="n">
        <v>76.0009394864824</v>
      </c>
      <c r="P90" s="411" t="n">
        <v>61.5908441861705</v>
      </c>
      <c r="Q90" s="411" t="n">
        <v>49.4879537697012</v>
      </c>
      <c r="R90" s="411" t="n">
        <v>41.6147285408424</v>
      </c>
      <c r="S90" s="411" t="n">
        <v>37.0536343098936</v>
      </c>
      <c r="T90" s="411" t="n">
        <v>36.7851534004855</v>
      </c>
      <c r="U90" s="411" t="n">
        <v>36.4613913724114</v>
      </c>
      <c r="V90" s="411" t="n">
        <v>35.567581282888</v>
      </c>
      <c r="W90" s="411" t="n">
        <v>32.566363447768</v>
      </c>
      <c r="X90" s="411" t="n">
        <v>30.6629007596574</v>
      </c>
      <c r="Y90" s="411" t="n">
        <v>29.5197119952085</v>
      </c>
      <c r="Z90" s="411" t="n">
        <v>28.8645684873112</v>
      </c>
      <c r="AA90" s="411" t="n">
        <v>26.2157248328132</v>
      </c>
      <c r="AB90" s="401" t="n">
        <f aca="false">AB89*(1+Assumptions!$L$13/12)</f>
        <v>0.687783606437567</v>
      </c>
      <c r="AC90" s="401" t="n">
        <f aca="false">AC89</f>
        <v>0</v>
      </c>
      <c r="AD90" s="405" t="n">
        <f aca="false">AD89</f>
        <v>319.924737421536</v>
      </c>
      <c r="AE90" s="405" t="n">
        <f aca="false">AE89</f>
        <v>3926.94756165724</v>
      </c>
      <c r="AF90" s="392" t="n">
        <v>1</v>
      </c>
      <c r="AG90" s="406" t="n">
        <f aca="false">AG89</f>
        <v>0</v>
      </c>
      <c r="AH90" s="401" t="n">
        <f aca="false">Assumptions!$E$18*Assumptions!H19</f>
        <v>3.24304244589796</v>
      </c>
      <c r="AI90" s="401" t="n">
        <f aca="false">Assumptions!$F$18*Assumptions!I19</f>
        <v>3.44495147058824</v>
      </c>
      <c r="AJ90" s="401" t="n">
        <f aca="false">AJ89</f>
        <v>0</v>
      </c>
      <c r="AK90" s="401" t="n">
        <f aca="false">AK89</f>
        <v>0</v>
      </c>
      <c r="AL90" s="1"/>
    </row>
    <row r="91" customFormat="false" ht="12.75" hidden="false" customHeight="false" outlineLevel="0" collapsed="false">
      <c r="A91" s="400" t="n">
        <f aca="false">A90+30.417</f>
        <v>38973.36</v>
      </c>
      <c r="B91" s="401" t="n">
        <f aca="false">IF($B$9="Coal",AG91,IF($B$9="Gas",AH91,IF($B$9="Oil",AI91,0)))</f>
        <v>3.23218404485143</v>
      </c>
      <c r="C91" s="402" t="n">
        <f aca="false">(B91*$B$1*1000)/1000000</f>
        <v>36.5390153885659</v>
      </c>
      <c r="D91" s="401" t="n">
        <f aca="false">AB91+AC91</f>
        <v>0.688929912448296</v>
      </c>
      <c r="E91" s="401" t="n">
        <f aca="false">(($AJ91*$B$1*AD91*1000)/2000)/1000000</f>
        <v>0</v>
      </c>
      <c r="F91" s="401" t="n">
        <f aca="false">AF91*(($AK91*$B$1*AE91*1000)/2000)/1000000</f>
        <v>0</v>
      </c>
      <c r="G91" s="403" t="n">
        <f aca="false">IF('Peak Revenue'!$A$1="BL","-",SUM(C91:F91))</f>
        <v>37.2279453010142</v>
      </c>
      <c r="H91" s="411" t="n">
        <v>232.656338784015</v>
      </c>
      <c r="I91" s="411" t="n">
        <v>177.779367918076</v>
      </c>
      <c r="J91" s="411" t="n">
        <v>151.869379637626</v>
      </c>
      <c r="K91" s="411" t="n">
        <v>79.4018839102702</v>
      </c>
      <c r="L91" s="411" t="n">
        <v>69.8870558489049</v>
      </c>
      <c r="M91" s="411" t="n">
        <v>63.0143084028632</v>
      </c>
      <c r="N91" s="411" t="n">
        <v>57.9807574907054</v>
      </c>
      <c r="O91" s="411" t="n">
        <v>57.3159463200204</v>
      </c>
      <c r="P91" s="411" t="n">
        <v>48.2760839916519</v>
      </c>
      <c r="Q91" s="411" t="n">
        <v>40.1655175424557</v>
      </c>
      <c r="R91" s="411" t="n">
        <v>33.7891349393378</v>
      </c>
      <c r="S91" s="411" t="n">
        <v>32.9643702524549</v>
      </c>
      <c r="T91" s="411" t="n">
        <v>31.6866174105828</v>
      </c>
      <c r="U91" s="411" t="n">
        <v>30.1265184520512</v>
      </c>
      <c r="V91" s="411" t="n">
        <v>29.1556897292872</v>
      </c>
      <c r="W91" s="411" t="n">
        <v>28.6068084819085</v>
      </c>
      <c r="X91" s="411" t="n">
        <v>28.1806841532</v>
      </c>
      <c r="Y91" s="411" t="n">
        <v>27.9693902790228</v>
      </c>
      <c r="Z91" s="411" t="n">
        <v>27.5126933831386</v>
      </c>
      <c r="AA91" s="411" t="n">
        <v>26.7978161282618</v>
      </c>
      <c r="AB91" s="401" t="n">
        <f aca="false">AB90*(1+Assumptions!$L$13/12)</f>
        <v>0.688929912448296</v>
      </c>
      <c r="AC91" s="401" t="n">
        <f aca="false">AC90</f>
        <v>0</v>
      </c>
      <c r="AD91" s="405" t="n">
        <f aca="false">AD90</f>
        <v>319.924737421536</v>
      </c>
      <c r="AE91" s="405" t="n">
        <f aca="false">AE90</f>
        <v>3926.94756165724</v>
      </c>
      <c r="AF91" s="392" t="n">
        <v>1</v>
      </c>
      <c r="AG91" s="406" t="n">
        <f aca="false">AG90</f>
        <v>0</v>
      </c>
      <c r="AH91" s="401" t="n">
        <f aca="false">Assumptions!$E$18*Assumptions!H20</f>
        <v>3.23218404485143</v>
      </c>
      <c r="AI91" s="401" t="n">
        <f aca="false">Assumptions!$F$18*Assumptions!I20</f>
        <v>3.44495147058824</v>
      </c>
      <c r="AJ91" s="401" t="n">
        <f aca="false">AJ90</f>
        <v>0</v>
      </c>
      <c r="AK91" s="401" t="n">
        <f aca="false">AK90</f>
        <v>0</v>
      </c>
      <c r="AL91" s="1"/>
    </row>
    <row r="92" customFormat="false" ht="12.75" hidden="false" customHeight="false" outlineLevel="0" collapsed="false">
      <c r="A92" s="400" t="n">
        <f aca="false">A91+30.417</f>
        <v>39003.777</v>
      </c>
      <c r="B92" s="401" t="n">
        <f aca="false">IF($B$9="Coal",AG92,IF($B$9="Gas",AH92,IF($B$9="Oil",AI92,0)))</f>
        <v>3.5796528783405</v>
      </c>
      <c r="C92" s="402" t="n">
        <f aca="false">(B92*$B$1*1000)/1000000</f>
        <v>40.467061835713</v>
      </c>
      <c r="D92" s="401" t="n">
        <f aca="false">AB92+AC92</f>
        <v>0.690078128969043</v>
      </c>
      <c r="E92" s="401" t="n">
        <f aca="false">(($AJ92*$B$1*AD92*1000)/2000)/1000000</f>
        <v>0</v>
      </c>
      <c r="F92" s="401" t="n">
        <f aca="false">AF92*(($AK92*$B$1*AE92*1000)/2000)/1000000</f>
        <v>0</v>
      </c>
      <c r="G92" s="403" t="n">
        <f aca="false">IF('Peak Revenue'!$A$1="BL","-",SUM(C92:F92))</f>
        <v>41.157139964682</v>
      </c>
      <c r="H92" s="411" t="n">
        <v>70.4276139690358</v>
      </c>
      <c r="I92" s="411" t="n">
        <v>68.1625213710529</v>
      </c>
      <c r="J92" s="411" t="n">
        <v>66.1898113994781</v>
      </c>
      <c r="K92" s="411" t="n">
        <v>62.175497918766</v>
      </c>
      <c r="L92" s="411" t="n">
        <v>61.390338265413</v>
      </c>
      <c r="M92" s="411" t="n">
        <v>60.2636070880572</v>
      </c>
      <c r="N92" s="411" t="n">
        <v>49.0605763210432</v>
      </c>
      <c r="O92" s="411" t="n">
        <v>42.0727167969902</v>
      </c>
      <c r="P92" s="411" t="n">
        <v>35.0748628641088</v>
      </c>
      <c r="Q92" s="411" t="n">
        <v>34.6292760733898</v>
      </c>
      <c r="R92" s="411" t="n">
        <v>30.7896967424923</v>
      </c>
      <c r="S92" s="411" t="n">
        <v>30.7317520481465</v>
      </c>
      <c r="T92" s="411" t="n">
        <v>30.7311106673994</v>
      </c>
      <c r="U92" s="411" t="n">
        <v>30.7310625727961</v>
      </c>
      <c r="V92" s="411" t="n">
        <v>30.7310625727961</v>
      </c>
      <c r="W92" s="411" t="n">
        <v>30.0258014574715</v>
      </c>
      <c r="X92" s="411" t="n">
        <v>27.1787320468629</v>
      </c>
      <c r="Y92" s="411" t="n">
        <v>26.6702669872381</v>
      </c>
      <c r="Z92" s="411" t="n">
        <v>25.4727036330664</v>
      </c>
      <c r="AA92" s="411" t="n">
        <v>24.4327490276388</v>
      </c>
      <c r="AB92" s="401" t="n">
        <f aca="false">AB91*(1+Assumptions!$L$13/12)</f>
        <v>0.690078128969043</v>
      </c>
      <c r="AC92" s="401" t="n">
        <f aca="false">AC91</f>
        <v>0</v>
      </c>
      <c r="AD92" s="405" t="n">
        <f aca="false">AD91</f>
        <v>319.924737421536</v>
      </c>
      <c r="AE92" s="405" t="n">
        <f aca="false">AE91</f>
        <v>3926.94756165724</v>
      </c>
      <c r="AF92" s="392" t="n">
        <f aca="false">IF(Assumptions!D$18=1,0,1)</f>
        <v>0</v>
      </c>
      <c r="AG92" s="406" t="n">
        <f aca="false">AG91</f>
        <v>0</v>
      </c>
      <c r="AH92" s="401" t="n">
        <f aca="false">Assumptions!$E$18*Assumptions!H21</f>
        <v>3.5796528783405</v>
      </c>
      <c r="AI92" s="401" t="n">
        <f aca="false">Assumptions!$F$18*Assumptions!I21</f>
        <v>3.44495147058824</v>
      </c>
      <c r="AJ92" s="401" t="n">
        <f aca="false">AJ91</f>
        <v>0</v>
      </c>
      <c r="AK92" s="401" t="n">
        <f aca="false">AK91</f>
        <v>0</v>
      </c>
      <c r="AL92" s="1"/>
    </row>
    <row r="93" customFormat="false" ht="12.75" hidden="false" customHeight="false" outlineLevel="0" collapsed="false">
      <c r="A93" s="400" t="n">
        <f aca="false">A92+30.417</f>
        <v>39034.194</v>
      </c>
      <c r="B93" s="401" t="n">
        <f aca="false">IF($B$9="Coal",AG93,IF($B$9="Gas",AH93,IF($B$9="Oil",AI93,0)))</f>
        <v>3.91988277779854</v>
      </c>
      <c r="C93" s="402" t="n">
        <f aca="false">(B93*$B$1*1000)/1000000</f>
        <v>44.3132739818778</v>
      </c>
      <c r="D93" s="401" t="n">
        <f aca="false">AB93+AC93</f>
        <v>0.691228259183992</v>
      </c>
      <c r="E93" s="401" t="n">
        <f aca="false">(($AJ93*$B$1*AD93*1000)/2000)/1000000</f>
        <v>0</v>
      </c>
      <c r="F93" s="401" t="n">
        <f aca="false">AF93*(($AK93*$B$1*AE93*1000)/2000)/1000000</f>
        <v>0</v>
      </c>
      <c r="G93" s="403" t="n">
        <f aca="false">IF('Peak Revenue'!$A$1="BL","-",SUM(C93:F93))</f>
        <v>45.0045022410618</v>
      </c>
      <c r="H93" s="411" t="n">
        <v>80.9995827833743</v>
      </c>
      <c r="I93" s="411" t="n">
        <v>76.8216928389007</v>
      </c>
      <c r="J93" s="411" t="n">
        <v>75.1177567744188</v>
      </c>
      <c r="K93" s="411" t="n">
        <v>70.9358826064737</v>
      </c>
      <c r="L93" s="411" t="n">
        <v>69.406043346532</v>
      </c>
      <c r="M93" s="411" t="n">
        <v>69.0879407479969</v>
      </c>
      <c r="N93" s="411" t="n">
        <v>64.0073563843682</v>
      </c>
      <c r="O93" s="411" t="n">
        <v>48.0948093232988</v>
      </c>
      <c r="P93" s="411" t="n">
        <v>45.1516593738201</v>
      </c>
      <c r="Q93" s="411" t="n">
        <v>43.9817749964253</v>
      </c>
      <c r="R93" s="411" t="n">
        <v>35.6291861285758</v>
      </c>
      <c r="S93" s="411" t="n">
        <v>34.2068752044551</v>
      </c>
      <c r="T93" s="411" t="n">
        <v>34.2068752044551</v>
      </c>
      <c r="U93" s="411" t="n">
        <v>32.0853439215593</v>
      </c>
      <c r="V93" s="411" t="n">
        <v>26.6589112685505</v>
      </c>
      <c r="W93" s="411" t="n">
        <v>25.6698714388026</v>
      </c>
      <c r="X93" s="411" t="n">
        <v>24.6785428489965</v>
      </c>
      <c r="Y93" s="411" t="n">
        <v>24.2047699372979</v>
      </c>
      <c r="Z93" s="411" t="n">
        <v>23.8162353873225</v>
      </c>
      <c r="AA93" s="411" t="n">
        <v>23.0829245924593</v>
      </c>
      <c r="AB93" s="401" t="n">
        <f aca="false">AB92*(1+Assumptions!$L$13/12)</f>
        <v>0.691228259183992</v>
      </c>
      <c r="AC93" s="401" t="n">
        <f aca="false">AC92</f>
        <v>0</v>
      </c>
      <c r="AD93" s="405" t="n">
        <f aca="false">AD92</f>
        <v>319.924737421536</v>
      </c>
      <c r="AE93" s="405" t="n">
        <f aca="false">AE92</f>
        <v>3926.94756165724</v>
      </c>
      <c r="AF93" s="392" t="n">
        <f aca="false">IF(Assumptions!D$18=1,0,1)</f>
        <v>0</v>
      </c>
      <c r="AG93" s="406" t="n">
        <f aca="false">AG92</f>
        <v>0</v>
      </c>
      <c r="AH93" s="401" t="n">
        <f aca="false">Assumptions!$E$18*Assumptions!H22</f>
        <v>3.91988277779854</v>
      </c>
      <c r="AI93" s="401" t="n">
        <f aca="false">Assumptions!$F$18*Assumptions!I22</f>
        <v>3.73505264705882</v>
      </c>
      <c r="AJ93" s="401" t="n">
        <f aca="false">AJ92</f>
        <v>0</v>
      </c>
      <c r="AK93" s="401" t="n">
        <f aca="false">AK92</f>
        <v>0</v>
      </c>
      <c r="AL93" s="1"/>
    </row>
    <row r="94" customFormat="false" ht="12.75" hidden="false" customHeight="false" outlineLevel="0" collapsed="false">
      <c r="A94" s="400" t="n">
        <f aca="false">A93+30.417</f>
        <v>39064.611</v>
      </c>
      <c r="B94" s="401" t="n">
        <f aca="false">IF($B$9="Coal",AG94,IF($B$9="Gas",AH94,IF($B$9="Oil",AI94,0)))</f>
        <v>4.24201534217903</v>
      </c>
      <c r="C94" s="402" t="n">
        <f aca="false">(B94*$B$1*1000)/1000000</f>
        <v>47.954900375587</v>
      </c>
      <c r="D94" s="401" t="n">
        <f aca="false">AB94+AC94</f>
        <v>0.692380306282632</v>
      </c>
      <c r="E94" s="401" t="n">
        <f aca="false">(($AJ94*$B$1*AD94*1000)/2000)/1000000</f>
        <v>0</v>
      </c>
      <c r="F94" s="401" t="n">
        <f aca="false">AF94*(($AK94*$B$1*AE94*1000)/2000)/1000000</f>
        <v>0</v>
      </c>
      <c r="G94" s="403" t="n">
        <f aca="false">IF('Peak Revenue'!$A$1="BL","-",SUM(C94:F94))</f>
        <v>48.6472806818697</v>
      </c>
      <c r="H94" s="411" t="n">
        <v>163.696461604244</v>
      </c>
      <c r="I94" s="411" t="n">
        <v>153.628473775746</v>
      </c>
      <c r="J94" s="411" t="n">
        <v>90.0982411365037</v>
      </c>
      <c r="K94" s="411" t="n">
        <v>70.779883203132</v>
      </c>
      <c r="L94" s="411" t="n">
        <v>65.1020664035748</v>
      </c>
      <c r="M94" s="411" t="n">
        <v>62.5842809603218</v>
      </c>
      <c r="N94" s="411" t="n">
        <v>59.3166030949783</v>
      </c>
      <c r="O94" s="411" t="n">
        <v>56.0349934422281</v>
      </c>
      <c r="P94" s="411" t="n">
        <v>55.6990306656299</v>
      </c>
      <c r="Q94" s="411" t="n">
        <v>54.7499721517671</v>
      </c>
      <c r="R94" s="411" t="n">
        <v>48.4541617412366</v>
      </c>
      <c r="S94" s="411" t="n">
        <v>39.41786503719</v>
      </c>
      <c r="T94" s="411" t="n">
        <v>33.6390680364809</v>
      </c>
      <c r="U94" s="411" t="n">
        <v>31.9558141102348</v>
      </c>
      <c r="V94" s="411" t="n">
        <v>28.9213374646051</v>
      </c>
      <c r="W94" s="411" t="n">
        <v>28.2699973275297</v>
      </c>
      <c r="X94" s="411" t="n">
        <v>28.2695143682403</v>
      </c>
      <c r="Y94" s="411" t="n">
        <v>27.9305994790897</v>
      </c>
      <c r="Z94" s="411" t="n">
        <v>26.7338169458648</v>
      </c>
      <c r="AA94" s="411" t="n">
        <v>24.9067792985928</v>
      </c>
      <c r="AB94" s="401" t="n">
        <f aca="false">AB93*(1+Assumptions!$L$13/12)</f>
        <v>0.692380306282632</v>
      </c>
      <c r="AC94" s="401" t="n">
        <f aca="false">AC93</f>
        <v>0</v>
      </c>
      <c r="AD94" s="405" t="n">
        <f aca="false">AD93</f>
        <v>319.924737421536</v>
      </c>
      <c r="AE94" s="405" t="n">
        <f aca="false">AE93</f>
        <v>3926.94756165724</v>
      </c>
      <c r="AF94" s="392" t="n">
        <f aca="false">IF(Assumptions!D$18=1,0,1)</f>
        <v>0</v>
      </c>
      <c r="AG94" s="406" t="n">
        <f aca="false">AG93</f>
        <v>0</v>
      </c>
      <c r="AH94" s="401" t="n">
        <f aca="false">Assumptions!$E$18*Assumptions!H23</f>
        <v>4.24201534217903</v>
      </c>
      <c r="AI94" s="401" t="n">
        <f aca="false">Assumptions!$F$18*Assumptions!I23</f>
        <v>3.91636588235294</v>
      </c>
      <c r="AJ94" s="401" t="n">
        <f aca="false">AJ93</f>
        <v>0</v>
      </c>
      <c r="AK94" s="401" t="n">
        <f aca="false">AK93</f>
        <v>0</v>
      </c>
      <c r="AL94" s="1"/>
    </row>
    <row r="95" customFormat="false" ht="12.75" hidden="false" customHeight="false" outlineLevel="0" collapsed="false">
      <c r="A95" s="400" t="n">
        <f aca="false">A94+30.417</f>
        <v>39095.028</v>
      </c>
      <c r="B95" s="401" t="n">
        <f aca="false">IF($B$9="Coal",AG95,IF($B$9="Gas",AH95,IF($B$9="Oil",AI95,0)))</f>
        <v>4.14751590649865</v>
      </c>
      <c r="C95" s="402" t="n">
        <f aca="false">(B95*$B$1*1000)/1000000</f>
        <v>46.8866083827358</v>
      </c>
      <c r="D95" s="401" t="n">
        <f aca="false">AB95+AC95</f>
        <v>0.69353427345977</v>
      </c>
      <c r="E95" s="401" t="n">
        <f aca="false">(($AJ95*$B$1*AD95*1000)/2000)/1000000</f>
        <v>0</v>
      </c>
      <c r="F95" s="401" t="n">
        <f aca="false">AF95*(($AK95*$B$1*AE95*1000)/2000)/1000000</f>
        <v>0</v>
      </c>
      <c r="G95" s="403" t="n">
        <f aca="false">IF('Peak Revenue'!$A$1="BL","-",SUM(C95:F95))</f>
        <v>47.5801426561956</v>
      </c>
      <c r="H95" s="411" t="n">
        <v>88.2105927839787</v>
      </c>
      <c r="I95" s="411" t="n">
        <v>85.5074926751972</v>
      </c>
      <c r="J95" s="411" t="n">
        <v>81.1110112581759</v>
      </c>
      <c r="K95" s="411" t="n">
        <v>80.0316210830556</v>
      </c>
      <c r="L95" s="411" t="n">
        <v>79.3372431112606</v>
      </c>
      <c r="M95" s="411" t="n">
        <v>71.6978448526642</v>
      </c>
      <c r="N95" s="411" t="n">
        <v>54.8326769036342</v>
      </c>
      <c r="O95" s="411" t="n">
        <v>45.9874344090565</v>
      </c>
      <c r="P95" s="411" t="n">
        <v>44.8741617711366</v>
      </c>
      <c r="Q95" s="411" t="n">
        <v>38.9626035259179</v>
      </c>
      <c r="R95" s="411" t="n">
        <v>38.313990559248</v>
      </c>
      <c r="S95" s="411" t="n">
        <v>38.3139240615799</v>
      </c>
      <c r="T95" s="411" t="n">
        <v>38.3138149039019</v>
      </c>
      <c r="U95" s="411" t="n">
        <v>38.3133757003675</v>
      </c>
      <c r="V95" s="411" t="n">
        <v>35.9781745238442</v>
      </c>
      <c r="W95" s="411" t="n">
        <v>33.0793570220064</v>
      </c>
      <c r="X95" s="411" t="n">
        <v>31.3788651630255</v>
      </c>
      <c r="Y95" s="411" t="n">
        <v>30.7774165197723</v>
      </c>
      <c r="Z95" s="411" t="n">
        <v>30.5985422291778</v>
      </c>
      <c r="AA95" s="411" t="n">
        <v>29.8052333773267</v>
      </c>
      <c r="AB95" s="401" t="n">
        <f aca="false">AB94*(1+Assumptions!$L$13/12)</f>
        <v>0.69353427345977</v>
      </c>
      <c r="AC95" s="401" t="n">
        <f aca="false">VLOOKUP($C$1,EnvVOM,10)</f>
        <v>0</v>
      </c>
      <c r="AD95" s="405" t="n">
        <f aca="false">Assumptions!B19</f>
        <v>354.611014578236</v>
      </c>
      <c r="AE95" s="405" t="n">
        <f aca="false">Assumptions!C19</f>
        <v>2147.65438044863</v>
      </c>
      <c r="AF95" s="392" t="n">
        <f aca="false">IF(Assumptions!D$19=1,0,1)</f>
        <v>1</v>
      </c>
      <c r="AG95" s="406" t="n">
        <f aca="false">VLOOKUP($C$1,Coal,10)</f>
        <v>0</v>
      </c>
      <c r="AH95" s="401" t="n">
        <f aca="false">Assumptions!$E$19*Assumptions!H12</f>
        <v>4.14751590649865</v>
      </c>
      <c r="AI95" s="401" t="n">
        <f aca="false">Assumptions!$F$19*Assumptions!I12</f>
        <v>3.97454264150944</v>
      </c>
      <c r="AJ95" s="401" t="n">
        <f aca="false">VLOOKUP($C$1,SO2Rate,10)</f>
        <v>0</v>
      </c>
      <c r="AK95" s="401" t="n">
        <f aca="false">VLOOKUP($C$1,NOxRate,10)</f>
        <v>0</v>
      </c>
      <c r="AL95" s="1"/>
    </row>
    <row r="96" customFormat="false" ht="12.75" hidden="false" customHeight="false" outlineLevel="0" collapsed="false">
      <c r="A96" s="400" t="n">
        <f aca="false">A95+30.417</f>
        <v>39125.445</v>
      </c>
      <c r="B96" s="401" t="n">
        <f aca="false">IF($B$9="Coal",AG96,IF($B$9="Gas",AH96,IF($B$9="Oil",AI96,0)))</f>
        <v>3.71732143747353</v>
      </c>
      <c r="C96" s="402" t="n">
        <f aca="false">(B96*$B$1*1000)/1000000</f>
        <v>42.0233697472925</v>
      </c>
      <c r="D96" s="401" t="n">
        <f aca="false">AB96+AC96</f>
        <v>0.694690163915536</v>
      </c>
      <c r="E96" s="401" t="n">
        <f aca="false">(($AJ96*$B$1*AD96*1000)/2000)/1000000</f>
        <v>0</v>
      </c>
      <c r="F96" s="401" t="n">
        <f aca="false">AF96*(($AK96*$B$1*AE96*1000)/2000)/1000000</f>
        <v>0</v>
      </c>
      <c r="G96" s="403" t="n">
        <f aca="false">IF('Peak Revenue'!$A$1="BL","-",SUM(C96:F96))</f>
        <v>42.718059911208</v>
      </c>
      <c r="H96" s="411" t="n">
        <v>158.647677801062</v>
      </c>
      <c r="I96" s="411" t="n">
        <v>120.842504938625</v>
      </c>
      <c r="J96" s="411" t="n">
        <v>95.9802731185653</v>
      </c>
      <c r="K96" s="411" t="n">
        <v>79.339314609615</v>
      </c>
      <c r="L96" s="411" t="n">
        <v>70.8635493229169</v>
      </c>
      <c r="M96" s="411" t="n">
        <v>66.8766263130318</v>
      </c>
      <c r="N96" s="411" t="n">
        <v>63.948112164067</v>
      </c>
      <c r="O96" s="411" t="n">
        <v>63.2276542019161</v>
      </c>
      <c r="P96" s="411" t="n">
        <v>48.3013083837795</v>
      </c>
      <c r="Q96" s="411" t="n">
        <v>45.9096514699227</v>
      </c>
      <c r="R96" s="411" t="n">
        <v>44.6507656047592</v>
      </c>
      <c r="S96" s="411" t="n">
        <v>39.031222417483</v>
      </c>
      <c r="T96" s="411" t="n">
        <v>35.4994302400291</v>
      </c>
      <c r="U96" s="411" t="n">
        <v>34.2472187805106</v>
      </c>
      <c r="V96" s="411" t="n">
        <v>32.9225433426722</v>
      </c>
      <c r="W96" s="411" t="n">
        <v>31.9277992790811</v>
      </c>
      <c r="X96" s="411" t="n">
        <v>31.8064290489343</v>
      </c>
      <c r="Y96" s="411" t="n">
        <v>31.6550594243548</v>
      </c>
      <c r="Z96" s="411" t="n">
        <v>30.1913962391414</v>
      </c>
      <c r="AA96" s="411" t="n">
        <v>27.2383092934027</v>
      </c>
      <c r="AB96" s="401" t="n">
        <f aca="false">AB95*(1+Assumptions!$L$13/12)</f>
        <v>0.694690163915536</v>
      </c>
      <c r="AC96" s="401" t="n">
        <f aca="false">AC95</f>
        <v>0</v>
      </c>
      <c r="AD96" s="405" t="n">
        <f aca="false">AD95</f>
        <v>354.611014578236</v>
      </c>
      <c r="AE96" s="405" t="n">
        <f aca="false">AE95</f>
        <v>2147.65438044863</v>
      </c>
      <c r="AF96" s="392" t="n">
        <f aca="false">IF(Assumptions!D$19=1,0,1)</f>
        <v>1</v>
      </c>
      <c r="AG96" s="406" t="n">
        <f aca="false">AG95</f>
        <v>0</v>
      </c>
      <c r="AH96" s="401" t="n">
        <f aca="false">Assumptions!$E$19*Assumptions!H13</f>
        <v>3.71732143747353</v>
      </c>
      <c r="AI96" s="401" t="n">
        <f aca="false">Assumptions!$F$19*Assumptions!I13</f>
        <v>3.93774132075472</v>
      </c>
      <c r="AJ96" s="401" t="n">
        <f aca="false">AJ95</f>
        <v>0</v>
      </c>
      <c r="AK96" s="401" t="n">
        <f aca="false">AK95</f>
        <v>0</v>
      </c>
      <c r="AL96" s="1"/>
    </row>
    <row r="97" customFormat="false" ht="12.75" hidden="false" customHeight="false" outlineLevel="0" collapsed="false">
      <c r="A97" s="400" t="n">
        <f aca="false">A96+30.417</f>
        <v>39155.862</v>
      </c>
      <c r="B97" s="401" t="n">
        <f aca="false">IF($B$9="Coal",AG97,IF($B$9="Gas",AH97,IF($B$9="Oil",AI97,0)))</f>
        <v>3.65481454881176</v>
      </c>
      <c r="C97" s="402" t="n">
        <f aca="false">(B97*$B$1*1000)/1000000</f>
        <v>41.3167453301768</v>
      </c>
      <c r="D97" s="401" t="n">
        <f aca="false">AB97+AC97</f>
        <v>0.695847980855395</v>
      </c>
      <c r="E97" s="401" t="n">
        <f aca="false">(($AJ97*$B$1*AD97*1000)/2000)/1000000</f>
        <v>0</v>
      </c>
      <c r="F97" s="401" t="n">
        <f aca="false">AF97*(($AK97*$B$1*AE97*1000)/2000)/1000000</f>
        <v>0</v>
      </c>
      <c r="G97" s="403" t="n">
        <f aca="false">IF('Peak Revenue'!$A$1="BL","-",SUM(C97:F97))</f>
        <v>42.0125933110322</v>
      </c>
      <c r="H97" s="411" t="n">
        <v>84.4024032991978</v>
      </c>
      <c r="I97" s="411" t="n">
        <v>79.3334688051757</v>
      </c>
      <c r="J97" s="411" t="n">
        <v>76.3278907332587</v>
      </c>
      <c r="K97" s="411" t="n">
        <v>73.4642858913279</v>
      </c>
      <c r="L97" s="411" t="n">
        <v>70.2976612921741</v>
      </c>
      <c r="M97" s="411" t="n">
        <v>68.3375894800899</v>
      </c>
      <c r="N97" s="411" t="n">
        <v>67.9804179471985</v>
      </c>
      <c r="O97" s="411" t="n">
        <v>63.7148335417789</v>
      </c>
      <c r="P97" s="411" t="n">
        <v>48.6976144784059</v>
      </c>
      <c r="Q97" s="411" t="n">
        <v>45.3593583981106</v>
      </c>
      <c r="R97" s="411" t="n">
        <v>41.2080459298796</v>
      </c>
      <c r="S97" s="411" t="n">
        <v>40.2742972399004</v>
      </c>
      <c r="T97" s="411" t="n">
        <v>33.470060165407</v>
      </c>
      <c r="U97" s="411" t="n">
        <v>33.1957546756164</v>
      </c>
      <c r="V97" s="411" t="n">
        <v>33.008582740421</v>
      </c>
      <c r="W97" s="411" t="n">
        <v>31.0732923141671</v>
      </c>
      <c r="X97" s="411" t="n">
        <v>29.3750501629709</v>
      </c>
      <c r="Y97" s="411" t="n">
        <v>28.5270297771971</v>
      </c>
      <c r="Z97" s="411" t="n">
        <v>28.1488476148356</v>
      </c>
      <c r="AA97" s="411" t="n">
        <v>25.7889526205339</v>
      </c>
      <c r="AB97" s="401" t="n">
        <f aca="false">AB96*(1+Assumptions!$L$13/12)</f>
        <v>0.695847980855395</v>
      </c>
      <c r="AC97" s="401" t="n">
        <f aca="false">AC96</f>
        <v>0</v>
      </c>
      <c r="AD97" s="405" t="n">
        <f aca="false">AD96</f>
        <v>354.611014578236</v>
      </c>
      <c r="AE97" s="405" t="n">
        <f aca="false">AE96</f>
        <v>2147.65438044863</v>
      </c>
      <c r="AF97" s="392" t="n">
        <f aca="false">IF(Assumptions!D$19=1,0,1)</f>
        <v>1</v>
      </c>
      <c r="AG97" s="406" t="n">
        <f aca="false">AG96</f>
        <v>0</v>
      </c>
      <c r="AH97" s="401" t="n">
        <f aca="false">Assumptions!$E$19*Assumptions!H14</f>
        <v>3.65481454881176</v>
      </c>
      <c r="AI97" s="401" t="n">
        <f aca="false">Assumptions!$F$19*Assumptions!I14</f>
        <v>3.79053603773585</v>
      </c>
      <c r="AJ97" s="401" t="n">
        <f aca="false">AJ96</f>
        <v>0</v>
      </c>
      <c r="AK97" s="401" t="n">
        <f aca="false">AK96</f>
        <v>0</v>
      </c>
      <c r="AL97" s="1"/>
    </row>
    <row r="98" customFormat="false" ht="12.75" hidden="false" customHeight="false" outlineLevel="0" collapsed="false">
      <c r="A98" s="400" t="n">
        <f aca="false">A97+30.417</f>
        <v>39186.279</v>
      </c>
      <c r="B98" s="401" t="n">
        <f aca="false">IF($B$9="Coal",AG98,IF($B$9="Gas",AH98,IF($B$9="Oil",AI98,0)))</f>
        <v>3.47464763443371</v>
      </c>
      <c r="C98" s="402" t="n">
        <f aca="false">(B98*$B$1*1000)/1000000</f>
        <v>39.2800043631963</v>
      </c>
      <c r="D98" s="401" t="n">
        <f aca="false">AB98+AC98</f>
        <v>0.697007727490154</v>
      </c>
      <c r="E98" s="401" t="n">
        <f aca="false">(($AJ98*$B$1*AD98*1000)/2000)/1000000</f>
        <v>0</v>
      </c>
      <c r="F98" s="401" t="n">
        <f aca="false">AF98*(($AK98*$B$1*AE98*1000)/2000)/1000000</f>
        <v>0</v>
      </c>
      <c r="G98" s="403" t="n">
        <f aca="false">IF('Peak Revenue'!$A$1="BL","-",SUM(C98:F98))</f>
        <v>39.9770120906864</v>
      </c>
      <c r="H98" s="411" t="n">
        <v>82.8410306051132</v>
      </c>
      <c r="I98" s="411" t="n">
        <v>82.8410306051132</v>
      </c>
      <c r="J98" s="411" t="n">
        <v>81.5912520685544</v>
      </c>
      <c r="K98" s="411" t="n">
        <v>66.1012429538104</v>
      </c>
      <c r="L98" s="411" t="n">
        <v>56.6249267738978</v>
      </c>
      <c r="M98" s="411" t="n">
        <v>51.3249985019182</v>
      </c>
      <c r="N98" s="411" t="n">
        <v>49.2709847268708</v>
      </c>
      <c r="O98" s="411" t="n">
        <v>41.0781716955524</v>
      </c>
      <c r="P98" s="411" t="n">
        <v>40.7761515797606</v>
      </c>
      <c r="Q98" s="411" t="n">
        <v>40.3924178206851</v>
      </c>
      <c r="R98" s="411" t="n">
        <v>38.6662921812443</v>
      </c>
      <c r="S98" s="411" t="n">
        <v>36.6182923567726</v>
      </c>
      <c r="T98" s="411" t="n">
        <v>34.6570798696678</v>
      </c>
      <c r="U98" s="411" t="n">
        <v>33.5937229929588</v>
      </c>
      <c r="V98" s="411" t="n">
        <v>32.5234671899854</v>
      </c>
      <c r="W98" s="411" t="n">
        <v>31.5993005523671</v>
      </c>
      <c r="X98" s="411" t="n">
        <v>30.7264833789724</v>
      </c>
      <c r="Y98" s="411" t="n">
        <v>30.1102782457363</v>
      </c>
      <c r="Z98" s="411" t="n">
        <v>28.5824491813913</v>
      </c>
      <c r="AA98" s="411" t="n">
        <v>27.1126002215156</v>
      </c>
      <c r="AB98" s="401" t="n">
        <f aca="false">AB97*(1+Assumptions!$L$13/12)</f>
        <v>0.697007727490154</v>
      </c>
      <c r="AC98" s="401" t="n">
        <f aca="false">AC97</f>
        <v>0</v>
      </c>
      <c r="AD98" s="405" t="n">
        <f aca="false">AD97</f>
        <v>354.611014578236</v>
      </c>
      <c r="AE98" s="405" t="n">
        <f aca="false">AE97</f>
        <v>2147.65438044863</v>
      </c>
      <c r="AF98" s="392" t="n">
        <f aca="false">IF(Assumptions!D$19=1,0,1)</f>
        <v>1</v>
      </c>
      <c r="AG98" s="406" t="n">
        <f aca="false">AG97</f>
        <v>0</v>
      </c>
      <c r="AH98" s="401" t="n">
        <f aca="false">Assumptions!$E$19*Assumptions!H15</f>
        <v>3.47464763443371</v>
      </c>
      <c r="AI98" s="401" t="n">
        <f aca="false">Assumptions!$F$19*Assumptions!I15</f>
        <v>3.64333075471698</v>
      </c>
      <c r="AJ98" s="401" t="n">
        <f aca="false">AJ97</f>
        <v>0</v>
      </c>
      <c r="AK98" s="401" t="n">
        <f aca="false">AK97</f>
        <v>0</v>
      </c>
      <c r="AL98" s="1"/>
    </row>
    <row r="99" customFormat="false" ht="12.75" hidden="false" customHeight="false" outlineLevel="0" collapsed="false">
      <c r="A99" s="400" t="n">
        <f aca="false">A98+30.417</f>
        <v>39216.696</v>
      </c>
      <c r="B99" s="401" t="n">
        <f aca="false">IF($B$9="Coal",AG99,IF($B$9="Gas",AH99,IF($B$9="Oil",AI99,0)))</f>
        <v>3.65849142461539</v>
      </c>
      <c r="C99" s="402" t="n">
        <f aca="false">(B99*$B$1*1000)/1000000</f>
        <v>41.3583114723601</v>
      </c>
      <c r="D99" s="401" t="n">
        <f aca="false">AB99+AC99</f>
        <v>0.698169407035971</v>
      </c>
      <c r="E99" s="401" t="n">
        <f aca="false">(($AJ99*$B$1*AD99*1000)/2000)/1000000</f>
        <v>0</v>
      </c>
      <c r="F99" s="401" t="n">
        <f aca="false">AF99*(($AK99*$B$1*AE99*1000)/2000)/1000000</f>
        <v>0</v>
      </c>
      <c r="G99" s="403" t="n">
        <f aca="false">IF('Peak Revenue'!$A$1="BL","-",SUM(C99:F99))</f>
        <v>42.056480879396</v>
      </c>
      <c r="H99" s="411" t="n">
        <v>75.5030841647803</v>
      </c>
      <c r="I99" s="411" t="n">
        <v>69.184215629459</v>
      </c>
      <c r="J99" s="411" t="n">
        <v>65.3225057929441</v>
      </c>
      <c r="K99" s="411" t="n">
        <v>60.3403394843119</v>
      </c>
      <c r="L99" s="411" t="n">
        <v>58.9716475033583</v>
      </c>
      <c r="M99" s="411" t="n">
        <v>56.4799374230285</v>
      </c>
      <c r="N99" s="411" t="n">
        <v>44.0034795207512</v>
      </c>
      <c r="O99" s="411" t="n">
        <v>41.1398796069097</v>
      </c>
      <c r="P99" s="411" t="n">
        <v>38.0401686541743</v>
      </c>
      <c r="Q99" s="411" t="n">
        <v>36.1197080780567</v>
      </c>
      <c r="R99" s="411" t="n">
        <v>35.348062242142</v>
      </c>
      <c r="S99" s="411" t="n">
        <v>34.1599090910377</v>
      </c>
      <c r="T99" s="411" t="n">
        <v>33.7848786684578</v>
      </c>
      <c r="U99" s="411" t="n">
        <v>33.4819063496681</v>
      </c>
      <c r="V99" s="411" t="n">
        <v>33.1156257467968</v>
      </c>
      <c r="W99" s="411" t="n">
        <v>31.242278582036</v>
      </c>
      <c r="X99" s="411" t="n">
        <v>30.1220675242222</v>
      </c>
      <c r="Y99" s="411" t="n">
        <v>29.9395391067074</v>
      </c>
      <c r="Z99" s="411" t="n">
        <v>29.7034563031455</v>
      </c>
      <c r="AA99" s="411" t="n">
        <v>29.3574191857866</v>
      </c>
      <c r="AB99" s="401" t="n">
        <f aca="false">AB98*(1+Assumptions!$L$13/12)</f>
        <v>0.698169407035971</v>
      </c>
      <c r="AC99" s="401" t="n">
        <f aca="false">AC98</f>
        <v>0</v>
      </c>
      <c r="AD99" s="405" t="n">
        <f aca="false">AD98</f>
        <v>354.611014578236</v>
      </c>
      <c r="AE99" s="405" t="n">
        <f aca="false">AE98</f>
        <v>2147.65438044863</v>
      </c>
      <c r="AF99" s="392" t="n">
        <v>1</v>
      </c>
      <c r="AG99" s="406" t="n">
        <f aca="false">AG98</f>
        <v>0</v>
      </c>
      <c r="AH99" s="401" t="n">
        <f aca="false">Assumptions!$E$19*Assumptions!H16</f>
        <v>3.65849142461539</v>
      </c>
      <c r="AI99" s="401" t="n">
        <f aca="false">Assumptions!$F$19*Assumptions!I16</f>
        <v>3.49612547169811</v>
      </c>
      <c r="AJ99" s="401" t="n">
        <f aca="false">AJ98</f>
        <v>0</v>
      </c>
      <c r="AK99" s="401" t="n">
        <f aca="false">AK98</f>
        <v>0</v>
      </c>
      <c r="AL99" s="1"/>
    </row>
    <row r="100" customFormat="false" ht="12.75" hidden="false" customHeight="false" outlineLevel="0" collapsed="false">
      <c r="A100" s="400" t="n">
        <f aca="false">A99+30.417</f>
        <v>39247.113</v>
      </c>
      <c r="B100" s="401" t="n">
        <f aca="false">IF($B$9="Coal",AG100,IF($B$9="Gas",AH100,IF($B$9="Oil",AI100,0)))</f>
        <v>3.48567826184461</v>
      </c>
      <c r="C100" s="402" t="n">
        <f aca="false">(B100*$B$1*1000)/1000000</f>
        <v>39.4047027897461</v>
      </c>
      <c r="D100" s="401" t="n">
        <f aca="false">AB100+AC100</f>
        <v>0.699333022714365</v>
      </c>
      <c r="E100" s="401" t="n">
        <f aca="false">(($AJ100*$B$1*AD100*1000)/2000)/1000000</f>
        <v>0</v>
      </c>
      <c r="F100" s="401" t="n">
        <f aca="false">AF100*(($AK100*$B$1*AE100*1000)/2000)/1000000</f>
        <v>0</v>
      </c>
      <c r="G100" s="403" t="n">
        <f aca="false">IF('Peak Revenue'!$A$1="BL","-",SUM(C100:F100))</f>
        <v>40.1040358124604</v>
      </c>
      <c r="H100" s="411" t="n">
        <v>210.462461876415</v>
      </c>
      <c r="I100" s="411" t="n">
        <v>170.05150156564</v>
      </c>
      <c r="J100" s="411" t="n">
        <v>140.195078633394</v>
      </c>
      <c r="K100" s="411" t="n">
        <v>89.1432285623974</v>
      </c>
      <c r="L100" s="411" t="n">
        <v>74.4059770675519</v>
      </c>
      <c r="M100" s="411" t="n">
        <v>65.2923330696709</v>
      </c>
      <c r="N100" s="411" t="n">
        <v>60.1439735071366</v>
      </c>
      <c r="O100" s="411" t="n">
        <v>54.9923667518889</v>
      </c>
      <c r="P100" s="411" t="n">
        <v>44.9000353126126</v>
      </c>
      <c r="Q100" s="411" t="n">
        <v>41.9725397791439</v>
      </c>
      <c r="R100" s="411" t="n">
        <v>34.039676947771</v>
      </c>
      <c r="S100" s="411" t="n">
        <v>30.7220560750493</v>
      </c>
      <c r="T100" s="411" t="n">
        <v>29.6067377471683</v>
      </c>
      <c r="U100" s="411" t="n">
        <v>29.5454255573536</v>
      </c>
      <c r="V100" s="411" t="n">
        <v>29.274407144578</v>
      </c>
      <c r="W100" s="411" t="n">
        <v>28.9737969672321</v>
      </c>
      <c r="X100" s="411" t="n">
        <v>27.9474739214908</v>
      </c>
      <c r="Y100" s="411" t="n">
        <v>26.8766987007744</v>
      </c>
      <c r="Z100" s="411" t="n">
        <v>25.4929769021614</v>
      </c>
      <c r="AA100" s="411" t="n">
        <v>23.4573871765347</v>
      </c>
      <c r="AB100" s="401" t="n">
        <f aca="false">AB99*(1+Assumptions!$L$13/12)</f>
        <v>0.699333022714365</v>
      </c>
      <c r="AC100" s="401" t="n">
        <f aca="false">AC99</f>
        <v>0</v>
      </c>
      <c r="AD100" s="405" t="n">
        <f aca="false">AD99</f>
        <v>354.611014578236</v>
      </c>
      <c r="AE100" s="405" t="n">
        <f aca="false">AE99</f>
        <v>2147.65438044863</v>
      </c>
      <c r="AF100" s="392" t="n">
        <v>1</v>
      </c>
      <c r="AG100" s="406" t="n">
        <f aca="false">AG99</f>
        <v>0</v>
      </c>
      <c r="AH100" s="401" t="n">
        <f aca="false">Assumptions!$E$19*Assumptions!H17</f>
        <v>3.48567826184461</v>
      </c>
      <c r="AI100" s="401" t="n">
        <f aca="false">Assumptions!$F$19*Assumptions!I17</f>
        <v>3.49612547169811</v>
      </c>
      <c r="AJ100" s="401" t="n">
        <f aca="false">AJ99</f>
        <v>0</v>
      </c>
      <c r="AK100" s="401" t="n">
        <f aca="false">AK99</f>
        <v>0</v>
      </c>
      <c r="AL100" s="1"/>
    </row>
    <row r="101" customFormat="false" ht="12.75" hidden="false" customHeight="false" outlineLevel="0" collapsed="false">
      <c r="A101" s="400" t="n">
        <f aca="false">A100+30.417</f>
        <v>39277.53</v>
      </c>
      <c r="B101" s="401" t="n">
        <f aca="false">IF($B$9="Coal",AG101,IF($B$9="Gas",AH101,IF($B$9="Oil",AI101,0)))</f>
        <v>3.47464763443371</v>
      </c>
      <c r="C101" s="402" t="n">
        <f aca="false">(B101*$B$1*1000)/1000000</f>
        <v>39.2800043631963</v>
      </c>
      <c r="D101" s="401" t="n">
        <f aca="false">AB101+AC101</f>
        <v>0.700498577752222</v>
      </c>
      <c r="E101" s="401" t="n">
        <f aca="false">(($AJ101*$B$1*AD101*1000)/2000)/1000000</f>
        <v>0</v>
      </c>
      <c r="F101" s="401" t="n">
        <f aca="false">AF101*(($AK101*$B$1*AE101*1000)/2000)/1000000</f>
        <v>0</v>
      </c>
      <c r="G101" s="403" t="n">
        <f aca="false">IF('Peak Revenue'!$A$1="BL","-",SUM(C101:F101))</f>
        <v>39.9805029409485</v>
      </c>
      <c r="H101" s="411" t="n">
        <v>293.336183946411</v>
      </c>
      <c r="I101" s="411" t="n">
        <v>224.813236459611</v>
      </c>
      <c r="J101" s="411" t="n">
        <v>183.545551142362</v>
      </c>
      <c r="K101" s="411" t="n">
        <v>145.580274728083</v>
      </c>
      <c r="L101" s="411" t="n">
        <v>94.0272731835825</v>
      </c>
      <c r="M101" s="411" t="n">
        <v>83.6159293221236</v>
      </c>
      <c r="N101" s="411" t="n">
        <v>76.5868246852292</v>
      </c>
      <c r="O101" s="411" t="n">
        <v>74.2353471718109</v>
      </c>
      <c r="P101" s="411" t="n">
        <v>58.8406745833985</v>
      </c>
      <c r="Q101" s="411" t="n">
        <v>46.3968495845952</v>
      </c>
      <c r="R101" s="411" t="n">
        <v>42.3242549901086</v>
      </c>
      <c r="S101" s="411" t="n">
        <v>37.4214004457449</v>
      </c>
      <c r="T101" s="411" t="n">
        <v>36.555410621041</v>
      </c>
      <c r="U101" s="411" t="n">
        <v>36.5516784209552</v>
      </c>
      <c r="V101" s="411" t="n">
        <v>36.5515119374115</v>
      </c>
      <c r="W101" s="411" t="n">
        <v>36.4765256876799</v>
      </c>
      <c r="X101" s="411" t="n">
        <v>35.0678533830469</v>
      </c>
      <c r="Y101" s="411" t="n">
        <v>34.0004993705297</v>
      </c>
      <c r="Z101" s="411" t="n">
        <v>32.7722423578516</v>
      </c>
      <c r="AA101" s="411" t="n">
        <v>30.6342687797744</v>
      </c>
      <c r="AB101" s="401" t="n">
        <f aca="false">AB100*(1+Assumptions!$L$13/12)</f>
        <v>0.700498577752222</v>
      </c>
      <c r="AC101" s="401" t="n">
        <f aca="false">AC100</f>
        <v>0</v>
      </c>
      <c r="AD101" s="405" t="n">
        <f aca="false">AD100</f>
        <v>354.611014578236</v>
      </c>
      <c r="AE101" s="405" t="n">
        <f aca="false">AE100</f>
        <v>2147.65438044863</v>
      </c>
      <c r="AF101" s="392" t="n">
        <v>1</v>
      </c>
      <c r="AG101" s="406" t="n">
        <f aca="false">AG100</f>
        <v>0</v>
      </c>
      <c r="AH101" s="401" t="n">
        <f aca="false">Assumptions!$E$19*Assumptions!H18</f>
        <v>3.47464763443371</v>
      </c>
      <c r="AI101" s="401" t="n">
        <f aca="false">Assumptions!$F$19*Assumptions!I18</f>
        <v>3.49612547169811</v>
      </c>
      <c r="AJ101" s="401" t="n">
        <f aca="false">AJ100</f>
        <v>0</v>
      </c>
      <c r="AK101" s="401" t="n">
        <f aca="false">AK100</f>
        <v>0</v>
      </c>
      <c r="AL101" s="1"/>
    </row>
    <row r="102" customFormat="false" ht="12.75" hidden="false" customHeight="false" outlineLevel="0" collapsed="false">
      <c r="A102" s="400" t="n">
        <f aca="false">A101+30.417</f>
        <v>39307.947</v>
      </c>
      <c r="B102" s="401" t="n">
        <f aca="false">IF($B$9="Coal",AG102,IF($B$9="Gas",AH102,IF($B$9="Oil",AI102,0)))</f>
        <v>3.29448072005567</v>
      </c>
      <c r="C102" s="402" t="n">
        <f aca="false">(B102*$B$1*1000)/1000000</f>
        <v>37.2432633962157</v>
      </c>
      <c r="D102" s="401" t="n">
        <f aca="false">AB102+AC102</f>
        <v>0.701666075381809</v>
      </c>
      <c r="E102" s="401" t="n">
        <f aca="false">(($AJ102*$B$1*AD102*1000)/2000)/1000000</f>
        <v>0</v>
      </c>
      <c r="F102" s="401" t="n">
        <f aca="false">AF102*(($AK102*$B$1*AE102*1000)/2000)/1000000</f>
        <v>0</v>
      </c>
      <c r="G102" s="403" t="n">
        <f aca="false">IF('Peak Revenue'!$A$1="BL","-",SUM(C102:F102))</f>
        <v>37.9449294715975</v>
      </c>
      <c r="H102" s="411" t="n">
        <v>505.123701200449</v>
      </c>
      <c r="I102" s="411" t="n">
        <v>346.166932659314</v>
      </c>
      <c r="J102" s="411" t="n">
        <v>268.823195947401</v>
      </c>
      <c r="K102" s="411" t="n">
        <v>196.727043837717</v>
      </c>
      <c r="L102" s="411" t="n">
        <v>156.669373434372</v>
      </c>
      <c r="M102" s="411" t="n">
        <v>105.045043404658</v>
      </c>
      <c r="N102" s="411" t="n">
        <v>87.4332789564602</v>
      </c>
      <c r="O102" s="411" t="n">
        <v>82.0902283837058</v>
      </c>
      <c r="P102" s="411" t="n">
        <v>66.6299641432326</v>
      </c>
      <c r="Q102" s="411" t="n">
        <v>48.8952874429385</v>
      </c>
      <c r="R102" s="411" t="n">
        <v>42.1508745724586</v>
      </c>
      <c r="S102" s="411" t="n">
        <v>39.7351377980487</v>
      </c>
      <c r="T102" s="411" t="n">
        <v>38.4390028678632</v>
      </c>
      <c r="U102" s="411" t="n">
        <v>33.3448519939973</v>
      </c>
      <c r="V102" s="411" t="n">
        <v>32.5595894097533</v>
      </c>
      <c r="W102" s="411" t="n">
        <v>31.4838138000354</v>
      </c>
      <c r="X102" s="411" t="n">
        <v>30.6134047203795</v>
      </c>
      <c r="Y102" s="411" t="n">
        <v>29.5825952238658</v>
      </c>
      <c r="Z102" s="411" t="n">
        <v>28.822839818968</v>
      </c>
      <c r="AA102" s="411" t="n">
        <v>26.0161008405839</v>
      </c>
      <c r="AB102" s="401" t="n">
        <f aca="false">AB101*(1+Assumptions!$L$13/12)</f>
        <v>0.701666075381809</v>
      </c>
      <c r="AC102" s="401" t="n">
        <f aca="false">AC101</f>
        <v>0</v>
      </c>
      <c r="AD102" s="405" t="n">
        <f aca="false">AD101</f>
        <v>354.611014578236</v>
      </c>
      <c r="AE102" s="405" t="n">
        <f aca="false">AE101</f>
        <v>2147.65438044863</v>
      </c>
      <c r="AF102" s="392" t="n">
        <v>1</v>
      </c>
      <c r="AG102" s="406" t="n">
        <f aca="false">AG101</f>
        <v>0</v>
      </c>
      <c r="AH102" s="401" t="n">
        <f aca="false">Assumptions!$E$19*Assumptions!H19</f>
        <v>3.29448072005567</v>
      </c>
      <c r="AI102" s="401" t="n">
        <f aca="false">Assumptions!$F$19*Assumptions!I19</f>
        <v>3.49612547169811</v>
      </c>
      <c r="AJ102" s="401" t="n">
        <f aca="false">AJ101</f>
        <v>0</v>
      </c>
      <c r="AK102" s="401" t="n">
        <f aca="false">AK101</f>
        <v>0</v>
      </c>
      <c r="AL102" s="1"/>
    </row>
    <row r="103" customFormat="false" ht="12.75" hidden="false" customHeight="false" outlineLevel="0" collapsed="false">
      <c r="A103" s="400" t="n">
        <f aca="false">A102+30.417</f>
        <v>39338.364</v>
      </c>
      <c r="B103" s="401" t="n">
        <f aca="false">IF($B$9="Coal",AG103,IF($B$9="Gas",AH103,IF($B$9="Oil",AI103,0)))</f>
        <v>3.28345009264477</v>
      </c>
      <c r="C103" s="402" t="n">
        <f aca="false">(B103*$B$1*1000)/1000000</f>
        <v>37.1185649696659</v>
      </c>
      <c r="D103" s="401" t="n">
        <f aca="false">AB103+AC103</f>
        <v>0.702835518840779</v>
      </c>
      <c r="E103" s="401" t="n">
        <f aca="false">(($AJ103*$B$1*AD103*1000)/2000)/1000000</f>
        <v>0</v>
      </c>
      <c r="F103" s="401" t="n">
        <f aca="false">AF103*(($AK103*$B$1*AE103*1000)/2000)/1000000</f>
        <v>0</v>
      </c>
      <c r="G103" s="403" t="n">
        <f aca="false">IF('Peak Revenue'!$A$1="BL","-",SUM(C103:F103))</f>
        <v>37.8214004885067</v>
      </c>
      <c r="H103" s="411" t="n">
        <v>224.495986982619</v>
      </c>
      <c r="I103" s="411" t="n">
        <v>179.946344548802</v>
      </c>
      <c r="J103" s="411" t="n">
        <v>157.857335420328</v>
      </c>
      <c r="K103" s="411" t="n">
        <v>93.8910908856257</v>
      </c>
      <c r="L103" s="411" t="n">
        <v>75.6217174456676</v>
      </c>
      <c r="M103" s="411" t="n">
        <v>63.0700067682697</v>
      </c>
      <c r="N103" s="411" t="n">
        <v>56.2868532037438</v>
      </c>
      <c r="O103" s="411" t="n">
        <v>54.2812215449114</v>
      </c>
      <c r="P103" s="411" t="n">
        <v>47.9974431296049</v>
      </c>
      <c r="Q103" s="411" t="n">
        <v>43.0366003616014</v>
      </c>
      <c r="R103" s="411" t="n">
        <v>38.6575727616731</v>
      </c>
      <c r="S103" s="411" t="n">
        <v>33.6842062364288</v>
      </c>
      <c r="T103" s="411" t="n">
        <v>30.3369271687561</v>
      </c>
      <c r="U103" s="411" t="n">
        <v>29.0184175448079</v>
      </c>
      <c r="V103" s="411" t="n">
        <v>28.5947266616563</v>
      </c>
      <c r="W103" s="411" t="n">
        <v>27.9041263215511</v>
      </c>
      <c r="X103" s="411" t="n">
        <v>27.1608938493692</v>
      </c>
      <c r="Y103" s="411" t="n">
        <v>27.1389386965731</v>
      </c>
      <c r="Z103" s="411" t="n">
        <v>27.0503360251666</v>
      </c>
      <c r="AA103" s="411" t="n">
        <v>24.509730082139</v>
      </c>
      <c r="AB103" s="401" t="n">
        <f aca="false">AB102*(1+Assumptions!$L$13/12)</f>
        <v>0.702835518840779</v>
      </c>
      <c r="AC103" s="401" t="n">
        <f aca="false">AC102</f>
        <v>0</v>
      </c>
      <c r="AD103" s="405" t="n">
        <f aca="false">AD102</f>
        <v>354.611014578236</v>
      </c>
      <c r="AE103" s="405" t="n">
        <f aca="false">AE102</f>
        <v>2147.65438044863</v>
      </c>
      <c r="AF103" s="392" t="n">
        <v>1</v>
      </c>
      <c r="AG103" s="406" t="n">
        <f aca="false">AG102</f>
        <v>0</v>
      </c>
      <c r="AH103" s="401" t="n">
        <f aca="false">Assumptions!$E$19*Assumptions!H20</f>
        <v>3.28345009264477</v>
      </c>
      <c r="AI103" s="401" t="n">
        <f aca="false">Assumptions!$F$19*Assumptions!I20</f>
        <v>3.49612547169811</v>
      </c>
      <c r="AJ103" s="401" t="n">
        <f aca="false">AJ102</f>
        <v>0</v>
      </c>
      <c r="AK103" s="401" t="n">
        <f aca="false">AK102</f>
        <v>0</v>
      </c>
      <c r="AL103" s="1"/>
    </row>
    <row r="104" customFormat="false" ht="12.75" hidden="false" customHeight="false" outlineLevel="0" collapsed="false">
      <c r="A104" s="400" t="n">
        <f aca="false">A103+30.417</f>
        <v>39368.781</v>
      </c>
      <c r="B104" s="401" t="n">
        <f aca="false">IF($B$9="Coal",AG104,IF($B$9="Gas",AH104,IF($B$9="Oil",AI104,0)))</f>
        <v>3.63643016979359</v>
      </c>
      <c r="C104" s="402" t="n">
        <f aca="false">(B104*$B$1*1000)/1000000</f>
        <v>41.1089146192604</v>
      </c>
      <c r="D104" s="401" t="n">
        <f aca="false">AB104+AC104</f>
        <v>0.70400691137218</v>
      </c>
      <c r="E104" s="401" t="n">
        <f aca="false">(($AJ104*$B$1*AD104*1000)/2000)/1000000</f>
        <v>0</v>
      </c>
      <c r="F104" s="401" t="n">
        <f aca="false">AF104*(($AK104*$B$1*AE104*1000)/2000)/1000000</f>
        <v>0</v>
      </c>
      <c r="G104" s="403" t="n">
        <f aca="false">IF('Peak Revenue'!$A$1="BL","-",SUM(C104:F104))</f>
        <v>41.8129215306326</v>
      </c>
      <c r="H104" s="411" t="n">
        <v>90.2574093702294</v>
      </c>
      <c r="I104" s="411" t="n">
        <v>79.9206881717955</v>
      </c>
      <c r="J104" s="411" t="n">
        <v>75.3812817092056</v>
      </c>
      <c r="K104" s="411" t="n">
        <v>70.9484494147057</v>
      </c>
      <c r="L104" s="411" t="n">
        <v>67.4561323129288</v>
      </c>
      <c r="M104" s="411" t="n">
        <v>63.0044748381412</v>
      </c>
      <c r="N104" s="411" t="n">
        <v>62.573614752067</v>
      </c>
      <c r="O104" s="411" t="n">
        <v>58.9528783512374</v>
      </c>
      <c r="P104" s="411" t="n">
        <v>46.0518998587545</v>
      </c>
      <c r="Q104" s="411" t="n">
        <v>44.0013252980128</v>
      </c>
      <c r="R104" s="411" t="n">
        <v>40.9758828519469</v>
      </c>
      <c r="S104" s="411" t="n">
        <v>35.7270972207244</v>
      </c>
      <c r="T104" s="411" t="n">
        <v>33.4441183568013</v>
      </c>
      <c r="U104" s="411" t="n">
        <v>31.4536663617294</v>
      </c>
      <c r="V104" s="411" t="n">
        <v>31.3003580061414</v>
      </c>
      <c r="W104" s="411" t="n">
        <v>31.0964274406569</v>
      </c>
      <c r="X104" s="411" t="n">
        <v>30.9662708603032</v>
      </c>
      <c r="Y104" s="411" t="n">
        <v>30.792503470608</v>
      </c>
      <c r="Z104" s="411" t="n">
        <v>29.9463916619873</v>
      </c>
      <c r="AA104" s="411" t="n">
        <v>26.2083068149301</v>
      </c>
      <c r="AB104" s="401" t="n">
        <f aca="false">AB103*(1+Assumptions!$L$13/12)</f>
        <v>0.70400691137218</v>
      </c>
      <c r="AC104" s="401" t="n">
        <f aca="false">AC103</f>
        <v>0</v>
      </c>
      <c r="AD104" s="405" t="n">
        <f aca="false">AD103</f>
        <v>354.611014578236</v>
      </c>
      <c r="AE104" s="405" t="n">
        <f aca="false">AE103</f>
        <v>2147.65438044863</v>
      </c>
      <c r="AF104" s="392" t="n">
        <f aca="false">IF(Assumptions!D$19=1,0,1)</f>
        <v>1</v>
      </c>
      <c r="AG104" s="406" t="n">
        <f aca="false">AG103</f>
        <v>0</v>
      </c>
      <c r="AH104" s="401" t="n">
        <f aca="false">Assumptions!$E$19*Assumptions!H21</f>
        <v>3.63643016979359</v>
      </c>
      <c r="AI104" s="401" t="n">
        <f aca="false">Assumptions!$F$19*Assumptions!I21</f>
        <v>3.49612547169811</v>
      </c>
      <c r="AJ104" s="401" t="n">
        <f aca="false">AJ103</f>
        <v>0</v>
      </c>
      <c r="AK104" s="401" t="n">
        <f aca="false">AK103</f>
        <v>0</v>
      </c>
      <c r="AL104" s="1"/>
    </row>
    <row r="105" customFormat="false" ht="12.75" hidden="false" customHeight="false" outlineLevel="0" collapsed="false">
      <c r="A105" s="400" t="n">
        <f aca="false">A104+30.417</f>
        <v>39399.198</v>
      </c>
      <c r="B105" s="401" t="n">
        <f aca="false">IF($B$9="Coal",AG105,IF($B$9="Gas",AH105,IF($B$9="Oil",AI105,0)))</f>
        <v>3.98205649533514</v>
      </c>
      <c r="C105" s="402" t="n">
        <f aca="false">(B105*$B$1*1000)/1000000</f>
        <v>45.0161319844884</v>
      </c>
      <c r="D105" s="401" t="n">
        <f aca="false">AB105+AC105</f>
        <v>0.705180256224467</v>
      </c>
      <c r="E105" s="401" t="n">
        <f aca="false">(($AJ105*$B$1*AD105*1000)/2000)/1000000</f>
        <v>0</v>
      </c>
      <c r="F105" s="401" t="n">
        <f aca="false">AF105*(($AK105*$B$1*AE105*1000)/2000)/1000000</f>
        <v>0</v>
      </c>
      <c r="G105" s="403" t="n">
        <f aca="false">IF('Peak Revenue'!$A$1="BL","-",SUM(C105:F105))</f>
        <v>45.7213122407129</v>
      </c>
      <c r="H105" s="411" t="n">
        <v>87.263224619697</v>
      </c>
      <c r="I105" s="411" t="n">
        <v>84.6548405639863</v>
      </c>
      <c r="J105" s="411" t="n">
        <v>81.3098023754129</v>
      </c>
      <c r="K105" s="411" t="n">
        <v>76.7877053162773</v>
      </c>
      <c r="L105" s="411" t="n">
        <v>73.2018079489619</v>
      </c>
      <c r="M105" s="411" t="n">
        <v>72.8869999512556</v>
      </c>
      <c r="N105" s="411" t="n">
        <v>68.0079646753532</v>
      </c>
      <c r="O105" s="411" t="n">
        <v>51.5580724289582</v>
      </c>
      <c r="P105" s="411" t="n">
        <v>47.0453493306991</v>
      </c>
      <c r="Q105" s="411" t="n">
        <v>41.2814387165807</v>
      </c>
      <c r="R105" s="411" t="n">
        <v>40.8951508716439</v>
      </c>
      <c r="S105" s="411" t="n">
        <v>38.2904940699877</v>
      </c>
      <c r="T105" s="411" t="n">
        <v>36.7522760462758</v>
      </c>
      <c r="U105" s="411" t="n">
        <v>36.1003287014065</v>
      </c>
      <c r="V105" s="411" t="n">
        <v>36.0920993187704</v>
      </c>
      <c r="W105" s="411" t="n">
        <v>36.0920993187704</v>
      </c>
      <c r="X105" s="411" t="n">
        <v>36.0920993187704</v>
      </c>
      <c r="Y105" s="411" t="n">
        <v>36.0920993187704</v>
      </c>
      <c r="Z105" s="411" t="n">
        <v>35.5679112300922</v>
      </c>
      <c r="AA105" s="411" t="n">
        <v>33.6848049363259</v>
      </c>
      <c r="AB105" s="401" t="n">
        <f aca="false">AB104*(1+Assumptions!$L$13/12)</f>
        <v>0.705180256224467</v>
      </c>
      <c r="AC105" s="401" t="n">
        <f aca="false">AC104</f>
        <v>0</v>
      </c>
      <c r="AD105" s="405" t="n">
        <f aca="false">AD104</f>
        <v>354.611014578236</v>
      </c>
      <c r="AE105" s="405" t="n">
        <f aca="false">AE104</f>
        <v>2147.65438044863</v>
      </c>
      <c r="AF105" s="392" t="n">
        <f aca="false">IF(Assumptions!D$19=1,0,1)</f>
        <v>1</v>
      </c>
      <c r="AG105" s="406" t="n">
        <f aca="false">AG104</f>
        <v>0</v>
      </c>
      <c r="AH105" s="401" t="n">
        <f aca="false">Assumptions!$E$19*Assumptions!H22</f>
        <v>3.98205649533514</v>
      </c>
      <c r="AI105" s="401" t="n">
        <f aca="false">Assumptions!$F$19*Assumptions!I22</f>
        <v>3.79053603773585</v>
      </c>
      <c r="AJ105" s="401" t="n">
        <f aca="false">AJ104</f>
        <v>0</v>
      </c>
      <c r="AK105" s="401" t="n">
        <f aca="false">AK104</f>
        <v>0</v>
      </c>
      <c r="AL105" s="1"/>
    </row>
    <row r="106" customFormat="false" ht="12.75" hidden="false" customHeight="false" outlineLevel="0" collapsed="false">
      <c r="A106" s="400" t="n">
        <f aca="false">A105+30.417</f>
        <v>39429.615</v>
      </c>
      <c r="B106" s="401" t="n">
        <f aca="false">IF($B$9="Coal",AG106,IF($B$9="Gas",AH106,IF($B$9="Oil",AI106,0)))</f>
        <v>4.30929844185853</v>
      </c>
      <c r="C106" s="402" t="n">
        <f aca="false">(B106*$B$1*1000)/1000000</f>
        <v>48.7155186388</v>
      </c>
      <c r="D106" s="401" t="n">
        <f aca="false">AB106+AC106</f>
        <v>0.706355556651508</v>
      </c>
      <c r="E106" s="401" t="n">
        <f aca="false">(($AJ106*$B$1*AD106*1000)/2000)/1000000</f>
        <v>0</v>
      </c>
      <c r="F106" s="401" t="n">
        <f aca="false">AF106*(($AK106*$B$1*AE106*1000)/2000)/1000000</f>
        <v>0</v>
      </c>
      <c r="G106" s="403" t="n">
        <f aca="false">IF('Peak Revenue'!$A$1="BL","-",SUM(C106:F106))</f>
        <v>49.4218741954515</v>
      </c>
      <c r="H106" s="411" t="n">
        <v>98.5969311533446</v>
      </c>
      <c r="I106" s="411" t="n">
        <v>94.5463270706084</v>
      </c>
      <c r="J106" s="411" t="n">
        <v>91.8800164957103</v>
      </c>
      <c r="K106" s="411" t="n">
        <v>87.5909219188252</v>
      </c>
      <c r="L106" s="411" t="n">
        <v>83.571852132411</v>
      </c>
      <c r="M106" s="411" t="n">
        <v>83.1974549484653</v>
      </c>
      <c r="N106" s="411" t="n">
        <v>78.5416383045441</v>
      </c>
      <c r="O106" s="411" t="n">
        <v>60.6699492800952</v>
      </c>
      <c r="P106" s="411" t="n">
        <v>53.300910015785</v>
      </c>
      <c r="Q106" s="411" t="n">
        <v>46.8655252026663</v>
      </c>
      <c r="R106" s="411" t="n">
        <v>44.9483357907637</v>
      </c>
      <c r="S106" s="411" t="n">
        <v>40.810361049346</v>
      </c>
      <c r="T106" s="411" t="n">
        <v>40.7059985017276</v>
      </c>
      <c r="U106" s="411" t="n">
        <v>39.931842557013</v>
      </c>
      <c r="V106" s="411" t="n">
        <v>39.8068508347269</v>
      </c>
      <c r="W106" s="411" t="n">
        <v>39.8067715335631</v>
      </c>
      <c r="X106" s="411" t="n">
        <v>39.8066988943664</v>
      </c>
      <c r="Y106" s="411" t="n">
        <v>39.8066232132133</v>
      </c>
      <c r="Z106" s="411" t="n">
        <v>39.4064806391788</v>
      </c>
      <c r="AA106" s="411" t="n">
        <v>33.9970468900387</v>
      </c>
      <c r="AB106" s="401" t="n">
        <f aca="false">AB105*(1+Assumptions!$L$13/12)</f>
        <v>0.706355556651508</v>
      </c>
      <c r="AC106" s="401" t="n">
        <f aca="false">AC105</f>
        <v>0</v>
      </c>
      <c r="AD106" s="405" t="n">
        <f aca="false">AD105</f>
        <v>354.611014578236</v>
      </c>
      <c r="AE106" s="405" t="n">
        <f aca="false">AE105</f>
        <v>2147.65438044863</v>
      </c>
      <c r="AF106" s="392" t="n">
        <f aca="false">IF(Assumptions!D$19=1,0,1)</f>
        <v>1</v>
      </c>
      <c r="AG106" s="406" t="n">
        <f aca="false">AG105</f>
        <v>0</v>
      </c>
      <c r="AH106" s="401" t="n">
        <f aca="false">Assumptions!$E$19*Assumptions!H23</f>
        <v>4.30929844185853</v>
      </c>
      <c r="AI106" s="401" t="n">
        <f aca="false">Assumptions!$F$19*Assumptions!I23</f>
        <v>3.97454264150944</v>
      </c>
      <c r="AJ106" s="401" t="n">
        <f aca="false">AJ105</f>
        <v>0</v>
      </c>
      <c r="AK106" s="401" t="n">
        <f aca="false">AK105</f>
        <v>0</v>
      </c>
      <c r="AL106" s="1"/>
    </row>
    <row r="107" customFormat="false" ht="12.75" hidden="false" customHeight="false" outlineLevel="0" collapsed="false">
      <c r="A107" s="400" t="n">
        <f aca="false">A106+30.417</f>
        <v>39460.032</v>
      </c>
      <c r="B107" s="401" t="n">
        <f aca="false">IF($B$9="Coal",AG107,IF($B$9="Gas",AH107,IF($B$9="Oil",AI107,0)))</f>
        <v>3.84715821646559</v>
      </c>
      <c r="C107" s="402" t="n">
        <f aca="false">(B107*$B$1*1000)/1000000</f>
        <v>43.4911413839818</v>
      </c>
      <c r="D107" s="401" t="n">
        <f aca="false">AB107+AC107</f>
        <v>0.707532815912594</v>
      </c>
      <c r="E107" s="401" t="n">
        <f aca="false">(($AJ107*$B$1*AD107*1000)/2000)/1000000</f>
        <v>0</v>
      </c>
      <c r="F107" s="401" t="n">
        <f aca="false">AF107*(($AK107*$B$1*AE107*1000)/2000)/1000000</f>
        <v>0</v>
      </c>
      <c r="G107" s="403" t="n">
        <f aca="false">IF('Peak Revenue'!$A$1="BL","-",SUM(C107:F107))</f>
        <v>44.1986741998944</v>
      </c>
      <c r="H107" s="411" t="n">
        <v>146.051973414102</v>
      </c>
      <c r="I107" s="411" t="n">
        <v>121.01996621179</v>
      </c>
      <c r="J107" s="411" t="n">
        <v>103.847295029235</v>
      </c>
      <c r="K107" s="411" t="n">
        <v>81.9671691898091</v>
      </c>
      <c r="L107" s="411" t="n">
        <v>76.5835965648752</v>
      </c>
      <c r="M107" s="411" t="n">
        <v>71.1955109149701</v>
      </c>
      <c r="N107" s="411" t="n">
        <v>69.2480454044045</v>
      </c>
      <c r="O107" s="411" t="n">
        <v>67.516656196681</v>
      </c>
      <c r="P107" s="411" t="n">
        <v>55.2909474222889</v>
      </c>
      <c r="Q107" s="411" t="n">
        <v>47.7320307001832</v>
      </c>
      <c r="R107" s="411" t="n">
        <v>40.9010041768386</v>
      </c>
      <c r="S107" s="411" t="n">
        <v>39.2656242156824</v>
      </c>
      <c r="T107" s="411" t="n">
        <v>37.6404351643203</v>
      </c>
      <c r="U107" s="411" t="n">
        <v>35.6620905869027</v>
      </c>
      <c r="V107" s="411" t="n">
        <v>34.3269259157122</v>
      </c>
      <c r="W107" s="411" t="n">
        <v>34.0317672211651</v>
      </c>
      <c r="X107" s="411" t="n">
        <v>33.8458661524893</v>
      </c>
      <c r="Y107" s="411" t="n">
        <v>33.7574285791416</v>
      </c>
      <c r="Z107" s="411" t="n">
        <v>33.739556866998</v>
      </c>
      <c r="AA107" s="411" t="n">
        <v>32.3419221941179</v>
      </c>
      <c r="AB107" s="401" t="n">
        <f aca="false">AB106*(1+Assumptions!$L$13/12)</f>
        <v>0.707532815912594</v>
      </c>
      <c r="AC107" s="401" t="n">
        <f aca="false">VLOOKUP($C$1,EnvVOM,11)</f>
        <v>0</v>
      </c>
      <c r="AD107" s="405" t="n">
        <f aca="false">Assumptions!B20</f>
        <v>391.298518710194</v>
      </c>
      <c r="AE107" s="405" t="n">
        <f aca="false">Assumptions!C20</f>
        <v>1807.34213002761</v>
      </c>
      <c r="AF107" s="392" t="n">
        <f aca="false">IF(Assumptions!D$20=1,0,1)</f>
        <v>1</v>
      </c>
      <c r="AG107" s="406" t="n">
        <f aca="false">VLOOKUP($C$1,Coal,11)</f>
        <v>0</v>
      </c>
      <c r="AH107" s="401" t="n">
        <f aca="false">Assumptions!$E$20*Assumptions!H12</f>
        <v>3.84715821646559</v>
      </c>
      <c r="AI107" s="401" t="n">
        <f aca="false">Assumptions!$F$20*Assumptions!I12</f>
        <v>3.58363281184659</v>
      </c>
      <c r="AJ107" s="401" t="n">
        <f aca="false">VLOOKUP($C$1,SO2Rate,11)</f>
        <v>0</v>
      </c>
      <c r="AK107" s="401" t="n">
        <f aca="false">VLOOKUP($C$1,NOxRate,11)</f>
        <v>0</v>
      </c>
      <c r="AL107" s="1"/>
    </row>
    <row r="108" customFormat="false" ht="12.75" hidden="false" customHeight="false" outlineLevel="0" collapsed="false">
      <c r="A108" s="400" t="n">
        <f aca="false">A107+30.417</f>
        <v>39490.449</v>
      </c>
      <c r="B108" s="401" t="n">
        <f aca="false">IF($B$9="Coal",AG108,IF($B$9="Gas",AH108,IF($B$9="Oil",AI108,0)))</f>
        <v>3.44811786954496</v>
      </c>
      <c r="C108" s="402" t="n">
        <f aca="false">(B108*$B$1*1000)/1000000</f>
        <v>38.9800921446858</v>
      </c>
      <c r="D108" s="401" t="n">
        <f aca="false">AB108+AC108</f>
        <v>0.708712037272448</v>
      </c>
      <c r="E108" s="401" t="n">
        <f aca="false">(($AJ108*$B$1*AD108*1000)/2000)/1000000</f>
        <v>0</v>
      </c>
      <c r="F108" s="401" t="n">
        <f aca="false">AF108*(($AK108*$B$1*AE108*1000)/2000)/1000000</f>
        <v>0</v>
      </c>
      <c r="G108" s="403" t="n">
        <f aca="false">IF('Peak Revenue'!$A$1="BL","-",SUM(C108:F108))</f>
        <v>39.6888041819583</v>
      </c>
      <c r="H108" s="411" t="n">
        <v>109.760014642747</v>
      </c>
      <c r="I108" s="411" t="n">
        <v>99.3607949241146</v>
      </c>
      <c r="J108" s="411" t="n">
        <v>94.8178062200768</v>
      </c>
      <c r="K108" s="411" t="n">
        <v>90.6511430981504</v>
      </c>
      <c r="L108" s="411" t="n">
        <v>85.7972641254591</v>
      </c>
      <c r="M108" s="411" t="n">
        <v>84.7309092209246</v>
      </c>
      <c r="N108" s="411" t="n">
        <v>81.5685867295906</v>
      </c>
      <c r="O108" s="411" t="n">
        <v>67.980651483205</v>
      </c>
      <c r="P108" s="411" t="n">
        <v>56.6679163836537</v>
      </c>
      <c r="Q108" s="411" t="n">
        <v>47.5231515844931</v>
      </c>
      <c r="R108" s="411" t="n">
        <v>45.226616956867</v>
      </c>
      <c r="S108" s="411" t="n">
        <v>40.502323768521</v>
      </c>
      <c r="T108" s="411" t="n">
        <v>37.211593383779</v>
      </c>
      <c r="U108" s="411" t="n">
        <v>34.6034225843657</v>
      </c>
      <c r="V108" s="411" t="n">
        <v>33.5759577390779</v>
      </c>
      <c r="W108" s="411" t="n">
        <v>32.6685049773595</v>
      </c>
      <c r="X108" s="411" t="n">
        <v>31.4533450992899</v>
      </c>
      <c r="Y108" s="411" t="n">
        <v>29.9963143988791</v>
      </c>
      <c r="Z108" s="411" t="n">
        <v>28.8116767655808</v>
      </c>
      <c r="AA108" s="411" t="n">
        <v>27.4727613083134</v>
      </c>
      <c r="AB108" s="401" t="n">
        <f aca="false">AB107*(1+Assumptions!$L$13/12)</f>
        <v>0.708712037272448</v>
      </c>
      <c r="AC108" s="401" t="n">
        <f aca="false">AC107</f>
        <v>0</v>
      </c>
      <c r="AD108" s="405" t="n">
        <f aca="false">AD107</f>
        <v>391.298518710194</v>
      </c>
      <c r="AE108" s="405" t="n">
        <f aca="false">AE107</f>
        <v>1807.34213002761</v>
      </c>
      <c r="AF108" s="392" t="n">
        <f aca="false">IF(Assumptions!D$20=1,0,1)</f>
        <v>1</v>
      </c>
      <c r="AG108" s="406" t="n">
        <f aca="false">AG107</f>
        <v>0</v>
      </c>
      <c r="AH108" s="401" t="n">
        <f aca="false">Assumptions!$E$20*Assumptions!H13</f>
        <v>3.44811786954496</v>
      </c>
      <c r="AI108" s="401" t="n">
        <f aca="false">Assumptions!$F$20*Assumptions!I13</f>
        <v>3.55045102655171</v>
      </c>
      <c r="AJ108" s="401" t="n">
        <f aca="false">AJ107</f>
        <v>0</v>
      </c>
      <c r="AK108" s="401" t="n">
        <f aca="false">AK107</f>
        <v>0</v>
      </c>
      <c r="AL108" s="1"/>
    </row>
    <row r="109" customFormat="false" ht="12.75" hidden="false" customHeight="false" outlineLevel="0" collapsed="false">
      <c r="A109" s="400" t="n">
        <f aca="false">A108+30.417</f>
        <v>39520.866</v>
      </c>
      <c r="B109" s="401" t="n">
        <f aca="false">IF($B$9="Coal",AG109,IF($B$9="Gas",AH109,IF($B$9="Oil",AI109,0)))</f>
        <v>3.39013764819751</v>
      </c>
      <c r="C109" s="402" t="n">
        <f aca="false">(B109*$B$1*1000)/1000000</f>
        <v>38.3246405458138</v>
      </c>
      <c r="D109" s="401" t="n">
        <f aca="false">AB109+AC109</f>
        <v>0.709893224001236</v>
      </c>
      <c r="E109" s="401" t="n">
        <f aca="false">(($AJ109*$B$1*AD109*1000)/2000)/1000000</f>
        <v>0</v>
      </c>
      <c r="F109" s="401" t="n">
        <f aca="false">AF109*(($AK109*$B$1*AE109*1000)/2000)/1000000</f>
        <v>0</v>
      </c>
      <c r="G109" s="403" t="n">
        <f aca="false">IF('Peak Revenue'!$A$1="BL","-",SUM(C109:F109))</f>
        <v>39.034533769815</v>
      </c>
      <c r="H109" s="411" t="n">
        <v>97.7067984441272</v>
      </c>
      <c r="I109" s="411" t="n">
        <v>97.2532879232073</v>
      </c>
      <c r="J109" s="411" t="n">
        <v>94.7258164194452</v>
      </c>
      <c r="K109" s="411" t="n">
        <v>82.6101059247711</v>
      </c>
      <c r="L109" s="411" t="n">
        <v>66.0885109318289</v>
      </c>
      <c r="M109" s="411" t="n">
        <v>57.2368960095928</v>
      </c>
      <c r="N109" s="411" t="n">
        <v>53.422169575201</v>
      </c>
      <c r="O109" s="411" t="n">
        <v>47.5995598930121</v>
      </c>
      <c r="P109" s="411" t="n">
        <v>47.5995598930121</v>
      </c>
      <c r="Q109" s="411" t="n">
        <v>47.5505241600361</v>
      </c>
      <c r="R109" s="411" t="n">
        <v>47.2036029616163</v>
      </c>
      <c r="S109" s="411" t="n">
        <v>47.2036029616163</v>
      </c>
      <c r="T109" s="411" t="n">
        <v>47.2036029616163</v>
      </c>
      <c r="U109" s="411" t="n">
        <v>47.2036029616163</v>
      </c>
      <c r="V109" s="411" t="n">
        <v>43.2266153421918</v>
      </c>
      <c r="W109" s="411" t="n">
        <v>36.9800789058407</v>
      </c>
      <c r="X109" s="411" t="n">
        <v>35.6552572427067</v>
      </c>
      <c r="Y109" s="411" t="n">
        <v>33.8794908175167</v>
      </c>
      <c r="Z109" s="411" t="n">
        <v>32.3699053997893</v>
      </c>
      <c r="AA109" s="411" t="n">
        <v>29.6866717076693</v>
      </c>
      <c r="AB109" s="401" t="n">
        <f aca="false">AB108*(1+Assumptions!$L$13/12)</f>
        <v>0.709893224001236</v>
      </c>
      <c r="AC109" s="401" t="n">
        <f aca="false">AC108</f>
        <v>0</v>
      </c>
      <c r="AD109" s="405" t="n">
        <f aca="false">AD108+(Assumptions!B$21-Assumptions!B$20)/12</f>
        <v>394.505273919202</v>
      </c>
      <c r="AE109" s="405" t="n">
        <f aca="false">AE108+(Assumptions!C$21-Assumptions!C$20)/12</f>
        <v>1822.19384246207</v>
      </c>
      <c r="AF109" s="392" t="n">
        <f aca="false">IF(Assumptions!D$20=1,0,1)</f>
        <v>1</v>
      </c>
      <c r="AG109" s="406" t="n">
        <f aca="false">AG108</f>
        <v>0</v>
      </c>
      <c r="AH109" s="401" t="n">
        <f aca="false">Assumptions!$E$20*Assumptions!H14</f>
        <v>3.39013764819751</v>
      </c>
      <c r="AI109" s="401" t="n">
        <f aca="false">Assumptions!$F$20*Assumptions!I14</f>
        <v>3.41772388537221</v>
      </c>
      <c r="AJ109" s="401" t="n">
        <f aca="false">AJ108</f>
        <v>0</v>
      </c>
      <c r="AK109" s="401" t="n">
        <f aca="false">AK108</f>
        <v>0</v>
      </c>
      <c r="AL109" s="1"/>
    </row>
    <row r="110" customFormat="false" ht="12.75" hidden="false" customHeight="false" outlineLevel="0" collapsed="false">
      <c r="A110" s="400" t="n">
        <f aca="false">A109+30.417</f>
        <v>39551.283</v>
      </c>
      <c r="B110" s="401" t="n">
        <f aca="false">IF($B$9="Coal",AG110,IF($B$9="Gas",AH110,IF($B$9="Oil",AI110,0)))</f>
        <v>3.22301818666665</v>
      </c>
      <c r="C110" s="402" t="n">
        <f aca="false">(B110*$B$1*1000)/1000000</f>
        <v>36.4353977020061</v>
      </c>
      <c r="D110" s="401" t="n">
        <f aca="false">AB110+AC110</f>
        <v>0.711076379374571</v>
      </c>
      <c r="E110" s="401" t="n">
        <f aca="false">(($AJ110*$B$1*AD110*1000)/2000)/1000000</f>
        <v>0</v>
      </c>
      <c r="F110" s="401" t="n">
        <f aca="false">AF110*(($AK110*$B$1*AE110*1000)/2000)/1000000</f>
        <v>0</v>
      </c>
      <c r="G110" s="403" t="n">
        <f aca="false">IF('Peak Revenue'!$A$1="BL","-",SUM(C110:F110))</f>
        <v>37.1464740813806</v>
      </c>
      <c r="H110" s="411" t="n">
        <v>78.8106889987144</v>
      </c>
      <c r="I110" s="411" t="n">
        <v>75.646753067233</v>
      </c>
      <c r="J110" s="411" t="n">
        <v>72.4119381580518</v>
      </c>
      <c r="K110" s="411" t="n">
        <v>68.873504115855</v>
      </c>
      <c r="L110" s="411" t="n">
        <v>64.5192783479698</v>
      </c>
      <c r="M110" s="411" t="n">
        <v>63.1776772644983</v>
      </c>
      <c r="N110" s="411" t="n">
        <v>62.6186973966399</v>
      </c>
      <c r="O110" s="411" t="n">
        <v>54.1425993105354</v>
      </c>
      <c r="P110" s="411" t="n">
        <v>44.2247257606127</v>
      </c>
      <c r="Q110" s="411" t="n">
        <v>38.9055973701138</v>
      </c>
      <c r="R110" s="411" t="n">
        <v>36.0280945410658</v>
      </c>
      <c r="S110" s="411" t="n">
        <v>35.2058522128254</v>
      </c>
      <c r="T110" s="411" t="n">
        <v>32.4591594548723</v>
      </c>
      <c r="U110" s="411" t="n">
        <v>31.1753192510961</v>
      </c>
      <c r="V110" s="411" t="n">
        <v>30.9548838242671</v>
      </c>
      <c r="W110" s="411" t="n">
        <v>30.2558785249007</v>
      </c>
      <c r="X110" s="411" t="n">
        <v>29.436097548765</v>
      </c>
      <c r="Y110" s="411" t="n">
        <v>28.1639588733298</v>
      </c>
      <c r="Z110" s="411" t="n">
        <v>27.6773144758465</v>
      </c>
      <c r="AA110" s="411" t="n">
        <v>26.1662050300291</v>
      </c>
      <c r="AB110" s="401" t="n">
        <f aca="false">AB109*(1+Assumptions!$L$13/12)</f>
        <v>0.711076379374571</v>
      </c>
      <c r="AC110" s="401" t="n">
        <f aca="false">AC109</f>
        <v>0</v>
      </c>
      <c r="AD110" s="405" t="n">
        <f aca="false">AD109+(Assumptions!B$21-Assumptions!B$20)/12</f>
        <v>397.71202912821</v>
      </c>
      <c r="AE110" s="405" t="n">
        <f aca="false">AE109+(Assumptions!C$21-Assumptions!C$20)/12</f>
        <v>1837.04555489653</v>
      </c>
      <c r="AF110" s="392" t="n">
        <f aca="false">IF(Assumptions!D$20=1,0,1)</f>
        <v>1</v>
      </c>
      <c r="AG110" s="406" t="n">
        <f aca="false">AG109</f>
        <v>0</v>
      </c>
      <c r="AH110" s="401" t="n">
        <f aca="false">Assumptions!$E$20*Assumptions!H15</f>
        <v>3.22301818666665</v>
      </c>
      <c r="AI110" s="401" t="n">
        <f aca="false">Assumptions!$F$20*Assumptions!I15</f>
        <v>3.28499674419271</v>
      </c>
      <c r="AJ110" s="401" t="n">
        <f aca="false">AJ109</f>
        <v>0</v>
      </c>
      <c r="AK110" s="401" t="n">
        <f aca="false">AK109</f>
        <v>0</v>
      </c>
      <c r="AL110" s="1"/>
    </row>
    <row r="111" customFormat="false" ht="12.75" hidden="false" customHeight="false" outlineLevel="0" collapsed="false">
      <c r="A111" s="400" t="n">
        <f aca="false">A110+30.417</f>
        <v>39581.7</v>
      </c>
      <c r="B111" s="401" t="n">
        <f aca="false">IF($B$9="Coal",AG111,IF($B$9="Gas",AH111,IF($B$9="Oil",AI111,0)))</f>
        <v>3.39354824945325</v>
      </c>
      <c r="C111" s="402" t="n">
        <f aca="false">(B111*$B$1*1000)/1000000</f>
        <v>38.363196522218</v>
      </c>
      <c r="D111" s="401" t="n">
        <f aca="false">AB111+AC111</f>
        <v>0.712261506673529</v>
      </c>
      <c r="E111" s="401" t="n">
        <f aca="false">(($AJ111*$B$1*AD111*1000)/2000)/1000000</f>
        <v>0</v>
      </c>
      <c r="F111" s="401" t="n">
        <f aca="false">AF111*(($AK111*$B$1*AE111*1000)/2000)/1000000</f>
        <v>0</v>
      </c>
      <c r="G111" s="403" t="n">
        <f aca="false">IF('Peak Revenue'!$A$1="BL","-",SUM(C111:F111))</f>
        <v>39.0754580288915</v>
      </c>
      <c r="H111" s="411" t="n">
        <v>74.0187072663073</v>
      </c>
      <c r="I111" s="411" t="n">
        <v>70.0549504737015</v>
      </c>
      <c r="J111" s="411" t="n">
        <v>65.8008896983349</v>
      </c>
      <c r="K111" s="411" t="n">
        <v>63.5448298570013</v>
      </c>
      <c r="L111" s="411" t="n">
        <v>63.0995168593843</v>
      </c>
      <c r="M111" s="411" t="n">
        <v>52.6349972119107</v>
      </c>
      <c r="N111" s="411" t="n">
        <v>44.3239430818279</v>
      </c>
      <c r="O111" s="411" t="n">
        <v>41.0788342463543</v>
      </c>
      <c r="P111" s="411" t="n">
        <v>38.5049466130781</v>
      </c>
      <c r="Q111" s="411" t="n">
        <v>36.581000615821</v>
      </c>
      <c r="R111" s="411" t="n">
        <v>36.2068579681415</v>
      </c>
      <c r="S111" s="411" t="n">
        <v>35.9015995666735</v>
      </c>
      <c r="T111" s="411" t="n">
        <v>34.9986187592811</v>
      </c>
      <c r="U111" s="411" t="n">
        <v>33.4581911311779</v>
      </c>
      <c r="V111" s="411" t="n">
        <v>32.8259994815639</v>
      </c>
      <c r="W111" s="411" t="n">
        <v>32.0173285182342</v>
      </c>
      <c r="X111" s="411" t="n">
        <v>31.633284806231</v>
      </c>
      <c r="Y111" s="411" t="n">
        <v>31.6300937035669</v>
      </c>
      <c r="Z111" s="411" t="n">
        <v>31.3945875644997</v>
      </c>
      <c r="AA111" s="411" t="n">
        <v>30.0772978092684</v>
      </c>
      <c r="AB111" s="401" t="n">
        <f aca="false">AB110*(1+Assumptions!$L$13/12)</f>
        <v>0.712261506673529</v>
      </c>
      <c r="AC111" s="401" t="n">
        <f aca="false">AC110</f>
        <v>0</v>
      </c>
      <c r="AD111" s="405" t="n">
        <f aca="false">AD110+(Assumptions!B$21-Assumptions!B$20)/12</f>
        <v>400.918784337218</v>
      </c>
      <c r="AE111" s="405" t="n">
        <f aca="false">AE110+(Assumptions!C$21-Assumptions!C$20)/12</f>
        <v>1851.89726733099</v>
      </c>
      <c r="AF111" s="392" t="n">
        <v>1</v>
      </c>
      <c r="AG111" s="406" t="n">
        <f aca="false">AG110</f>
        <v>0</v>
      </c>
      <c r="AH111" s="401" t="n">
        <f aca="false">Assumptions!$E$20*Assumptions!H16</f>
        <v>3.39354824945325</v>
      </c>
      <c r="AI111" s="401" t="n">
        <f aca="false">Assumptions!$F$20*Assumptions!I16</f>
        <v>3.1522696030132</v>
      </c>
      <c r="AJ111" s="401" t="n">
        <f aca="false">AJ110</f>
        <v>0</v>
      </c>
      <c r="AK111" s="401" t="n">
        <f aca="false">AK110</f>
        <v>0</v>
      </c>
      <c r="AL111" s="1"/>
    </row>
    <row r="112" customFormat="false" ht="12.75" hidden="false" customHeight="false" outlineLevel="0" collapsed="false">
      <c r="A112" s="400" t="n">
        <f aca="false">A111+30.417</f>
        <v>39612.117</v>
      </c>
      <c r="B112" s="401" t="n">
        <f aca="false">IF($B$9="Coal",AG112,IF($B$9="Gas",AH112,IF($B$9="Oil",AI112,0)))</f>
        <v>3.23324999043385</v>
      </c>
      <c r="C112" s="402" t="n">
        <f aca="false">(B112*$B$1*1000)/1000000</f>
        <v>36.5510656312188</v>
      </c>
      <c r="D112" s="401" t="n">
        <f aca="false">AB112+AC112</f>
        <v>0.713448609184651</v>
      </c>
      <c r="E112" s="401" t="n">
        <f aca="false">(($AJ112*$B$1*AD112*1000)/2000)/1000000</f>
        <v>0</v>
      </c>
      <c r="F112" s="401" t="n">
        <f aca="false">AF112*(($AK112*$B$1*AE112*1000)/2000)/1000000</f>
        <v>0</v>
      </c>
      <c r="G112" s="403" t="n">
        <f aca="false">IF('Peak Revenue'!$A$1="BL","-",SUM(C112:F112))</f>
        <v>37.2645142404034</v>
      </c>
      <c r="H112" s="411" t="n">
        <v>169.775408584118</v>
      </c>
      <c r="I112" s="411" t="n">
        <v>153.3144269207</v>
      </c>
      <c r="J112" s="411" t="n">
        <v>140.516470501751</v>
      </c>
      <c r="K112" s="411" t="n">
        <v>92.2439436968547</v>
      </c>
      <c r="L112" s="411" t="n">
        <v>71.2499278121761</v>
      </c>
      <c r="M112" s="411" t="n">
        <v>63.7128736590179</v>
      </c>
      <c r="N112" s="411" t="n">
        <v>57.0965002106511</v>
      </c>
      <c r="O112" s="411" t="n">
        <v>55.5744117069568</v>
      </c>
      <c r="P112" s="411" t="n">
        <v>45.758470155698</v>
      </c>
      <c r="Q112" s="411" t="n">
        <v>40.2730649610714</v>
      </c>
      <c r="R112" s="411" t="n">
        <v>38.8256023324992</v>
      </c>
      <c r="S112" s="411" t="n">
        <v>36.6876075791308</v>
      </c>
      <c r="T112" s="411" t="n">
        <v>35.3794842032541</v>
      </c>
      <c r="U112" s="411" t="n">
        <v>32.1435681545568</v>
      </c>
      <c r="V112" s="411" t="n">
        <v>29.1903025725812</v>
      </c>
      <c r="W112" s="411" t="n">
        <v>28.5611941749659</v>
      </c>
      <c r="X112" s="411" t="n">
        <v>28.1016329858862</v>
      </c>
      <c r="Y112" s="411" t="n">
        <v>27.9478709221834</v>
      </c>
      <c r="Z112" s="411" t="n">
        <v>27.9028376120951</v>
      </c>
      <c r="AA112" s="411" t="n">
        <v>26.7527788385406</v>
      </c>
      <c r="AB112" s="401" t="n">
        <f aca="false">AB111*(1+Assumptions!$L$13/12)</f>
        <v>0.713448609184651</v>
      </c>
      <c r="AC112" s="401" t="n">
        <f aca="false">AC111</f>
        <v>0</v>
      </c>
      <c r="AD112" s="405" t="n">
        <f aca="false">AD111+(Assumptions!B$21-Assumptions!B$20)/12</f>
        <v>404.125539546226</v>
      </c>
      <c r="AE112" s="405" t="n">
        <f aca="false">AE111+(Assumptions!C$21-Assumptions!C$20)/12</f>
        <v>1866.74897976546</v>
      </c>
      <c r="AF112" s="392" t="n">
        <v>1</v>
      </c>
      <c r="AG112" s="406" t="n">
        <f aca="false">AG111</f>
        <v>0</v>
      </c>
      <c r="AH112" s="401" t="n">
        <f aca="false">Assumptions!$E$20*Assumptions!H17</f>
        <v>3.23324999043385</v>
      </c>
      <c r="AI112" s="401" t="n">
        <f aca="false">Assumptions!$F$20*Assumptions!I17</f>
        <v>3.1522696030132</v>
      </c>
      <c r="AJ112" s="401" t="n">
        <f aca="false">AJ111</f>
        <v>0</v>
      </c>
      <c r="AK112" s="401" t="n">
        <f aca="false">AK111</f>
        <v>0</v>
      </c>
      <c r="AL112" s="1"/>
    </row>
    <row r="113" customFormat="false" ht="12.75" hidden="false" customHeight="false" outlineLevel="0" collapsed="false">
      <c r="A113" s="400" t="n">
        <f aca="false">A112+30.417</f>
        <v>39642.534</v>
      </c>
      <c r="B113" s="401" t="n">
        <f aca="false">IF($B$9="Coal",AG113,IF($B$9="Gas",AH113,IF($B$9="Oil",AI113,0)))</f>
        <v>3.22301818666665</v>
      </c>
      <c r="C113" s="402" t="n">
        <f aca="false">(B113*$B$1*1000)/1000000</f>
        <v>36.4353977020061</v>
      </c>
      <c r="D113" s="401" t="n">
        <f aca="false">AB113+AC113</f>
        <v>0.714637690199959</v>
      </c>
      <c r="E113" s="401" t="n">
        <f aca="false">(($AJ113*$B$1*AD113*1000)/2000)/1000000</f>
        <v>0</v>
      </c>
      <c r="F113" s="401" t="n">
        <f aca="false">AF113*(($AK113*$B$1*AE113*1000)/2000)/1000000</f>
        <v>0</v>
      </c>
      <c r="G113" s="403" t="n">
        <f aca="false">IF('Peak Revenue'!$A$1="BL","-",SUM(C113:F113))</f>
        <v>37.150035392206</v>
      </c>
      <c r="H113" s="411" t="n">
        <v>309.553229451162</v>
      </c>
      <c r="I113" s="411" t="n">
        <v>247.618984578282</v>
      </c>
      <c r="J113" s="411" t="n">
        <v>206.908554792505</v>
      </c>
      <c r="K113" s="411" t="n">
        <v>168.194048875395</v>
      </c>
      <c r="L113" s="411" t="n">
        <v>140.638000088281</v>
      </c>
      <c r="M113" s="411" t="n">
        <v>102.199858702842</v>
      </c>
      <c r="N113" s="411" t="n">
        <v>69.3254629747601</v>
      </c>
      <c r="O113" s="411" t="n">
        <v>60.2629470458474</v>
      </c>
      <c r="P113" s="411" t="n">
        <v>58.7237218863699</v>
      </c>
      <c r="Q113" s="411" t="n">
        <v>57.7173604236486</v>
      </c>
      <c r="R113" s="411" t="n">
        <v>52.072525979703</v>
      </c>
      <c r="S113" s="411" t="n">
        <v>40.9881900435605</v>
      </c>
      <c r="T113" s="411" t="n">
        <v>38.0157194053938</v>
      </c>
      <c r="U113" s="411" t="n">
        <v>35.2563580353236</v>
      </c>
      <c r="V113" s="411" t="n">
        <v>33.8538100122789</v>
      </c>
      <c r="W113" s="411" t="n">
        <v>31.6362218328942</v>
      </c>
      <c r="X113" s="411" t="n">
        <v>30.2263124448232</v>
      </c>
      <c r="Y113" s="411" t="n">
        <v>29.3364499501397</v>
      </c>
      <c r="Z113" s="411" t="n">
        <v>28.9812181259926</v>
      </c>
      <c r="AA113" s="411" t="n">
        <v>27.8461977713712</v>
      </c>
      <c r="AB113" s="401" t="n">
        <f aca="false">AB112*(1+Assumptions!$L$13/12)</f>
        <v>0.714637690199959</v>
      </c>
      <c r="AC113" s="401" t="n">
        <f aca="false">AC112</f>
        <v>0</v>
      </c>
      <c r="AD113" s="405" t="n">
        <f aca="false">AD112+(Assumptions!B$21-Assumptions!B$20)/12</f>
        <v>407.332294755234</v>
      </c>
      <c r="AE113" s="405" t="n">
        <f aca="false">AE112+(Assumptions!C$21-Assumptions!C$20)/12</f>
        <v>1881.60069219992</v>
      </c>
      <c r="AF113" s="392" t="n">
        <v>1</v>
      </c>
      <c r="AG113" s="406" t="n">
        <f aca="false">AG112</f>
        <v>0</v>
      </c>
      <c r="AH113" s="401" t="n">
        <f aca="false">Assumptions!$E$20*Assumptions!H18</f>
        <v>3.22301818666665</v>
      </c>
      <c r="AI113" s="401" t="n">
        <f aca="false">Assumptions!$F$20*Assumptions!I18</f>
        <v>3.1522696030132</v>
      </c>
      <c r="AJ113" s="401" t="n">
        <f aca="false">AJ112</f>
        <v>0</v>
      </c>
      <c r="AK113" s="401" t="n">
        <f aca="false">AK112</f>
        <v>0</v>
      </c>
      <c r="AL113" s="1"/>
    </row>
    <row r="114" customFormat="false" ht="12.75" hidden="false" customHeight="false" outlineLevel="0" collapsed="false">
      <c r="A114" s="400" t="n">
        <f aca="false">A113+30.417</f>
        <v>39672.951</v>
      </c>
      <c r="B114" s="401" t="n">
        <f aca="false">IF($B$9="Coal",AG114,IF($B$9="Gas",AH114,IF($B$9="Oil",AI114,0)))</f>
        <v>3.05589872513579</v>
      </c>
      <c r="C114" s="402" t="n">
        <f aca="false">(B114*$B$1*1000)/1000000</f>
        <v>34.5461548581983</v>
      </c>
      <c r="D114" s="401" t="n">
        <f aca="false">AB114+AC114</f>
        <v>0.715828753016959</v>
      </c>
      <c r="E114" s="401" t="n">
        <f aca="false">(($AJ114*$B$1*AD114*1000)/2000)/1000000</f>
        <v>0</v>
      </c>
      <c r="F114" s="401" t="n">
        <f aca="false">AF114*(($AK114*$B$1*AE114*1000)/2000)/1000000</f>
        <v>0</v>
      </c>
      <c r="G114" s="403" t="n">
        <f aca="false">IF('Peak Revenue'!$A$1="BL","-",SUM(C114:F114))</f>
        <v>35.2619836112153</v>
      </c>
      <c r="H114" s="411" t="n">
        <v>540.516782336027</v>
      </c>
      <c r="I114" s="411" t="n">
        <v>354.257590975319</v>
      </c>
      <c r="J114" s="411" t="n">
        <v>285.635990338836</v>
      </c>
      <c r="K114" s="411" t="n">
        <v>218.501790537106</v>
      </c>
      <c r="L114" s="411" t="n">
        <v>171.517341534082</v>
      </c>
      <c r="M114" s="411" t="n">
        <v>128.190893307871</v>
      </c>
      <c r="N114" s="411" t="n">
        <v>72.2493769705581</v>
      </c>
      <c r="O114" s="411" t="n">
        <v>64.6262206668301</v>
      </c>
      <c r="P114" s="411" t="n">
        <v>54.8086646875864</v>
      </c>
      <c r="Q114" s="411" t="n">
        <v>41.0531269826428</v>
      </c>
      <c r="R114" s="411" t="n">
        <v>36.3354119339297</v>
      </c>
      <c r="S114" s="411" t="n">
        <v>33.4882603108301</v>
      </c>
      <c r="T114" s="411" t="n">
        <v>32.3129661137027</v>
      </c>
      <c r="U114" s="411" t="n">
        <v>32.2607988844174</v>
      </c>
      <c r="V114" s="411" t="n">
        <v>32.0246178874171</v>
      </c>
      <c r="W114" s="411" t="n">
        <v>31.7529904296543</v>
      </c>
      <c r="X114" s="411" t="n">
        <v>31.3232570758875</v>
      </c>
      <c r="Y114" s="411" t="n">
        <v>30.2750042406009</v>
      </c>
      <c r="Z114" s="411" t="n">
        <v>29.313933948741</v>
      </c>
      <c r="AA114" s="411" t="n">
        <v>26.8882909374008</v>
      </c>
      <c r="AB114" s="401" t="n">
        <f aca="false">AB113*(1+Assumptions!$L$13/12)</f>
        <v>0.715828753016959</v>
      </c>
      <c r="AC114" s="401" t="n">
        <f aca="false">AC113</f>
        <v>0</v>
      </c>
      <c r="AD114" s="405" t="n">
        <f aca="false">AD113+(Assumptions!B$21-Assumptions!B$20)/12</f>
        <v>410.539049964243</v>
      </c>
      <c r="AE114" s="405" t="n">
        <f aca="false">AE113+(Assumptions!C$21-Assumptions!C$20)/12</f>
        <v>1896.45240463438</v>
      </c>
      <c r="AF114" s="392" t="n">
        <v>1</v>
      </c>
      <c r="AG114" s="406" t="n">
        <f aca="false">AG113</f>
        <v>0</v>
      </c>
      <c r="AH114" s="401" t="n">
        <f aca="false">Assumptions!$E$20*Assumptions!H19</f>
        <v>3.05589872513579</v>
      </c>
      <c r="AI114" s="401" t="n">
        <f aca="false">Assumptions!$F$20*Assumptions!I19</f>
        <v>3.1522696030132</v>
      </c>
      <c r="AJ114" s="401" t="n">
        <f aca="false">AJ113</f>
        <v>0</v>
      </c>
      <c r="AK114" s="401" t="n">
        <f aca="false">AK113</f>
        <v>0</v>
      </c>
      <c r="AL114" s="1"/>
    </row>
    <row r="115" customFormat="false" ht="12.75" hidden="false" customHeight="false" outlineLevel="0" collapsed="false">
      <c r="A115" s="400" t="n">
        <f aca="false">A114+30.417</f>
        <v>39703.368</v>
      </c>
      <c r="B115" s="401" t="n">
        <f aca="false">IF($B$9="Coal",AG115,IF($B$9="Gas",AH115,IF($B$9="Oil",AI115,0)))</f>
        <v>3.04566692136859</v>
      </c>
      <c r="C115" s="402" t="n">
        <f aca="false">(B115*$B$1*1000)/1000000</f>
        <v>34.4304869289856</v>
      </c>
      <c r="D115" s="401" t="n">
        <f aca="false">AB115+AC115</f>
        <v>0.717021800938654</v>
      </c>
      <c r="E115" s="401" t="n">
        <f aca="false">(($AJ115*$B$1*AD115*1000)/2000)/1000000</f>
        <v>0</v>
      </c>
      <c r="F115" s="401" t="n">
        <f aca="false">AF115*(($AK115*$B$1*AE115*1000)/2000)/1000000</f>
        <v>0</v>
      </c>
      <c r="G115" s="403" t="n">
        <f aca="false">IF('Peak Revenue'!$A$1="BL","-",SUM(C115:F115))</f>
        <v>35.1475087299243</v>
      </c>
      <c r="H115" s="411" t="n">
        <v>179.943011219524</v>
      </c>
      <c r="I115" s="411" t="n">
        <v>155.864630999922</v>
      </c>
      <c r="J115" s="411" t="n">
        <v>114.663385039252</v>
      </c>
      <c r="K115" s="411" t="n">
        <v>86.268677788859</v>
      </c>
      <c r="L115" s="411" t="n">
        <v>68.1064350242074</v>
      </c>
      <c r="M115" s="411" t="n">
        <v>58.989533120427</v>
      </c>
      <c r="N115" s="411" t="n">
        <v>55.2422570210869</v>
      </c>
      <c r="O115" s="411" t="n">
        <v>52.8428444436543</v>
      </c>
      <c r="P115" s="411" t="n">
        <v>50.3484243208513</v>
      </c>
      <c r="Q115" s="411" t="n">
        <v>42.1593775128397</v>
      </c>
      <c r="R115" s="411" t="n">
        <v>38.5866004708007</v>
      </c>
      <c r="S115" s="411" t="n">
        <v>35.1030822889655</v>
      </c>
      <c r="T115" s="411" t="n">
        <v>33.3146550353182</v>
      </c>
      <c r="U115" s="411" t="n">
        <v>31.6802317093528</v>
      </c>
      <c r="V115" s="411" t="n">
        <v>30.1433444995163</v>
      </c>
      <c r="W115" s="411" t="n">
        <v>29.192688133667</v>
      </c>
      <c r="X115" s="411" t="n">
        <v>28.2981392630781</v>
      </c>
      <c r="Y115" s="411" t="n">
        <v>27.9454656512427</v>
      </c>
      <c r="Z115" s="411" t="n">
        <v>27.7323048487686</v>
      </c>
      <c r="AA115" s="411" t="n">
        <v>27.0337968683791</v>
      </c>
      <c r="AB115" s="401" t="n">
        <f aca="false">AB114*(1+Assumptions!$L$13/12)</f>
        <v>0.717021800938654</v>
      </c>
      <c r="AC115" s="401" t="n">
        <f aca="false">AC114</f>
        <v>0</v>
      </c>
      <c r="AD115" s="405" t="n">
        <f aca="false">AD114+(Assumptions!B$21-Assumptions!B$20)/12</f>
        <v>413.745805173251</v>
      </c>
      <c r="AE115" s="405" t="n">
        <f aca="false">AE114+(Assumptions!C$21-Assumptions!C$20)/12</f>
        <v>1911.30411706884</v>
      </c>
      <c r="AF115" s="392" t="n">
        <v>1</v>
      </c>
      <c r="AG115" s="406" t="n">
        <f aca="false">AG114</f>
        <v>0</v>
      </c>
      <c r="AH115" s="401" t="n">
        <f aca="false">Assumptions!$E$20*Assumptions!H20</f>
        <v>3.04566692136859</v>
      </c>
      <c r="AI115" s="401" t="n">
        <f aca="false">Assumptions!$F$20*Assumptions!I20</f>
        <v>3.1522696030132</v>
      </c>
      <c r="AJ115" s="401" t="n">
        <f aca="false">AJ114</f>
        <v>0</v>
      </c>
      <c r="AK115" s="401" t="n">
        <f aca="false">AK114</f>
        <v>0</v>
      </c>
      <c r="AL115" s="1"/>
    </row>
    <row r="116" customFormat="false" ht="12.75" hidden="false" customHeight="false" outlineLevel="0" collapsed="false">
      <c r="A116" s="400" t="n">
        <f aca="false">A115+30.417</f>
        <v>39733.785</v>
      </c>
      <c r="B116" s="401" t="n">
        <f aca="false">IF($B$9="Coal",AG116,IF($B$9="Gas",AH116,IF($B$9="Oil",AI116,0)))</f>
        <v>3.37308464191885</v>
      </c>
      <c r="C116" s="402" t="n">
        <f aca="false">(B116*$B$1*1000)/1000000</f>
        <v>38.1318606637926</v>
      </c>
      <c r="D116" s="401" t="n">
        <f aca="false">AB116+AC116</f>
        <v>0.718216837273552</v>
      </c>
      <c r="E116" s="401" t="n">
        <f aca="false">(($AJ116*$B$1*AD116*1000)/2000)/1000000</f>
        <v>0</v>
      </c>
      <c r="F116" s="401" t="n">
        <f aca="false">AF116*(($AK116*$B$1*AE116*1000)/2000)/1000000</f>
        <v>0</v>
      </c>
      <c r="G116" s="403" t="n">
        <f aca="false">IF('Peak Revenue'!$A$1="BL","-",SUM(C116:F116))</f>
        <v>38.8500775010661</v>
      </c>
      <c r="H116" s="411" t="n">
        <v>78.4661887816398</v>
      </c>
      <c r="I116" s="411" t="n">
        <v>74.5411955588133</v>
      </c>
      <c r="J116" s="411" t="n">
        <v>72.4771298640136</v>
      </c>
      <c r="K116" s="411" t="n">
        <v>67.8386990959187</v>
      </c>
      <c r="L116" s="411" t="n">
        <v>66.6724589994324</v>
      </c>
      <c r="M116" s="411" t="n">
        <v>66.0918628020147</v>
      </c>
      <c r="N116" s="411" t="n">
        <v>55.4521257133922</v>
      </c>
      <c r="O116" s="411" t="n">
        <v>46.456681054082</v>
      </c>
      <c r="P116" s="411" t="n">
        <v>41.4608896141359</v>
      </c>
      <c r="Q116" s="411" t="n">
        <v>37.8919781330306</v>
      </c>
      <c r="R116" s="411" t="n">
        <v>37.5305964310159</v>
      </c>
      <c r="S116" s="411" t="n">
        <v>35.395494380177</v>
      </c>
      <c r="T116" s="411" t="n">
        <v>34.4824698526298</v>
      </c>
      <c r="U116" s="411" t="n">
        <v>33.4524935929611</v>
      </c>
      <c r="V116" s="411" t="n">
        <v>33.1896390306586</v>
      </c>
      <c r="W116" s="411" t="n">
        <v>33.1896390306586</v>
      </c>
      <c r="X116" s="411" t="n">
        <v>33.1896390306586</v>
      </c>
      <c r="Y116" s="411" t="n">
        <v>33.1896390306586</v>
      </c>
      <c r="Z116" s="411" t="n">
        <v>33.1896390306586</v>
      </c>
      <c r="AA116" s="411" t="n">
        <v>32.5499635338238</v>
      </c>
      <c r="AB116" s="401" t="n">
        <f aca="false">AB115*(1+Assumptions!$L$13/12)</f>
        <v>0.718216837273552</v>
      </c>
      <c r="AC116" s="401" t="n">
        <f aca="false">AC115</f>
        <v>0</v>
      </c>
      <c r="AD116" s="405" t="n">
        <f aca="false">AD115+(Assumptions!B$21-Assumptions!B$20)/12</f>
        <v>416.952560382259</v>
      </c>
      <c r="AE116" s="405" t="n">
        <f aca="false">AE115+(Assumptions!C$21-Assumptions!C$20)/12</f>
        <v>1926.1558295033</v>
      </c>
      <c r="AF116" s="392" t="n">
        <f aca="false">IF(Assumptions!D$20=1,0,1)</f>
        <v>1</v>
      </c>
      <c r="AG116" s="406" t="n">
        <f aca="false">AG115</f>
        <v>0</v>
      </c>
      <c r="AH116" s="401" t="n">
        <f aca="false">Assumptions!$E$20*Assumptions!H21</f>
        <v>3.37308464191885</v>
      </c>
      <c r="AI116" s="401" t="n">
        <f aca="false">Assumptions!$F$20*Assumptions!I21</f>
        <v>3.1522696030132</v>
      </c>
      <c r="AJ116" s="401" t="n">
        <f aca="false">AJ115</f>
        <v>0</v>
      </c>
      <c r="AK116" s="401" t="n">
        <f aca="false">AK115</f>
        <v>0</v>
      </c>
      <c r="AL116" s="1"/>
    </row>
    <row r="117" customFormat="false" ht="12.75" hidden="false" customHeight="false" outlineLevel="0" collapsed="false">
      <c r="A117" s="400" t="n">
        <f aca="false">A116+30.417</f>
        <v>39764.202</v>
      </c>
      <c r="B117" s="401" t="n">
        <f aca="false">IF($B$9="Coal",AG117,IF($B$9="Gas",AH117,IF($B$9="Oil",AI117,0)))</f>
        <v>3.69368115995765</v>
      </c>
      <c r="C117" s="402" t="n">
        <f aca="false">(B117*$B$1*1000)/1000000</f>
        <v>41.7561224457911</v>
      </c>
      <c r="D117" s="401" t="n">
        <f aca="false">AB117+AC117</f>
        <v>0.719413865335674</v>
      </c>
      <c r="E117" s="401" t="n">
        <f aca="false">(($AJ117*$B$1*AD117*1000)/2000)/1000000</f>
        <v>0</v>
      </c>
      <c r="F117" s="401" t="n">
        <f aca="false">AF117*(($AK117*$B$1*AE117*1000)/2000)/1000000</f>
        <v>0</v>
      </c>
      <c r="G117" s="403" t="n">
        <f aca="false">IF('Peak Revenue'!$A$1="BL","-",SUM(C117:F117))</f>
        <v>42.4755363111267</v>
      </c>
      <c r="H117" s="411" t="n">
        <v>95.4525204392079</v>
      </c>
      <c r="I117" s="411" t="n">
        <v>88.5059075629026</v>
      </c>
      <c r="J117" s="411" t="n">
        <v>84.2043552823744</v>
      </c>
      <c r="K117" s="411" t="n">
        <v>79.0239314614264</v>
      </c>
      <c r="L117" s="411" t="n">
        <v>75.8651746057875</v>
      </c>
      <c r="M117" s="411" t="n">
        <v>75.4247680407112</v>
      </c>
      <c r="N117" s="411" t="n">
        <v>66.9039849236822</v>
      </c>
      <c r="O117" s="411" t="n">
        <v>52.2930053559926</v>
      </c>
      <c r="P117" s="411" t="n">
        <v>45.413413774099</v>
      </c>
      <c r="Q117" s="411" t="n">
        <v>42.7947597897534</v>
      </c>
      <c r="R117" s="411" t="n">
        <v>41.3389525672664</v>
      </c>
      <c r="S117" s="411" t="n">
        <v>37.3082277523182</v>
      </c>
      <c r="T117" s="411" t="n">
        <v>36.6560210664226</v>
      </c>
      <c r="U117" s="411" t="n">
        <v>36.655784213846</v>
      </c>
      <c r="V117" s="411" t="n">
        <v>36.655784213846</v>
      </c>
      <c r="W117" s="411" t="n">
        <v>36.655784213846</v>
      </c>
      <c r="X117" s="411" t="n">
        <v>36.4026310372427</v>
      </c>
      <c r="Y117" s="411" t="n">
        <v>34.408823634092</v>
      </c>
      <c r="Z117" s="411" t="n">
        <v>33.5462005948767</v>
      </c>
      <c r="AA117" s="411" t="n">
        <v>31.0245913795083</v>
      </c>
      <c r="AB117" s="401" t="n">
        <f aca="false">AB116*(1+Assumptions!$L$13/12)</f>
        <v>0.719413865335674</v>
      </c>
      <c r="AC117" s="401" t="n">
        <f aca="false">AC116</f>
        <v>0</v>
      </c>
      <c r="AD117" s="405" t="n">
        <f aca="false">AD116+(Assumptions!B$21-Assumptions!B$20)/12</f>
        <v>420.159315591267</v>
      </c>
      <c r="AE117" s="405" t="n">
        <f aca="false">AE116+(Assumptions!C$21-Assumptions!C$20)/12</f>
        <v>1941.00754193777</v>
      </c>
      <c r="AF117" s="392" t="n">
        <f aca="false">IF(Assumptions!D$20=1,0,1)</f>
        <v>1</v>
      </c>
      <c r="AG117" s="406" t="n">
        <f aca="false">AG116</f>
        <v>0</v>
      </c>
      <c r="AH117" s="401" t="n">
        <f aca="false">Assumptions!$E$20*Assumptions!H22</f>
        <v>3.69368115995765</v>
      </c>
      <c r="AI117" s="401" t="n">
        <f aca="false">Assumptions!$F$20*Assumptions!I22</f>
        <v>3.41772388537221</v>
      </c>
      <c r="AJ117" s="401" t="n">
        <f aca="false">AJ116</f>
        <v>0</v>
      </c>
      <c r="AK117" s="401" t="n">
        <f aca="false">AK116</f>
        <v>0</v>
      </c>
      <c r="AL117" s="1"/>
    </row>
    <row r="118" customFormat="false" ht="12.75" hidden="false" customHeight="false" outlineLevel="0" collapsed="false">
      <c r="A118" s="400" t="n">
        <f aca="false">A117+30.417</f>
        <v>39794.619</v>
      </c>
      <c r="B118" s="401" t="n">
        <f aca="false">IF($B$9="Coal",AG118,IF($B$9="Gas",AH118,IF($B$9="Oil",AI118,0)))</f>
        <v>3.99722467171779</v>
      </c>
      <c r="C118" s="402" t="n">
        <f aca="false">(B118*$B$1*1000)/1000000</f>
        <v>45.1876043457684</v>
      </c>
      <c r="D118" s="401" t="n">
        <f aca="false">AB118+AC118</f>
        <v>0.720612888444567</v>
      </c>
      <c r="E118" s="401" t="n">
        <f aca="false">(($AJ118*$B$1*AD118*1000)/2000)/1000000</f>
        <v>0</v>
      </c>
      <c r="F118" s="401" t="n">
        <f aca="false">AF118*(($AK118*$B$1*AE118*1000)/2000)/1000000</f>
        <v>0</v>
      </c>
      <c r="G118" s="403" t="n">
        <f aca="false">IF('Peak Revenue'!$A$1="BL","-",SUM(C118:F118))</f>
        <v>45.9082172342129</v>
      </c>
      <c r="H118" s="411" t="n">
        <v>178.840327185123</v>
      </c>
      <c r="I118" s="411" t="n">
        <v>163.980167518134</v>
      </c>
      <c r="J118" s="411" t="n">
        <v>155.545720563154</v>
      </c>
      <c r="K118" s="411" t="n">
        <v>115.618757537638</v>
      </c>
      <c r="L118" s="411" t="n">
        <v>87.7173516392862</v>
      </c>
      <c r="M118" s="411" t="n">
        <v>74.4756814214207</v>
      </c>
      <c r="N118" s="411" t="n">
        <v>67.4844795188602</v>
      </c>
      <c r="O118" s="411" t="n">
        <v>63.3236348917582</v>
      </c>
      <c r="P118" s="411" t="n">
        <v>60.1678929408086</v>
      </c>
      <c r="Q118" s="411" t="n">
        <v>60.0475153276794</v>
      </c>
      <c r="R118" s="411" t="n">
        <v>58.6839517186038</v>
      </c>
      <c r="S118" s="411" t="n">
        <v>47.9813990174906</v>
      </c>
      <c r="T118" s="411" t="n">
        <v>41.5903450381535</v>
      </c>
      <c r="U118" s="411" t="n">
        <v>34.8699476160647</v>
      </c>
      <c r="V118" s="411" t="n">
        <v>34.2719617878004</v>
      </c>
      <c r="W118" s="411" t="n">
        <v>31.8106649742243</v>
      </c>
      <c r="X118" s="411" t="n">
        <v>29.9502199501421</v>
      </c>
      <c r="Y118" s="411" t="n">
        <v>29.8301349311459</v>
      </c>
      <c r="Z118" s="411" t="n">
        <v>29.6177574969808</v>
      </c>
      <c r="AA118" s="411" t="n">
        <v>27.6993034467687</v>
      </c>
      <c r="AB118" s="401" t="n">
        <f aca="false">AB117*(1+Assumptions!$L$13/12)</f>
        <v>0.720612888444567</v>
      </c>
      <c r="AC118" s="401" t="n">
        <f aca="false">AC117</f>
        <v>0</v>
      </c>
      <c r="AD118" s="405" t="n">
        <f aca="false">AD117+(Assumptions!B$21-Assumptions!B$20)/12</f>
        <v>423.366070800275</v>
      </c>
      <c r="AE118" s="405" t="n">
        <f aca="false">AE117+(Assumptions!C$21-Assumptions!C$20)/12</f>
        <v>1955.85925437223</v>
      </c>
      <c r="AF118" s="392" t="n">
        <f aca="false">IF(Assumptions!D$20=1,0,1)</f>
        <v>1</v>
      </c>
      <c r="AG118" s="406" t="n">
        <f aca="false">AG117</f>
        <v>0</v>
      </c>
      <c r="AH118" s="401" t="n">
        <f aca="false">Assumptions!$E$20*Assumptions!H23</f>
        <v>3.99722467171779</v>
      </c>
      <c r="AI118" s="401" t="n">
        <f aca="false">Assumptions!$F$20*Assumptions!I23</f>
        <v>3.58363281184659</v>
      </c>
      <c r="AJ118" s="401" t="n">
        <f aca="false">AJ117</f>
        <v>0</v>
      </c>
      <c r="AK118" s="401" t="n">
        <f aca="false">AK117</f>
        <v>0</v>
      </c>
      <c r="AL118" s="1"/>
    </row>
    <row r="119" customFormat="false" ht="12.75" hidden="false" customHeight="false" outlineLevel="0" collapsed="false">
      <c r="A119" s="400" t="n">
        <f aca="false">A118+30.417</f>
        <v>39825.036</v>
      </c>
      <c r="B119" s="401" t="n">
        <f aca="false">IF($B$9="Coal",AG119,IF($B$9="Gas",AH119,IF($B$9="Oil",AI119,0)))</f>
        <v>3.988309596277</v>
      </c>
      <c r="C119" s="402" t="n">
        <f aca="false">(B119*$B$1*1000)/1000000</f>
        <v>45.0868216940997</v>
      </c>
      <c r="D119" s="401" t="n">
        <f aca="false">AB119+AC119</f>
        <v>0.721813909925308</v>
      </c>
      <c r="E119" s="401" t="n">
        <f aca="false">(($AJ119*$B$1*AD119*1000)/2000)/1000000</f>
        <v>0</v>
      </c>
      <c r="F119" s="401" t="n">
        <f aca="false">AF119*(($AK119*$B$1*AE119*1000)/2000)/1000000</f>
        <v>0</v>
      </c>
      <c r="G119" s="403" t="n">
        <f aca="false">IF('Peak Revenue'!$A$1="BL","-",SUM(C119:F119))</f>
        <v>45.808635604025</v>
      </c>
      <c r="H119" s="411" t="n">
        <v>116.70897413267</v>
      </c>
      <c r="I119" s="411" t="n">
        <v>105.59586960243</v>
      </c>
      <c r="J119" s="411" t="n">
        <v>93.4193368864329</v>
      </c>
      <c r="K119" s="411" t="n">
        <v>86.8923168629584</v>
      </c>
      <c r="L119" s="411" t="n">
        <v>82.2627638123439</v>
      </c>
      <c r="M119" s="411" t="n">
        <v>76.7217616795618</v>
      </c>
      <c r="N119" s="411" t="n">
        <v>76.0012972815167</v>
      </c>
      <c r="O119" s="411" t="n">
        <v>70.4370052806804</v>
      </c>
      <c r="P119" s="411" t="n">
        <v>53.806516308452</v>
      </c>
      <c r="Q119" s="411" t="n">
        <v>46.8429805706928</v>
      </c>
      <c r="R119" s="411" t="n">
        <v>43.0271748149685</v>
      </c>
      <c r="S119" s="411" t="n">
        <v>39.9437652008457</v>
      </c>
      <c r="T119" s="411" t="n">
        <v>37.4579515740665</v>
      </c>
      <c r="U119" s="411" t="n">
        <v>37.4579515740665</v>
      </c>
      <c r="V119" s="411" t="n">
        <v>37.4579515740665</v>
      </c>
      <c r="W119" s="411" t="n">
        <v>37.4579515740665</v>
      </c>
      <c r="X119" s="411" t="n">
        <v>35.8032376420004</v>
      </c>
      <c r="Y119" s="411" t="n">
        <v>33.1031405089133</v>
      </c>
      <c r="Z119" s="411" t="n">
        <v>32.2949363789468</v>
      </c>
      <c r="AA119" s="411" t="n">
        <v>29.7248266393652</v>
      </c>
      <c r="AB119" s="401" t="n">
        <f aca="false">AB118*(1+Assumptions!$L$13/12)</f>
        <v>0.721813909925308</v>
      </c>
      <c r="AC119" s="401" t="n">
        <f aca="false">VLOOKUP($C$1,EnvVOM,12)</f>
        <v>0</v>
      </c>
      <c r="AD119" s="405" t="n">
        <f aca="false">Assumptions!B21</f>
        <v>429.779581218291</v>
      </c>
      <c r="AE119" s="405" t="n">
        <f aca="false">Assumptions!C21</f>
        <v>1985.56267924115</v>
      </c>
      <c r="AF119" s="392" t="n">
        <f aca="false">IF(Assumptions!D$21=1,0,1)</f>
        <v>1</v>
      </c>
      <c r="AG119" s="406" t="n">
        <f aca="false">VLOOKUP($C$1,Coal,12)</f>
        <v>0</v>
      </c>
      <c r="AH119" s="401" t="n">
        <f aca="false">Assumptions!$E$21*Assumptions!H12</f>
        <v>3.988309596277</v>
      </c>
      <c r="AI119" s="401" t="n">
        <f aca="false">Assumptions!$F$21*Assumptions!I12</f>
        <v>3.71422184671917</v>
      </c>
      <c r="AJ119" s="401" t="n">
        <f aca="false">VLOOKUP($C$1,SO2Rate,12)</f>
        <v>0</v>
      </c>
      <c r="AK119" s="401" t="n">
        <f aca="false">VLOOKUP($C$1,NOxRate,12)</f>
        <v>0</v>
      </c>
      <c r="AL119" s="1"/>
    </row>
    <row r="120" customFormat="false" ht="12.75" hidden="false" customHeight="false" outlineLevel="0" collapsed="false">
      <c r="A120" s="400" t="n">
        <f aca="false">A119+30.417</f>
        <v>39855.453</v>
      </c>
      <c r="B120" s="401" t="n">
        <f aca="false">IF($B$9="Coal",AG120,IF($B$9="Gas",AH120,IF($B$9="Oil",AI120,0)))</f>
        <v>3.57462854772699</v>
      </c>
      <c r="C120" s="402" t="n">
        <f aca="false">(B120*$B$1*1000)/1000000</f>
        <v>40.4102630609351</v>
      </c>
      <c r="D120" s="401" t="n">
        <f aca="false">AB120+AC120</f>
        <v>0.723016933108517</v>
      </c>
      <c r="E120" s="401" t="n">
        <f aca="false">(($AJ120*$B$1*AD120*1000)/2000)/1000000</f>
        <v>0</v>
      </c>
      <c r="F120" s="401" t="n">
        <f aca="false">AF120*(($AK120*$B$1*AE120*1000)/2000)/1000000</f>
        <v>0</v>
      </c>
      <c r="G120" s="403" t="n">
        <f aca="false">IF('Peak Revenue'!$A$1="BL","-",SUM(C120:F120))</f>
        <v>41.1332799940436</v>
      </c>
      <c r="H120" s="411" t="n">
        <v>163.033365423984</v>
      </c>
      <c r="I120" s="411" t="n">
        <v>153.038203554134</v>
      </c>
      <c r="J120" s="411" t="n">
        <v>119.98118214244</v>
      </c>
      <c r="K120" s="411" t="n">
        <v>88.3556634717744</v>
      </c>
      <c r="L120" s="411" t="n">
        <v>82.4056014072101</v>
      </c>
      <c r="M120" s="411" t="n">
        <v>77.6096508467753</v>
      </c>
      <c r="N120" s="411" t="n">
        <v>73.6064661054518</v>
      </c>
      <c r="O120" s="411" t="n">
        <v>72.3564000624202</v>
      </c>
      <c r="P120" s="411" t="n">
        <v>58.5859148793691</v>
      </c>
      <c r="Q120" s="411" t="n">
        <v>48.8724879342889</v>
      </c>
      <c r="R120" s="411" t="n">
        <v>41.5824099969591</v>
      </c>
      <c r="S120" s="411" t="n">
        <v>39.3820198525268</v>
      </c>
      <c r="T120" s="411" t="n">
        <v>36.1042855043048</v>
      </c>
      <c r="U120" s="411" t="n">
        <v>36.0881340935171</v>
      </c>
      <c r="V120" s="411" t="n">
        <v>35.5326244215531</v>
      </c>
      <c r="W120" s="411" t="n">
        <v>35.3560081336772</v>
      </c>
      <c r="X120" s="411" t="n">
        <v>33.8018671646285</v>
      </c>
      <c r="Y120" s="411" t="n">
        <v>33.0794761442253</v>
      </c>
      <c r="Z120" s="411" t="n">
        <v>32.2144486796199</v>
      </c>
      <c r="AA120" s="411" t="n">
        <v>29.4440396546625</v>
      </c>
      <c r="AB120" s="401" t="n">
        <f aca="false">AB119*(1+Assumptions!$L$13/12)</f>
        <v>0.723016933108517</v>
      </c>
      <c r="AC120" s="401" t="n">
        <f aca="false">AC119</f>
        <v>0</v>
      </c>
      <c r="AD120" s="405" t="n">
        <f aca="false">AD119</f>
        <v>429.779581218291</v>
      </c>
      <c r="AE120" s="405" t="n">
        <f aca="false">AE119</f>
        <v>1985.56267924115</v>
      </c>
      <c r="AF120" s="392" t="n">
        <f aca="false">IF(Assumptions!D$21=1,0,1)</f>
        <v>1</v>
      </c>
      <c r="AG120" s="406" t="n">
        <f aca="false">AG119</f>
        <v>0</v>
      </c>
      <c r="AH120" s="401" t="n">
        <f aca="false">Assumptions!$E$21*Assumptions!H13</f>
        <v>3.57462854772699</v>
      </c>
      <c r="AI120" s="401" t="n">
        <f aca="false">Assumptions!$F$21*Assumptions!I13</f>
        <v>3.67983090369399</v>
      </c>
      <c r="AJ120" s="401" t="n">
        <f aca="false">AJ119</f>
        <v>0</v>
      </c>
      <c r="AK120" s="401" t="n">
        <f aca="false">AK119</f>
        <v>0</v>
      </c>
      <c r="AL120" s="1"/>
    </row>
    <row r="121" customFormat="false" ht="12.75" hidden="false" customHeight="false" outlineLevel="0" collapsed="false">
      <c r="A121" s="400" t="n">
        <f aca="false">A120+30.417</f>
        <v>39885.87</v>
      </c>
      <c r="B121" s="401" t="n">
        <f aca="false">IF($B$9="Coal",AG121,IF($B$9="Gas",AH121,IF($B$9="Oil",AI121,0)))</f>
        <v>3.51452104494622</v>
      </c>
      <c r="C121" s="402" t="n">
        <f aca="false">(B121*$B$1*1000)/1000000</f>
        <v>39.730763088595</v>
      </c>
      <c r="D121" s="401" t="n">
        <f aca="false">AB121+AC121</f>
        <v>0.724221961330365</v>
      </c>
      <c r="E121" s="401" t="n">
        <f aca="false">(($AJ121*$B$1*AD121*1000)/2000)/1000000</f>
        <v>0</v>
      </c>
      <c r="F121" s="401" t="n">
        <f aca="false">AF121*(($AK121*$B$1*AE121*1000)/2000)/1000000</f>
        <v>0</v>
      </c>
      <c r="G121" s="403" t="n">
        <f aca="false">IF('Peak Revenue'!$A$1="BL","-",SUM(C121:F121))</f>
        <v>40.4549850499253</v>
      </c>
      <c r="H121" s="411" t="n">
        <v>98.2197352729794</v>
      </c>
      <c r="I121" s="411" t="n">
        <v>87.3496412278129</v>
      </c>
      <c r="J121" s="411" t="n">
        <v>84.1573091273744</v>
      </c>
      <c r="K121" s="411" t="n">
        <v>79.3545340181988</v>
      </c>
      <c r="L121" s="411" t="n">
        <v>73.8458815445744</v>
      </c>
      <c r="M121" s="411" t="n">
        <v>72.8930474929207</v>
      </c>
      <c r="N121" s="411" t="n">
        <v>70.3655151018946</v>
      </c>
      <c r="O121" s="411" t="n">
        <v>55.7218752486978</v>
      </c>
      <c r="P121" s="411" t="n">
        <v>49.6714752584513</v>
      </c>
      <c r="Q121" s="411" t="n">
        <v>43.0157846844102</v>
      </c>
      <c r="R121" s="411" t="n">
        <v>41.2096253295577</v>
      </c>
      <c r="S121" s="411" t="n">
        <v>40.8643659278359</v>
      </c>
      <c r="T121" s="411" t="n">
        <v>38.3124842246029</v>
      </c>
      <c r="U121" s="411" t="n">
        <v>36.2061334558885</v>
      </c>
      <c r="V121" s="411" t="n">
        <v>36.1617389194446</v>
      </c>
      <c r="W121" s="411" t="n">
        <v>35.6864356558131</v>
      </c>
      <c r="X121" s="411" t="n">
        <v>35.3543694641358</v>
      </c>
      <c r="Y121" s="411" t="n">
        <v>35.3212151974709</v>
      </c>
      <c r="Z121" s="411" t="n">
        <v>35.3211717794941</v>
      </c>
      <c r="AA121" s="411" t="n">
        <v>34.8694721892564</v>
      </c>
      <c r="AB121" s="401" t="n">
        <f aca="false">AB120*(1+Assumptions!$L$13/12)</f>
        <v>0.724221961330365</v>
      </c>
      <c r="AC121" s="401" t="n">
        <f aca="false">AC120</f>
        <v>0</v>
      </c>
      <c r="AD121" s="405" t="n">
        <f aca="false">AD120</f>
        <v>429.779581218291</v>
      </c>
      <c r="AE121" s="405" t="n">
        <f aca="false">AE120</f>
        <v>1985.56267924115</v>
      </c>
      <c r="AF121" s="392" t="n">
        <f aca="false">IF(Assumptions!D$21=1,0,1)</f>
        <v>1</v>
      </c>
      <c r="AG121" s="406" t="n">
        <f aca="false">AG120</f>
        <v>0</v>
      </c>
      <c r="AH121" s="401" t="n">
        <f aca="false">Assumptions!$E$21*Assumptions!H14</f>
        <v>3.51452104494622</v>
      </c>
      <c r="AI121" s="401" t="n">
        <f aca="false">Assumptions!$F$21*Assumptions!I14</f>
        <v>3.54226713159328</v>
      </c>
      <c r="AJ121" s="401" t="n">
        <f aca="false">AJ120</f>
        <v>0</v>
      </c>
      <c r="AK121" s="401" t="n">
        <f aca="false">AK120</f>
        <v>0</v>
      </c>
      <c r="AL121" s="1"/>
    </row>
    <row r="122" customFormat="false" ht="12.75" hidden="false" customHeight="false" outlineLevel="0" collapsed="false">
      <c r="A122" s="400" t="n">
        <f aca="false">A121+30.417</f>
        <v>39916.287</v>
      </c>
      <c r="B122" s="401" t="n">
        <f aca="false">IF($B$9="Coal",AG122,IF($B$9="Gas",AH122,IF($B$9="Oil",AI122,0)))</f>
        <v>3.3412700075193</v>
      </c>
      <c r="C122" s="402" t="n">
        <f aca="false">(B122*$B$1*1000)/1000000</f>
        <v>37.772204344791</v>
      </c>
      <c r="D122" s="401" t="n">
        <f aca="false">AB122+AC122</f>
        <v>0.725428997932582</v>
      </c>
      <c r="E122" s="401" t="n">
        <f aca="false">(($AJ122*$B$1*AD122*1000)/2000)/1000000</f>
        <v>0</v>
      </c>
      <c r="F122" s="401" t="n">
        <f aca="false">AF122*(($AK122*$B$1*AE122*1000)/2000)/1000000</f>
        <v>0</v>
      </c>
      <c r="G122" s="403" t="n">
        <f aca="false">IF('Peak Revenue'!$A$1="BL","-",SUM(C122:F122))</f>
        <v>38.4976333427235</v>
      </c>
      <c r="H122" s="411" t="n">
        <v>79.6016830983471</v>
      </c>
      <c r="I122" s="411" t="n">
        <v>76.8643023326274</v>
      </c>
      <c r="J122" s="411" t="n">
        <v>72.9933222893613</v>
      </c>
      <c r="K122" s="411" t="n">
        <v>69.8639935204755</v>
      </c>
      <c r="L122" s="411" t="n">
        <v>69.7109588055339</v>
      </c>
      <c r="M122" s="411" t="n">
        <v>63.3621119629306</v>
      </c>
      <c r="N122" s="411" t="n">
        <v>48.4654775026336</v>
      </c>
      <c r="O122" s="411" t="n">
        <v>44.4232919344186</v>
      </c>
      <c r="P122" s="411" t="n">
        <v>40.0881631945627</v>
      </c>
      <c r="Q122" s="411" t="n">
        <v>39.5509257226379</v>
      </c>
      <c r="R122" s="411" t="n">
        <v>38.5003835417312</v>
      </c>
      <c r="S122" s="411" t="n">
        <v>36.2495613024209</v>
      </c>
      <c r="T122" s="411" t="n">
        <v>35.2560605868808</v>
      </c>
      <c r="U122" s="411" t="n">
        <v>34.7951530918657</v>
      </c>
      <c r="V122" s="411" t="n">
        <v>34.7577728437079</v>
      </c>
      <c r="W122" s="411" t="n">
        <v>34.284895032991</v>
      </c>
      <c r="X122" s="411" t="n">
        <v>33.9319891950155</v>
      </c>
      <c r="Y122" s="411" t="n">
        <v>33.9318192877341</v>
      </c>
      <c r="Z122" s="411" t="n">
        <v>33.9317648619132</v>
      </c>
      <c r="AA122" s="411" t="n">
        <v>33.5581519622318</v>
      </c>
      <c r="AB122" s="401" t="n">
        <f aca="false">AB121*(1+Assumptions!$L$13/12)</f>
        <v>0.725428997932582</v>
      </c>
      <c r="AC122" s="401" t="n">
        <f aca="false">AC121</f>
        <v>0</v>
      </c>
      <c r="AD122" s="405" t="n">
        <f aca="false">AD121</f>
        <v>429.779581218291</v>
      </c>
      <c r="AE122" s="405" t="n">
        <f aca="false">AE121</f>
        <v>1985.56267924115</v>
      </c>
      <c r="AF122" s="392" t="n">
        <f aca="false">IF(Assumptions!D$21=1,0,1)</f>
        <v>1</v>
      </c>
      <c r="AG122" s="406" t="n">
        <f aca="false">AG121</f>
        <v>0</v>
      </c>
      <c r="AH122" s="401" t="n">
        <f aca="false">Assumptions!$E$21*Assumptions!H15</f>
        <v>3.3412700075193</v>
      </c>
      <c r="AI122" s="401" t="n">
        <f aca="false">Assumptions!$F$21*Assumptions!I15</f>
        <v>3.40470335949257</v>
      </c>
      <c r="AJ122" s="401" t="n">
        <f aca="false">AJ121</f>
        <v>0</v>
      </c>
      <c r="AK122" s="401" t="n">
        <f aca="false">AK121</f>
        <v>0</v>
      </c>
      <c r="AL122" s="1"/>
    </row>
    <row r="123" customFormat="false" ht="12.75" hidden="false" customHeight="false" outlineLevel="0" collapsed="false">
      <c r="A123" s="400" t="n">
        <f aca="false">A122+30.417</f>
        <v>39946.704</v>
      </c>
      <c r="B123" s="401" t="n">
        <f aca="false">IF($B$9="Coal",AG123,IF($B$9="Gas",AH123,IF($B$9="Oil",AI123,0)))</f>
        <v>3.51805678040392</v>
      </c>
      <c r="C123" s="402" t="n">
        <f aca="false">(B123*$B$1*1000)/1000000</f>
        <v>39.7707336752032</v>
      </c>
      <c r="D123" s="401" t="n">
        <f aca="false">AB123+AC123</f>
        <v>0.72663804626247</v>
      </c>
      <c r="E123" s="401" t="n">
        <f aca="false">(($AJ123*$B$1*AD123*1000)/2000)/1000000</f>
        <v>0</v>
      </c>
      <c r="F123" s="401" t="n">
        <f aca="false">AF123*(($AK123*$B$1*AE123*1000)/2000)/1000000</f>
        <v>0</v>
      </c>
      <c r="G123" s="403" t="n">
        <f aca="false">IF('Peak Revenue'!$A$1="BL","-",SUM(C123:F123))</f>
        <v>40.4973717214657</v>
      </c>
      <c r="H123" s="411" t="n">
        <v>109.965544695188</v>
      </c>
      <c r="I123" s="411" t="n">
        <v>85.0438552573645</v>
      </c>
      <c r="J123" s="411" t="n">
        <v>77.02061952249</v>
      </c>
      <c r="K123" s="411" t="n">
        <v>71.5314031208575</v>
      </c>
      <c r="L123" s="411" t="n">
        <v>70.350873172778</v>
      </c>
      <c r="M123" s="411" t="n">
        <v>58.6708093386757</v>
      </c>
      <c r="N123" s="411" t="n">
        <v>48.6514297010047</v>
      </c>
      <c r="O123" s="411" t="n">
        <v>44.6789428171856</v>
      </c>
      <c r="P123" s="411" t="n">
        <v>40.8053331426066</v>
      </c>
      <c r="Q123" s="411" t="n">
        <v>35.2133991768637</v>
      </c>
      <c r="R123" s="411" t="n">
        <v>34.888553465205</v>
      </c>
      <c r="S123" s="411" t="n">
        <v>34.5515652302024</v>
      </c>
      <c r="T123" s="411" t="n">
        <v>34.058953588325</v>
      </c>
      <c r="U123" s="411" t="n">
        <v>34.058953588325</v>
      </c>
      <c r="V123" s="411" t="n">
        <v>34.058953588325</v>
      </c>
      <c r="W123" s="411" t="n">
        <v>34.0588737409668</v>
      </c>
      <c r="X123" s="411" t="n">
        <v>34.0586441211913</v>
      </c>
      <c r="Y123" s="411" t="n">
        <v>33.5905198021737</v>
      </c>
      <c r="Z123" s="411" t="n">
        <v>32.130376982335</v>
      </c>
      <c r="AA123" s="411" t="n">
        <v>29.9778949441585</v>
      </c>
      <c r="AB123" s="401" t="n">
        <f aca="false">AB122*(1+Assumptions!$L$13/12)</f>
        <v>0.72663804626247</v>
      </c>
      <c r="AC123" s="401" t="n">
        <f aca="false">AC122</f>
        <v>0</v>
      </c>
      <c r="AD123" s="405" t="n">
        <f aca="false">AD122</f>
        <v>429.779581218291</v>
      </c>
      <c r="AE123" s="405" t="n">
        <f aca="false">AE122</f>
        <v>1985.56267924115</v>
      </c>
      <c r="AF123" s="392" t="n">
        <v>1</v>
      </c>
      <c r="AG123" s="406" t="n">
        <f aca="false">AG122</f>
        <v>0</v>
      </c>
      <c r="AH123" s="401" t="n">
        <f aca="false">Assumptions!$E$21*Assumptions!H16</f>
        <v>3.51805678040392</v>
      </c>
      <c r="AI123" s="401" t="n">
        <f aca="false">Assumptions!$F$21*Assumptions!I16</f>
        <v>3.26713958739186</v>
      </c>
      <c r="AJ123" s="401" t="n">
        <f aca="false">AJ122</f>
        <v>0</v>
      </c>
      <c r="AK123" s="401" t="n">
        <f aca="false">AK122</f>
        <v>0</v>
      </c>
      <c r="AL123" s="1"/>
    </row>
    <row r="124" customFormat="false" ht="12.75" hidden="false" customHeight="false" outlineLevel="0" collapsed="false">
      <c r="A124" s="400" t="n">
        <f aca="false">A123+30.417</f>
        <v>39977.121</v>
      </c>
      <c r="B124" s="401" t="n">
        <f aca="false">IF($B$9="Coal",AG124,IF($B$9="Gas",AH124,IF($B$9="Oil",AI124,0)))</f>
        <v>3.35187721389237</v>
      </c>
      <c r="C124" s="402" t="n">
        <f aca="false">(B124*$B$1*1000)/1000000</f>
        <v>37.8921161046157</v>
      </c>
      <c r="D124" s="401" t="n">
        <f aca="false">AB124+AC124</f>
        <v>0.727849109672907</v>
      </c>
      <c r="E124" s="401" t="n">
        <f aca="false">(($AJ124*$B$1*AD124*1000)/2000)/1000000</f>
        <v>0</v>
      </c>
      <c r="F124" s="401" t="n">
        <f aca="false">AF124*(($AK124*$B$1*AE124*1000)/2000)/1000000</f>
        <v>0</v>
      </c>
      <c r="G124" s="403" t="n">
        <f aca="false">IF('Peak Revenue'!$A$1="BL","-",SUM(C124:F124))</f>
        <v>38.6199652142886</v>
      </c>
      <c r="H124" s="411" t="n">
        <v>204.555529341286</v>
      </c>
      <c r="I124" s="411" t="n">
        <v>174.684803070809</v>
      </c>
      <c r="J124" s="411" t="n">
        <v>157.338454463593</v>
      </c>
      <c r="K124" s="411" t="n">
        <v>127.799473280931</v>
      </c>
      <c r="L124" s="411" t="n">
        <v>78.2126151720929</v>
      </c>
      <c r="M124" s="411" t="n">
        <v>65.0214746962999</v>
      </c>
      <c r="N124" s="411" t="n">
        <v>60.6872196787493</v>
      </c>
      <c r="O124" s="411" t="n">
        <v>52.2880330354215</v>
      </c>
      <c r="P124" s="411" t="n">
        <v>42.4895835490293</v>
      </c>
      <c r="Q124" s="411" t="n">
        <v>38.9067859811989</v>
      </c>
      <c r="R124" s="411" t="n">
        <v>35.7738716291731</v>
      </c>
      <c r="S124" s="411" t="n">
        <v>34.7800950052518</v>
      </c>
      <c r="T124" s="411" t="n">
        <v>34.5997928339591</v>
      </c>
      <c r="U124" s="411" t="n">
        <v>33.6822336196856</v>
      </c>
      <c r="V124" s="411" t="n">
        <v>32.3777463746248</v>
      </c>
      <c r="W124" s="411" t="n">
        <v>31.3827610397705</v>
      </c>
      <c r="X124" s="411" t="n">
        <v>30.7973260181737</v>
      </c>
      <c r="Y124" s="411" t="n">
        <v>30.625912669057</v>
      </c>
      <c r="Z124" s="411" t="n">
        <v>30.1284051215853</v>
      </c>
      <c r="AA124" s="411" t="n">
        <v>29.956098317305</v>
      </c>
      <c r="AB124" s="401" t="n">
        <f aca="false">AB123*(1+Assumptions!$L$13/12)</f>
        <v>0.727849109672907</v>
      </c>
      <c r="AC124" s="401" t="n">
        <f aca="false">AC123</f>
        <v>0</v>
      </c>
      <c r="AD124" s="405" t="n">
        <f aca="false">AD123</f>
        <v>429.779581218291</v>
      </c>
      <c r="AE124" s="405" t="n">
        <f aca="false">AE123</f>
        <v>1985.56267924115</v>
      </c>
      <c r="AF124" s="392" t="n">
        <v>1</v>
      </c>
      <c r="AG124" s="406" t="n">
        <f aca="false">AG123</f>
        <v>0</v>
      </c>
      <c r="AH124" s="401" t="n">
        <f aca="false">Assumptions!$E$21*Assumptions!H17</f>
        <v>3.35187721389237</v>
      </c>
      <c r="AI124" s="401" t="n">
        <f aca="false">Assumptions!$F$21*Assumptions!I17</f>
        <v>3.26713958739186</v>
      </c>
      <c r="AJ124" s="401" t="n">
        <f aca="false">AJ123</f>
        <v>0</v>
      </c>
      <c r="AK124" s="401" t="n">
        <f aca="false">AK123</f>
        <v>0</v>
      </c>
      <c r="AL124" s="1"/>
    </row>
    <row r="125" customFormat="false" ht="12.75" hidden="false" customHeight="false" outlineLevel="0" collapsed="false">
      <c r="A125" s="400" t="n">
        <f aca="false">A124+30.417</f>
        <v>40007.538</v>
      </c>
      <c r="B125" s="401" t="n">
        <f aca="false">IF($B$9="Coal",AG125,IF($B$9="Gas",AH125,IF($B$9="Oil",AI125,0)))</f>
        <v>3.3412700075193</v>
      </c>
      <c r="C125" s="402" t="n">
        <f aca="false">(B125*$B$1*1000)/1000000</f>
        <v>37.772204344791</v>
      </c>
      <c r="D125" s="401" t="n">
        <f aca="false">AB125+AC125</f>
        <v>0.729062191522362</v>
      </c>
      <c r="E125" s="401" t="n">
        <f aca="false">(($AJ125*$B$1*AD125*1000)/2000)/1000000</f>
        <v>0</v>
      </c>
      <c r="F125" s="401" t="n">
        <f aca="false">AF125*(($AK125*$B$1*AE125*1000)/2000)/1000000</f>
        <v>0</v>
      </c>
      <c r="G125" s="403" t="n">
        <f aca="false">IF('Peak Revenue'!$A$1="BL","-",SUM(C125:F125))</f>
        <v>38.5012665363133</v>
      </c>
      <c r="H125" s="411" t="n">
        <v>320.918824138048</v>
      </c>
      <c r="I125" s="411" t="n">
        <v>266.074319608184</v>
      </c>
      <c r="J125" s="411" t="n">
        <v>228.673492023405</v>
      </c>
      <c r="K125" s="411" t="n">
        <v>189.845676194382</v>
      </c>
      <c r="L125" s="411" t="n">
        <v>162.312287922639</v>
      </c>
      <c r="M125" s="411" t="n">
        <v>134.206041174145</v>
      </c>
      <c r="N125" s="411" t="n">
        <v>74.2172363012052</v>
      </c>
      <c r="O125" s="411" t="n">
        <v>64.104110591916</v>
      </c>
      <c r="P125" s="411" t="n">
        <v>61.359504663729</v>
      </c>
      <c r="Q125" s="411" t="n">
        <v>53.0027625661275</v>
      </c>
      <c r="R125" s="411" t="n">
        <v>40.4438459363946</v>
      </c>
      <c r="S125" s="411" t="n">
        <v>35.0742914518878</v>
      </c>
      <c r="T125" s="411" t="n">
        <v>32.4125640754553</v>
      </c>
      <c r="U125" s="411" t="n">
        <v>30.6383572239241</v>
      </c>
      <c r="V125" s="411" t="n">
        <v>30.4693467422202</v>
      </c>
      <c r="W125" s="411" t="n">
        <v>30.4691366847279</v>
      </c>
      <c r="X125" s="411" t="n">
        <v>30.4691366847279</v>
      </c>
      <c r="Y125" s="411" t="n">
        <v>30.3057139502586</v>
      </c>
      <c r="Z125" s="411" t="n">
        <v>29.0873983319597</v>
      </c>
      <c r="AA125" s="411" t="n">
        <v>26.1507688670526</v>
      </c>
      <c r="AB125" s="401" t="n">
        <f aca="false">AB124*(1+Assumptions!$L$13/12)</f>
        <v>0.729062191522362</v>
      </c>
      <c r="AC125" s="401" t="n">
        <f aca="false">AC124</f>
        <v>0</v>
      </c>
      <c r="AD125" s="405" t="n">
        <f aca="false">AD124</f>
        <v>429.779581218291</v>
      </c>
      <c r="AE125" s="405" t="n">
        <f aca="false">AE124</f>
        <v>1985.56267924115</v>
      </c>
      <c r="AF125" s="392" t="n">
        <v>1</v>
      </c>
      <c r="AG125" s="406" t="n">
        <f aca="false">AG124</f>
        <v>0</v>
      </c>
      <c r="AH125" s="401" t="n">
        <f aca="false">Assumptions!$E$21*Assumptions!H18</f>
        <v>3.3412700075193</v>
      </c>
      <c r="AI125" s="401" t="n">
        <f aca="false">Assumptions!$F$21*Assumptions!I18</f>
        <v>3.26713958739186</v>
      </c>
      <c r="AJ125" s="401" t="n">
        <f aca="false">AJ124</f>
        <v>0</v>
      </c>
      <c r="AK125" s="401" t="n">
        <f aca="false">AK124</f>
        <v>0</v>
      </c>
      <c r="AL125" s="1"/>
    </row>
    <row r="126" customFormat="false" ht="12.75" hidden="false" customHeight="false" outlineLevel="0" collapsed="false">
      <c r="A126" s="400" t="n">
        <f aca="false">A125+30.417</f>
        <v>40037.955</v>
      </c>
      <c r="B126" s="401" t="n">
        <f aca="false">IF($B$9="Coal",AG126,IF($B$9="Gas",AH126,IF($B$9="Oil",AI126,0)))</f>
        <v>3.16801897009237</v>
      </c>
      <c r="C126" s="402" t="n">
        <f aca="false">(B126*$B$1*1000)/1000000</f>
        <v>35.813645600987</v>
      </c>
      <c r="D126" s="401" t="n">
        <f aca="false">AB126+AC126</f>
        <v>0.730277295174899</v>
      </c>
      <c r="E126" s="401" t="n">
        <f aca="false">(($AJ126*$B$1*AD126*1000)/2000)/1000000</f>
        <v>0</v>
      </c>
      <c r="F126" s="401" t="n">
        <f aca="false">AF126*(($AK126*$B$1*AE126*1000)/2000)/1000000</f>
        <v>0</v>
      </c>
      <c r="G126" s="403" t="n">
        <f aca="false">IF('Peak Revenue'!$A$1="BL","-",SUM(C126:F126))</f>
        <v>36.5439228961619</v>
      </c>
      <c r="H126" s="411" t="n">
        <v>366.551774773457</v>
      </c>
      <c r="I126" s="411" t="n">
        <v>275.827329542567</v>
      </c>
      <c r="J126" s="411" t="n">
        <v>230.096535492214</v>
      </c>
      <c r="K126" s="411" t="n">
        <v>183.707581454316</v>
      </c>
      <c r="L126" s="411" t="n">
        <v>155.088589571967</v>
      </c>
      <c r="M126" s="411" t="n">
        <v>108.067403351374</v>
      </c>
      <c r="N126" s="411" t="n">
        <v>81.1036587467405</v>
      </c>
      <c r="O126" s="411" t="n">
        <v>75.1252957623927</v>
      </c>
      <c r="P126" s="411" t="n">
        <v>57.5239733283817</v>
      </c>
      <c r="Q126" s="411" t="n">
        <v>43.7411497347594</v>
      </c>
      <c r="R126" s="411" t="n">
        <v>40.7338018063147</v>
      </c>
      <c r="S126" s="411" t="n">
        <v>37.9369162656756</v>
      </c>
      <c r="T126" s="411" t="n">
        <v>36.633781572769</v>
      </c>
      <c r="U126" s="411" t="n">
        <v>36.633671236703</v>
      </c>
      <c r="V126" s="411" t="n">
        <v>36.6335673032983</v>
      </c>
      <c r="W126" s="411" t="n">
        <v>36.6334315433217</v>
      </c>
      <c r="X126" s="411" t="n">
        <v>36.5887124200335</v>
      </c>
      <c r="Y126" s="411" t="n">
        <v>35.0779145714197</v>
      </c>
      <c r="Z126" s="411" t="n">
        <v>33.6223603091934</v>
      </c>
      <c r="AA126" s="411" t="n">
        <v>30.0283737210275</v>
      </c>
      <c r="AB126" s="401" t="n">
        <f aca="false">AB125*(1+Assumptions!$L$13/12)</f>
        <v>0.730277295174899</v>
      </c>
      <c r="AC126" s="401" t="n">
        <f aca="false">AC125</f>
        <v>0</v>
      </c>
      <c r="AD126" s="405" t="n">
        <f aca="false">AD125</f>
        <v>429.779581218291</v>
      </c>
      <c r="AE126" s="405" t="n">
        <f aca="false">AE125</f>
        <v>1985.56267924115</v>
      </c>
      <c r="AF126" s="392" t="n">
        <v>1</v>
      </c>
      <c r="AG126" s="406" t="n">
        <f aca="false">AG125</f>
        <v>0</v>
      </c>
      <c r="AH126" s="401" t="n">
        <f aca="false">Assumptions!$E$21*Assumptions!H19</f>
        <v>3.16801897009237</v>
      </c>
      <c r="AI126" s="401" t="n">
        <f aca="false">Assumptions!$F$21*Assumptions!I19</f>
        <v>3.26713958739186</v>
      </c>
      <c r="AJ126" s="401" t="n">
        <f aca="false">AJ125</f>
        <v>0</v>
      </c>
      <c r="AK126" s="401" t="n">
        <f aca="false">AK125</f>
        <v>0</v>
      </c>
      <c r="AL126" s="1"/>
    </row>
    <row r="127" customFormat="false" ht="12.75" hidden="false" customHeight="false" outlineLevel="0" collapsed="false">
      <c r="A127" s="400" t="n">
        <f aca="false">A126+30.417</f>
        <v>40068.372</v>
      </c>
      <c r="B127" s="401" t="n">
        <f aca="false">IF($B$9="Coal",AG127,IF($B$9="Gas",AH127,IF($B$9="Oil",AI127,0)))</f>
        <v>3.15741176371929</v>
      </c>
      <c r="C127" s="402" t="n">
        <f aca="false">(B127*$B$1*1000)/1000000</f>
        <v>35.6937338411623</v>
      </c>
      <c r="D127" s="401" t="n">
        <f aca="false">AB127+AC127</f>
        <v>0.731494424000191</v>
      </c>
      <c r="E127" s="401" t="n">
        <f aca="false">(($AJ127*$B$1*AD127*1000)/2000)/1000000</f>
        <v>0</v>
      </c>
      <c r="F127" s="401" t="n">
        <f aca="false">AF127*(($AK127*$B$1*AE127*1000)/2000)/1000000</f>
        <v>0</v>
      </c>
      <c r="G127" s="403" t="n">
        <f aca="false">IF('Peak Revenue'!$A$1="BL","-",SUM(C127:F127))</f>
        <v>36.4252282651625</v>
      </c>
      <c r="H127" s="411" t="n">
        <v>199.22425601418</v>
      </c>
      <c r="I127" s="411" t="n">
        <v>175.834353505107</v>
      </c>
      <c r="J127" s="411" t="n">
        <v>162.302429160971</v>
      </c>
      <c r="K127" s="411" t="n">
        <v>135.702595645389</v>
      </c>
      <c r="L127" s="411" t="n">
        <v>68.8118883841161</v>
      </c>
      <c r="M127" s="411" t="n">
        <v>61.4503049258702</v>
      </c>
      <c r="N127" s="411" t="n">
        <v>57.9351943189599</v>
      </c>
      <c r="O127" s="411" t="n">
        <v>48.8547392620814</v>
      </c>
      <c r="P127" s="411" t="n">
        <v>37.3549164783886</v>
      </c>
      <c r="Q127" s="411" t="n">
        <v>33.0673474213951</v>
      </c>
      <c r="R127" s="411" t="n">
        <v>30.0890137014915</v>
      </c>
      <c r="S127" s="411" t="n">
        <v>29.885361401224</v>
      </c>
      <c r="T127" s="411" t="n">
        <v>29.8061674447722</v>
      </c>
      <c r="U127" s="411" t="n">
        <v>29.6600771737048</v>
      </c>
      <c r="V127" s="411" t="n">
        <v>29.6600771737048</v>
      </c>
      <c r="W127" s="411" t="n">
        <v>29.6600771737048</v>
      </c>
      <c r="X127" s="411" t="n">
        <v>29.4033552681145</v>
      </c>
      <c r="Y127" s="411" t="n">
        <v>29.0559481752639</v>
      </c>
      <c r="Z127" s="411" t="n">
        <v>28.9825759257235</v>
      </c>
      <c r="AA127" s="411" t="n">
        <v>26.6911884165693</v>
      </c>
      <c r="AB127" s="401" t="n">
        <f aca="false">AB126*(1+Assumptions!$L$13/12)</f>
        <v>0.731494424000191</v>
      </c>
      <c r="AC127" s="401" t="n">
        <f aca="false">AC126</f>
        <v>0</v>
      </c>
      <c r="AD127" s="405" t="n">
        <f aca="false">AD126</f>
        <v>429.779581218291</v>
      </c>
      <c r="AE127" s="405" t="n">
        <f aca="false">AE126</f>
        <v>1985.56267924115</v>
      </c>
      <c r="AF127" s="392" t="n">
        <v>1</v>
      </c>
      <c r="AG127" s="406" t="n">
        <f aca="false">AG126</f>
        <v>0</v>
      </c>
      <c r="AH127" s="401" t="n">
        <f aca="false">Assumptions!$E$21*Assumptions!H20</f>
        <v>3.15741176371929</v>
      </c>
      <c r="AI127" s="401" t="n">
        <f aca="false">Assumptions!$F$21*Assumptions!I20</f>
        <v>3.26713958739186</v>
      </c>
      <c r="AJ127" s="401" t="n">
        <f aca="false">AJ126</f>
        <v>0</v>
      </c>
      <c r="AK127" s="401" t="n">
        <f aca="false">AK126</f>
        <v>0</v>
      </c>
      <c r="AL127" s="1"/>
    </row>
    <row r="128" customFormat="false" ht="12.75" hidden="false" customHeight="false" outlineLevel="0" collapsed="false">
      <c r="A128" s="400" t="n">
        <f aca="false">A127+30.417</f>
        <v>40098.789</v>
      </c>
      <c r="B128" s="401" t="n">
        <f aca="false">IF($B$9="Coal",AG128,IF($B$9="Gas",AH128,IF($B$9="Oil",AI128,0)))</f>
        <v>3.49684236765776</v>
      </c>
      <c r="C128" s="402" t="n">
        <f aca="false">(B128*$B$1*1000)/1000000</f>
        <v>39.5309101555537</v>
      </c>
      <c r="D128" s="401" t="n">
        <f aca="false">AB128+AC128</f>
        <v>0.732713581373525</v>
      </c>
      <c r="E128" s="401" t="n">
        <f aca="false">(($AJ128*$B$1*AD128*1000)/2000)/1000000</f>
        <v>0</v>
      </c>
      <c r="F128" s="401" t="n">
        <f aca="false">AF128*(($AK128*$B$1*AE128*1000)/2000)/1000000</f>
        <v>0</v>
      </c>
      <c r="G128" s="403" t="n">
        <f aca="false">IF('Peak Revenue'!$A$1="BL","-",SUM(C128:F128))</f>
        <v>40.2636237369272</v>
      </c>
      <c r="H128" s="411" t="n">
        <v>80.0440249165833</v>
      </c>
      <c r="I128" s="411" t="n">
        <v>79.1795998164564</v>
      </c>
      <c r="J128" s="411" t="n">
        <v>79.1795998164564</v>
      </c>
      <c r="K128" s="411" t="n">
        <v>78.487608541609</v>
      </c>
      <c r="L128" s="411" t="n">
        <v>73.787205828114</v>
      </c>
      <c r="M128" s="411" t="n">
        <v>56.5975265965649</v>
      </c>
      <c r="N128" s="411" t="n">
        <v>47.8334484808567</v>
      </c>
      <c r="O128" s="411" t="n">
        <v>44.5624532354434</v>
      </c>
      <c r="P128" s="411" t="n">
        <v>41.9733675949565</v>
      </c>
      <c r="Q128" s="411" t="n">
        <v>39.3571607403944</v>
      </c>
      <c r="R128" s="411" t="n">
        <v>39.3571607403944</v>
      </c>
      <c r="S128" s="411" t="n">
        <v>39.1679254515967</v>
      </c>
      <c r="T128" s="411" t="n">
        <v>39.0409892382604</v>
      </c>
      <c r="U128" s="411" t="n">
        <v>39.0409892382604</v>
      </c>
      <c r="V128" s="411" t="n">
        <v>38.9438721570868</v>
      </c>
      <c r="W128" s="411" t="n">
        <v>36.121063848197</v>
      </c>
      <c r="X128" s="411" t="n">
        <v>34.1180490085631</v>
      </c>
      <c r="Y128" s="411" t="n">
        <v>32.6794363275006</v>
      </c>
      <c r="Z128" s="411" t="n">
        <v>31.5659561479779</v>
      </c>
      <c r="AA128" s="411" t="n">
        <v>29.6877073663508</v>
      </c>
      <c r="AB128" s="401" t="n">
        <f aca="false">AB127*(1+Assumptions!$L$13/12)</f>
        <v>0.732713581373525</v>
      </c>
      <c r="AC128" s="401" t="n">
        <f aca="false">AC127</f>
        <v>0</v>
      </c>
      <c r="AD128" s="405" t="n">
        <f aca="false">AD127</f>
        <v>429.779581218291</v>
      </c>
      <c r="AE128" s="405" t="n">
        <f aca="false">AE127</f>
        <v>1985.56267924115</v>
      </c>
      <c r="AF128" s="392" t="n">
        <f aca="false">IF(Assumptions!D$21=1,0,1)</f>
        <v>1</v>
      </c>
      <c r="AG128" s="406" t="n">
        <f aca="false">AG127</f>
        <v>0</v>
      </c>
      <c r="AH128" s="401" t="n">
        <f aca="false">Assumptions!$E$21*Assumptions!H21</f>
        <v>3.49684236765776</v>
      </c>
      <c r="AI128" s="401" t="n">
        <f aca="false">Assumptions!$F$21*Assumptions!I21</f>
        <v>3.26713958739186</v>
      </c>
      <c r="AJ128" s="401" t="n">
        <f aca="false">AJ127</f>
        <v>0</v>
      </c>
      <c r="AK128" s="401" t="n">
        <f aca="false">AK127</f>
        <v>0</v>
      </c>
      <c r="AL128" s="1"/>
    </row>
    <row r="129" customFormat="false" ht="12.75" hidden="false" customHeight="false" outlineLevel="0" collapsed="false">
      <c r="A129" s="400" t="n">
        <f aca="false">A128+30.417</f>
        <v>40129.206</v>
      </c>
      <c r="B129" s="401" t="n">
        <f aca="false">IF($B$9="Coal",AG129,IF($B$9="Gas",AH129,IF($B$9="Oil",AI129,0)))</f>
        <v>3.82920150068085</v>
      </c>
      <c r="C129" s="402" t="n">
        <f aca="false">(B129*$B$1*1000)/1000000</f>
        <v>43.2881452967287</v>
      </c>
      <c r="D129" s="401" t="n">
        <f aca="false">AB129+AC129</f>
        <v>0.733934770675814</v>
      </c>
      <c r="E129" s="401" t="n">
        <f aca="false">(($AJ129*$B$1*AD129*1000)/2000)/1000000</f>
        <v>0</v>
      </c>
      <c r="F129" s="401" t="n">
        <f aca="false">AF129*(($AK129*$B$1*AE129*1000)/2000)/1000000</f>
        <v>0</v>
      </c>
      <c r="G129" s="403" t="n">
        <f aca="false">IF('Peak Revenue'!$A$1="BL","-",SUM(C129:F129))</f>
        <v>44.0220800674045</v>
      </c>
      <c r="H129" s="411" t="n">
        <v>152.402767683703</v>
      </c>
      <c r="I129" s="411" t="n">
        <v>141.028225755341</v>
      </c>
      <c r="J129" s="411" t="n">
        <v>115.451037888026</v>
      </c>
      <c r="K129" s="411" t="n">
        <v>83.1107575237405</v>
      </c>
      <c r="L129" s="411" t="n">
        <v>74.9107726955768</v>
      </c>
      <c r="M129" s="411" t="n">
        <v>71.9116872402433</v>
      </c>
      <c r="N129" s="411" t="n">
        <v>66.6745203713818</v>
      </c>
      <c r="O129" s="411" t="n">
        <v>51.1874939294737</v>
      </c>
      <c r="P129" s="411" t="n">
        <v>50.8510364366554</v>
      </c>
      <c r="Q129" s="411" t="n">
        <v>49.8375565175534</v>
      </c>
      <c r="R129" s="411" t="n">
        <v>41.561921882879</v>
      </c>
      <c r="S129" s="411" t="n">
        <v>40.2377448785699</v>
      </c>
      <c r="T129" s="411" t="n">
        <v>35.900520007424</v>
      </c>
      <c r="U129" s="411" t="n">
        <v>35.5597322808519</v>
      </c>
      <c r="V129" s="411" t="n">
        <v>35.4056285498909</v>
      </c>
      <c r="W129" s="411" t="n">
        <v>35.4056285498909</v>
      </c>
      <c r="X129" s="411" t="n">
        <v>35.4056285498909</v>
      </c>
      <c r="Y129" s="411" t="n">
        <v>35.0510348808427</v>
      </c>
      <c r="Z129" s="411" t="n">
        <v>33.0784830153125</v>
      </c>
      <c r="AA129" s="411" t="n">
        <v>27.6825704406614</v>
      </c>
      <c r="AB129" s="401" t="n">
        <f aca="false">AB128*(1+Assumptions!$L$13/12)</f>
        <v>0.733934770675814</v>
      </c>
      <c r="AC129" s="401" t="n">
        <f aca="false">AC128</f>
        <v>0</v>
      </c>
      <c r="AD129" s="405" t="n">
        <f aca="false">AD128</f>
        <v>429.779581218291</v>
      </c>
      <c r="AE129" s="405" t="n">
        <f aca="false">AE128</f>
        <v>1985.56267924115</v>
      </c>
      <c r="AF129" s="392" t="n">
        <f aca="false">IF(Assumptions!D$21=1,0,1)</f>
        <v>1</v>
      </c>
      <c r="AG129" s="406" t="n">
        <f aca="false">AG128</f>
        <v>0</v>
      </c>
      <c r="AH129" s="401" t="n">
        <f aca="false">Assumptions!$E$21*Assumptions!H22</f>
        <v>3.82920150068085</v>
      </c>
      <c r="AI129" s="401" t="n">
        <f aca="false">Assumptions!$F$21*Assumptions!I22</f>
        <v>3.54226713159328</v>
      </c>
      <c r="AJ129" s="401" t="n">
        <f aca="false">AJ128</f>
        <v>0</v>
      </c>
      <c r="AK129" s="401" t="n">
        <f aca="false">AK128</f>
        <v>0</v>
      </c>
      <c r="AL129" s="1"/>
    </row>
    <row r="130" customFormat="false" ht="12.75" hidden="false" customHeight="false" outlineLevel="0" collapsed="false">
      <c r="A130" s="400" t="n">
        <f aca="false">A129+30.417</f>
        <v>40159.623</v>
      </c>
      <c r="B130" s="401" t="n">
        <f aca="false">IF($B$9="Coal",AG130,IF($B$9="Gas",AH130,IF($B$9="Oil",AI130,0)))</f>
        <v>4.14388195641547</v>
      </c>
      <c r="C130" s="402" t="n">
        <f aca="false">(B130*$B$1*1000)/1000000</f>
        <v>46.8455275048624</v>
      </c>
      <c r="D130" s="401" t="n">
        <f aca="false">AB130+AC130</f>
        <v>0.735157995293607</v>
      </c>
      <c r="E130" s="401" t="n">
        <f aca="false">(($AJ130*$B$1*AD130*1000)/2000)/1000000</f>
        <v>0</v>
      </c>
      <c r="F130" s="401" t="n">
        <f aca="false">AF130*(($AK130*$B$1*AE130*1000)/2000)/1000000</f>
        <v>0</v>
      </c>
      <c r="G130" s="403" t="n">
        <f aca="false">IF('Peak Revenue'!$A$1="BL","-",SUM(C130:F130))</f>
        <v>47.5806855001561</v>
      </c>
      <c r="H130" s="411" t="n">
        <v>150.572910168724</v>
      </c>
      <c r="I130" s="411" t="n">
        <v>124.230131551373</v>
      </c>
      <c r="J130" s="411" t="n">
        <v>94.5189996202002</v>
      </c>
      <c r="K130" s="411" t="n">
        <v>87.8004939825933</v>
      </c>
      <c r="L130" s="411" t="n">
        <v>83.4027963779803</v>
      </c>
      <c r="M130" s="411" t="n">
        <v>78.1027319685323</v>
      </c>
      <c r="N130" s="411" t="n">
        <v>77.5578564154805</v>
      </c>
      <c r="O130" s="411" t="n">
        <v>73.7700313942502</v>
      </c>
      <c r="P130" s="411" t="n">
        <v>57.568422787227</v>
      </c>
      <c r="Q130" s="411" t="n">
        <v>51.4544088118514</v>
      </c>
      <c r="R130" s="411" t="n">
        <v>43.8017030661172</v>
      </c>
      <c r="S130" s="411" t="n">
        <v>43.0104635262734</v>
      </c>
      <c r="T130" s="411" t="n">
        <v>38.5087405091156</v>
      </c>
      <c r="U130" s="411" t="n">
        <v>38.433347265812</v>
      </c>
      <c r="V130" s="411" t="n">
        <v>38.433347265812</v>
      </c>
      <c r="W130" s="411" t="n">
        <v>38.433347265812</v>
      </c>
      <c r="X130" s="411" t="n">
        <v>37.8472983559423</v>
      </c>
      <c r="Y130" s="411" t="n">
        <v>36.1997612995381</v>
      </c>
      <c r="Z130" s="411" t="n">
        <v>33.5612236620277</v>
      </c>
      <c r="AA130" s="411" t="n">
        <v>30.6853050160215</v>
      </c>
      <c r="AB130" s="401" t="n">
        <f aca="false">AB129*(1+Assumptions!$L$13/12)</f>
        <v>0.735157995293607</v>
      </c>
      <c r="AC130" s="401" t="n">
        <f aca="false">AC129</f>
        <v>0</v>
      </c>
      <c r="AD130" s="405" t="n">
        <f aca="false">AD129</f>
        <v>429.779581218291</v>
      </c>
      <c r="AE130" s="405" t="n">
        <f aca="false">AE129</f>
        <v>1985.56267924115</v>
      </c>
      <c r="AF130" s="392" t="n">
        <f aca="false">IF(Assumptions!D$21=1,0,1)</f>
        <v>1</v>
      </c>
      <c r="AG130" s="406" t="n">
        <f aca="false">AG129</f>
        <v>0</v>
      </c>
      <c r="AH130" s="401" t="n">
        <f aca="false">Assumptions!$E$21*Assumptions!H23</f>
        <v>4.14388195641547</v>
      </c>
      <c r="AI130" s="401" t="n">
        <f aca="false">Assumptions!$F$21*Assumptions!I23</f>
        <v>3.71422184671917</v>
      </c>
      <c r="AJ130" s="401" t="n">
        <f aca="false">AJ129</f>
        <v>0</v>
      </c>
      <c r="AK130" s="401" t="n">
        <f aca="false">AK129</f>
        <v>0</v>
      </c>
      <c r="AL130" s="1"/>
    </row>
    <row r="131" customFormat="false" ht="12.75" hidden="false" customHeight="false" outlineLevel="0" collapsed="false">
      <c r="A131" s="400" t="n">
        <f aca="false">A130+30.417</f>
        <v>40190.04</v>
      </c>
      <c r="B131" s="401" t="n">
        <f aca="false">IF($B$9="Coal",AG131,IF($B$9="Gas",AH131,IF($B$9="Oil",AI131,0)))</f>
        <v>4.1589984704214</v>
      </c>
      <c r="C131" s="402" t="n">
        <f aca="false">(B131*$B$1*1000)/1000000</f>
        <v>47.016415836164</v>
      </c>
      <c r="D131" s="401" t="n">
        <f aca="false">AB131+AC131</f>
        <v>0.736383258619096</v>
      </c>
      <c r="E131" s="401" t="n">
        <f aca="false">(($AJ131*$B$1*AD131*1000)/2000)/1000000</f>
        <v>0</v>
      </c>
      <c r="F131" s="401" t="n">
        <f aca="false">AF131*(($AK131*$B$1*AE131*1000)/2000)/1000000</f>
        <v>0</v>
      </c>
      <c r="G131" s="403" t="n">
        <f aca="false">IF('Peak Revenue'!$A$1="BL","-",SUM(C131:F131))</f>
        <v>47.7527990947831</v>
      </c>
      <c r="H131" s="411" t="n">
        <v>95.6025554102031</v>
      </c>
      <c r="I131" s="411" t="n">
        <v>95.6025554102031</v>
      </c>
      <c r="J131" s="411" t="n">
        <v>94.8226239971705</v>
      </c>
      <c r="K131" s="411" t="n">
        <v>89.4374182657442</v>
      </c>
      <c r="L131" s="411" t="n">
        <v>85.8103620700702</v>
      </c>
      <c r="M131" s="411" t="n">
        <v>84.9571323981271</v>
      </c>
      <c r="N131" s="411" t="n">
        <v>63.1549964517165</v>
      </c>
      <c r="O131" s="411" t="n">
        <v>54.5963659926518</v>
      </c>
      <c r="P131" s="411" t="n">
        <v>45.8611990657024</v>
      </c>
      <c r="Q131" s="411" t="n">
        <v>42.8116521112744</v>
      </c>
      <c r="R131" s="411" t="n">
        <v>41.762290631437</v>
      </c>
      <c r="S131" s="411" t="n">
        <v>41.762290631437</v>
      </c>
      <c r="T131" s="411" t="n">
        <v>41.496629585311</v>
      </c>
      <c r="U131" s="411" t="n">
        <v>40.7734017286327</v>
      </c>
      <c r="V131" s="411" t="n">
        <v>40.7331670545946</v>
      </c>
      <c r="W131" s="411" t="n">
        <v>40.7331670545946</v>
      </c>
      <c r="X131" s="411" t="n">
        <v>40.7331567162064</v>
      </c>
      <c r="Y131" s="411" t="n">
        <v>40.7329189021156</v>
      </c>
      <c r="Z131" s="411" t="n">
        <v>40.6668852574826</v>
      </c>
      <c r="AA131" s="411" t="n">
        <v>32.2121869801348</v>
      </c>
      <c r="AB131" s="401" t="n">
        <f aca="false">AB130*(1+Assumptions!$L$13/12)</f>
        <v>0.736383258619096</v>
      </c>
      <c r="AC131" s="401" t="n">
        <f aca="false">VLOOKUP($C$1,EnvVOM,13)</f>
        <v>0</v>
      </c>
      <c r="AD131" s="405" t="n">
        <f aca="false">Assumptions!B22</f>
        <v>477.980973134443</v>
      </c>
      <c r="AE131" s="405" t="n">
        <f aca="false">Assumptions!C22</f>
        <v>1889.33893428357</v>
      </c>
      <c r="AF131" s="392" t="n">
        <f aca="false">IF(Assumptions!D$22=1,0,1)</f>
        <v>1</v>
      </c>
      <c r="AG131" s="406" t="n">
        <f aca="false">VLOOKUP($C$1,Coal,13)</f>
        <v>0</v>
      </c>
      <c r="AH131" s="401" t="n">
        <f aca="false">Assumptions!$E$22*Assumptions!H12</f>
        <v>4.1589984704214</v>
      </c>
      <c r="AI131" s="401" t="n">
        <f aca="false">Assumptions!$F$22*Assumptions!I12</f>
        <v>3.86649519301152</v>
      </c>
      <c r="AJ131" s="401" t="n">
        <f aca="false">VLOOKUP($C$1,SO2Rate,13)</f>
        <v>0</v>
      </c>
      <c r="AK131" s="401" t="n">
        <f aca="false">VLOOKUP($C$1,NOxRate,13)</f>
        <v>0</v>
      </c>
      <c r="AL131" s="1"/>
    </row>
    <row r="132" customFormat="false" ht="12.75" hidden="false" customHeight="false" outlineLevel="0" collapsed="false">
      <c r="A132" s="400" t="n">
        <f aca="false">A131+30.417</f>
        <v>40220.457</v>
      </c>
      <c r="B132" s="401" t="n">
        <f aca="false">IF($B$9="Coal",AG132,IF($B$9="Gas",AH132,IF($B$9="Oil",AI132,0)))</f>
        <v>3.72761299077662</v>
      </c>
      <c r="C132" s="402" t="n">
        <f aca="false">(B132*$B$1*1000)/1000000</f>
        <v>42.1397131297533</v>
      </c>
      <c r="D132" s="401" t="n">
        <f aca="false">AB132+AC132</f>
        <v>0.737610564050128</v>
      </c>
      <c r="E132" s="401" t="n">
        <f aca="false">(($AJ132*$B$1*AD132*1000)/2000)/1000000</f>
        <v>0</v>
      </c>
      <c r="F132" s="401" t="n">
        <f aca="false">AF132*(($AK132*$B$1*AE132*1000)/2000)/1000000</f>
        <v>0</v>
      </c>
      <c r="G132" s="403" t="n">
        <f aca="false">IF('Peak Revenue'!$A$1="BL","-",SUM(C132:F132))</f>
        <v>42.8773236938035</v>
      </c>
      <c r="H132" s="411" t="n">
        <v>112.150966692416</v>
      </c>
      <c r="I132" s="411" t="n">
        <v>95.6114213528347</v>
      </c>
      <c r="J132" s="411" t="n">
        <v>92.2100037343748</v>
      </c>
      <c r="K132" s="411" t="n">
        <v>87.0795388482271</v>
      </c>
      <c r="L132" s="411" t="n">
        <v>82.5976074675294</v>
      </c>
      <c r="M132" s="411" t="n">
        <v>79.695117912866</v>
      </c>
      <c r="N132" s="411" t="n">
        <v>77.5310467262562</v>
      </c>
      <c r="O132" s="411" t="n">
        <v>64.1756751993417</v>
      </c>
      <c r="P132" s="411" t="n">
        <v>52.9019521791989</v>
      </c>
      <c r="Q132" s="411" t="n">
        <v>44.8373962201952</v>
      </c>
      <c r="R132" s="411" t="n">
        <v>42.3573349100529</v>
      </c>
      <c r="S132" s="411" t="n">
        <v>38.301203974297</v>
      </c>
      <c r="T132" s="411" t="n">
        <v>38.2987445048292</v>
      </c>
      <c r="U132" s="411" t="n">
        <v>38.2986493726943</v>
      </c>
      <c r="V132" s="411" t="n">
        <v>38.2985275682336</v>
      </c>
      <c r="W132" s="411" t="n">
        <v>36.0662049019493</v>
      </c>
      <c r="X132" s="411" t="n">
        <v>33.2305958750634</v>
      </c>
      <c r="Y132" s="411" t="n">
        <v>32.6008802756533</v>
      </c>
      <c r="Z132" s="411" t="n">
        <v>31.7153581526758</v>
      </c>
      <c r="AA132" s="411" t="n">
        <v>30.05450692065</v>
      </c>
      <c r="AB132" s="401" t="n">
        <f aca="false">AB131*(1+Assumptions!$L$13/12)</f>
        <v>0.737610564050128</v>
      </c>
      <c r="AC132" s="401" t="n">
        <f aca="false">AC131</f>
        <v>0</v>
      </c>
      <c r="AD132" s="405" t="n">
        <f aca="false">AD131</f>
        <v>477.980973134443</v>
      </c>
      <c r="AE132" s="405" t="n">
        <f aca="false">AE131</f>
        <v>1889.33893428357</v>
      </c>
      <c r="AF132" s="392" t="n">
        <f aca="false">IF(Assumptions!D$22=1,0,1)</f>
        <v>1</v>
      </c>
      <c r="AG132" s="406" t="n">
        <f aca="false">AG131</f>
        <v>0</v>
      </c>
      <c r="AH132" s="401" t="n">
        <f aca="false">Assumptions!$E$22*Assumptions!H13</f>
        <v>3.72761299077662</v>
      </c>
      <c r="AI132" s="401" t="n">
        <f aca="false">Assumptions!$F$22*Assumptions!I13</f>
        <v>3.83069431159474</v>
      </c>
      <c r="AJ132" s="401" t="n">
        <f aca="false">AJ131</f>
        <v>0</v>
      </c>
      <c r="AK132" s="401" t="n">
        <f aca="false">AK131</f>
        <v>0</v>
      </c>
      <c r="AL132" s="1"/>
    </row>
    <row r="133" customFormat="false" ht="12.75" hidden="false" customHeight="false" outlineLevel="0" collapsed="false">
      <c r="A133" s="400" t="n">
        <f aca="false">A132+30.417</f>
        <v>40250.874</v>
      </c>
      <c r="B133" s="401" t="n">
        <f aca="false">IF($B$9="Coal",AG133,IF($B$9="Gas",AH133,IF($B$9="Oil",AI133,0)))</f>
        <v>3.66493304928978</v>
      </c>
      <c r="C133" s="402" t="n">
        <f aca="false">(B133*$B$1*1000)/1000000</f>
        <v>41.4311323946339</v>
      </c>
      <c r="D133" s="401" t="n">
        <f aca="false">AB133+AC133</f>
        <v>0.738839914990212</v>
      </c>
      <c r="E133" s="401" t="n">
        <f aca="false">(($AJ133*$B$1*AD133*1000)/2000)/1000000</f>
        <v>0</v>
      </c>
      <c r="F133" s="401" t="n">
        <f aca="false">AF133*(($AK133*$B$1*AE133*1000)/2000)/1000000</f>
        <v>0</v>
      </c>
      <c r="G133" s="403" t="n">
        <f aca="false">IF('Peak Revenue'!$A$1="BL","-",SUM(C133:F133))</f>
        <v>42.1699723096241</v>
      </c>
      <c r="H133" s="411" t="n">
        <v>82.2327091873112</v>
      </c>
      <c r="I133" s="411" t="n">
        <v>79.1939675549518</v>
      </c>
      <c r="J133" s="411" t="n">
        <v>77.162058341011</v>
      </c>
      <c r="K133" s="411" t="n">
        <v>72.1651704336255</v>
      </c>
      <c r="L133" s="411" t="n">
        <v>70.0479832240028</v>
      </c>
      <c r="M133" s="411" t="n">
        <v>69.4285085543241</v>
      </c>
      <c r="N133" s="411" t="n">
        <v>60.1097699872383</v>
      </c>
      <c r="O133" s="411" t="n">
        <v>48.689183699882</v>
      </c>
      <c r="P133" s="411" t="n">
        <v>45.7022152577224</v>
      </c>
      <c r="Q133" s="411" t="n">
        <v>40.9552212506801</v>
      </c>
      <c r="R133" s="411" t="n">
        <v>39.6922577194681</v>
      </c>
      <c r="S133" s="411" t="n">
        <v>39.1097135383556</v>
      </c>
      <c r="T133" s="411" t="n">
        <v>37.0517394107308</v>
      </c>
      <c r="U133" s="411" t="n">
        <v>36.1511530534859</v>
      </c>
      <c r="V133" s="411" t="n">
        <v>35.1388231726317</v>
      </c>
      <c r="W133" s="411" t="n">
        <v>34.9285788741638</v>
      </c>
      <c r="X133" s="411" t="n">
        <v>34.9285788741638</v>
      </c>
      <c r="Y133" s="411" t="n">
        <v>34.9285788741638</v>
      </c>
      <c r="Z133" s="411" t="n">
        <v>34.9285788741638</v>
      </c>
      <c r="AA133" s="411" t="n">
        <v>34.297624617383</v>
      </c>
      <c r="AB133" s="401" t="n">
        <f aca="false">AB132*(1+Assumptions!$L$13/12)</f>
        <v>0.738839914990212</v>
      </c>
      <c r="AC133" s="401" t="n">
        <f aca="false">AC132</f>
        <v>0</v>
      </c>
      <c r="AD133" s="405" t="n">
        <f aca="false">AD132</f>
        <v>477.980973134443</v>
      </c>
      <c r="AE133" s="405" t="n">
        <f aca="false">AE132</f>
        <v>1889.33893428357</v>
      </c>
      <c r="AF133" s="392" t="n">
        <f aca="false">IF(Assumptions!D$22=1,0,1)</f>
        <v>1</v>
      </c>
      <c r="AG133" s="406" t="n">
        <f aca="false">AG132</f>
        <v>0</v>
      </c>
      <c r="AH133" s="401" t="n">
        <f aca="false">Assumptions!$E$22*Assumptions!H14</f>
        <v>3.66493304928978</v>
      </c>
      <c r="AI133" s="401" t="n">
        <f aca="false">Assumptions!$F$22*Assumptions!I14</f>
        <v>3.68749078592765</v>
      </c>
      <c r="AJ133" s="401" t="n">
        <f aca="false">AJ132</f>
        <v>0</v>
      </c>
      <c r="AK133" s="401" t="n">
        <f aca="false">AK132</f>
        <v>0</v>
      </c>
      <c r="AL133" s="1"/>
    </row>
    <row r="134" customFormat="false" ht="12.75" hidden="false" customHeight="false" outlineLevel="0" collapsed="false">
      <c r="A134" s="400" t="n">
        <f aca="false">A133+30.417</f>
        <v>40281.291</v>
      </c>
      <c r="B134" s="401" t="n">
        <f aca="false">IF($B$9="Coal",AG134,IF($B$9="Gas",AH134,IF($B$9="Oil",AI134,0)))</f>
        <v>3.48426733559239</v>
      </c>
      <c r="C134" s="402" t="n">
        <f aca="false">(B134*$B$1*1000)/1000000</f>
        <v>39.3887526287012</v>
      </c>
      <c r="D134" s="401" t="n">
        <f aca="false">AB134+AC134</f>
        <v>0.740071314848529</v>
      </c>
      <c r="E134" s="401" t="n">
        <f aca="false">(($AJ134*$B$1*AD134*1000)/2000)/1000000</f>
        <v>0</v>
      </c>
      <c r="F134" s="401" t="n">
        <f aca="false">AF134*(($AK134*$B$1*AE134*1000)/2000)/1000000</f>
        <v>0</v>
      </c>
      <c r="G134" s="403" t="n">
        <f aca="false">IF('Peak Revenue'!$A$1="BL","-",SUM(C134:F134))</f>
        <v>40.1288239435497</v>
      </c>
      <c r="H134" s="411" t="n">
        <v>76.5266840973848</v>
      </c>
      <c r="I134" s="411" t="n">
        <v>74.0137958115255</v>
      </c>
      <c r="J134" s="411" t="n">
        <v>70.7273097045749</v>
      </c>
      <c r="K134" s="411" t="n">
        <v>68.6233437049598</v>
      </c>
      <c r="L134" s="411" t="n">
        <v>68.3495988673988</v>
      </c>
      <c r="M134" s="411" t="n">
        <v>52.6005889372868</v>
      </c>
      <c r="N134" s="411" t="n">
        <v>45.4064734491212</v>
      </c>
      <c r="O134" s="411" t="n">
        <v>39.3698826378585</v>
      </c>
      <c r="P134" s="411" t="n">
        <v>37.722645854765</v>
      </c>
      <c r="Q134" s="411" t="n">
        <v>35.8608872768325</v>
      </c>
      <c r="R134" s="411" t="n">
        <v>34.8564110346887</v>
      </c>
      <c r="S134" s="411" t="n">
        <v>34.1693758140906</v>
      </c>
      <c r="T134" s="411" t="n">
        <v>34.1227759549502</v>
      </c>
      <c r="U134" s="411" t="n">
        <v>34.0302861188315</v>
      </c>
      <c r="V134" s="411" t="n">
        <v>33.699463685811</v>
      </c>
      <c r="W134" s="411" t="n">
        <v>33.3168136679045</v>
      </c>
      <c r="X134" s="411" t="n">
        <v>33.3164182095505</v>
      </c>
      <c r="Y134" s="411" t="n">
        <v>33.3164182095505</v>
      </c>
      <c r="Z134" s="411" t="n">
        <v>33.3163653588241</v>
      </c>
      <c r="AA134" s="411" t="n">
        <v>32.4121084270607</v>
      </c>
      <c r="AB134" s="401" t="n">
        <f aca="false">AB133*(1+Assumptions!$L$13/12)</f>
        <v>0.740071314848529</v>
      </c>
      <c r="AC134" s="401" t="n">
        <f aca="false">AC133</f>
        <v>0</v>
      </c>
      <c r="AD134" s="405" t="n">
        <f aca="false">AD133</f>
        <v>477.980973134443</v>
      </c>
      <c r="AE134" s="405" t="n">
        <f aca="false">AE133</f>
        <v>1889.33893428357</v>
      </c>
      <c r="AF134" s="392" t="n">
        <f aca="false">IF(Assumptions!D$22=1,0,1)</f>
        <v>1</v>
      </c>
      <c r="AG134" s="406" t="n">
        <f aca="false">AG133</f>
        <v>0</v>
      </c>
      <c r="AH134" s="401" t="n">
        <f aca="false">Assumptions!$E$22*Assumptions!H15</f>
        <v>3.48426733559239</v>
      </c>
      <c r="AI134" s="401" t="n">
        <f aca="false">Assumptions!$F$22*Assumptions!I15</f>
        <v>3.54428726026056</v>
      </c>
      <c r="AJ134" s="401" t="n">
        <f aca="false">AJ133</f>
        <v>0</v>
      </c>
      <c r="AK134" s="401" t="n">
        <f aca="false">AK133</f>
        <v>0</v>
      </c>
      <c r="AL134" s="1"/>
    </row>
    <row r="135" customFormat="false" ht="12.75" hidden="false" customHeight="false" outlineLevel="0" collapsed="false">
      <c r="A135" s="400" t="n">
        <f aca="false">A134+30.417</f>
        <v>40311.708</v>
      </c>
      <c r="B135" s="401" t="n">
        <f aca="false">IF($B$9="Coal",AG135,IF($B$9="Gas",AH135,IF($B$9="Oil",AI135,0)))</f>
        <v>3.66862010467135</v>
      </c>
      <c r="C135" s="402" t="n">
        <f aca="false">(B135*$B$1*1000)/1000000</f>
        <v>41.4728136143468</v>
      </c>
      <c r="D135" s="401" t="n">
        <f aca="false">AB135+AC135</f>
        <v>0.741304767039943</v>
      </c>
      <c r="E135" s="401" t="n">
        <f aca="false">(($AJ135*$B$1*AD135*1000)/2000)/1000000</f>
        <v>0</v>
      </c>
      <c r="F135" s="401" t="n">
        <f aca="false">AF135*(($AK135*$B$1*AE135*1000)/2000)/1000000</f>
        <v>0</v>
      </c>
      <c r="G135" s="403" t="n">
        <f aca="false">IF('Peak Revenue'!$A$1="BL","-",SUM(C135:F135))</f>
        <v>42.2141183813867</v>
      </c>
      <c r="H135" s="411" t="n">
        <v>124.933463616316</v>
      </c>
      <c r="I135" s="411" t="n">
        <v>73.592429241917</v>
      </c>
      <c r="J135" s="411" t="n">
        <v>69.0073821820216</v>
      </c>
      <c r="K135" s="411" t="n">
        <v>63.5277592043522</v>
      </c>
      <c r="L135" s="411" t="n">
        <v>61.1212980189872</v>
      </c>
      <c r="M135" s="411" t="n">
        <v>59.0467251681584</v>
      </c>
      <c r="N135" s="411" t="n">
        <v>45.4830709954117</v>
      </c>
      <c r="O135" s="411" t="n">
        <v>42.0600631815325</v>
      </c>
      <c r="P135" s="411" t="n">
        <v>38.9528288750761</v>
      </c>
      <c r="Q135" s="411" t="n">
        <v>36.9263279931822</v>
      </c>
      <c r="R135" s="411" t="n">
        <v>35.4400840829301</v>
      </c>
      <c r="S135" s="411" t="n">
        <v>34.9318375302529</v>
      </c>
      <c r="T135" s="411" t="n">
        <v>34.7445882701642</v>
      </c>
      <c r="U135" s="411" t="n">
        <v>34.3101527457333</v>
      </c>
      <c r="V135" s="411" t="n">
        <v>33.7671177497983</v>
      </c>
      <c r="W135" s="411" t="n">
        <v>32.8031792359196</v>
      </c>
      <c r="X135" s="411" t="n">
        <v>31.8781760188214</v>
      </c>
      <c r="Y135" s="411" t="n">
        <v>31.3479057667645</v>
      </c>
      <c r="Z135" s="411" t="n">
        <v>30.6630953672426</v>
      </c>
      <c r="AA135" s="411" t="n">
        <v>30.2662742361201</v>
      </c>
      <c r="AB135" s="401" t="n">
        <f aca="false">AB134*(1+Assumptions!$L$13/12)</f>
        <v>0.741304767039943</v>
      </c>
      <c r="AC135" s="401" t="n">
        <f aca="false">AC134</f>
        <v>0</v>
      </c>
      <c r="AD135" s="405" t="n">
        <f aca="false">AD134</f>
        <v>477.980973134443</v>
      </c>
      <c r="AE135" s="405" t="n">
        <f aca="false">AE134</f>
        <v>1889.33893428357</v>
      </c>
      <c r="AF135" s="392" t="n">
        <v>1</v>
      </c>
      <c r="AG135" s="406" t="n">
        <f aca="false">AG134</f>
        <v>0</v>
      </c>
      <c r="AH135" s="401" t="n">
        <f aca="false">Assumptions!$E$22*Assumptions!H16</f>
        <v>3.66862010467135</v>
      </c>
      <c r="AI135" s="401" t="n">
        <f aca="false">Assumptions!$F$22*Assumptions!I16</f>
        <v>3.40108373459346</v>
      </c>
      <c r="AJ135" s="401" t="n">
        <f aca="false">AJ134</f>
        <v>0</v>
      </c>
      <c r="AK135" s="401" t="n">
        <f aca="false">AK134</f>
        <v>0</v>
      </c>
      <c r="AL135" s="1"/>
    </row>
    <row r="136" customFormat="false" ht="12.75" hidden="false" customHeight="false" outlineLevel="0" collapsed="false">
      <c r="A136" s="400" t="n">
        <f aca="false">A135+30.417</f>
        <v>40342.125</v>
      </c>
      <c r="B136" s="401" t="n">
        <f aca="false">IF($B$9="Coal",AG136,IF($B$9="Gas",AH136,IF($B$9="Oil",AI136,0)))</f>
        <v>3.49532850173713</v>
      </c>
      <c r="C136" s="402" t="n">
        <f aca="false">(B136*$B$1*1000)/1000000</f>
        <v>39.5137962878399</v>
      </c>
      <c r="D136" s="401" t="n">
        <f aca="false">AB136+AC136</f>
        <v>0.742540274985009</v>
      </c>
      <c r="E136" s="401" t="n">
        <f aca="false">(($AJ136*$B$1*AD136*1000)/2000)/1000000</f>
        <v>0</v>
      </c>
      <c r="F136" s="401" t="n">
        <f aca="false">AF136*(($AK136*$B$1*AE136*1000)/2000)/1000000</f>
        <v>0</v>
      </c>
      <c r="G136" s="403" t="n">
        <f aca="false">IF('Peak Revenue'!$A$1="BL","-",SUM(C136:F136))</f>
        <v>40.2563365628249</v>
      </c>
      <c r="H136" s="411" t="n">
        <v>165.514627428801</v>
      </c>
      <c r="I136" s="411" t="n">
        <v>151.366365991702</v>
      </c>
      <c r="J136" s="411" t="n">
        <v>112.007886528448</v>
      </c>
      <c r="K136" s="411" t="n">
        <v>93.0490897625631</v>
      </c>
      <c r="L136" s="411" t="n">
        <v>87.2326208313474</v>
      </c>
      <c r="M136" s="411" t="n">
        <v>59.3511766802688</v>
      </c>
      <c r="N136" s="411" t="n">
        <v>48.5871953183178</v>
      </c>
      <c r="O136" s="411" t="n">
        <v>43.6031336263459</v>
      </c>
      <c r="P136" s="411" t="n">
        <v>43.6031336263459</v>
      </c>
      <c r="Q136" s="411" t="n">
        <v>43.6030918471774</v>
      </c>
      <c r="R136" s="411" t="n">
        <v>43.6029099255629</v>
      </c>
      <c r="S136" s="411" t="n">
        <v>43.6027415227324</v>
      </c>
      <c r="T136" s="411" t="n">
        <v>43.6022898169064</v>
      </c>
      <c r="U136" s="411" t="n">
        <v>40.3134939096766</v>
      </c>
      <c r="V136" s="411" t="n">
        <v>36.5469220880002</v>
      </c>
      <c r="W136" s="411" t="n">
        <v>34.5454631899352</v>
      </c>
      <c r="X136" s="411" t="n">
        <v>33.2853991242965</v>
      </c>
      <c r="Y136" s="411" t="n">
        <v>32.3344114018824</v>
      </c>
      <c r="Z136" s="411" t="n">
        <v>30.9743906053807</v>
      </c>
      <c r="AA136" s="411" t="n">
        <v>28.7551484747306</v>
      </c>
      <c r="AB136" s="401" t="n">
        <f aca="false">AB135*(1+Assumptions!$L$13/12)</f>
        <v>0.742540274985009</v>
      </c>
      <c r="AC136" s="401" t="n">
        <f aca="false">AC135</f>
        <v>0</v>
      </c>
      <c r="AD136" s="405" t="n">
        <f aca="false">AD135</f>
        <v>477.980973134443</v>
      </c>
      <c r="AE136" s="405" t="n">
        <f aca="false">AE135</f>
        <v>1889.33893428357</v>
      </c>
      <c r="AF136" s="392" t="n">
        <v>1</v>
      </c>
      <c r="AG136" s="406" t="n">
        <f aca="false">AG135</f>
        <v>0</v>
      </c>
      <c r="AH136" s="401" t="n">
        <f aca="false">Assumptions!$E$22*Assumptions!H17</f>
        <v>3.49532850173713</v>
      </c>
      <c r="AI136" s="401" t="n">
        <f aca="false">Assumptions!$F$22*Assumptions!I17</f>
        <v>3.40108373459346</v>
      </c>
      <c r="AJ136" s="401" t="n">
        <f aca="false">AJ135</f>
        <v>0</v>
      </c>
      <c r="AK136" s="401" t="n">
        <f aca="false">AK135</f>
        <v>0</v>
      </c>
      <c r="AL136" s="1"/>
    </row>
    <row r="137" customFormat="false" ht="12.75" hidden="false" customHeight="false" outlineLevel="0" collapsed="false">
      <c r="A137" s="400" t="n">
        <f aca="false">A136+30.417</f>
        <v>40372.542</v>
      </c>
      <c r="B137" s="401" t="n">
        <f aca="false">IF($B$9="Coal",AG137,IF($B$9="Gas",AH137,IF($B$9="Oil",AI137,0)))</f>
        <v>3.48426733559239</v>
      </c>
      <c r="C137" s="402" t="n">
        <f aca="false">(B137*$B$1*1000)/1000000</f>
        <v>39.3887526287012</v>
      </c>
      <c r="D137" s="401" t="n">
        <f aca="false">AB137+AC137</f>
        <v>0.743777842109984</v>
      </c>
      <c r="E137" s="401" t="n">
        <f aca="false">(($AJ137*$B$1*AD137*1000)/2000)/1000000</f>
        <v>0</v>
      </c>
      <c r="F137" s="401" t="n">
        <f aca="false">AF137*(($AK137*$B$1*AE137*1000)/2000)/1000000</f>
        <v>0</v>
      </c>
      <c r="G137" s="403" t="n">
        <f aca="false">IF('Peak Revenue'!$A$1="BL","-",SUM(C137:F137))</f>
        <v>40.1325304708112</v>
      </c>
      <c r="H137" s="411" t="n">
        <v>380.078034756938</v>
      </c>
      <c r="I137" s="411" t="n">
        <v>286.038643017168</v>
      </c>
      <c r="J137" s="411" t="n">
        <v>251.627063954912</v>
      </c>
      <c r="K137" s="411" t="n">
        <v>213.596215044171</v>
      </c>
      <c r="L137" s="411" t="n">
        <v>183.489655451168</v>
      </c>
      <c r="M137" s="411" t="n">
        <v>158.678703914355</v>
      </c>
      <c r="N137" s="411" t="n">
        <v>85.2681306302188</v>
      </c>
      <c r="O137" s="411" t="n">
        <v>49.9885641467706</v>
      </c>
      <c r="P137" s="411" t="n">
        <v>44.7854809215825</v>
      </c>
      <c r="Q137" s="411" t="n">
        <v>42.2556117554624</v>
      </c>
      <c r="R137" s="411" t="n">
        <v>40.1463968450161</v>
      </c>
      <c r="S137" s="411" t="n">
        <v>33.1858573484777</v>
      </c>
      <c r="T137" s="411" t="n">
        <v>30.9807702831469</v>
      </c>
      <c r="U137" s="411" t="n">
        <v>29.5888798481074</v>
      </c>
      <c r="V137" s="411" t="n">
        <v>28.5166606857771</v>
      </c>
      <c r="W137" s="411" t="n">
        <v>27.6435521657614</v>
      </c>
      <c r="X137" s="411" t="n">
        <v>26.8376654575224</v>
      </c>
      <c r="Y137" s="411" t="n">
        <v>26.3850515814716</v>
      </c>
      <c r="Z137" s="411" t="n">
        <v>25.5996689984451</v>
      </c>
      <c r="AA137" s="411" t="n">
        <v>24.3837081314761</v>
      </c>
      <c r="AB137" s="401" t="n">
        <f aca="false">AB136*(1+Assumptions!$L$13/12)</f>
        <v>0.743777842109984</v>
      </c>
      <c r="AC137" s="401" t="n">
        <f aca="false">AC136</f>
        <v>0</v>
      </c>
      <c r="AD137" s="405" t="n">
        <f aca="false">AD136</f>
        <v>477.980973134443</v>
      </c>
      <c r="AE137" s="405" t="n">
        <f aca="false">AE136</f>
        <v>1889.33893428357</v>
      </c>
      <c r="AF137" s="392" t="n">
        <v>1</v>
      </c>
      <c r="AG137" s="406" t="n">
        <f aca="false">AG136</f>
        <v>0</v>
      </c>
      <c r="AH137" s="401" t="n">
        <f aca="false">Assumptions!$E$22*Assumptions!H18</f>
        <v>3.48426733559239</v>
      </c>
      <c r="AI137" s="401" t="n">
        <f aca="false">Assumptions!$F$22*Assumptions!I18</f>
        <v>3.40108373459346</v>
      </c>
      <c r="AJ137" s="401" t="n">
        <f aca="false">AJ136</f>
        <v>0</v>
      </c>
      <c r="AK137" s="401" t="n">
        <f aca="false">AK136</f>
        <v>0</v>
      </c>
      <c r="AL137" s="1"/>
    </row>
    <row r="138" customFormat="false" ht="12.75" hidden="false" customHeight="false" outlineLevel="0" collapsed="false">
      <c r="A138" s="400" t="n">
        <f aca="false">A137+30.417</f>
        <v>40402.959</v>
      </c>
      <c r="B138" s="401" t="n">
        <f aca="false">IF($B$9="Coal",AG138,IF($B$9="Gas",AH138,IF($B$9="Oil",AI138,0)))</f>
        <v>3.30360162189501</v>
      </c>
      <c r="C138" s="402" t="n">
        <f aca="false">(B138*$B$1*1000)/1000000</f>
        <v>37.3463728627686</v>
      </c>
      <c r="D138" s="401" t="n">
        <f aca="false">AB138+AC138</f>
        <v>0.745017471846834</v>
      </c>
      <c r="E138" s="401" t="n">
        <f aca="false">(($AJ138*$B$1*AD138*1000)/2000)/1000000</f>
        <v>0</v>
      </c>
      <c r="F138" s="401" t="n">
        <f aca="false">AF138*(($AK138*$B$1*AE138*1000)/2000)/1000000</f>
        <v>0</v>
      </c>
      <c r="G138" s="403" t="n">
        <f aca="false">IF('Peak Revenue'!$A$1="BL","-",SUM(C138:F138))</f>
        <v>38.0913903346154</v>
      </c>
      <c r="H138" s="411" t="n">
        <v>619.991464077945</v>
      </c>
      <c r="I138" s="411" t="n">
        <v>364.253969886852</v>
      </c>
      <c r="J138" s="411" t="n">
        <v>285.703458789859</v>
      </c>
      <c r="K138" s="411" t="n">
        <v>234.938770028132</v>
      </c>
      <c r="L138" s="411" t="n">
        <v>197.482641129477</v>
      </c>
      <c r="M138" s="411" t="n">
        <v>166.712042183629</v>
      </c>
      <c r="N138" s="411" t="n">
        <v>123.799550071151</v>
      </c>
      <c r="O138" s="411" t="n">
        <v>36.2823712513871</v>
      </c>
      <c r="P138" s="411" t="n">
        <v>32.9232922617225</v>
      </c>
      <c r="Q138" s="411" t="n">
        <v>31.679430643611</v>
      </c>
      <c r="R138" s="411" t="n">
        <v>30.7388597502372</v>
      </c>
      <c r="S138" s="411" t="n">
        <v>29.8166175165304</v>
      </c>
      <c r="T138" s="411" t="n">
        <v>29.2282988136019</v>
      </c>
      <c r="U138" s="411" t="n">
        <v>28.3385541409123</v>
      </c>
      <c r="V138" s="411" t="n">
        <v>27.7205230710244</v>
      </c>
      <c r="W138" s="411" t="n">
        <v>27.2204123806577</v>
      </c>
      <c r="X138" s="411" t="n">
        <v>26.8309260379645</v>
      </c>
      <c r="Y138" s="411" t="n">
        <v>26.5263608598484</v>
      </c>
      <c r="Z138" s="411" t="n">
        <v>26.3378694417258</v>
      </c>
      <c r="AA138" s="411" t="n">
        <v>25.6609253883134</v>
      </c>
      <c r="AB138" s="401" t="n">
        <f aca="false">AB137*(1+Assumptions!$L$13/12)</f>
        <v>0.745017471846834</v>
      </c>
      <c r="AC138" s="401" t="n">
        <f aca="false">AC137</f>
        <v>0</v>
      </c>
      <c r="AD138" s="405" t="n">
        <f aca="false">AD137</f>
        <v>477.980973134443</v>
      </c>
      <c r="AE138" s="405" t="n">
        <f aca="false">AE137</f>
        <v>1889.33893428357</v>
      </c>
      <c r="AF138" s="392" t="n">
        <v>1</v>
      </c>
      <c r="AG138" s="406" t="n">
        <f aca="false">AG137</f>
        <v>0</v>
      </c>
      <c r="AH138" s="401" t="n">
        <f aca="false">Assumptions!$E$22*Assumptions!H19</f>
        <v>3.30360162189501</v>
      </c>
      <c r="AI138" s="401" t="n">
        <f aca="false">Assumptions!$F$22*Assumptions!I19</f>
        <v>3.40108373459346</v>
      </c>
      <c r="AJ138" s="401" t="n">
        <f aca="false">AJ137</f>
        <v>0</v>
      </c>
      <c r="AK138" s="401" t="n">
        <f aca="false">AK137</f>
        <v>0</v>
      </c>
      <c r="AL138" s="1"/>
    </row>
    <row r="139" customFormat="false" ht="12.75" hidden="false" customHeight="false" outlineLevel="0" collapsed="false">
      <c r="A139" s="400" t="n">
        <f aca="false">A138+30.417</f>
        <v>40433.376</v>
      </c>
      <c r="B139" s="401" t="n">
        <f aca="false">IF($B$9="Coal",AG139,IF($B$9="Gas",AH139,IF($B$9="Oil",AI139,0)))</f>
        <v>3.29254045575027</v>
      </c>
      <c r="C139" s="402" t="n">
        <f aca="false">(B139*$B$1*1000)/1000000</f>
        <v>37.2213292036298</v>
      </c>
      <c r="D139" s="401" t="n">
        <f aca="false">AB139+AC139</f>
        <v>0.746259167633246</v>
      </c>
      <c r="E139" s="401" t="n">
        <f aca="false">(($AJ139*$B$1*AD139*1000)/2000)/1000000</f>
        <v>0</v>
      </c>
      <c r="F139" s="401" t="n">
        <f aca="false">AF139*(($AK139*$B$1*AE139*1000)/2000)/1000000</f>
        <v>0</v>
      </c>
      <c r="G139" s="403" t="n">
        <f aca="false">IF('Peak Revenue'!$A$1="BL","-",SUM(C139:F139))</f>
        <v>37.9675883712631</v>
      </c>
      <c r="H139" s="411" t="n">
        <v>155.001651742823</v>
      </c>
      <c r="I139" s="411" t="n">
        <v>129.091026814139</v>
      </c>
      <c r="J139" s="411" t="n">
        <v>96.9026735287687</v>
      </c>
      <c r="K139" s="411" t="n">
        <v>85.6571081846676</v>
      </c>
      <c r="L139" s="411" t="n">
        <v>80.0685267383676</v>
      </c>
      <c r="M139" s="411" t="n">
        <v>78.0244793533686</v>
      </c>
      <c r="N139" s="411" t="n">
        <v>58.5822394633209</v>
      </c>
      <c r="O139" s="411" t="n">
        <v>47.3535158851922</v>
      </c>
      <c r="P139" s="411" t="n">
        <v>44.6570310724188</v>
      </c>
      <c r="Q139" s="411" t="n">
        <v>39.4253273258012</v>
      </c>
      <c r="R139" s="411" t="n">
        <v>38.8014543527265</v>
      </c>
      <c r="S139" s="411" t="n">
        <v>38.497102131758</v>
      </c>
      <c r="T139" s="411" t="n">
        <v>37.8724794831134</v>
      </c>
      <c r="U139" s="411" t="n">
        <v>35.986879270526</v>
      </c>
      <c r="V139" s="411" t="n">
        <v>34.7187717643896</v>
      </c>
      <c r="W139" s="411" t="n">
        <v>33.5945769716428</v>
      </c>
      <c r="X139" s="411" t="n">
        <v>32.4378449703665</v>
      </c>
      <c r="Y139" s="411" t="n">
        <v>32.0474936688798</v>
      </c>
      <c r="Z139" s="411" t="n">
        <v>30.9681008246323</v>
      </c>
      <c r="AA139" s="411" t="n">
        <v>29.0245181811891</v>
      </c>
      <c r="AB139" s="401" t="n">
        <f aca="false">AB138*(1+Assumptions!$L$13/12)</f>
        <v>0.746259167633246</v>
      </c>
      <c r="AC139" s="401" t="n">
        <f aca="false">AC138</f>
        <v>0</v>
      </c>
      <c r="AD139" s="405" t="n">
        <f aca="false">AD138</f>
        <v>477.980973134443</v>
      </c>
      <c r="AE139" s="405" t="n">
        <f aca="false">AE138</f>
        <v>1889.33893428357</v>
      </c>
      <c r="AF139" s="392" t="n">
        <v>1</v>
      </c>
      <c r="AG139" s="406" t="n">
        <f aca="false">AG138</f>
        <v>0</v>
      </c>
      <c r="AH139" s="401" t="n">
        <f aca="false">Assumptions!$E$22*Assumptions!H20</f>
        <v>3.29254045575027</v>
      </c>
      <c r="AI139" s="401" t="n">
        <f aca="false">Assumptions!$F$22*Assumptions!I20</f>
        <v>3.40108373459346</v>
      </c>
      <c r="AJ139" s="401" t="n">
        <f aca="false">AJ138</f>
        <v>0</v>
      </c>
      <c r="AK139" s="401" t="n">
        <f aca="false">AK138</f>
        <v>0</v>
      </c>
      <c r="AL139" s="1"/>
    </row>
    <row r="140" customFormat="false" ht="12.75" hidden="false" customHeight="false" outlineLevel="0" collapsed="false">
      <c r="A140" s="400" t="n">
        <f aca="false">A139+30.417</f>
        <v>40463.793</v>
      </c>
      <c r="B140" s="401" t="n">
        <f aca="false">IF($B$9="Coal",AG140,IF($B$9="Gas",AH140,IF($B$9="Oil",AI140,0)))</f>
        <v>3.64649777238188</v>
      </c>
      <c r="C140" s="402" t="n">
        <f aca="false">(B140*$B$1*1000)/1000000</f>
        <v>41.2227262960693</v>
      </c>
      <c r="D140" s="401" t="n">
        <f aca="false">AB140+AC140</f>
        <v>0.747502932912635</v>
      </c>
      <c r="E140" s="401" t="n">
        <f aca="false">(($AJ140*$B$1*AD140*1000)/2000)/1000000</f>
        <v>0</v>
      </c>
      <c r="F140" s="401" t="n">
        <f aca="false">AF140*(($AK140*$B$1*AE140*1000)/2000)/1000000</f>
        <v>0</v>
      </c>
      <c r="G140" s="403" t="n">
        <f aca="false">IF('Peak Revenue'!$A$1="BL","-",SUM(C140:F140))</f>
        <v>41.9702292289819</v>
      </c>
      <c r="H140" s="411" t="n">
        <v>79.8233998917739</v>
      </c>
      <c r="I140" s="411" t="n">
        <v>74.5770637802549</v>
      </c>
      <c r="J140" s="411" t="n">
        <v>73.1052256770347</v>
      </c>
      <c r="K140" s="411" t="n">
        <v>69.038586315104</v>
      </c>
      <c r="L140" s="411" t="n">
        <v>66.2044102293481</v>
      </c>
      <c r="M140" s="411" t="n">
        <v>65.8585262850101</v>
      </c>
      <c r="N140" s="411" t="n">
        <v>62.671733782589</v>
      </c>
      <c r="O140" s="411" t="n">
        <v>46.9496453273172</v>
      </c>
      <c r="P140" s="411" t="n">
        <v>44.0053648138228</v>
      </c>
      <c r="Q140" s="411" t="n">
        <v>40.3830654424042</v>
      </c>
      <c r="R140" s="411" t="n">
        <v>39.881113804893</v>
      </c>
      <c r="S140" s="411" t="n">
        <v>36.1333810372189</v>
      </c>
      <c r="T140" s="411" t="n">
        <v>34.6091836832826</v>
      </c>
      <c r="U140" s="411" t="n">
        <v>33.308597994365</v>
      </c>
      <c r="V140" s="411" t="n">
        <v>32.5271745901256</v>
      </c>
      <c r="W140" s="411" t="n">
        <v>32.4801033816037</v>
      </c>
      <c r="X140" s="411" t="n">
        <v>32.4801033816037</v>
      </c>
      <c r="Y140" s="411" t="n">
        <v>32.4801033816037</v>
      </c>
      <c r="Z140" s="411" t="n">
        <v>32.2797948225474</v>
      </c>
      <c r="AA140" s="411" t="n">
        <v>31.2920836669095</v>
      </c>
      <c r="AB140" s="401" t="n">
        <f aca="false">AB139*(1+Assumptions!$L$13/12)</f>
        <v>0.747502932912635</v>
      </c>
      <c r="AC140" s="401" t="n">
        <f aca="false">AC139</f>
        <v>0</v>
      </c>
      <c r="AD140" s="405" t="n">
        <f aca="false">AD139</f>
        <v>477.980973134443</v>
      </c>
      <c r="AE140" s="405" t="n">
        <f aca="false">AE139</f>
        <v>1889.33893428357</v>
      </c>
      <c r="AF140" s="392" t="n">
        <f aca="false">IF(Assumptions!D$22=1,0,1)</f>
        <v>1</v>
      </c>
      <c r="AG140" s="406" t="n">
        <f aca="false">AG139</f>
        <v>0</v>
      </c>
      <c r="AH140" s="401" t="n">
        <f aca="false">Assumptions!$E$22*Assumptions!H21</f>
        <v>3.64649777238188</v>
      </c>
      <c r="AI140" s="401" t="n">
        <f aca="false">Assumptions!$F$22*Assumptions!I21</f>
        <v>3.40108373459346</v>
      </c>
      <c r="AJ140" s="401" t="n">
        <f aca="false">AJ139</f>
        <v>0</v>
      </c>
      <c r="AK140" s="401" t="n">
        <f aca="false">AK139</f>
        <v>0</v>
      </c>
      <c r="AL140" s="1"/>
    </row>
    <row r="141" customFormat="false" ht="12.75" hidden="false" customHeight="false" outlineLevel="0" collapsed="false">
      <c r="A141" s="400" t="n">
        <f aca="false">A140+30.417</f>
        <v>40494.21</v>
      </c>
      <c r="B141" s="401" t="n">
        <f aca="false">IF($B$9="Coal",AG141,IF($B$9="Gas",AH141,IF($B$9="Oil",AI141,0)))</f>
        <v>3.99308097825033</v>
      </c>
      <c r="C141" s="402" t="n">
        <f aca="false">(B141*$B$1*1000)/1000000</f>
        <v>45.140760949083</v>
      </c>
      <c r="D141" s="401" t="n">
        <f aca="false">AB141+AC141</f>
        <v>0.748748771134156</v>
      </c>
      <c r="E141" s="401" t="n">
        <f aca="false">(($AJ141*$B$1*AD141*1000)/2000)/1000000</f>
        <v>0</v>
      </c>
      <c r="F141" s="401" t="n">
        <f aca="false">AF141*(($AK141*$B$1*AE141*1000)/2000)/1000000</f>
        <v>0</v>
      </c>
      <c r="G141" s="403" t="n">
        <f aca="false">IF('Peak Revenue'!$A$1="BL","-",SUM(C141:F141))</f>
        <v>45.8895097202171</v>
      </c>
      <c r="H141" s="411" t="n">
        <v>118.541671089005</v>
      </c>
      <c r="I141" s="411" t="n">
        <v>118.540239478299</v>
      </c>
      <c r="J141" s="411" t="n">
        <v>117.981039456865</v>
      </c>
      <c r="K141" s="411" t="n">
        <v>108.083913594012</v>
      </c>
      <c r="L141" s="411" t="n">
        <v>82.0959321787963</v>
      </c>
      <c r="M141" s="411" t="n">
        <v>71.7041461183783</v>
      </c>
      <c r="N141" s="411" t="n">
        <v>65.554794388426</v>
      </c>
      <c r="O141" s="411" t="n">
        <v>55.5971667875635</v>
      </c>
      <c r="P141" s="411" t="n">
        <v>55.1182848953548</v>
      </c>
      <c r="Q141" s="411" t="n">
        <v>55.1181376116337</v>
      </c>
      <c r="R141" s="411" t="n">
        <v>55.1180292425369</v>
      </c>
      <c r="S141" s="411" t="n">
        <v>55.1180292425369</v>
      </c>
      <c r="T141" s="411" t="n">
        <v>43.6661200028783</v>
      </c>
      <c r="U141" s="411" t="n">
        <v>35.9311708041514</v>
      </c>
      <c r="V141" s="411" t="n">
        <v>34.2490378357025</v>
      </c>
      <c r="W141" s="411" t="n">
        <v>32.74796381839</v>
      </c>
      <c r="X141" s="411" t="n">
        <v>32.0411981444673</v>
      </c>
      <c r="Y141" s="411" t="n">
        <v>31.3394251763215</v>
      </c>
      <c r="Z141" s="411" t="n">
        <v>30.3216209456901</v>
      </c>
      <c r="AA141" s="411" t="n">
        <v>28.5236825604521</v>
      </c>
      <c r="AB141" s="401" t="n">
        <f aca="false">AB140*(1+Assumptions!$L$13/12)</f>
        <v>0.748748771134156</v>
      </c>
      <c r="AC141" s="401" t="n">
        <f aca="false">AC140</f>
        <v>0</v>
      </c>
      <c r="AD141" s="405" t="n">
        <f aca="false">AD140</f>
        <v>477.980973134443</v>
      </c>
      <c r="AE141" s="405" t="n">
        <f aca="false">AE140</f>
        <v>1889.33893428357</v>
      </c>
      <c r="AF141" s="392" t="n">
        <f aca="false">IF(Assumptions!D$22=1,0,1)</f>
        <v>1</v>
      </c>
      <c r="AG141" s="406" t="n">
        <f aca="false">AG140</f>
        <v>0</v>
      </c>
      <c r="AH141" s="401" t="n">
        <f aca="false">Assumptions!$E$22*Assumptions!H22</f>
        <v>3.99308097825033</v>
      </c>
      <c r="AI141" s="401" t="n">
        <f aca="false">Assumptions!$F$22*Assumptions!I22</f>
        <v>3.68749078592765</v>
      </c>
      <c r="AJ141" s="401" t="n">
        <f aca="false">AJ140</f>
        <v>0</v>
      </c>
      <c r="AK141" s="401" t="n">
        <f aca="false">AK140</f>
        <v>0</v>
      </c>
      <c r="AL141" s="1"/>
    </row>
    <row r="142" customFormat="false" ht="12.75" hidden="false" customHeight="false" outlineLevel="0" collapsed="false">
      <c r="A142" s="400" t="n">
        <f aca="false">A141+30.417</f>
        <v>40524.627</v>
      </c>
      <c r="B142" s="401" t="n">
        <f aca="false">IF($B$9="Coal",AG142,IF($B$9="Gas",AH142,IF($B$9="Oil",AI142,0)))</f>
        <v>4.32122890721088</v>
      </c>
      <c r="C142" s="402" t="n">
        <f aca="false">(B142*$B$1*1000)/1000000</f>
        <v>48.8503895035321</v>
      </c>
      <c r="D142" s="401" t="n">
        <f aca="false">AB142+AC142</f>
        <v>0.749996685752713</v>
      </c>
      <c r="E142" s="401" t="n">
        <f aca="false">(($AJ142*$B$1*AD142*1000)/2000)/1000000</f>
        <v>0</v>
      </c>
      <c r="F142" s="401" t="n">
        <f aca="false">AF142*(($AK142*$B$1*AE142*1000)/2000)/1000000</f>
        <v>0</v>
      </c>
      <c r="G142" s="403" t="n">
        <f aca="false">IF('Peak Revenue'!$A$1="BL","-",SUM(C142:F142))</f>
        <v>49.6003861892848</v>
      </c>
      <c r="H142" s="411" t="n">
        <v>135.748494353235</v>
      </c>
      <c r="I142" s="411" t="n">
        <v>116.129614459796</v>
      </c>
      <c r="J142" s="411" t="n">
        <v>99.4131586654313</v>
      </c>
      <c r="K142" s="411" t="n">
        <v>92.2969651601339</v>
      </c>
      <c r="L142" s="411" t="n">
        <v>86.8072447343186</v>
      </c>
      <c r="M142" s="411" t="n">
        <v>82.788418355184</v>
      </c>
      <c r="N142" s="411" t="n">
        <v>82.1902579517233</v>
      </c>
      <c r="O142" s="411" t="n">
        <v>75.8215485948568</v>
      </c>
      <c r="P142" s="411" t="n">
        <v>58.1734092617695</v>
      </c>
      <c r="Q142" s="411" t="n">
        <v>52.0955668572179</v>
      </c>
      <c r="R142" s="411" t="n">
        <v>46.4195209911367</v>
      </c>
      <c r="S142" s="411" t="n">
        <v>44.5493427040888</v>
      </c>
      <c r="T142" s="411" t="n">
        <v>40.29550267534</v>
      </c>
      <c r="U142" s="411" t="n">
        <v>40.035693551103</v>
      </c>
      <c r="V142" s="411" t="n">
        <v>39.7280997833513</v>
      </c>
      <c r="W142" s="411" t="n">
        <v>39.6316690397017</v>
      </c>
      <c r="X142" s="411" t="n">
        <v>39.6316361061611</v>
      </c>
      <c r="Y142" s="411" t="n">
        <v>39.6316361061611</v>
      </c>
      <c r="Z142" s="411" t="n">
        <v>37.9481260448358</v>
      </c>
      <c r="AA142" s="411" t="n">
        <v>33.5211646137141</v>
      </c>
      <c r="AB142" s="401" t="n">
        <f aca="false">AB141*(1+Assumptions!$L$13/12)</f>
        <v>0.749996685752713</v>
      </c>
      <c r="AC142" s="401" t="n">
        <f aca="false">AC141</f>
        <v>0</v>
      </c>
      <c r="AD142" s="405" t="n">
        <f aca="false">AD141</f>
        <v>477.980973134443</v>
      </c>
      <c r="AE142" s="405" t="n">
        <f aca="false">AE141</f>
        <v>1889.33893428357</v>
      </c>
      <c r="AF142" s="392" t="n">
        <f aca="false">IF(Assumptions!D$22=1,0,1)</f>
        <v>1</v>
      </c>
      <c r="AG142" s="406" t="n">
        <f aca="false">AG141</f>
        <v>0</v>
      </c>
      <c r="AH142" s="401" t="n">
        <f aca="false">Assumptions!$E$22*Assumptions!H23</f>
        <v>4.32122890721088</v>
      </c>
      <c r="AI142" s="401" t="n">
        <f aca="false">Assumptions!$F$22*Assumptions!I23</f>
        <v>3.86649519301152</v>
      </c>
      <c r="AJ142" s="401" t="n">
        <f aca="false">AJ141</f>
        <v>0</v>
      </c>
      <c r="AK142" s="401" t="n">
        <f aca="false">AK141</f>
        <v>0</v>
      </c>
      <c r="AL142" s="1"/>
    </row>
    <row r="143" customFormat="false" ht="12.75" hidden="false" customHeight="false" outlineLevel="0" collapsed="false">
      <c r="A143" s="400" t="n">
        <f aca="false">A142+30.417</f>
        <v>40555.044</v>
      </c>
      <c r="B143" s="401" t="n">
        <f aca="false">IF($B$9="Coal",AG143,IF($B$9="Gas",AH143,IF($B$9="Oil",AI143,0)))</f>
        <v>4.24512467799262</v>
      </c>
      <c r="C143" s="402" t="n">
        <f aca="false">(B143*$B$1*1000)/1000000</f>
        <v>47.9900506230867</v>
      </c>
      <c r="D143" s="401" t="n">
        <f aca="false">AB143+AC143</f>
        <v>0.751246680228967</v>
      </c>
      <c r="E143" s="401" t="n">
        <f aca="false">(($AJ143*$B$1*AD143*1000)/2000)/1000000</f>
        <v>0</v>
      </c>
      <c r="F143" s="401" t="n">
        <f aca="false">AF143*(($AK143*$B$1*AE143*1000)/2000)/1000000</f>
        <v>0</v>
      </c>
      <c r="G143" s="403" t="n">
        <f aca="false">IF('Peak Revenue'!$A$1="BL","-",SUM(C143:F143))</f>
        <v>48.7412973033156</v>
      </c>
      <c r="H143" s="411" t="n">
        <v>164.237199540038</v>
      </c>
      <c r="I143" s="411" t="n">
        <v>157.931540797701</v>
      </c>
      <c r="J143" s="411" t="n">
        <v>153.199741749686</v>
      </c>
      <c r="K143" s="411" t="n">
        <v>124.755987763585</v>
      </c>
      <c r="L143" s="411" t="n">
        <v>81.889860366993</v>
      </c>
      <c r="M143" s="411" t="n">
        <v>75.9565051322466</v>
      </c>
      <c r="N143" s="411" t="n">
        <v>69.8203665512464</v>
      </c>
      <c r="O143" s="411" t="n">
        <v>69.2151476734145</v>
      </c>
      <c r="P143" s="411" t="n">
        <v>65.6585763803376</v>
      </c>
      <c r="Q143" s="411" t="n">
        <v>50.458494230946</v>
      </c>
      <c r="R143" s="411" t="n">
        <v>44.6329226574977</v>
      </c>
      <c r="S143" s="411" t="n">
        <v>39.3110779481137</v>
      </c>
      <c r="T143" s="411" t="n">
        <v>38.1203602886031</v>
      </c>
      <c r="U143" s="411" t="n">
        <v>34.8117916991727</v>
      </c>
      <c r="V143" s="411" t="n">
        <v>34.4817634591779</v>
      </c>
      <c r="W143" s="411" t="n">
        <v>34.135650992188</v>
      </c>
      <c r="X143" s="411" t="n">
        <v>33.9327115710927</v>
      </c>
      <c r="Y143" s="411" t="n">
        <v>33.9326599069239</v>
      </c>
      <c r="Z143" s="411" t="n">
        <v>33.9326297880465</v>
      </c>
      <c r="AA143" s="411" t="n">
        <v>32.2514407161036</v>
      </c>
      <c r="AB143" s="401" t="n">
        <f aca="false">AB142*(1+Assumptions!$L$13/12)</f>
        <v>0.751246680228967</v>
      </c>
      <c r="AC143" s="401" t="n">
        <f aca="false">VLOOKUP($C$1,EnvVOM,14)</f>
        <v>0</v>
      </c>
      <c r="AD143" s="405" t="n">
        <f aca="false">Assumptions!B23</f>
        <v>526.532188626439</v>
      </c>
      <c r="AE143" s="405" t="n">
        <f aca="false">Assumptions!C23</f>
        <v>1943.45115851308</v>
      </c>
      <c r="AF143" s="392" t="n">
        <f aca="false">IF(Assumptions!D$23=1,0,1)</f>
        <v>1</v>
      </c>
      <c r="AG143" s="406" t="n">
        <f aca="false">VLOOKUP($C$1,Coal,14)</f>
        <v>0</v>
      </c>
      <c r="AH143" s="401" t="n">
        <f aca="false">Assumptions!$E$23*Assumptions!H12</f>
        <v>4.24512467799262</v>
      </c>
      <c r="AI143" s="401" t="n">
        <f aca="false">Assumptions!$F$23*Assumptions!I12</f>
        <v>3.94838378071003</v>
      </c>
      <c r="AJ143" s="401" t="n">
        <f aca="false">VLOOKUP($C$1,SO2Rate,14)</f>
        <v>0</v>
      </c>
      <c r="AK143" s="401" t="n">
        <f aca="false">VLOOKUP($C$1,NOxRate,14)</f>
        <v>0</v>
      </c>
      <c r="AL143" s="1"/>
    </row>
    <row r="144" customFormat="false" ht="12.75" hidden="false" customHeight="false" outlineLevel="0" collapsed="false">
      <c r="A144" s="400" t="n">
        <f aca="false">A143+30.417</f>
        <v>40585.461</v>
      </c>
      <c r="B144" s="401" t="n">
        <f aca="false">IF($B$9="Coal",AG144,IF($B$9="Gas",AH144,IF($B$9="Oil",AI144,0)))</f>
        <v>3.80480589490296</v>
      </c>
      <c r="C144" s="402" t="n">
        <f aca="false">(B144*$B$1*1000)/1000000</f>
        <v>43.012359202075</v>
      </c>
      <c r="D144" s="401" t="n">
        <f aca="false">AB144+AC144</f>
        <v>0.752498758029349</v>
      </c>
      <c r="E144" s="401" t="n">
        <f aca="false">(($AJ144*$B$1*AD144*1000)/2000)/1000000</f>
        <v>0</v>
      </c>
      <c r="F144" s="401" t="n">
        <f aca="false">AF144*(($AK144*$B$1*AE144*1000)/2000)/1000000</f>
        <v>0</v>
      </c>
      <c r="G144" s="403" t="n">
        <f aca="false">IF('Peak Revenue'!$A$1="BL","-",SUM(C144:F144))</f>
        <v>43.7648579601044</v>
      </c>
      <c r="H144" s="411" t="n">
        <v>144.146558672512</v>
      </c>
      <c r="I144" s="411" t="n">
        <v>114.520216600622</v>
      </c>
      <c r="J144" s="411" t="n">
        <v>96.8820184596581</v>
      </c>
      <c r="K144" s="411" t="n">
        <v>90.2980126701195</v>
      </c>
      <c r="L144" s="411" t="n">
        <v>85.2628750642648</v>
      </c>
      <c r="M144" s="411" t="n">
        <v>78.9265960813505</v>
      </c>
      <c r="N144" s="411" t="n">
        <v>77.684068530986</v>
      </c>
      <c r="O144" s="411" t="n">
        <v>68.0358902413605</v>
      </c>
      <c r="P144" s="411" t="n">
        <v>54.098774829249</v>
      </c>
      <c r="Q144" s="411" t="n">
        <v>49.791658875064</v>
      </c>
      <c r="R144" s="411" t="n">
        <v>44.9241734612463</v>
      </c>
      <c r="S144" s="411" t="n">
        <v>44.0474106686574</v>
      </c>
      <c r="T144" s="411" t="n">
        <v>42.5258153714536</v>
      </c>
      <c r="U144" s="411" t="n">
        <v>41.3723275437759</v>
      </c>
      <c r="V144" s="411" t="n">
        <v>40.4668927004639</v>
      </c>
      <c r="W144" s="411" t="n">
        <v>38.8248520820223</v>
      </c>
      <c r="X144" s="411" t="n">
        <v>38.6119715485139</v>
      </c>
      <c r="Y144" s="411" t="n">
        <v>38.6119715485139</v>
      </c>
      <c r="Z144" s="411" t="n">
        <v>38.6119715485139</v>
      </c>
      <c r="AA144" s="411" t="n">
        <v>38.0083193278819</v>
      </c>
      <c r="AB144" s="401" t="n">
        <f aca="false">AB143*(1+Assumptions!$L$13/12)</f>
        <v>0.752498758029349</v>
      </c>
      <c r="AC144" s="401" t="n">
        <f aca="false">AC143</f>
        <v>0</v>
      </c>
      <c r="AD144" s="405" t="n">
        <f aca="false">AD143</f>
        <v>526.532188626439</v>
      </c>
      <c r="AE144" s="405" t="n">
        <f aca="false">AE143</f>
        <v>1943.45115851308</v>
      </c>
      <c r="AF144" s="392" t="n">
        <f aca="false">IF(Assumptions!D$23=1,0,1)</f>
        <v>1</v>
      </c>
      <c r="AG144" s="406" t="n">
        <f aca="false">AG143</f>
        <v>0</v>
      </c>
      <c r="AH144" s="401" t="n">
        <f aca="false">Assumptions!$E$23*Assumptions!H13</f>
        <v>3.80480589490296</v>
      </c>
      <c r="AI144" s="401" t="n">
        <f aca="false">Assumptions!$F$23*Assumptions!I13</f>
        <v>3.91182467162938</v>
      </c>
      <c r="AJ144" s="401" t="n">
        <f aca="false">AJ143</f>
        <v>0</v>
      </c>
      <c r="AK144" s="401" t="n">
        <f aca="false">AK143</f>
        <v>0</v>
      </c>
      <c r="AL144" s="1"/>
    </row>
    <row r="145" customFormat="false" ht="12.75" hidden="false" customHeight="false" outlineLevel="0" collapsed="false">
      <c r="A145" s="400" t="n">
        <f aca="false">A144+30.417</f>
        <v>40615.878</v>
      </c>
      <c r="B145" s="401" t="n">
        <f aca="false">IF($B$9="Coal",AG145,IF($B$9="Gas",AH145,IF($B$9="Oil",AI145,0)))</f>
        <v>3.74082795206087</v>
      </c>
      <c r="C145" s="402" t="n">
        <f aca="false">(B145*$B$1*1000)/1000000</f>
        <v>42.2891048930391</v>
      </c>
      <c r="D145" s="401" t="n">
        <f aca="false">AB145+AC145</f>
        <v>0.753752922626064</v>
      </c>
      <c r="E145" s="401" t="n">
        <f aca="false">(($AJ145*$B$1*AD145*1000)/2000)/1000000</f>
        <v>0</v>
      </c>
      <c r="F145" s="401" t="n">
        <f aca="false">AF145*(($AK145*$B$1*AE145*1000)/2000)/1000000</f>
        <v>0</v>
      </c>
      <c r="G145" s="403" t="n">
        <f aca="false">IF('Peak Revenue'!$A$1="BL","-",SUM(C145:F145))</f>
        <v>43.0428578156652</v>
      </c>
      <c r="H145" s="411" t="n">
        <v>135.100606666631</v>
      </c>
      <c r="I145" s="411" t="n">
        <v>110.980835189247</v>
      </c>
      <c r="J145" s="411" t="n">
        <v>85.2132782540585</v>
      </c>
      <c r="K145" s="411" t="n">
        <v>75.9220009358449</v>
      </c>
      <c r="L145" s="411" t="n">
        <v>71.5744139272024</v>
      </c>
      <c r="M145" s="411" t="n">
        <v>67.1714113081573</v>
      </c>
      <c r="N145" s="411" t="n">
        <v>66.8036554777112</v>
      </c>
      <c r="O145" s="411" t="n">
        <v>62.7585806038726</v>
      </c>
      <c r="P145" s="411" t="n">
        <v>50.0979675357266</v>
      </c>
      <c r="Q145" s="411" t="n">
        <v>46.7405487446355</v>
      </c>
      <c r="R145" s="411" t="n">
        <v>44.4063255682259</v>
      </c>
      <c r="S145" s="411" t="n">
        <v>41.3381564062768</v>
      </c>
      <c r="T145" s="411" t="n">
        <v>39.2528416041281</v>
      </c>
      <c r="U145" s="411" t="n">
        <v>38.4776927819574</v>
      </c>
      <c r="V145" s="411" t="n">
        <v>38.0108947148368</v>
      </c>
      <c r="W145" s="411" t="n">
        <v>37.8829269633036</v>
      </c>
      <c r="X145" s="411" t="n">
        <v>37.1215385816065</v>
      </c>
      <c r="Y145" s="411" t="n">
        <v>35.9345559846</v>
      </c>
      <c r="Z145" s="411" t="n">
        <v>34.124396210103</v>
      </c>
      <c r="AA145" s="411" t="n">
        <v>32.9993949237108</v>
      </c>
      <c r="AB145" s="401" t="n">
        <f aca="false">AB144*(1+Assumptions!$L$13/12)</f>
        <v>0.753752922626064</v>
      </c>
      <c r="AC145" s="401" t="n">
        <f aca="false">AC144</f>
        <v>0</v>
      </c>
      <c r="AD145" s="405" t="n">
        <f aca="false">AD144</f>
        <v>526.532188626439</v>
      </c>
      <c r="AE145" s="405" t="n">
        <f aca="false">AE144</f>
        <v>1943.45115851308</v>
      </c>
      <c r="AF145" s="392" t="n">
        <f aca="false">IF(Assumptions!D$23=1,0,1)</f>
        <v>1</v>
      </c>
      <c r="AG145" s="406" t="n">
        <f aca="false">AG144</f>
        <v>0</v>
      </c>
      <c r="AH145" s="401" t="n">
        <f aca="false">Assumptions!$E$23*Assumptions!H14</f>
        <v>3.74082795206087</v>
      </c>
      <c r="AI145" s="401" t="n">
        <f aca="false">Assumptions!$F$23*Assumptions!I14</f>
        <v>3.76558823530679</v>
      </c>
      <c r="AJ145" s="401" t="n">
        <f aca="false">AJ144</f>
        <v>0</v>
      </c>
      <c r="AK145" s="401" t="n">
        <f aca="false">AK144</f>
        <v>0</v>
      </c>
      <c r="AL145" s="1"/>
    </row>
    <row r="146" customFormat="false" ht="12.75" hidden="false" customHeight="false" outlineLevel="0" collapsed="false">
      <c r="A146" s="400" t="n">
        <f aca="false">A145+30.417</f>
        <v>40646.295</v>
      </c>
      <c r="B146" s="401" t="n">
        <f aca="false">IF($B$9="Coal",AG146,IF($B$9="Gas",AH146,IF($B$9="Oil",AI146,0)))</f>
        <v>3.55642094033956</v>
      </c>
      <c r="C146" s="402" t="n">
        <f aca="false">(B146*$B$1*1000)/1000000</f>
        <v>40.204430708171</v>
      </c>
      <c r="D146" s="401" t="n">
        <f aca="false">AB146+AC146</f>
        <v>0.755009177497108</v>
      </c>
      <c r="E146" s="401" t="n">
        <f aca="false">(($AJ146*$B$1*AD146*1000)/2000)/1000000</f>
        <v>0</v>
      </c>
      <c r="F146" s="401" t="n">
        <f aca="false">AF146*(($AK146*$B$1*AE146*1000)/2000)/1000000</f>
        <v>0</v>
      </c>
      <c r="G146" s="403" t="n">
        <f aca="false">IF('Peak Revenue'!$A$1="BL","-",SUM(C146:F146))</f>
        <v>40.9594398856681</v>
      </c>
      <c r="H146" s="411" t="n">
        <v>80.4768766502151</v>
      </c>
      <c r="I146" s="411" t="n">
        <v>77.5576881063369</v>
      </c>
      <c r="J146" s="411" t="n">
        <v>72.8237973389405</v>
      </c>
      <c r="K146" s="411" t="n">
        <v>70.3293386131993</v>
      </c>
      <c r="L146" s="411" t="n">
        <v>70.1520852764676</v>
      </c>
      <c r="M146" s="411" t="n">
        <v>61.4828096845933</v>
      </c>
      <c r="N146" s="411" t="n">
        <v>48.9280060012031</v>
      </c>
      <c r="O146" s="411" t="n">
        <v>42.6127781638044</v>
      </c>
      <c r="P146" s="411" t="n">
        <v>39.8423139270397</v>
      </c>
      <c r="Q146" s="411" t="n">
        <v>39.4336123407505</v>
      </c>
      <c r="R146" s="411" t="n">
        <v>37.5318688897095</v>
      </c>
      <c r="S146" s="411" t="n">
        <v>36.4021240465606</v>
      </c>
      <c r="T146" s="411" t="n">
        <v>35.4558593657244</v>
      </c>
      <c r="U146" s="411" t="n">
        <v>34.7501551728502</v>
      </c>
      <c r="V146" s="411" t="n">
        <v>34.3178424542043</v>
      </c>
      <c r="W146" s="411" t="n">
        <v>34.2762550552166</v>
      </c>
      <c r="X146" s="411" t="n">
        <v>34.2762550552166</v>
      </c>
      <c r="Y146" s="411" t="n">
        <v>34.2762550552166</v>
      </c>
      <c r="Z146" s="411" t="n">
        <v>34.2762550552166</v>
      </c>
      <c r="AA146" s="411" t="n">
        <v>33.8490718264082</v>
      </c>
      <c r="AB146" s="401" t="n">
        <f aca="false">AB145*(1+Assumptions!$L$13/12)</f>
        <v>0.755009177497108</v>
      </c>
      <c r="AC146" s="401" t="n">
        <f aca="false">AC145</f>
        <v>0</v>
      </c>
      <c r="AD146" s="405" t="n">
        <f aca="false">AD145</f>
        <v>526.532188626439</v>
      </c>
      <c r="AE146" s="405" t="n">
        <f aca="false">AE145</f>
        <v>1943.45115851308</v>
      </c>
      <c r="AF146" s="392" t="n">
        <f aca="false">IF(Assumptions!D$23=1,0,1)</f>
        <v>1</v>
      </c>
      <c r="AG146" s="406" t="n">
        <f aca="false">AG145</f>
        <v>0</v>
      </c>
      <c r="AH146" s="401" t="n">
        <f aca="false">Assumptions!$E$23*Assumptions!H15</f>
        <v>3.55642094033956</v>
      </c>
      <c r="AI146" s="401" t="n">
        <f aca="false">Assumptions!$F$23*Assumptions!I15</f>
        <v>3.6193517989842</v>
      </c>
      <c r="AJ146" s="401" t="n">
        <f aca="false">AJ145</f>
        <v>0</v>
      </c>
      <c r="AK146" s="401" t="n">
        <f aca="false">AK145</f>
        <v>0</v>
      </c>
      <c r="AL146" s="1"/>
    </row>
    <row r="147" customFormat="false" ht="12.75" hidden="false" customHeight="false" outlineLevel="0" collapsed="false">
      <c r="A147" s="400" t="n">
        <f aca="false">A146+30.417</f>
        <v>40676.712</v>
      </c>
      <c r="B147" s="401" t="n">
        <f aca="false">IF($B$9="Coal",AG147,IF($B$9="Gas",AH147,IF($B$9="Oil",AI147,0)))</f>
        <v>3.74459136046335</v>
      </c>
      <c r="C147" s="402" t="n">
        <f aca="false">(B147*$B$1*1000)/1000000</f>
        <v>42.3316492641589</v>
      </c>
      <c r="D147" s="401" t="n">
        <f aca="false">AB147+AC147</f>
        <v>0.75626752612627</v>
      </c>
      <c r="E147" s="401" t="n">
        <f aca="false">(($AJ147*$B$1*AD147*1000)/2000)/1000000</f>
        <v>0</v>
      </c>
      <c r="F147" s="401" t="n">
        <f aca="false">AF147*(($AK147*$B$1*AE147*1000)/2000)/1000000</f>
        <v>0</v>
      </c>
      <c r="G147" s="403" t="n">
        <f aca="false">IF('Peak Revenue'!$A$1="BL","-",SUM(C147:F147))</f>
        <v>43.0879167902852</v>
      </c>
      <c r="H147" s="411" t="n">
        <v>101.896362115948</v>
      </c>
      <c r="I147" s="411" t="n">
        <v>79.5263954447232</v>
      </c>
      <c r="J147" s="411" t="n">
        <v>68.2358620488695</v>
      </c>
      <c r="K147" s="411" t="n">
        <v>64.850996088116</v>
      </c>
      <c r="L147" s="411" t="n">
        <v>64.0154415401869</v>
      </c>
      <c r="M147" s="411" t="n">
        <v>60.6317135045456</v>
      </c>
      <c r="N147" s="411" t="n">
        <v>58.1000426983527</v>
      </c>
      <c r="O147" s="411" t="n">
        <v>45.4033582353446</v>
      </c>
      <c r="P147" s="411" t="n">
        <v>42.5038608012972</v>
      </c>
      <c r="Q147" s="411" t="n">
        <v>40.6210870329647</v>
      </c>
      <c r="R147" s="411" t="n">
        <v>38.2543301830855</v>
      </c>
      <c r="S147" s="411" t="n">
        <v>37.113603240667</v>
      </c>
      <c r="T147" s="411" t="n">
        <v>36.0795335559253</v>
      </c>
      <c r="U147" s="411" t="n">
        <v>35.0102151252071</v>
      </c>
      <c r="V147" s="411" t="n">
        <v>34.2174766451213</v>
      </c>
      <c r="W147" s="411" t="n">
        <v>32.1254898264012</v>
      </c>
      <c r="X147" s="411" t="n">
        <v>30.3947465993686</v>
      </c>
      <c r="Y147" s="411" t="n">
        <v>30.0885430036144</v>
      </c>
      <c r="Z147" s="411" t="n">
        <v>29.9569111323494</v>
      </c>
      <c r="AA147" s="411" t="n">
        <v>29.9411110744053</v>
      </c>
      <c r="AB147" s="401" t="n">
        <f aca="false">AB146*(1+Assumptions!$L$13/12)</f>
        <v>0.75626752612627</v>
      </c>
      <c r="AC147" s="401" t="n">
        <f aca="false">AC146</f>
        <v>0</v>
      </c>
      <c r="AD147" s="405" t="n">
        <f aca="false">AD146</f>
        <v>526.532188626439</v>
      </c>
      <c r="AE147" s="405" t="n">
        <f aca="false">AE146</f>
        <v>1943.45115851308</v>
      </c>
      <c r="AF147" s="392" t="n">
        <v>1</v>
      </c>
      <c r="AG147" s="406" t="n">
        <f aca="false">AG146</f>
        <v>0</v>
      </c>
      <c r="AH147" s="401" t="n">
        <f aca="false">Assumptions!$E$23*Assumptions!H16</f>
        <v>3.74459136046335</v>
      </c>
      <c r="AI147" s="401" t="n">
        <f aca="false">Assumptions!$F$23*Assumptions!I16</f>
        <v>3.4731153626616</v>
      </c>
      <c r="AJ147" s="401" t="n">
        <f aca="false">AJ146</f>
        <v>0</v>
      </c>
      <c r="AK147" s="401" t="n">
        <f aca="false">AK146</f>
        <v>0</v>
      </c>
      <c r="AL147" s="1"/>
    </row>
    <row r="148" customFormat="false" ht="12.75" hidden="false" customHeight="false" outlineLevel="0" collapsed="false">
      <c r="A148" s="400" t="n">
        <f aca="false">A147+30.417</f>
        <v>40707.129</v>
      </c>
      <c r="B148" s="401" t="n">
        <f aca="false">IF($B$9="Coal",AG148,IF($B$9="Gas",AH148,IF($B$9="Oil",AI148,0)))</f>
        <v>3.56771116554699</v>
      </c>
      <c r="C148" s="402" t="n">
        <f aca="false">(B148*$B$1*1000)/1000000</f>
        <v>40.3320638215303</v>
      </c>
      <c r="D148" s="401" t="n">
        <f aca="false">AB148+AC148</f>
        <v>0.757527972003147</v>
      </c>
      <c r="E148" s="401" t="n">
        <f aca="false">(($AJ148*$B$1*AD148*1000)/2000)/1000000</f>
        <v>0</v>
      </c>
      <c r="F148" s="401" t="n">
        <f aca="false">AF148*(($AK148*$B$1*AE148*1000)/2000)/1000000</f>
        <v>0</v>
      </c>
      <c r="G148" s="403" t="n">
        <f aca="false">IF('Peak Revenue'!$A$1="BL","-",SUM(C148:F148))</f>
        <v>41.0895917935334</v>
      </c>
      <c r="H148" s="411" t="n">
        <v>234.594055317646</v>
      </c>
      <c r="I148" s="411" t="n">
        <v>207.937871881237</v>
      </c>
      <c r="J148" s="411" t="n">
        <v>187.215817705235</v>
      </c>
      <c r="K148" s="411" t="n">
        <v>163.562014003337</v>
      </c>
      <c r="L148" s="411" t="n">
        <v>146.55180574253</v>
      </c>
      <c r="M148" s="411" t="n">
        <v>81.528927733096</v>
      </c>
      <c r="N148" s="411" t="n">
        <v>52.6759706837713</v>
      </c>
      <c r="O148" s="411" t="n">
        <v>46.9787474897598</v>
      </c>
      <c r="P148" s="411" t="n">
        <v>45.5883031665843</v>
      </c>
      <c r="Q148" s="411" t="n">
        <v>38.4940063373125</v>
      </c>
      <c r="R148" s="411" t="n">
        <v>33.4153815571578</v>
      </c>
      <c r="S148" s="411" t="n">
        <v>32.1302553652468</v>
      </c>
      <c r="T148" s="411" t="n">
        <v>31.120053424882</v>
      </c>
      <c r="U148" s="411" t="n">
        <v>30.0494015884297</v>
      </c>
      <c r="V148" s="411" t="n">
        <v>28.7670801114864</v>
      </c>
      <c r="W148" s="411" t="n">
        <v>27.2832553695923</v>
      </c>
      <c r="X148" s="411" t="n">
        <v>26.844215424461</v>
      </c>
      <c r="Y148" s="411" t="n">
        <v>26.454376341362</v>
      </c>
      <c r="Z148" s="411" t="n">
        <v>25.1999664642375</v>
      </c>
      <c r="AA148" s="411" t="n">
        <v>24.0811924604468</v>
      </c>
      <c r="AB148" s="401" t="n">
        <f aca="false">AB147*(1+Assumptions!$L$13/12)</f>
        <v>0.757527972003147</v>
      </c>
      <c r="AC148" s="401" t="n">
        <f aca="false">AC147</f>
        <v>0</v>
      </c>
      <c r="AD148" s="405" t="n">
        <f aca="false">AD147</f>
        <v>526.532188626439</v>
      </c>
      <c r="AE148" s="405" t="n">
        <f aca="false">AE147</f>
        <v>1943.45115851308</v>
      </c>
      <c r="AF148" s="392" t="n">
        <v>1</v>
      </c>
      <c r="AG148" s="406" t="n">
        <f aca="false">AG147</f>
        <v>0</v>
      </c>
      <c r="AH148" s="401" t="n">
        <f aca="false">Assumptions!$E$23*Assumptions!H17</f>
        <v>3.56771116554699</v>
      </c>
      <c r="AI148" s="401" t="n">
        <f aca="false">Assumptions!$F$23*Assumptions!I17</f>
        <v>3.4731153626616</v>
      </c>
      <c r="AJ148" s="401" t="n">
        <f aca="false">AJ147</f>
        <v>0</v>
      </c>
      <c r="AK148" s="401" t="n">
        <f aca="false">AK147</f>
        <v>0</v>
      </c>
      <c r="AL148" s="1"/>
    </row>
    <row r="149" customFormat="false" ht="12.75" hidden="false" customHeight="false" outlineLevel="0" collapsed="false">
      <c r="A149" s="400" t="n">
        <f aca="false">A148+30.417</f>
        <v>40737.546</v>
      </c>
      <c r="B149" s="401" t="n">
        <f aca="false">IF($B$9="Coal",AG149,IF($B$9="Gas",AH149,IF($B$9="Oil",AI149,0)))</f>
        <v>3.55642094033956</v>
      </c>
      <c r="C149" s="402" t="n">
        <f aca="false">(B149*$B$1*1000)/1000000</f>
        <v>40.204430708171</v>
      </c>
      <c r="D149" s="401" t="n">
        <f aca="false">AB149+AC149</f>
        <v>0.758790518623152</v>
      </c>
      <c r="E149" s="401" t="n">
        <f aca="false">(($AJ149*$B$1*AD149*1000)/2000)/1000000</f>
        <v>0</v>
      </c>
      <c r="F149" s="401" t="n">
        <f aca="false">AF149*(($AK149*$B$1*AE149*1000)/2000)/1000000</f>
        <v>0</v>
      </c>
      <c r="G149" s="403" t="n">
        <f aca="false">IF('Peak Revenue'!$A$1="BL","-",SUM(C149:F149))</f>
        <v>40.9632212267942</v>
      </c>
      <c r="H149" s="411" t="n">
        <v>230.276582851048</v>
      </c>
      <c r="I149" s="411" t="n">
        <v>199.32503320901</v>
      </c>
      <c r="J149" s="411" t="n">
        <v>178.128002972166</v>
      </c>
      <c r="K149" s="411" t="n">
        <v>156.564425940489</v>
      </c>
      <c r="L149" s="411" t="n">
        <v>131.55866241571</v>
      </c>
      <c r="M149" s="411" t="n">
        <v>101.290157527854</v>
      </c>
      <c r="N149" s="411" t="n">
        <v>94.8833206116587</v>
      </c>
      <c r="O149" s="411" t="n">
        <v>75.8993902895595</v>
      </c>
      <c r="P149" s="411" t="n">
        <v>58.1237106841853</v>
      </c>
      <c r="Q149" s="411" t="n">
        <v>51.8680006123192</v>
      </c>
      <c r="R149" s="411" t="n">
        <v>45.4199889198901</v>
      </c>
      <c r="S149" s="411" t="n">
        <v>45.2437904163296</v>
      </c>
      <c r="T149" s="411" t="n">
        <v>45.2435837418994</v>
      </c>
      <c r="U149" s="411" t="n">
        <v>44.5251204564536</v>
      </c>
      <c r="V149" s="411" t="n">
        <v>40.2670160469926</v>
      </c>
      <c r="W149" s="411" t="n">
        <v>38.0701086336774</v>
      </c>
      <c r="X149" s="411" t="n">
        <v>36.4736384102222</v>
      </c>
      <c r="Y149" s="411" t="n">
        <v>35.529340407522</v>
      </c>
      <c r="Z149" s="411" t="n">
        <v>34.8941759005725</v>
      </c>
      <c r="AA149" s="411" t="n">
        <v>31.4650203548195</v>
      </c>
      <c r="AB149" s="401" t="n">
        <f aca="false">AB148*(1+Assumptions!$L$13/12)</f>
        <v>0.758790518623152</v>
      </c>
      <c r="AC149" s="401" t="n">
        <f aca="false">AC148</f>
        <v>0</v>
      </c>
      <c r="AD149" s="405" t="n">
        <f aca="false">AD148</f>
        <v>526.532188626439</v>
      </c>
      <c r="AE149" s="405" t="n">
        <f aca="false">AE148</f>
        <v>1943.45115851308</v>
      </c>
      <c r="AF149" s="392" t="n">
        <v>1</v>
      </c>
      <c r="AG149" s="406" t="n">
        <f aca="false">AG148</f>
        <v>0</v>
      </c>
      <c r="AH149" s="401" t="n">
        <f aca="false">Assumptions!$E$23*Assumptions!H18</f>
        <v>3.55642094033956</v>
      </c>
      <c r="AI149" s="401" t="n">
        <f aca="false">Assumptions!$F$23*Assumptions!I18</f>
        <v>3.4731153626616</v>
      </c>
      <c r="AJ149" s="401" t="n">
        <f aca="false">AJ148</f>
        <v>0</v>
      </c>
      <c r="AK149" s="401" t="n">
        <f aca="false">AK148</f>
        <v>0</v>
      </c>
      <c r="AL149" s="1"/>
    </row>
    <row r="150" customFormat="false" ht="12.75" hidden="false" customHeight="false" outlineLevel="0" collapsed="false">
      <c r="A150" s="400" t="n">
        <f aca="false">A149+30.417</f>
        <v>40767.963</v>
      </c>
      <c r="B150" s="401" t="n">
        <f aca="false">IF($B$9="Coal",AG150,IF($B$9="Gas",AH150,IF($B$9="Oil",AI150,0)))</f>
        <v>3.37201392861825</v>
      </c>
      <c r="C150" s="402" t="n">
        <f aca="false">(B150*$B$1*1000)/1000000</f>
        <v>38.1197565233029</v>
      </c>
      <c r="D150" s="401" t="n">
        <f aca="false">AB150+AC150</f>
        <v>0.760055169487524</v>
      </c>
      <c r="E150" s="401" t="n">
        <f aca="false">(($AJ150*$B$1*AD150*1000)/2000)/1000000</f>
        <v>0</v>
      </c>
      <c r="F150" s="401" t="n">
        <f aca="false">AF150*(($AK150*$B$1*AE150*1000)/2000)/1000000</f>
        <v>0</v>
      </c>
      <c r="G150" s="403" t="n">
        <f aca="false">IF('Peak Revenue'!$A$1="BL","-",SUM(C150:F150))</f>
        <v>38.8798116927904</v>
      </c>
      <c r="H150" s="411" t="n">
        <v>228.539088875988</v>
      </c>
      <c r="I150" s="411" t="n">
        <v>196.066491346142</v>
      </c>
      <c r="J150" s="411" t="n">
        <v>176.712251126733</v>
      </c>
      <c r="K150" s="411" t="n">
        <v>156.531278227988</v>
      </c>
      <c r="L150" s="411" t="n">
        <v>143.561045076481</v>
      </c>
      <c r="M150" s="411" t="n">
        <v>128.054973003431</v>
      </c>
      <c r="N150" s="411" t="n">
        <v>81.5019604131697</v>
      </c>
      <c r="O150" s="411" t="n">
        <v>66.7657411075663</v>
      </c>
      <c r="P150" s="411" t="n">
        <v>62.8628663274451</v>
      </c>
      <c r="Q150" s="411" t="n">
        <v>61.5345615118132</v>
      </c>
      <c r="R150" s="411" t="n">
        <v>61.2210018949378</v>
      </c>
      <c r="S150" s="411" t="n">
        <v>59.3220591338769</v>
      </c>
      <c r="T150" s="411" t="n">
        <v>46.7513012666199</v>
      </c>
      <c r="U150" s="411" t="n">
        <v>43.2935393037007</v>
      </c>
      <c r="V150" s="411" t="n">
        <v>41.5067140097253</v>
      </c>
      <c r="W150" s="411" t="n">
        <v>39.8643906543049</v>
      </c>
      <c r="X150" s="411" t="n">
        <v>39.0283953742631</v>
      </c>
      <c r="Y150" s="411" t="n">
        <v>36.7578003127172</v>
      </c>
      <c r="Z150" s="411" t="n">
        <v>33.8308517727119</v>
      </c>
      <c r="AA150" s="411" t="n">
        <v>31.1163878454866</v>
      </c>
      <c r="AB150" s="401" t="n">
        <f aca="false">AB149*(1+Assumptions!$L$13/12)</f>
        <v>0.760055169487524</v>
      </c>
      <c r="AC150" s="401" t="n">
        <f aca="false">AC149</f>
        <v>0</v>
      </c>
      <c r="AD150" s="405" t="n">
        <f aca="false">AD149</f>
        <v>526.532188626439</v>
      </c>
      <c r="AE150" s="405" t="n">
        <f aca="false">AE149</f>
        <v>1943.45115851308</v>
      </c>
      <c r="AF150" s="392" t="n">
        <v>1</v>
      </c>
      <c r="AG150" s="406" t="n">
        <f aca="false">AG149</f>
        <v>0</v>
      </c>
      <c r="AH150" s="401" t="n">
        <f aca="false">Assumptions!$E$23*Assumptions!H19</f>
        <v>3.37201392861825</v>
      </c>
      <c r="AI150" s="401" t="n">
        <f aca="false">Assumptions!$F$23*Assumptions!I19</f>
        <v>3.4731153626616</v>
      </c>
      <c r="AJ150" s="401" t="n">
        <f aca="false">AJ149</f>
        <v>0</v>
      </c>
      <c r="AK150" s="401" t="n">
        <f aca="false">AK149</f>
        <v>0</v>
      </c>
      <c r="AL150" s="1"/>
    </row>
    <row r="151" customFormat="false" ht="12.75" hidden="false" customHeight="false" outlineLevel="0" collapsed="false">
      <c r="A151" s="400" t="n">
        <f aca="false">A150+30.417</f>
        <v>40798.38</v>
      </c>
      <c r="B151" s="401" t="n">
        <f aca="false">IF($B$9="Coal",AG151,IF($B$9="Gas",AH151,IF($B$9="Oil",AI151,0)))</f>
        <v>3.36072370341083</v>
      </c>
      <c r="C151" s="402" t="n">
        <f aca="false">(B151*$B$1*1000)/1000000</f>
        <v>37.9921234099436</v>
      </c>
      <c r="D151" s="401" t="n">
        <f aca="false">AB151+AC151</f>
        <v>0.761321928103337</v>
      </c>
      <c r="E151" s="401" t="n">
        <f aca="false">(($AJ151*$B$1*AD151*1000)/2000)/1000000</f>
        <v>0</v>
      </c>
      <c r="F151" s="401" t="n">
        <f aca="false">AF151*(($AK151*$B$1*AE151*1000)/2000)/1000000</f>
        <v>0</v>
      </c>
      <c r="G151" s="403" t="n">
        <f aca="false">IF('Peak Revenue'!$A$1="BL","-",SUM(C151:F151))</f>
        <v>38.7534453380469</v>
      </c>
      <c r="H151" s="411" t="n">
        <v>153.403120883351</v>
      </c>
      <c r="I151" s="411" t="n">
        <v>103.53622109051</v>
      </c>
      <c r="J151" s="411" t="n">
        <v>80.8086355585736</v>
      </c>
      <c r="K151" s="411" t="n">
        <v>73.9360993072683</v>
      </c>
      <c r="L151" s="411" t="n">
        <v>68.5831120439839</v>
      </c>
      <c r="M151" s="411" t="n">
        <v>67.0462427679022</v>
      </c>
      <c r="N151" s="411" t="n">
        <v>54.8443751715741</v>
      </c>
      <c r="O151" s="411" t="n">
        <v>47.581302190241</v>
      </c>
      <c r="P151" s="411" t="n">
        <v>44.8884004324694</v>
      </c>
      <c r="Q151" s="411" t="n">
        <v>42.3158550518782</v>
      </c>
      <c r="R151" s="411" t="n">
        <v>40.6147604469418</v>
      </c>
      <c r="S151" s="411" t="n">
        <v>39.1407177805737</v>
      </c>
      <c r="T151" s="411" t="n">
        <v>38.6726704653392</v>
      </c>
      <c r="U151" s="411" t="n">
        <v>37.3660079892731</v>
      </c>
      <c r="V151" s="411" t="n">
        <v>34.5164076183809</v>
      </c>
      <c r="W151" s="411" t="n">
        <v>33.7921787826486</v>
      </c>
      <c r="X151" s="411" t="n">
        <v>33.4474650204773</v>
      </c>
      <c r="Y151" s="411" t="n">
        <v>33.4474650204773</v>
      </c>
      <c r="Z151" s="411" t="n">
        <v>33.4474650204773</v>
      </c>
      <c r="AA151" s="411" t="n">
        <v>33.2423244300875</v>
      </c>
      <c r="AB151" s="401" t="n">
        <f aca="false">AB150*(1+Assumptions!$L$13/12)</f>
        <v>0.761321928103337</v>
      </c>
      <c r="AC151" s="401" t="n">
        <f aca="false">AC150</f>
        <v>0</v>
      </c>
      <c r="AD151" s="405" t="n">
        <f aca="false">AD150</f>
        <v>526.532188626439</v>
      </c>
      <c r="AE151" s="405" t="n">
        <f aca="false">AE150</f>
        <v>1943.45115851308</v>
      </c>
      <c r="AF151" s="392" t="n">
        <v>1</v>
      </c>
      <c r="AG151" s="406" t="n">
        <f aca="false">AG150</f>
        <v>0</v>
      </c>
      <c r="AH151" s="401" t="n">
        <f aca="false">Assumptions!$E$23*Assumptions!H20</f>
        <v>3.36072370341083</v>
      </c>
      <c r="AI151" s="401" t="n">
        <f aca="false">Assumptions!$F$23*Assumptions!I20</f>
        <v>3.4731153626616</v>
      </c>
      <c r="AJ151" s="401" t="n">
        <f aca="false">AJ150</f>
        <v>0</v>
      </c>
      <c r="AK151" s="401" t="n">
        <f aca="false">AK150</f>
        <v>0</v>
      </c>
      <c r="AL151" s="1"/>
    </row>
    <row r="152" customFormat="false" ht="12.75" hidden="false" customHeight="false" outlineLevel="0" collapsed="false">
      <c r="A152" s="400" t="n">
        <f aca="false">A151+30.417</f>
        <v>40828.797</v>
      </c>
      <c r="B152" s="401" t="n">
        <f aca="false">IF($B$9="Coal",AG152,IF($B$9="Gas",AH152,IF($B$9="Oil",AI152,0)))</f>
        <v>3.72201091004849</v>
      </c>
      <c r="C152" s="402" t="n">
        <f aca="false">(B152*$B$1*1000)/1000000</f>
        <v>42.0763830374403</v>
      </c>
      <c r="D152" s="401" t="n">
        <f aca="false">AB152+AC152</f>
        <v>0.762590797983509</v>
      </c>
      <c r="E152" s="401" t="n">
        <f aca="false">(($AJ152*$B$1*AD152*1000)/2000)/1000000</f>
        <v>0</v>
      </c>
      <c r="F152" s="401" t="n">
        <f aca="false">AF152*(($AK152*$B$1*AE152*1000)/2000)/1000000</f>
        <v>0</v>
      </c>
      <c r="G152" s="403" t="n">
        <f aca="false">IF('Peak Revenue'!$A$1="BL","-",SUM(C152:F152))</f>
        <v>42.8389738354238</v>
      </c>
      <c r="H152" s="411" t="n">
        <v>80.9893110619081</v>
      </c>
      <c r="I152" s="411" t="n">
        <v>79.4881468604577</v>
      </c>
      <c r="J152" s="411" t="n">
        <v>77.5722567438738</v>
      </c>
      <c r="K152" s="411" t="n">
        <v>72.9252920489716</v>
      </c>
      <c r="L152" s="411" t="n">
        <v>70.4493841263327</v>
      </c>
      <c r="M152" s="411" t="n">
        <v>69.5187710852644</v>
      </c>
      <c r="N152" s="411" t="n">
        <v>52.5515039815781</v>
      </c>
      <c r="O152" s="411" t="n">
        <v>49.1918197653395</v>
      </c>
      <c r="P152" s="411" t="n">
        <v>44.6037772196463</v>
      </c>
      <c r="Q152" s="411" t="n">
        <v>37.8292350336836</v>
      </c>
      <c r="R152" s="411" t="n">
        <v>35.4917472270248</v>
      </c>
      <c r="S152" s="411" t="n">
        <v>35.0187825413795</v>
      </c>
      <c r="T152" s="411" t="n">
        <v>34.8034479978783</v>
      </c>
      <c r="U152" s="411" t="n">
        <v>34.5817135815727</v>
      </c>
      <c r="V152" s="411" t="n">
        <v>34.4623945935477</v>
      </c>
      <c r="W152" s="411" t="n">
        <v>34.1903480244073</v>
      </c>
      <c r="X152" s="411" t="n">
        <v>34.1880536411815</v>
      </c>
      <c r="Y152" s="411" t="n">
        <v>34.1880536411815</v>
      </c>
      <c r="Z152" s="411" t="n">
        <v>34.1880536411815</v>
      </c>
      <c r="AA152" s="411" t="n">
        <v>32.0266065099923</v>
      </c>
      <c r="AB152" s="401" t="n">
        <f aca="false">AB151*(1+Assumptions!$L$13/12)</f>
        <v>0.762590797983509</v>
      </c>
      <c r="AC152" s="401" t="n">
        <f aca="false">AC151</f>
        <v>0</v>
      </c>
      <c r="AD152" s="405" t="n">
        <f aca="false">AD151</f>
        <v>526.532188626439</v>
      </c>
      <c r="AE152" s="405" t="n">
        <f aca="false">AE151</f>
        <v>1943.45115851308</v>
      </c>
      <c r="AF152" s="392" t="n">
        <f aca="false">IF(Assumptions!D$23=1,0,1)</f>
        <v>1</v>
      </c>
      <c r="AG152" s="406" t="n">
        <f aca="false">AG151</f>
        <v>0</v>
      </c>
      <c r="AH152" s="401" t="n">
        <f aca="false">Assumptions!$E$23*Assumptions!H21</f>
        <v>3.72201091004849</v>
      </c>
      <c r="AI152" s="401" t="n">
        <f aca="false">Assumptions!$F$23*Assumptions!I21</f>
        <v>3.4731153626616</v>
      </c>
      <c r="AJ152" s="401" t="n">
        <f aca="false">AJ151</f>
        <v>0</v>
      </c>
      <c r="AK152" s="401" t="n">
        <f aca="false">AK151</f>
        <v>0</v>
      </c>
      <c r="AL152" s="1"/>
    </row>
    <row r="153" customFormat="false" ht="12.75" hidden="false" customHeight="false" outlineLevel="0" collapsed="false">
      <c r="A153" s="400" t="n">
        <f aca="false">A152+30.417</f>
        <v>40859.214</v>
      </c>
      <c r="B153" s="401" t="n">
        <f aca="false">IF($B$9="Coal",AG153,IF($B$9="Gas",AH153,IF($B$9="Oil",AI153,0)))</f>
        <v>4.07577129988121</v>
      </c>
      <c r="C153" s="402" t="n">
        <f aca="false">(B153*$B$1*1000)/1000000</f>
        <v>46.0755539226976</v>
      </c>
      <c r="D153" s="401" t="n">
        <f aca="false">AB153+AC153</f>
        <v>0.763861782646815</v>
      </c>
      <c r="E153" s="401" t="n">
        <f aca="false">(($AJ153*$B$1*AD153*1000)/2000)/1000000</f>
        <v>0</v>
      </c>
      <c r="F153" s="401" t="n">
        <f aca="false">AF153*(($AK153*$B$1*AE153*1000)/2000)/1000000</f>
        <v>0</v>
      </c>
      <c r="G153" s="403" t="n">
        <f aca="false">IF('Peak Revenue'!$A$1="BL","-",SUM(C153:F153))</f>
        <v>46.8394157053444</v>
      </c>
      <c r="H153" s="411" t="n">
        <v>154.006678312362</v>
      </c>
      <c r="I153" s="411" t="n">
        <v>149.112454055402</v>
      </c>
      <c r="J153" s="411" t="n">
        <v>94.5642318636084</v>
      </c>
      <c r="K153" s="411" t="n">
        <v>81.0463522839925</v>
      </c>
      <c r="L153" s="411" t="n">
        <v>68.701238971476</v>
      </c>
      <c r="M153" s="411" t="n">
        <v>64.9424902410387</v>
      </c>
      <c r="N153" s="411" t="n">
        <v>60.6490228566676</v>
      </c>
      <c r="O153" s="411" t="n">
        <v>59.0638143416162</v>
      </c>
      <c r="P153" s="411" t="n">
        <v>57.7752581212473</v>
      </c>
      <c r="Q153" s="411" t="n">
        <v>47.4130627178408</v>
      </c>
      <c r="R153" s="411" t="n">
        <v>42.1398795328752</v>
      </c>
      <c r="S153" s="411" t="n">
        <v>41.4646933900188</v>
      </c>
      <c r="T153" s="411" t="n">
        <v>41.129353314868</v>
      </c>
      <c r="U153" s="411" t="n">
        <v>40.0190528886538</v>
      </c>
      <c r="V153" s="411" t="n">
        <v>38.6803662441177</v>
      </c>
      <c r="W153" s="411" t="n">
        <v>37.1478881182146</v>
      </c>
      <c r="X153" s="411" t="n">
        <v>35.0637835933313</v>
      </c>
      <c r="Y153" s="411" t="n">
        <v>32.0248811368178</v>
      </c>
      <c r="Z153" s="411" t="n">
        <v>30.1375627266171</v>
      </c>
      <c r="AA153" s="411" t="n">
        <v>29.4409956425704</v>
      </c>
      <c r="AB153" s="401" t="n">
        <f aca="false">AB152*(1+Assumptions!$L$13/12)</f>
        <v>0.763861782646815</v>
      </c>
      <c r="AC153" s="401" t="n">
        <f aca="false">AC152</f>
        <v>0</v>
      </c>
      <c r="AD153" s="405" t="n">
        <f aca="false">AD152</f>
        <v>526.532188626439</v>
      </c>
      <c r="AE153" s="405" t="n">
        <f aca="false">AE152</f>
        <v>1943.45115851308</v>
      </c>
      <c r="AF153" s="392" t="n">
        <f aca="false">IF(Assumptions!D$23=1,0,1)</f>
        <v>1</v>
      </c>
      <c r="AG153" s="406" t="n">
        <f aca="false">AG152</f>
        <v>0</v>
      </c>
      <c r="AH153" s="401" t="n">
        <f aca="false">Assumptions!$E$23*Assumptions!H22</f>
        <v>4.07577129988121</v>
      </c>
      <c r="AI153" s="401" t="n">
        <f aca="false">Assumptions!$F$23*Assumptions!I22</f>
        <v>3.76558823530679</v>
      </c>
      <c r="AJ153" s="401" t="n">
        <f aca="false">AJ152</f>
        <v>0</v>
      </c>
      <c r="AK153" s="401" t="n">
        <f aca="false">AK152</f>
        <v>0</v>
      </c>
      <c r="AL153" s="1"/>
    </row>
    <row r="154" customFormat="false" ht="12.75" hidden="false" customHeight="false" outlineLevel="0" collapsed="false">
      <c r="A154" s="400" t="n">
        <f aca="false">A153+30.417</f>
        <v>40889.631</v>
      </c>
      <c r="B154" s="401" t="n">
        <f aca="false">IF($B$9="Coal",AG154,IF($B$9="Gas",AH154,IF($B$9="Oil",AI154,0)))</f>
        <v>4.41071464770155</v>
      </c>
      <c r="C154" s="402" t="n">
        <f aca="false">(B154*$B$1*1000)/1000000</f>
        <v>49.862002952356</v>
      </c>
      <c r="D154" s="401" t="n">
        <f aca="false">AB154+AC154</f>
        <v>0.765134885617893</v>
      </c>
      <c r="E154" s="401" t="n">
        <f aca="false">(($AJ154*$B$1*AD154*1000)/2000)/1000000</f>
        <v>0</v>
      </c>
      <c r="F154" s="401" t="n">
        <f aca="false">AF154*(($AK154*$B$1*AE154*1000)/2000)/1000000</f>
        <v>0</v>
      </c>
      <c r="G154" s="403" t="n">
        <f aca="false">IF('Peak Revenue'!$A$1="BL","-",SUM(C154:F154))</f>
        <v>50.6271378379739</v>
      </c>
      <c r="H154" s="411" t="n">
        <v>100.693933392476</v>
      </c>
      <c r="I154" s="411" t="n">
        <v>95.4098680078245</v>
      </c>
      <c r="J154" s="411" t="n">
        <v>92.265422456539</v>
      </c>
      <c r="K154" s="411" t="n">
        <v>86.1714485927579</v>
      </c>
      <c r="L154" s="411" t="n">
        <v>84.6211187899635</v>
      </c>
      <c r="M154" s="411" t="n">
        <v>83.1420999132728</v>
      </c>
      <c r="N154" s="411" t="n">
        <v>67.2827352500506</v>
      </c>
      <c r="O154" s="411" t="n">
        <v>57.3875078169424</v>
      </c>
      <c r="P154" s="411" t="n">
        <v>48.6704888154531</v>
      </c>
      <c r="Q154" s="411" t="n">
        <v>47.4645966879805</v>
      </c>
      <c r="R154" s="411" t="n">
        <v>45.3005324728873</v>
      </c>
      <c r="S154" s="411" t="n">
        <v>41.9471244320128</v>
      </c>
      <c r="T154" s="411" t="n">
        <v>41.1969837552519</v>
      </c>
      <c r="U154" s="411" t="n">
        <v>41.0506543064359</v>
      </c>
      <c r="V154" s="411" t="n">
        <v>40.929050903643</v>
      </c>
      <c r="W154" s="411" t="n">
        <v>40.591899809762</v>
      </c>
      <c r="X154" s="411" t="n">
        <v>40.3729128091258</v>
      </c>
      <c r="Y154" s="411" t="n">
        <v>40.3729128091258</v>
      </c>
      <c r="Z154" s="411" t="n">
        <v>40.3729128091258</v>
      </c>
      <c r="AA154" s="411" t="n">
        <v>38.6553725108667</v>
      </c>
      <c r="AB154" s="401" t="n">
        <f aca="false">AB153*(1+Assumptions!$L$13/12)</f>
        <v>0.765134885617893</v>
      </c>
      <c r="AC154" s="401" t="n">
        <f aca="false">AC153</f>
        <v>0</v>
      </c>
      <c r="AD154" s="405" t="n">
        <f aca="false">AD153</f>
        <v>526.532188626439</v>
      </c>
      <c r="AE154" s="405" t="n">
        <f aca="false">AE153</f>
        <v>1943.45115851308</v>
      </c>
      <c r="AF154" s="392" t="n">
        <f aca="false">IF(Assumptions!D$23=1,0,1)</f>
        <v>1</v>
      </c>
      <c r="AG154" s="406" t="n">
        <f aca="false">AG153</f>
        <v>0</v>
      </c>
      <c r="AH154" s="401" t="n">
        <f aca="false">Assumptions!$E$23*Assumptions!H23</f>
        <v>4.41071464770155</v>
      </c>
      <c r="AI154" s="401" t="n">
        <f aca="false">Assumptions!$F$23*Assumptions!I23</f>
        <v>3.94838378071003</v>
      </c>
      <c r="AJ154" s="401" t="n">
        <f aca="false">AJ153</f>
        <v>0</v>
      </c>
      <c r="AK154" s="401" t="n">
        <f aca="false">AK153</f>
        <v>0</v>
      </c>
      <c r="AL154" s="1"/>
    </row>
    <row r="155" customFormat="false" ht="12.75" hidden="false" customHeight="false" outlineLevel="0" collapsed="false">
      <c r="A155" s="400" t="n">
        <f aca="false">A154+30.417</f>
        <v>40920.048</v>
      </c>
      <c r="B155" s="401" t="n">
        <f aca="false">IF($B$9="Coal",AG155,IF($B$9="Gas",AH155,IF($B$9="Oil",AI155,0)))</f>
        <v>4.2352224987668</v>
      </c>
      <c r="C155" s="402" t="n">
        <f aca="false">(B155*$B$1*1000)/1000000</f>
        <v>47.8781090151547</v>
      </c>
      <c r="D155" s="401" t="n">
        <f aca="false">AB155+AC155</f>
        <v>0.766410110427256</v>
      </c>
      <c r="E155" s="401" t="n">
        <f aca="false">(($AJ155*$B$1*AD155*1000)/2000)/1000000</f>
        <v>0</v>
      </c>
      <c r="F155" s="401" t="n">
        <f aca="false">AF155*(($AK155*$B$1*AE155*1000)/2000)/1000000</f>
        <v>0</v>
      </c>
      <c r="G155" s="403" t="n">
        <f aca="false">IF('Peak Revenue'!$A$1="BL","-",SUM(C155:F155))</f>
        <v>48.644519125582</v>
      </c>
      <c r="H155" s="411" t="n">
        <v>101.801389627972</v>
      </c>
      <c r="I155" s="411" t="n">
        <v>98.8927380755018</v>
      </c>
      <c r="J155" s="411" t="n">
        <v>98.8792412858267</v>
      </c>
      <c r="K155" s="411" t="n">
        <v>96.6143718001058</v>
      </c>
      <c r="L155" s="411" t="n">
        <v>82.1096629421818</v>
      </c>
      <c r="M155" s="411" t="n">
        <v>64.1581155948531</v>
      </c>
      <c r="N155" s="411" t="n">
        <v>55.0689286857742</v>
      </c>
      <c r="O155" s="411" t="n">
        <v>49.9039833592945</v>
      </c>
      <c r="P155" s="411" t="n">
        <v>47.5457606356368</v>
      </c>
      <c r="Q155" s="411" t="n">
        <v>47.5457606356368</v>
      </c>
      <c r="R155" s="411" t="n">
        <v>47.5457606356368</v>
      </c>
      <c r="S155" s="411" t="n">
        <v>47.5457606356368</v>
      </c>
      <c r="T155" s="411" t="n">
        <v>47.3681203704845</v>
      </c>
      <c r="U155" s="411" t="n">
        <v>47.1436003999455</v>
      </c>
      <c r="V155" s="411" t="n">
        <v>47.1436003999455</v>
      </c>
      <c r="W155" s="411" t="n">
        <v>47.1436003999455</v>
      </c>
      <c r="X155" s="411" t="n">
        <v>47.083803592242</v>
      </c>
      <c r="Y155" s="411" t="n">
        <v>42.4393489006279</v>
      </c>
      <c r="Z155" s="411" t="n">
        <v>38.4399509509983</v>
      </c>
      <c r="AA155" s="411" t="n">
        <v>35.3928331093313</v>
      </c>
      <c r="AB155" s="401" t="n">
        <f aca="false">AB154*(1+Assumptions!$L$13/12)</f>
        <v>0.766410110427256</v>
      </c>
      <c r="AC155" s="401" t="n">
        <f aca="false">VLOOKUP($C$1,EnvVOM,15)</f>
        <v>0</v>
      </c>
      <c r="AD155" s="405" t="n">
        <f aca="false">Assumptions!B24</f>
        <v>583.381879085728</v>
      </c>
      <c r="AE155" s="405" t="n">
        <f aca="false">Assumptions!C24</f>
        <v>1993.84654167091</v>
      </c>
      <c r="AF155" s="392" t="n">
        <f aca="false">IF(Assumptions!D$24=1,0,1)</f>
        <v>1</v>
      </c>
      <c r="AG155" s="406" t="n">
        <f aca="false">VLOOKUP($C$1,Coal,15)</f>
        <v>0</v>
      </c>
      <c r="AH155" s="401" t="n">
        <f aca="false">Assumptions!$E$24*Assumptions!H12</f>
        <v>4.2352224987668</v>
      </c>
      <c r="AI155" s="401" t="n">
        <f aca="false">Assumptions!$F$24*Assumptions!I12</f>
        <v>3.94149986752944</v>
      </c>
      <c r="AJ155" s="401" t="n">
        <f aca="false">VLOOKUP($C$1,SO2Rate,15)</f>
        <v>0</v>
      </c>
      <c r="AK155" s="401" t="n">
        <f aca="false">VLOOKUP($C$1,NOxRate,15)</f>
        <v>0</v>
      </c>
      <c r="AL155" s="1"/>
    </row>
    <row r="156" customFormat="false" ht="12.75" hidden="false" customHeight="false" outlineLevel="0" collapsed="false">
      <c r="A156" s="400" t="n">
        <f aca="false">A155+30.417</f>
        <v>40950.465</v>
      </c>
      <c r="B156" s="401" t="n">
        <f aca="false">IF($B$9="Coal",AG156,IF($B$9="Gas",AH156,IF($B$9="Oil",AI156,0)))</f>
        <v>3.79593080341599</v>
      </c>
      <c r="C156" s="402" t="n">
        <f aca="false">(B156*$B$1*1000)/1000000</f>
        <v>42.9120285587956</v>
      </c>
      <c r="D156" s="401" t="n">
        <f aca="false">AB156+AC156</f>
        <v>0.767687460611302</v>
      </c>
      <c r="E156" s="401" t="n">
        <f aca="false">(($AJ156*$B$1*AD156*1000)/2000)/1000000</f>
        <v>0</v>
      </c>
      <c r="F156" s="401" t="n">
        <f aca="false">AF156*(($AK156*$B$1*AE156*1000)/2000)/1000000</f>
        <v>0</v>
      </c>
      <c r="G156" s="403" t="n">
        <f aca="false">IF('Peak Revenue'!$A$1="BL","-",SUM(C156:F156))</f>
        <v>43.6797160194069</v>
      </c>
      <c r="H156" s="411" t="n">
        <v>116.747265327382</v>
      </c>
      <c r="I156" s="411" t="n">
        <v>102.549429480985</v>
      </c>
      <c r="J156" s="411" t="n">
        <v>97.8277818078427</v>
      </c>
      <c r="K156" s="411" t="n">
        <v>91.1010321612483</v>
      </c>
      <c r="L156" s="411" t="n">
        <v>85.6157268743164</v>
      </c>
      <c r="M156" s="411" t="n">
        <v>84.9485253063347</v>
      </c>
      <c r="N156" s="411" t="n">
        <v>74.6399955012936</v>
      </c>
      <c r="O156" s="411" t="n">
        <v>57.8798104840654</v>
      </c>
      <c r="P156" s="411" t="n">
        <v>48.0350702539667</v>
      </c>
      <c r="Q156" s="411" t="n">
        <v>45.6933735678042</v>
      </c>
      <c r="R156" s="411" t="n">
        <v>41.7663349322073</v>
      </c>
      <c r="S156" s="411" t="n">
        <v>41.4022231716286</v>
      </c>
      <c r="T156" s="411" t="n">
        <v>41.2042082034892</v>
      </c>
      <c r="U156" s="411" t="n">
        <v>40.9607478214066</v>
      </c>
      <c r="V156" s="411" t="n">
        <v>40.861099538486</v>
      </c>
      <c r="W156" s="411" t="n">
        <v>40.8610313797158</v>
      </c>
      <c r="X156" s="411" t="n">
        <v>38.7486883596275</v>
      </c>
      <c r="Y156" s="411" t="n">
        <v>35.1409880791691</v>
      </c>
      <c r="Z156" s="411" t="n">
        <v>33.4303753971308</v>
      </c>
      <c r="AA156" s="411" t="n">
        <v>31.0764640305168</v>
      </c>
      <c r="AB156" s="401" t="n">
        <f aca="false">AB155*(1+Assumptions!$L$13/12)</f>
        <v>0.767687460611302</v>
      </c>
      <c r="AC156" s="401" t="n">
        <f aca="false">AC155</f>
        <v>0</v>
      </c>
      <c r="AD156" s="405" t="n">
        <f aca="false">AD155</f>
        <v>583.381879085728</v>
      </c>
      <c r="AE156" s="405" t="n">
        <f aca="false">AE155</f>
        <v>1993.84654167091</v>
      </c>
      <c r="AF156" s="392" t="n">
        <f aca="false">IF(Assumptions!D$24=1,0,1)</f>
        <v>1</v>
      </c>
      <c r="AG156" s="406" t="n">
        <f aca="false">AG155</f>
        <v>0</v>
      </c>
      <c r="AH156" s="401" t="n">
        <f aca="false">Assumptions!$E$24*Assumptions!H13</f>
        <v>3.79593080341599</v>
      </c>
      <c r="AI156" s="401" t="n">
        <f aca="false">Assumptions!$F$24*Assumptions!I13</f>
        <v>3.90500449838565</v>
      </c>
      <c r="AJ156" s="401" t="n">
        <f aca="false">AJ155</f>
        <v>0</v>
      </c>
      <c r="AK156" s="401" t="n">
        <f aca="false">AK155</f>
        <v>0</v>
      </c>
      <c r="AL156" s="1"/>
    </row>
    <row r="157" customFormat="false" ht="12.75" hidden="false" customHeight="false" outlineLevel="0" collapsed="false">
      <c r="A157" s="400" t="n">
        <f aca="false">A156+30.417</f>
        <v>40980.882</v>
      </c>
      <c r="B157" s="401" t="n">
        <f aca="false">IF($B$9="Coal",AG157,IF($B$9="Gas",AH157,IF($B$9="Oil",AI157,0)))</f>
        <v>3.7321020955445</v>
      </c>
      <c r="C157" s="402" t="n">
        <f aca="false">(B157*$B$1*1000)/1000000</f>
        <v>42.1904613129998</v>
      </c>
      <c r="D157" s="401" t="n">
        <f aca="false">AB157+AC157</f>
        <v>0.76896693971232</v>
      </c>
      <c r="E157" s="401" t="n">
        <f aca="false">(($AJ157*$B$1*AD157*1000)/2000)/1000000</f>
        <v>0</v>
      </c>
      <c r="F157" s="401" t="n">
        <f aca="false">AF157*(($AK157*$B$1*AE157*1000)/2000)/1000000</f>
        <v>0</v>
      </c>
      <c r="G157" s="403" t="n">
        <f aca="false">IF('Peak Revenue'!$A$1="BL","-",SUM(C157:F157))</f>
        <v>42.9594282527122</v>
      </c>
      <c r="H157" s="411" t="n">
        <v>106.085242239615</v>
      </c>
      <c r="I157" s="411" t="n">
        <v>93.855913290548</v>
      </c>
      <c r="J157" s="411" t="n">
        <v>89.5388488257669</v>
      </c>
      <c r="K157" s="411" t="n">
        <v>83.6490455066075</v>
      </c>
      <c r="L157" s="411" t="n">
        <v>78.4624181091638</v>
      </c>
      <c r="M157" s="411" t="n">
        <v>78.1447868717683</v>
      </c>
      <c r="N157" s="411" t="n">
        <v>67.2650397714909</v>
      </c>
      <c r="O157" s="411" t="n">
        <v>53.9156147590772</v>
      </c>
      <c r="P157" s="411" t="n">
        <v>44.4742164953661</v>
      </c>
      <c r="Q157" s="411" t="n">
        <v>44.0625414961207</v>
      </c>
      <c r="R157" s="411" t="n">
        <v>40.8702142448769</v>
      </c>
      <c r="S157" s="411" t="n">
        <v>38.5395007982005</v>
      </c>
      <c r="T157" s="411" t="n">
        <v>38.190640227855</v>
      </c>
      <c r="U157" s="411" t="n">
        <v>37.823806687179</v>
      </c>
      <c r="V157" s="411" t="n">
        <v>37.823806687179</v>
      </c>
      <c r="W157" s="411" t="n">
        <v>37.8234790659411</v>
      </c>
      <c r="X157" s="411" t="n">
        <v>37.8226970978074</v>
      </c>
      <c r="Y157" s="411" t="n">
        <v>37.2381696253379</v>
      </c>
      <c r="Z157" s="411" t="n">
        <v>35.0514733300629</v>
      </c>
      <c r="AA157" s="411" t="n">
        <v>31.4229661105989</v>
      </c>
      <c r="AB157" s="401" t="n">
        <f aca="false">AB156*(1+Assumptions!$L$13/12)</f>
        <v>0.76896693971232</v>
      </c>
      <c r="AC157" s="401" t="n">
        <f aca="false">AC156</f>
        <v>0</v>
      </c>
      <c r="AD157" s="405" t="n">
        <f aca="false">AD156</f>
        <v>583.381879085728</v>
      </c>
      <c r="AE157" s="405" t="n">
        <f aca="false">AE156</f>
        <v>1993.84654167091</v>
      </c>
      <c r="AF157" s="392" t="n">
        <f aca="false">IF(Assumptions!D$24=1,0,1)</f>
        <v>1</v>
      </c>
      <c r="AG157" s="406" t="n">
        <f aca="false">AG156</f>
        <v>0</v>
      </c>
      <c r="AH157" s="401" t="n">
        <f aca="false">Assumptions!$E$24*Assumptions!H14</f>
        <v>3.7321020955445</v>
      </c>
      <c r="AI157" s="401" t="n">
        <f aca="false">Assumptions!$F$24*Assumptions!I14</f>
        <v>3.75902302181049</v>
      </c>
      <c r="AJ157" s="401" t="n">
        <f aca="false">AJ156</f>
        <v>0</v>
      </c>
      <c r="AK157" s="401" t="n">
        <f aca="false">AK156</f>
        <v>0</v>
      </c>
      <c r="AL157" s="1"/>
    </row>
    <row r="158" customFormat="false" ht="12.75" hidden="false" customHeight="false" outlineLevel="0" collapsed="false">
      <c r="A158" s="400" t="n">
        <f aca="false">A157+30.417</f>
        <v>41011.299</v>
      </c>
      <c r="B158" s="401" t="n">
        <f aca="false">IF($B$9="Coal",AG158,IF($B$9="Gas",AH158,IF($B$9="Oil",AI158,0)))</f>
        <v>3.54812523167963</v>
      </c>
      <c r="C158" s="402" t="n">
        <f aca="false">(B158*$B$1*1000)/1000000</f>
        <v>40.1106498398238</v>
      </c>
      <c r="D158" s="401" t="n">
        <f aca="false">AB158+AC158</f>
        <v>0.770248551278508</v>
      </c>
      <c r="E158" s="401" t="n">
        <f aca="false">(($AJ158*$B$1*AD158*1000)/2000)/1000000</f>
        <v>0</v>
      </c>
      <c r="F158" s="401" t="n">
        <f aca="false">AF158*(($AK158*$B$1*AE158*1000)/2000)/1000000</f>
        <v>0</v>
      </c>
      <c r="G158" s="403" t="n">
        <f aca="false">IF('Peak Revenue'!$A$1="BL","-",SUM(C158:F158))</f>
        <v>40.8808983911023</v>
      </c>
      <c r="H158" s="411" t="n">
        <v>79.4991882811073</v>
      </c>
      <c r="I158" s="411" t="n">
        <v>77.8463720797826</v>
      </c>
      <c r="J158" s="411" t="n">
        <v>77.8463720797826</v>
      </c>
      <c r="K158" s="411" t="n">
        <v>71.4993527147873</v>
      </c>
      <c r="L158" s="411" t="n">
        <v>54.2270778965613</v>
      </c>
      <c r="M158" s="411" t="n">
        <v>50.2315058443108</v>
      </c>
      <c r="N158" s="411" t="n">
        <v>43.9136900537527</v>
      </c>
      <c r="O158" s="411" t="n">
        <v>43.5877214509485</v>
      </c>
      <c r="P158" s="411" t="n">
        <v>40.5562870585412</v>
      </c>
      <c r="Q158" s="411" t="n">
        <v>39.0286801732244</v>
      </c>
      <c r="R158" s="411" t="n">
        <v>38.3736003639405</v>
      </c>
      <c r="S158" s="411" t="n">
        <v>37.967651696111</v>
      </c>
      <c r="T158" s="411" t="n">
        <v>37.8358785670465</v>
      </c>
      <c r="U158" s="411" t="n">
        <v>37.8358785670465</v>
      </c>
      <c r="V158" s="411" t="n">
        <v>37.5475184580849</v>
      </c>
      <c r="W158" s="411" t="n">
        <v>37.5255883538044</v>
      </c>
      <c r="X158" s="411" t="n">
        <v>37.5255883538044</v>
      </c>
      <c r="Y158" s="411" t="n">
        <v>37.5255883538044</v>
      </c>
      <c r="Z158" s="411" t="n">
        <v>37.5255088746498</v>
      </c>
      <c r="AA158" s="411" t="n">
        <v>34.6385167324445</v>
      </c>
      <c r="AB158" s="401" t="n">
        <f aca="false">AB157*(1+Assumptions!$L$13/12)</f>
        <v>0.770248551278508</v>
      </c>
      <c r="AC158" s="401" t="n">
        <f aca="false">AC157</f>
        <v>0</v>
      </c>
      <c r="AD158" s="405" t="n">
        <f aca="false">AD157</f>
        <v>583.381879085728</v>
      </c>
      <c r="AE158" s="405" t="n">
        <f aca="false">AE157</f>
        <v>1993.84654167091</v>
      </c>
      <c r="AF158" s="392" t="n">
        <f aca="false">IF(Assumptions!D$24=1,0,1)</f>
        <v>1</v>
      </c>
      <c r="AG158" s="406" t="n">
        <f aca="false">AG157</f>
        <v>0</v>
      </c>
      <c r="AH158" s="401" t="n">
        <f aca="false">Assumptions!$E$24*Assumptions!H15</f>
        <v>3.54812523167963</v>
      </c>
      <c r="AI158" s="401" t="n">
        <f aca="false">Assumptions!$F$24*Assumptions!I15</f>
        <v>3.61304154523532</v>
      </c>
      <c r="AJ158" s="401" t="n">
        <f aca="false">AJ157</f>
        <v>0</v>
      </c>
      <c r="AK158" s="401" t="n">
        <f aca="false">AK157</f>
        <v>0</v>
      </c>
      <c r="AL158" s="1"/>
    </row>
    <row r="159" customFormat="false" ht="12.75" hidden="false" customHeight="false" outlineLevel="0" collapsed="false">
      <c r="A159" s="400" t="n">
        <f aca="false">A158+30.417</f>
        <v>41041.716</v>
      </c>
      <c r="B159" s="401" t="n">
        <f aca="false">IF($B$9="Coal",AG159,IF($B$9="Gas",AH159,IF($B$9="Oil",AI159,0)))</f>
        <v>3.7358567254193</v>
      </c>
      <c r="C159" s="402" t="n">
        <f aca="false">(B159*$B$1*1000)/1000000</f>
        <v>42.2329064451055</v>
      </c>
      <c r="D159" s="401" t="n">
        <f aca="false">AB159+AC159</f>
        <v>0.771532298863972</v>
      </c>
      <c r="E159" s="401" t="n">
        <f aca="false">(($AJ159*$B$1*AD159*1000)/2000)/1000000</f>
        <v>0</v>
      </c>
      <c r="F159" s="401" t="n">
        <f aca="false">AF159*(($AK159*$B$1*AE159*1000)/2000)/1000000</f>
        <v>0</v>
      </c>
      <c r="G159" s="403" t="n">
        <f aca="false">IF('Peak Revenue'!$A$1="BL","-",SUM(C159:F159))</f>
        <v>43.0044387439694</v>
      </c>
      <c r="H159" s="411" t="n">
        <v>155.156415409754</v>
      </c>
      <c r="I159" s="411" t="n">
        <v>133.478599909044</v>
      </c>
      <c r="J159" s="411" t="n">
        <v>83.3640893707124</v>
      </c>
      <c r="K159" s="411" t="n">
        <v>72.4303999399094</v>
      </c>
      <c r="L159" s="411" t="n">
        <v>68.4632945934112</v>
      </c>
      <c r="M159" s="411" t="n">
        <v>63.6044878206807</v>
      </c>
      <c r="N159" s="411" t="n">
        <v>62.2475788144949</v>
      </c>
      <c r="O159" s="411" t="n">
        <v>51.3503986544234</v>
      </c>
      <c r="P159" s="411" t="n">
        <v>43.5363498814041</v>
      </c>
      <c r="Q159" s="411" t="n">
        <v>36.8163202813247</v>
      </c>
      <c r="R159" s="411" t="n">
        <v>35.5717871323945</v>
      </c>
      <c r="S159" s="411" t="n">
        <v>34.877770894106</v>
      </c>
      <c r="T159" s="411" t="n">
        <v>33.2015707778948</v>
      </c>
      <c r="U159" s="411" t="n">
        <v>32.130237995223</v>
      </c>
      <c r="V159" s="411" t="n">
        <v>31.099168162976</v>
      </c>
      <c r="W159" s="411" t="n">
        <v>30.9275108943032</v>
      </c>
      <c r="X159" s="411" t="n">
        <v>30.7727665871569</v>
      </c>
      <c r="Y159" s="411" t="n">
        <v>30.6983064716122</v>
      </c>
      <c r="Z159" s="411" t="n">
        <v>29.6455886138728</v>
      </c>
      <c r="AA159" s="411" t="n">
        <v>26.1803424380139</v>
      </c>
      <c r="AB159" s="401" t="n">
        <f aca="false">AB158*(1+Assumptions!$L$13/12)</f>
        <v>0.771532298863972</v>
      </c>
      <c r="AC159" s="401" t="n">
        <f aca="false">AC158</f>
        <v>0</v>
      </c>
      <c r="AD159" s="405" t="n">
        <f aca="false">AD158</f>
        <v>583.381879085728</v>
      </c>
      <c r="AE159" s="405" t="n">
        <f aca="false">AE158</f>
        <v>1993.84654167091</v>
      </c>
      <c r="AF159" s="392" t="n">
        <v>1</v>
      </c>
      <c r="AG159" s="406" t="n">
        <f aca="false">AG158</f>
        <v>0</v>
      </c>
      <c r="AH159" s="401" t="n">
        <f aca="false">Assumptions!$E$24*Assumptions!H16</f>
        <v>3.7358567254193</v>
      </c>
      <c r="AI159" s="401" t="n">
        <f aca="false">Assumptions!$F$24*Assumptions!I16</f>
        <v>3.46706006866016</v>
      </c>
      <c r="AJ159" s="401" t="n">
        <f aca="false">AJ158</f>
        <v>0</v>
      </c>
      <c r="AK159" s="401" t="n">
        <f aca="false">AK158</f>
        <v>0</v>
      </c>
      <c r="AL159" s="1"/>
    </row>
    <row r="160" customFormat="false" ht="12.75" hidden="false" customHeight="false" outlineLevel="0" collapsed="false">
      <c r="A160" s="400" t="n">
        <f aca="false">A159+30.417</f>
        <v>41072.133</v>
      </c>
      <c r="B160" s="401" t="n">
        <f aca="false">IF($B$9="Coal",AG160,IF($B$9="Gas",AH160,IF($B$9="Oil",AI160,0)))</f>
        <v>3.55938912130401</v>
      </c>
      <c r="C160" s="402" t="n">
        <f aca="false">(B160*$B$1*1000)/1000000</f>
        <v>40.2379852361407</v>
      </c>
      <c r="D160" s="401" t="n">
        <f aca="false">AB160+AC160</f>
        <v>0.772818186028745</v>
      </c>
      <c r="E160" s="401" t="n">
        <f aca="false">(($AJ160*$B$1*AD160*1000)/2000)/1000000</f>
        <v>0</v>
      </c>
      <c r="F160" s="401" t="n">
        <f aca="false">AF160*(($AK160*$B$1*AE160*1000)/2000)/1000000</f>
        <v>0</v>
      </c>
      <c r="G160" s="403" t="n">
        <f aca="false">IF('Peak Revenue'!$A$1="BL","-",SUM(C160:F160))</f>
        <v>41.0108034221694</v>
      </c>
      <c r="H160" s="411" t="n">
        <v>193.413960226994</v>
      </c>
      <c r="I160" s="411" t="n">
        <v>175.450022720864</v>
      </c>
      <c r="J160" s="411" t="n">
        <v>160.137833056958</v>
      </c>
      <c r="K160" s="411" t="n">
        <v>134.013322525219</v>
      </c>
      <c r="L160" s="411" t="n">
        <v>89.9964297136724</v>
      </c>
      <c r="M160" s="411" t="n">
        <v>78.3772586065988</v>
      </c>
      <c r="N160" s="411" t="n">
        <v>52.7807948704341</v>
      </c>
      <c r="O160" s="411" t="n">
        <v>46.7640669410354</v>
      </c>
      <c r="P160" s="411" t="n">
        <v>41.9362707703631</v>
      </c>
      <c r="Q160" s="411" t="n">
        <v>41.3080217362945</v>
      </c>
      <c r="R160" s="411" t="n">
        <v>40.902587286564</v>
      </c>
      <c r="S160" s="411" t="n">
        <v>40.1547971720014</v>
      </c>
      <c r="T160" s="411" t="n">
        <v>37.6004751545003</v>
      </c>
      <c r="U160" s="411" t="n">
        <v>36.0661805481174</v>
      </c>
      <c r="V160" s="411" t="n">
        <v>34.4437218485778</v>
      </c>
      <c r="W160" s="411" t="n">
        <v>33.5982357251274</v>
      </c>
      <c r="X160" s="411" t="n">
        <v>32.8786637749589</v>
      </c>
      <c r="Y160" s="411" t="n">
        <v>31.9833373404742</v>
      </c>
      <c r="Z160" s="411" t="n">
        <v>30.4715699118893</v>
      </c>
      <c r="AA160" s="411" t="n">
        <v>27.4354217570112</v>
      </c>
      <c r="AB160" s="401" t="n">
        <f aca="false">AB159*(1+Assumptions!$L$13/12)</f>
        <v>0.772818186028745</v>
      </c>
      <c r="AC160" s="401" t="n">
        <f aca="false">AC159</f>
        <v>0</v>
      </c>
      <c r="AD160" s="405" t="n">
        <f aca="false">AD159</f>
        <v>583.381879085728</v>
      </c>
      <c r="AE160" s="405" t="n">
        <f aca="false">AE159</f>
        <v>1993.84654167091</v>
      </c>
      <c r="AF160" s="392" t="n">
        <v>1</v>
      </c>
      <c r="AG160" s="406" t="n">
        <f aca="false">AG159</f>
        <v>0</v>
      </c>
      <c r="AH160" s="401" t="n">
        <f aca="false">Assumptions!$E$24*Assumptions!H17</f>
        <v>3.55938912130401</v>
      </c>
      <c r="AI160" s="401" t="n">
        <f aca="false">Assumptions!$F$24*Assumptions!I17</f>
        <v>3.46706006866016</v>
      </c>
      <c r="AJ160" s="401" t="n">
        <f aca="false">AJ159</f>
        <v>0</v>
      </c>
      <c r="AK160" s="401" t="n">
        <f aca="false">AK159</f>
        <v>0</v>
      </c>
      <c r="AL160" s="1"/>
    </row>
    <row r="161" customFormat="false" ht="12.75" hidden="false" customHeight="false" outlineLevel="0" collapsed="false">
      <c r="A161" s="400" t="n">
        <f aca="false">A160+30.417</f>
        <v>41102.55</v>
      </c>
      <c r="B161" s="401" t="n">
        <f aca="false">IF($B$9="Coal",AG161,IF($B$9="Gas",AH161,IF($B$9="Oil",AI161,0)))</f>
        <v>3.54812523167963</v>
      </c>
      <c r="C161" s="402" t="n">
        <f aca="false">(B161*$B$1*1000)/1000000</f>
        <v>40.1106498398238</v>
      </c>
      <c r="D161" s="401" t="n">
        <f aca="false">AB161+AC161</f>
        <v>0.774106216338793</v>
      </c>
      <c r="E161" s="401" t="n">
        <f aca="false">(($AJ161*$B$1*AD161*1000)/2000)/1000000</f>
        <v>0</v>
      </c>
      <c r="F161" s="401" t="n">
        <f aca="false">AF161*(($AK161*$B$1*AE161*1000)/2000)/1000000</f>
        <v>0</v>
      </c>
      <c r="G161" s="403" t="n">
        <f aca="false">IF('Peak Revenue'!$A$1="BL","-",SUM(C161:F161))</f>
        <v>40.8847560561626</v>
      </c>
      <c r="H161" s="411" t="n">
        <v>227.848629168848</v>
      </c>
      <c r="I161" s="411" t="n">
        <v>200.276901752613</v>
      </c>
      <c r="J161" s="411" t="n">
        <v>181.318021417567</v>
      </c>
      <c r="K161" s="411" t="n">
        <v>160.223398576201</v>
      </c>
      <c r="L161" s="411" t="n">
        <v>146.108402018609</v>
      </c>
      <c r="M161" s="411" t="n">
        <v>99.7804063671159</v>
      </c>
      <c r="N161" s="411" t="n">
        <v>84.7279139510807</v>
      </c>
      <c r="O161" s="411" t="n">
        <v>80.6823891944998</v>
      </c>
      <c r="P161" s="411" t="n">
        <v>69.8727202582408</v>
      </c>
      <c r="Q161" s="411" t="n">
        <v>53.7320295363837</v>
      </c>
      <c r="R161" s="411" t="n">
        <v>45.6109824191802</v>
      </c>
      <c r="S161" s="411" t="n">
        <v>43.780330708513</v>
      </c>
      <c r="T161" s="411" t="n">
        <v>40.5556140812837</v>
      </c>
      <c r="U161" s="411" t="n">
        <v>39.5015259627968</v>
      </c>
      <c r="V161" s="411" t="n">
        <v>39.277136673947</v>
      </c>
      <c r="W161" s="411" t="n">
        <v>39.2631035945507</v>
      </c>
      <c r="X161" s="411" t="n">
        <v>38.9583391672046</v>
      </c>
      <c r="Y161" s="411" t="n">
        <v>38.9132972762881</v>
      </c>
      <c r="Z161" s="411" t="n">
        <v>38.6345983764363</v>
      </c>
      <c r="AA161" s="411" t="n">
        <v>34.8739435834099</v>
      </c>
      <c r="AB161" s="401" t="n">
        <f aca="false">AB160*(1+Assumptions!$L$13/12)</f>
        <v>0.774106216338793</v>
      </c>
      <c r="AC161" s="401" t="n">
        <f aca="false">AC160</f>
        <v>0</v>
      </c>
      <c r="AD161" s="405" t="n">
        <f aca="false">AD160</f>
        <v>583.381879085728</v>
      </c>
      <c r="AE161" s="405" t="n">
        <f aca="false">AE160</f>
        <v>1993.84654167091</v>
      </c>
      <c r="AF161" s="392" t="n">
        <v>1</v>
      </c>
      <c r="AG161" s="406" t="n">
        <f aca="false">AG160</f>
        <v>0</v>
      </c>
      <c r="AH161" s="401" t="n">
        <f aca="false">Assumptions!$E$24*Assumptions!H18</f>
        <v>3.54812523167963</v>
      </c>
      <c r="AI161" s="401" t="n">
        <f aca="false">Assumptions!$F$24*Assumptions!I18</f>
        <v>3.46706006866016</v>
      </c>
      <c r="AJ161" s="401" t="n">
        <f aca="false">AJ160</f>
        <v>0</v>
      </c>
      <c r="AK161" s="401" t="n">
        <f aca="false">AK160</f>
        <v>0</v>
      </c>
      <c r="AL161" s="1"/>
    </row>
    <row r="162" customFormat="false" ht="12.75" hidden="false" customHeight="false" outlineLevel="0" collapsed="false">
      <c r="A162" s="400" t="n">
        <f aca="false">A161+30.417</f>
        <v>41132.967</v>
      </c>
      <c r="B162" s="401" t="n">
        <f aca="false">IF($B$9="Coal",AG162,IF($B$9="Gas",AH162,IF($B$9="Oil",AI162,0)))</f>
        <v>3.36414836781476</v>
      </c>
      <c r="C162" s="402" t="n">
        <f aca="false">(B162*$B$1*1000)/1000000</f>
        <v>38.0308383666477</v>
      </c>
      <c r="D162" s="401" t="n">
        <f aca="false">AB162+AC162</f>
        <v>0.775396393366025</v>
      </c>
      <c r="E162" s="401" t="n">
        <f aca="false">(($AJ162*$B$1*AD162*1000)/2000)/1000000</f>
        <v>0</v>
      </c>
      <c r="F162" s="401" t="n">
        <f aca="false">AF162*(($AK162*$B$1*AE162*1000)/2000)/1000000</f>
        <v>0</v>
      </c>
      <c r="G162" s="403" t="n">
        <f aca="false">IF('Peak Revenue'!$A$1="BL","-",SUM(C162:F162))</f>
        <v>38.8062347600138</v>
      </c>
      <c r="H162" s="411" t="n">
        <v>454.149387568804</v>
      </c>
      <c r="I162" s="411" t="n">
        <v>290.03607276375</v>
      </c>
      <c r="J162" s="411" t="n">
        <v>242.263714807811</v>
      </c>
      <c r="K162" s="411" t="n">
        <v>207.853611516238</v>
      </c>
      <c r="L162" s="411" t="n">
        <v>180.585146226682</v>
      </c>
      <c r="M162" s="411" t="n">
        <v>156.773820733193</v>
      </c>
      <c r="N162" s="411" t="n">
        <v>104.496364900742</v>
      </c>
      <c r="O162" s="411" t="n">
        <v>57.4796412041283</v>
      </c>
      <c r="P162" s="411" t="n">
        <v>49.1252315322013</v>
      </c>
      <c r="Q162" s="411" t="n">
        <v>45.077428574059</v>
      </c>
      <c r="R162" s="411" t="n">
        <v>42.3747630340307</v>
      </c>
      <c r="S162" s="411" t="n">
        <v>38.9044022115688</v>
      </c>
      <c r="T162" s="411" t="n">
        <v>36.2423036831435</v>
      </c>
      <c r="U162" s="411" t="n">
        <v>34.606593865542</v>
      </c>
      <c r="V162" s="411" t="n">
        <v>33.346134325633</v>
      </c>
      <c r="W162" s="411" t="n">
        <v>32.482720559594</v>
      </c>
      <c r="X162" s="411" t="n">
        <v>30.4303157549552</v>
      </c>
      <c r="Y162" s="411" t="n">
        <v>29.0390016835112</v>
      </c>
      <c r="Z162" s="411" t="n">
        <v>28.0978637013363</v>
      </c>
      <c r="AA162" s="411" t="n">
        <v>26.6585830959907</v>
      </c>
      <c r="AB162" s="401" t="n">
        <f aca="false">AB161*(1+Assumptions!$L$13/12)</f>
        <v>0.775396393366025</v>
      </c>
      <c r="AC162" s="401" t="n">
        <f aca="false">AC161</f>
        <v>0</v>
      </c>
      <c r="AD162" s="405" t="n">
        <f aca="false">AD161</f>
        <v>583.381879085728</v>
      </c>
      <c r="AE162" s="405" t="n">
        <f aca="false">AE161</f>
        <v>1993.84654167091</v>
      </c>
      <c r="AF162" s="392" t="n">
        <v>1</v>
      </c>
      <c r="AG162" s="406" t="n">
        <f aca="false">AG161</f>
        <v>0</v>
      </c>
      <c r="AH162" s="401" t="n">
        <f aca="false">Assumptions!$E$24*Assumptions!H19</f>
        <v>3.36414836781476</v>
      </c>
      <c r="AI162" s="401" t="n">
        <f aca="false">Assumptions!$F$24*Assumptions!I19</f>
        <v>3.46706006866016</v>
      </c>
      <c r="AJ162" s="401" t="n">
        <f aca="false">AJ161</f>
        <v>0</v>
      </c>
      <c r="AK162" s="401" t="n">
        <f aca="false">AK161</f>
        <v>0</v>
      </c>
      <c r="AL162" s="1"/>
    </row>
    <row r="163" customFormat="false" ht="12.75" hidden="false" customHeight="false" outlineLevel="0" collapsed="false">
      <c r="A163" s="400" t="n">
        <f aca="false">A162+30.417</f>
        <v>41163.384</v>
      </c>
      <c r="B163" s="401" t="n">
        <f aca="false">IF($B$9="Coal",AG163,IF($B$9="Gas",AH163,IF($B$9="Oil",AI163,0)))</f>
        <v>3.35288447819038</v>
      </c>
      <c r="C163" s="402" t="n">
        <f aca="false">(B163*$B$1*1000)/1000000</f>
        <v>37.9035029703308</v>
      </c>
      <c r="D163" s="401" t="n">
        <f aca="false">AB163+AC163</f>
        <v>0.776688720688301</v>
      </c>
      <c r="E163" s="401" t="n">
        <f aca="false">(($AJ163*$B$1*AD163*1000)/2000)/1000000</f>
        <v>0</v>
      </c>
      <c r="F163" s="401" t="n">
        <f aca="false">AF163*(($AK163*$B$1*AE163*1000)/2000)/1000000</f>
        <v>0</v>
      </c>
      <c r="G163" s="403" t="n">
        <f aca="false">IF('Peak Revenue'!$A$1="BL","-",SUM(C163:F163))</f>
        <v>38.6801916910191</v>
      </c>
      <c r="H163" s="411" t="n">
        <v>176.801958580697</v>
      </c>
      <c r="I163" s="411" t="n">
        <v>159.701145344276</v>
      </c>
      <c r="J163" s="411" t="n">
        <v>150.512591148028</v>
      </c>
      <c r="K163" s="411" t="n">
        <v>90.9472130137257</v>
      </c>
      <c r="L163" s="411" t="n">
        <v>76.6497181084447</v>
      </c>
      <c r="M163" s="411" t="n">
        <v>73.5500022790102</v>
      </c>
      <c r="N163" s="411" t="n">
        <v>54.2063235549584</v>
      </c>
      <c r="O163" s="411" t="n">
        <v>47.7457148814617</v>
      </c>
      <c r="P163" s="411" t="n">
        <v>42.3482188596407</v>
      </c>
      <c r="Q163" s="411" t="n">
        <v>41.8469444761479</v>
      </c>
      <c r="R163" s="411" t="n">
        <v>40.3447411095609</v>
      </c>
      <c r="S163" s="411" t="n">
        <v>39.4025905801356</v>
      </c>
      <c r="T163" s="411" t="n">
        <v>37.6830337676273</v>
      </c>
      <c r="U163" s="411" t="n">
        <v>36.5808580246118</v>
      </c>
      <c r="V163" s="411" t="n">
        <v>36.4214199279555</v>
      </c>
      <c r="W163" s="411" t="n">
        <v>36.2674329264967</v>
      </c>
      <c r="X163" s="411" t="n">
        <v>36.1252856679027</v>
      </c>
      <c r="Y163" s="411" t="n">
        <v>36.1252856679027</v>
      </c>
      <c r="Z163" s="411" t="n">
        <v>36.125273990002</v>
      </c>
      <c r="AA163" s="411" t="n">
        <v>34.554802150872</v>
      </c>
      <c r="AB163" s="401" t="n">
        <f aca="false">AB162*(1+Assumptions!$L$13/12)</f>
        <v>0.776688720688301</v>
      </c>
      <c r="AC163" s="401" t="n">
        <f aca="false">AC162</f>
        <v>0</v>
      </c>
      <c r="AD163" s="405" t="n">
        <f aca="false">AD162</f>
        <v>583.381879085728</v>
      </c>
      <c r="AE163" s="405" t="n">
        <f aca="false">AE162</f>
        <v>1993.84654167091</v>
      </c>
      <c r="AF163" s="392" t="n">
        <v>1</v>
      </c>
      <c r="AG163" s="406" t="n">
        <f aca="false">AG162</f>
        <v>0</v>
      </c>
      <c r="AH163" s="401" t="n">
        <f aca="false">Assumptions!$E$24*Assumptions!H20</f>
        <v>3.35288447819038</v>
      </c>
      <c r="AI163" s="401" t="n">
        <f aca="false">Assumptions!$F$24*Assumptions!I20</f>
        <v>3.46706006866016</v>
      </c>
      <c r="AJ163" s="401" t="n">
        <f aca="false">AJ162</f>
        <v>0</v>
      </c>
      <c r="AK163" s="401" t="n">
        <f aca="false">AK162</f>
        <v>0</v>
      </c>
      <c r="AL163" s="1"/>
    </row>
    <row r="164" customFormat="false" ht="12.75" hidden="false" customHeight="false" outlineLevel="0" collapsed="false">
      <c r="A164" s="400" t="n">
        <f aca="false">A163+30.417</f>
        <v>41193.801</v>
      </c>
      <c r="B164" s="401" t="n">
        <f aca="false">IF($B$9="Coal",AG164,IF($B$9="Gas",AH164,IF($B$9="Oil",AI164,0)))</f>
        <v>3.71332894617054</v>
      </c>
      <c r="C164" s="402" t="n">
        <f aca="false">(B164*$B$1*1000)/1000000</f>
        <v>41.9782356524717</v>
      </c>
      <c r="D164" s="401" t="n">
        <f aca="false">AB164+AC164</f>
        <v>0.777983201889448</v>
      </c>
      <c r="E164" s="401" t="n">
        <f aca="false">(($AJ164*$B$1*AD164*1000)/2000)/1000000</f>
        <v>0</v>
      </c>
      <c r="F164" s="401" t="n">
        <f aca="false">AF164*(($AK164*$B$1*AE164*1000)/2000)/1000000</f>
        <v>0</v>
      </c>
      <c r="G164" s="403" t="n">
        <f aca="false">IF('Peak Revenue'!$A$1="BL","-",SUM(C164:F164))</f>
        <v>42.7562188543611</v>
      </c>
      <c r="H164" s="411" t="n">
        <v>113.976442483593</v>
      </c>
      <c r="I164" s="411" t="n">
        <v>95.7263483164316</v>
      </c>
      <c r="J164" s="411" t="n">
        <v>90.0323417587271</v>
      </c>
      <c r="K164" s="411" t="n">
        <v>78.9845409130256</v>
      </c>
      <c r="L164" s="411" t="n">
        <v>69.3872442193641</v>
      </c>
      <c r="M164" s="411" t="n">
        <v>65.0839291791098</v>
      </c>
      <c r="N164" s="411" t="n">
        <v>60.3049982108748</v>
      </c>
      <c r="O164" s="411" t="n">
        <v>59.7202634653761</v>
      </c>
      <c r="P164" s="411" t="n">
        <v>49.5973200122921</v>
      </c>
      <c r="Q164" s="411" t="n">
        <v>45.3977133578234</v>
      </c>
      <c r="R164" s="411" t="n">
        <v>42.4127463530395</v>
      </c>
      <c r="S164" s="411" t="n">
        <v>37.8992220996337</v>
      </c>
      <c r="T164" s="411" t="n">
        <v>32.8518920607408</v>
      </c>
      <c r="U164" s="411" t="n">
        <v>31.486190284038</v>
      </c>
      <c r="V164" s="411" t="n">
        <v>30.5144353216127</v>
      </c>
      <c r="W164" s="411" t="n">
        <v>30.4722107134295</v>
      </c>
      <c r="X164" s="411" t="n">
        <v>30.1726855201838</v>
      </c>
      <c r="Y164" s="411" t="n">
        <v>29.7751480967851</v>
      </c>
      <c r="Z164" s="411" t="n">
        <v>29.7751480967851</v>
      </c>
      <c r="AA164" s="411" t="n">
        <v>29.7671540270578</v>
      </c>
      <c r="AB164" s="401" t="n">
        <f aca="false">AB163*(1+Assumptions!$L$13/12)</f>
        <v>0.777983201889448</v>
      </c>
      <c r="AC164" s="401" t="n">
        <f aca="false">AC163</f>
        <v>0</v>
      </c>
      <c r="AD164" s="405" t="n">
        <f aca="false">AD163</f>
        <v>583.381879085728</v>
      </c>
      <c r="AE164" s="405" t="n">
        <f aca="false">AE163</f>
        <v>1993.84654167091</v>
      </c>
      <c r="AF164" s="392" t="n">
        <f aca="false">IF(Assumptions!D$24=1,0,1)</f>
        <v>1</v>
      </c>
      <c r="AG164" s="406" t="n">
        <f aca="false">AG163</f>
        <v>0</v>
      </c>
      <c r="AH164" s="401" t="n">
        <f aca="false">Assumptions!$E$24*Assumptions!H21</f>
        <v>3.71332894617054</v>
      </c>
      <c r="AI164" s="401" t="n">
        <f aca="false">Assumptions!$F$24*Assumptions!I21</f>
        <v>3.46706006866016</v>
      </c>
      <c r="AJ164" s="401" t="n">
        <f aca="false">AJ163</f>
        <v>0</v>
      </c>
      <c r="AK164" s="401" t="n">
        <f aca="false">AK163</f>
        <v>0</v>
      </c>
      <c r="AL164" s="1"/>
    </row>
    <row r="165" customFormat="false" ht="12.75" hidden="false" customHeight="false" outlineLevel="0" collapsed="false">
      <c r="A165" s="400" t="n">
        <f aca="false">A164+30.417</f>
        <v>41224.218</v>
      </c>
      <c r="B165" s="401" t="n">
        <f aca="false">IF($B$9="Coal",AG165,IF($B$9="Gas",AH165,IF($B$9="Oil",AI165,0)))</f>
        <v>4.0662641544011</v>
      </c>
      <c r="C165" s="402" t="n">
        <f aca="false">(B165*$B$1*1000)/1000000</f>
        <v>45.9680780704012</v>
      </c>
      <c r="D165" s="401" t="n">
        <f aca="false">AB165+AC165</f>
        <v>0.779279840559264</v>
      </c>
      <c r="E165" s="401" t="n">
        <f aca="false">(($AJ165*$B$1*AD165*1000)/2000)/1000000</f>
        <v>0</v>
      </c>
      <c r="F165" s="401" t="n">
        <f aca="false">AF165*(($AK165*$B$1*AE165*1000)/2000)/1000000</f>
        <v>0</v>
      </c>
      <c r="G165" s="403" t="n">
        <f aca="false">IF('Peak Revenue'!$A$1="BL","-",SUM(C165:F165))</f>
        <v>46.7473579109605</v>
      </c>
      <c r="H165" s="411" t="n">
        <v>150.943120741352</v>
      </c>
      <c r="I165" s="411" t="n">
        <v>141.873640048148</v>
      </c>
      <c r="J165" s="411" t="n">
        <v>117.834062941206</v>
      </c>
      <c r="K165" s="411" t="n">
        <v>86.0049264701614</v>
      </c>
      <c r="L165" s="411" t="n">
        <v>76.6443304635699</v>
      </c>
      <c r="M165" s="411" t="n">
        <v>73.0498816756578</v>
      </c>
      <c r="N165" s="411" t="n">
        <v>66.0298395367209</v>
      </c>
      <c r="O165" s="411" t="n">
        <v>51.7760362924603</v>
      </c>
      <c r="P165" s="411" t="n">
        <v>51.3897003933092</v>
      </c>
      <c r="Q165" s="411" t="n">
        <v>50.2233656285301</v>
      </c>
      <c r="R165" s="411" t="n">
        <v>41.5751415317088</v>
      </c>
      <c r="S165" s="411" t="n">
        <v>40.7063179053441</v>
      </c>
      <c r="T165" s="411" t="n">
        <v>37.0898936892925</v>
      </c>
      <c r="U165" s="411" t="n">
        <v>36.1004431765398</v>
      </c>
      <c r="V165" s="411" t="n">
        <v>35.8456022089377</v>
      </c>
      <c r="W165" s="411" t="n">
        <v>35.7961591892603</v>
      </c>
      <c r="X165" s="411" t="n">
        <v>35.7961591892603</v>
      </c>
      <c r="Y165" s="411" t="n">
        <v>35.7441396787658</v>
      </c>
      <c r="Z165" s="411" t="n">
        <v>35.2225483540496</v>
      </c>
      <c r="AA165" s="411" t="n">
        <v>34.5938996209995</v>
      </c>
      <c r="AB165" s="401" t="n">
        <f aca="false">AB164*(1+Assumptions!$L$13/12)</f>
        <v>0.779279840559264</v>
      </c>
      <c r="AC165" s="401" t="n">
        <f aca="false">AC164</f>
        <v>0</v>
      </c>
      <c r="AD165" s="405" t="n">
        <f aca="false">AD164</f>
        <v>583.381879085728</v>
      </c>
      <c r="AE165" s="405" t="n">
        <f aca="false">AE164</f>
        <v>1993.84654167091</v>
      </c>
      <c r="AF165" s="392" t="n">
        <f aca="false">IF(Assumptions!D$24=1,0,1)</f>
        <v>1</v>
      </c>
      <c r="AG165" s="406" t="n">
        <f aca="false">AG164</f>
        <v>0</v>
      </c>
      <c r="AH165" s="401" t="n">
        <f aca="false">Assumptions!$E$24*Assumptions!H22</f>
        <v>4.0662641544011</v>
      </c>
      <c r="AI165" s="401" t="n">
        <f aca="false">Assumptions!$F$24*Assumptions!I22</f>
        <v>3.75902302181049</v>
      </c>
      <c r="AJ165" s="401" t="n">
        <f aca="false">AJ164</f>
        <v>0</v>
      </c>
      <c r="AK165" s="401" t="n">
        <f aca="false">AK164</f>
        <v>0</v>
      </c>
      <c r="AL165" s="1"/>
    </row>
    <row r="166" customFormat="false" ht="12.75" hidden="false" customHeight="false" outlineLevel="0" collapsed="false">
      <c r="A166" s="400" t="n">
        <f aca="false">A165+30.417</f>
        <v>41254.635</v>
      </c>
      <c r="B166" s="401" t="n">
        <f aca="false">IF($B$9="Coal",AG166,IF($B$9="Gas",AH166,IF($B$9="Oil",AI166,0)))</f>
        <v>4.4004262132577</v>
      </c>
      <c r="C166" s="402" t="n">
        <f aca="false">(B166*$B$1*1000)/1000000</f>
        <v>49.7456948278026</v>
      </c>
      <c r="D166" s="401" t="n">
        <f aca="false">AB166+AC166</f>
        <v>0.78057864029353</v>
      </c>
      <c r="E166" s="401" t="n">
        <f aca="false">(($AJ166*$B$1*AD166*1000)/2000)/1000000</f>
        <v>0</v>
      </c>
      <c r="F166" s="401" t="n">
        <f aca="false">AF166*(($AK166*$B$1*AE166*1000)/2000)/1000000</f>
        <v>0</v>
      </c>
      <c r="G166" s="403" t="n">
        <f aca="false">IF('Peak Revenue'!$A$1="BL","-",SUM(C166:F166))</f>
        <v>50.5262734680962</v>
      </c>
      <c r="H166" s="411" t="n">
        <v>151.556277803106</v>
      </c>
      <c r="I166" s="411" t="n">
        <v>148.076907282405</v>
      </c>
      <c r="J166" s="411" t="n">
        <v>102.492877496416</v>
      </c>
      <c r="K166" s="411" t="n">
        <v>93.011128274355</v>
      </c>
      <c r="L166" s="411" t="n">
        <v>87.0675921055194</v>
      </c>
      <c r="M166" s="411" t="n">
        <v>84.0295235677024</v>
      </c>
      <c r="N166" s="411" t="n">
        <v>82.4634957264015</v>
      </c>
      <c r="O166" s="411" t="n">
        <v>68.281487727705</v>
      </c>
      <c r="P166" s="411" t="n">
        <v>57.1446416477819</v>
      </c>
      <c r="Q166" s="411" t="n">
        <v>47.6863652738208</v>
      </c>
      <c r="R166" s="411" t="n">
        <v>46.800225286186</v>
      </c>
      <c r="S166" s="411" t="n">
        <v>41.6457606667712</v>
      </c>
      <c r="T166" s="411" t="n">
        <v>41.0367426516392</v>
      </c>
      <c r="U166" s="411" t="n">
        <v>41.0367426516392</v>
      </c>
      <c r="V166" s="411" t="n">
        <v>41.0367426516392</v>
      </c>
      <c r="W166" s="411" t="n">
        <v>41.0367426516392</v>
      </c>
      <c r="X166" s="411" t="n">
        <v>40.7053904181436</v>
      </c>
      <c r="Y166" s="411" t="n">
        <v>40.698734579926</v>
      </c>
      <c r="Z166" s="411" t="n">
        <v>40.698734579926</v>
      </c>
      <c r="AA166" s="411" t="n">
        <v>37.3793601442251</v>
      </c>
      <c r="AB166" s="401" t="n">
        <f aca="false">AB165*(1+Assumptions!$L$13/12)</f>
        <v>0.78057864029353</v>
      </c>
      <c r="AC166" s="401" t="n">
        <f aca="false">AC165</f>
        <v>0</v>
      </c>
      <c r="AD166" s="405" t="n">
        <f aca="false">AD165</f>
        <v>583.381879085728</v>
      </c>
      <c r="AE166" s="405" t="n">
        <f aca="false">AE165</f>
        <v>1993.84654167091</v>
      </c>
      <c r="AF166" s="392" t="n">
        <f aca="false">IF(Assumptions!D$24=1,0,1)</f>
        <v>1</v>
      </c>
      <c r="AG166" s="406" t="n">
        <f aca="false">AG165</f>
        <v>0</v>
      </c>
      <c r="AH166" s="401" t="n">
        <f aca="false">Assumptions!$E$24*Assumptions!H23</f>
        <v>4.4004262132577</v>
      </c>
      <c r="AI166" s="401" t="n">
        <f aca="false">Assumptions!$F$24*Assumptions!I23</f>
        <v>3.94149986752944</v>
      </c>
      <c r="AJ166" s="401" t="n">
        <f aca="false">AJ165</f>
        <v>0</v>
      </c>
      <c r="AK166" s="401" t="n">
        <f aca="false">AK165</f>
        <v>0</v>
      </c>
      <c r="AL166" s="1"/>
    </row>
    <row r="167" customFormat="false" ht="12.75" hidden="false" customHeight="false" outlineLevel="0" collapsed="false">
      <c r="A167" s="400" t="n">
        <f aca="false">A166+30.417</f>
        <v>41285.052</v>
      </c>
      <c r="B167" s="401" t="n">
        <f aca="false">IF($B$9="Coal",AG167,IF($B$9="Gas",AH167,IF($B$9="Oil",AI167,0)))</f>
        <v>4.42085380969163</v>
      </c>
      <c r="C167" s="402" t="n">
        <f aca="false">(B167*$B$1*1000)/1000000</f>
        <v>49.9766235899316</v>
      </c>
      <c r="D167" s="401" t="n">
        <f aca="false">AB167+AC167</f>
        <v>0.781879604694019</v>
      </c>
      <c r="E167" s="401" t="n">
        <f aca="false">(($AJ167*$B$1*AD167*1000)/2000)/1000000</f>
        <v>0</v>
      </c>
      <c r="F167" s="401" t="n">
        <f aca="false">AF167*(($AK167*$B$1*AE167*1000)/2000)/1000000</f>
        <v>0</v>
      </c>
      <c r="G167" s="403" t="n">
        <f aca="false">IF('Peak Revenue'!$A$1="BL","-",SUM(C167:F167))</f>
        <v>50.7585031946256</v>
      </c>
      <c r="H167" s="411" t="n">
        <v>106.126190295588</v>
      </c>
      <c r="I167" s="411" t="n">
        <v>102.510699873313</v>
      </c>
      <c r="J167" s="411" t="n">
        <v>98.1227668437229</v>
      </c>
      <c r="K167" s="411" t="n">
        <v>93.8179473211383</v>
      </c>
      <c r="L167" s="411" t="n">
        <v>93.600351090236</v>
      </c>
      <c r="M167" s="411" t="n">
        <v>87.2400038314093</v>
      </c>
      <c r="N167" s="411" t="n">
        <v>63.6244507319783</v>
      </c>
      <c r="O167" s="411" t="n">
        <v>57.037917248631</v>
      </c>
      <c r="P167" s="411" t="n">
        <v>52.2944665058364</v>
      </c>
      <c r="Q167" s="411" t="n">
        <v>44.8841073618731</v>
      </c>
      <c r="R167" s="411" t="n">
        <v>44.8841073618731</v>
      </c>
      <c r="S167" s="411" t="n">
        <v>44.8841073618731</v>
      </c>
      <c r="T167" s="411" t="n">
        <v>44.8839759914509</v>
      </c>
      <c r="U167" s="411" t="n">
        <v>44.5060328062509</v>
      </c>
      <c r="V167" s="411" t="n">
        <v>44.5047102888222</v>
      </c>
      <c r="W167" s="411" t="n">
        <v>44.5047102888222</v>
      </c>
      <c r="X167" s="411" t="n">
        <v>44.5047102888222</v>
      </c>
      <c r="Y167" s="411" t="n">
        <v>44.5046881589176</v>
      </c>
      <c r="Z167" s="411" t="n">
        <v>44.5045505160718</v>
      </c>
      <c r="AA167" s="411" t="n">
        <v>37.5738138926447</v>
      </c>
      <c r="AB167" s="401" t="n">
        <f aca="false">AB166*(1+Assumptions!$L$13/12)</f>
        <v>0.781879604694019</v>
      </c>
      <c r="AC167" s="401" t="n">
        <f aca="false">VLOOKUP($C$1,EnvVOM,16)</f>
        <v>0</v>
      </c>
      <c r="AD167" s="405" t="n">
        <f aca="false">Assumptions!B25</f>
        <v>654.124550733522</v>
      </c>
      <c r="AE167" s="405" t="n">
        <f aca="false">Assumptions!C25</f>
        <v>1780.92328465844</v>
      </c>
      <c r="AF167" s="392" t="n">
        <f aca="false">IF(Assumptions!D$25=1,0,1)</f>
        <v>1</v>
      </c>
      <c r="AG167" s="406" t="n">
        <f aca="false">VLOOKUP($C$1,Coal,16)</f>
        <v>0</v>
      </c>
      <c r="AH167" s="401" t="n">
        <f aca="false">Assumptions!$E$25*Assumptions!H12</f>
        <v>4.42085380969163</v>
      </c>
      <c r="AI167" s="401" t="n">
        <f aca="false">Assumptions!$F$25*Assumptions!I12</f>
        <v>4.12318167912245</v>
      </c>
      <c r="AJ167" s="401" t="n">
        <f aca="false">VLOOKUP($C$1,SO2Rate,16)</f>
        <v>0</v>
      </c>
      <c r="AK167" s="401" t="n">
        <f aca="false">VLOOKUP($C$1,NOxRate,16)</f>
        <v>0</v>
      </c>
      <c r="AL167" s="1"/>
    </row>
    <row r="168" customFormat="false" ht="12.75" hidden="false" customHeight="false" outlineLevel="0" collapsed="false">
      <c r="A168" s="400" t="n">
        <f aca="false">A167+30.417</f>
        <v>41315.469</v>
      </c>
      <c r="B168" s="401" t="n">
        <f aca="false">IF($B$9="Coal",AG168,IF($B$9="Gas",AH168,IF($B$9="Oil",AI168,0)))</f>
        <v>3.96230780283532</v>
      </c>
      <c r="C168" s="402" t="n">
        <f aca="false">(B168*$B$1*1000)/1000000</f>
        <v>44.7928780579972</v>
      </c>
      <c r="D168" s="401" t="n">
        <f aca="false">AB168+AC168</f>
        <v>0.783182737368509</v>
      </c>
      <c r="E168" s="401" t="n">
        <f aca="false">(($AJ168*$B$1*AD168*1000)/2000)/1000000</f>
        <v>0</v>
      </c>
      <c r="F168" s="401" t="n">
        <f aca="false">AF168*(($AK168*$B$1*AE168*1000)/2000)/1000000</f>
        <v>0</v>
      </c>
      <c r="G168" s="403" t="n">
        <f aca="false">IF('Peak Revenue'!$A$1="BL","-",SUM(C168:F168))</f>
        <v>45.5760607953657</v>
      </c>
      <c r="H168" s="411" t="n">
        <v>151.794122282919</v>
      </c>
      <c r="I168" s="411" t="n">
        <v>133.19880500864</v>
      </c>
      <c r="J168" s="411" t="n">
        <v>96.0776024823252</v>
      </c>
      <c r="K168" s="411" t="n">
        <v>80.6647476908499</v>
      </c>
      <c r="L168" s="411" t="n">
        <v>75.7571613946588</v>
      </c>
      <c r="M168" s="411" t="n">
        <v>70.5455633429244</v>
      </c>
      <c r="N168" s="411" t="n">
        <v>66.0547332082142</v>
      </c>
      <c r="O168" s="411" t="n">
        <v>65.7232985017911</v>
      </c>
      <c r="P168" s="411" t="n">
        <v>60.2219555298007</v>
      </c>
      <c r="Q168" s="411" t="n">
        <v>46.8408699457777</v>
      </c>
      <c r="R168" s="411" t="n">
        <v>45.1561170741881</v>
      </c>
      <c r="S168" s="411" t="n">
        <v>40.8635859894957</v>
      </c>
      <c r="T168" s="411" t="n">
        <v>38.7253400153931</v>
      </c>
      <c r="U168" s="411" t="n">
        <v>37.7205553753584</v>
      </c>
      <c r="V168" s="411" t="n">
        <v>37.4576703608638</v>
      </c>
      <c r="W168" s="411" t="n">
        <v>37.0274246415755</v>
      </c>
      <c r="X168" s="411" t="n">
        <v>36.0558100360089</v>
      </c>
      <c r="Y168" s="411" t="n">
        <v>35.2191470837697</v>
      </c>
      <c r="Z168" s="411" t="n">
        <v>33.7013011371997</v>
      </c>
      <c r="AA168" s="411" t="n">
        <v>32.6726720877659</v>
      </c>
      <c r="AB168" s="401" t="n">
        <f aca="false">AB167*(1+Assumptions!$L$13/12)</f>
        <v>0.783182737368509</v>
      </c>
      <c r="AC168" s="401" t="n">
        <f aca="false">AC167</f>
        <v>0</v>
      </c>
      <c r="AD168" s="405" t="n">
        <f aca="false">AD167</f>
        <v>654.124550733522</v>
      </c>
      <c r="AE168" s="405" t="n">
        <f aca="false">AE167</f>
        <v>1780.92328465844</v>
      </c>
      <c r="AF168" s="392" t="n">
        <f aca="false">IF(Assumptions!D$25=1,0,1)</f>
        <v>1</v>
      </c>
      <c r="AG168" s="406" t="n">
        <f aca="false">AG167</f>
        <v>0</v>
      </c>
      <c r="AH168" s="401" t="n">
        <f aca="false">Assumptions!$E$25*Assumptions!H13</f>
        <v>3.96230780283532</v>
      </c>
      <c r="AI168" s="401" t="n">
        <f aca="false">Assumptions!$F$25*Assumptions!I13</f>
        <v>4.08500407098242</v>
      </c>
      <c r="AJ168" s="401" t="n">
        <f aca="false">AJ167</f>
        <v>0</v>
      </c>
      <c r="AK168" s="401" t="n">
        <f aca="false">AK167</f>
        <v>0</v>
      </c>
      <c r="AL168" s="1"/>
    </row>
    <row r="169" customFormat="false" ht="12.75" hidden="false" customHeight="false" outlineLevel="0" collapsed="false">
      <c r="A169" s="400" t="n">
        <f aca="false">A168+30.417</f>
        <v>41345.886</v>
      </c>
      <c r="B169" s="401" t="n">
        <f aca="false">IF($B$9="Coal",AG169,IF($B$9="Gas",AH169,IF($B$9="Oil",AI169,0)))</f>
        <v>3.89568145995876</v>
      </c>
      <c r="C169" s="402" t="n">
        <f aca="false">(B169*$B$1*1000)/1000000</f>
        <v>44.0396842627589</v>
      </c>
      <c r="D169" s="401" t="n">
        <f aca="false">AB169+AC169</f>
        <v>0.78448804193079</v>
      </c>
      <c r="E169" s="401" t="n">
        <f aca="false">(($AJ169*$B$1*AD169*1000)/2000)/1000000</f>
        <v>0</v>
      </c>
      <c r="F169" s="401" t="n">
        <f aca="false">AF169*(($AK169*$B$1*AE169*1000)/2000)/1000000</f>
        <v>0</v>
      </c>
      <c r="G169" s="403" t="n">
        <f aca="false">IF('Peak Revenue'!$A$1="BL","-",SUM(C169:F169))</f>
        <v>44.8241723046897</v>
      </c>
      <c r="H169" s="411" t="n">
        <v>130.924902153296</v>
      </c>
      <c r="I169" s="411" t="n">
        <v>87.0010199706551</v>
      </c>
      <c r="J169" s="411" t="n">
        <v>79.4229785094042</v>
      </c>
      <c r="K169" s="411" t="n">
        <v>74.1638956606505</v>
      </c>
      <c r="L169" s="411" t="n">
        <v>68.9011908385868</v>
      </c>
      <c r="M169" s="411" t="n">
        <v>68.4074166472558</v>
      </c>
      <c r="N169" s="411" t="n">
        <v>65.035602548861</v>
      </c>
      <c r="O169" s="411" t="n">
        <v>52.6680810810109</v>
      </c>
      <c r="P169" s="411" t="n">
        <v>47.8641986814487</v>
      </c>
      <c r="Q169" s="411" t="n">
        <v>46.5262665278053</v>
      </c>
      <c r="R169" s="411" t="n">
        <v>43.4665902966621</v>
      </c>
      <c r="S169" s="411" t="n">
        <v>41.7481342653865</v>
      </c>
      <c r="T169" s="411" t="n">
        <v>40.2406180870426</v>
      </c>
      <c r="U169" s="411" t="n">
        <v>39.6001902752193</v>
      </c>
      <c r="V169" s="411" t="n">
        <v>38.982926102939</v>
      </c>
      <c r="W169" s="411" t="n">
        <v>38.8278606905973</v>
      </c>
      <c r="X169" s="411" t="n">
        <v>38.106203689253</v>
      </c>
      <c r="Y169" s="411" t="n">
        <v>37.055827372387</v>
      </c>
      <c r="Z169" s="411" t="n">
        <v>36.1848424116214</v>
      </c>
      <c r="AA169" s="411" t="n">
        <v>33.8242413858909</v>
      </c>
      <c r="AB169" s="401" t="n">
        <f aca="false">AB168*(1+Assumptions!$L$13/12)</f>
        <v>0.78448804193079</v>
      </c>
      <c r="AC169" s="401" t="n">
        <f aca="false">AC168</f>
        <v>0</v>
      </c>
      <c r="AD169" s="405" t="n">
        <f aca="false">AD168</f>
        <v>654.124550733522</v>
      </c>
      <c r="AE169" s="405" t="n">
        <f aca="false">AE168</f>
        <v>1780.92328465844</v>
      </c>
      <c r="AF169" s="392" t="n">
        <f aca="false">IF(Assumptions!D$25=1,0,1)</f>
        <v>1</v>
      </c>
      <c r="AG169" s="406" t="n">
        <f aca="false">AG168</f>
        <v>0</v>
      </c>
      <c r="AH169" s="401" t="n">
        <f aca="false">Assumptions!$E$25*Assumptions!H14</f>
        <v>3.89568145995876</v>
      </c>
      <c r="AI169" s="401" t="n">
        <f aca="false">Assumptions!$F$25*Assumptions!I14</f>
        <v>3.93229363842233</v>
      </c>
      <c r="AJ169" s="401" t="n">
        <f aca="false">AJ168</f>
        <v>0</v>
      </c>
      <c r="AK169" s="401" t="n">
        <f aca="false">AK168</f>
        <v>0</v>
      </c>
      <c r="AL169" s="1"/>
    </row>
    <row r="170" customFormat="false" ht="12.75" hidden="false" customHeight="false" outlineLevel="0" collapsed="false">
      <c r="A170" s="400" t="n">
        <f aca="false">A169+30.417</f>
        <v>41376.303</v>
      </c>
      <c r="B170" s="401" t="n">
        <f aca="false">IF($B$9="Coal",AG170,IF($B$9="Gas",AH170,IF($B$9="Oil",AI170,0)))</f>
        <v>3.70364082460868</v>
      </c>
      <c r="C170" s="402" t="n">
        <f aca="false">(B170*$B$1*1000)/1000000</f>
        <v>41.8687139117778</v>
      </c>
      <c r="D170" s="401" t="n">
        <f aca="false">AB170+AC170</f>
        <v>0.785795522000675</v>
      </c>
      <c r="E170" s="401" t="n">
        <f aca="false">(($AJ170*$B$1*AD170*1000)/2000)/1000000</f>
        <v>0</v>
      </c>
      <c r="F170" s="401" t="n">
        <f aca="false">AF170*(($AK170*$B$1*AE170*1000)/2000)/1000000</f>
        <v>0</v>
      </c>
      <c r="G170" s="403" t="n">
        <f aca="false">IF('Peak Revenue'!$A$1="BL","-",SUM(C170:F170))</f>
        <v>42.6545094337785</v>
      </c>
      <c r="H170" s="411" t="n">
        <v>75.2918920399411</v>
      </c>
      <c r="I170" s="411" t="n">
        <v>70.5812501417462</v>
      </c>
      <c r="J170" s="411" t="n">
        <v>68.311260737047</v>
      </c>
      <c r="K170" s="411" t="n">
        <v>65.2257377725208</v>
      </c>
      <c r="L170" s="411" t="n">
        <v>61.4049128347633</v>
      </c>
      <c r="M170" s="411" t="n">
        <v>58.6203579692403</v>
      </c>
      <c r="N170" s="411" t="n">
        <v>58.3615111521542</v>
      </c>
      <c r="O170" s="411" t="n">
        <v>53.6724108991361</v>
      </c>
      <c r="P170" s="411" t="n">
        <v>45.6081478863517</v>
      </c>
      <c r="Q170" s="411" t="n">
        <v>41.769217538051</v>
      </c>
      <c r="R170" s="411" t="n">
        <v>41.1153680108479</v>
      </c>
      <c r="S170" s="411" t="n">
        <v>39.3981845883466</v>
      </c>
      <c r="T170" s="411" t="n">
        <v>38.3389466310177</v>
      </c>
      <c r="U170" s="411" t="n">
        <v>37.3798651026295</v>
      </c>
      <c r="V170" s="411" t="n">
        <v>36.3719995111712</v>
      </c>
      <c r="W170" s="411" t="n">
        <v>35.4565653172166</v>
      </c>
      <c r="X170" s="411" t="n">
        <v>34.1120641381706</v>
      </c>
      <c r="Y170" s="411" t="n">
        <v>33.5057785283428</v>
      </c>
      <c r="Z170" s="411" t="n">
        <v>32.8027838945277</v>
      </c>
      <c r="AA170" s="411" t="n">
        <v>30.7195538128687</v>
      </c>
      <c r="AB170" s="401" t="n">
        <f aca="false">AB169*(1+Assumptions!$L$13/12)</f>
        <v>0.785795522000675</v>
      </c>
      <c r="AC170" s="401" t="n">
        <f aca="false">AC169</f>
        <v>0</v>
      </c>
      <c r="AD170" s="405" t="n">
        <f aca="false">AD169</f>
        <v>654.124550733522</v>
      </c>
      <c r="AE170" s="405" t="n">
        <f aca="false">AE169</f>
        <v>1780.92328465844</v>
      </c>
      <c r="AF170" s="392" t="n">
        <f aca="false">IF(Assumptions!D$25=1,0,1)</f>
        <v>1</v>
      </c>
      <c r="AG170" s="406" t="n">
        <f aca="false">AG169</f>
        <v>0</v>
      </c>
      <c r="AH170" s="401" t="n">
        <f aca="false">Assumptions!$E$25*Assumptions!H15</f>
        <v>3.70364082460868</v>
      </c>
      <c r="AI170" s="401" t="n">
        <f aca="false">Assumptions!$F$25*Assumptions!I15</f>
        <v>3.77958320586224</v>
      </c>
      <c r="AJ170" s="401" t="n">
        <f aca="false">AJ169</f>
        <v>0</v>
      </c>
      <c r="AK170" s="401" t="n">
        <f aca="false">AK169</f>
        <v>0</v>
      </c>
      <c r="AL170" s="1"/>
    </row>
    <row r="171" customFormat="false" ht="12.75" hidden="false" customHeight="false" outlineLevel="0" collapsed="false">
      <c r="A171" s="400" t="n">
        <f aca="false">A170+30.417</f>
        <v>41406.72</v>
      </c>
      <c r="B171" s="401" t="n">
        <f aca="false">IF($B$9="Coal",AG171,IF($B$9="Gas",AH171,IF($B$9="Oil",AI171,0)))</f>
        <v>3.89960065659856</v>
      </c>
      <c r="C171" s="402" t="n">
        <f aca="false">(B171*$B$1*1000)/1000000</f>
        <v>44.0839897801258</v>
      </c>
      <c r="D171" s="401" t="n">
        <f aca="false">AB171+AC171</f>
        <v>0.787105181204009</v>
      </c>
      <c r="E171" s="401" t="n">
        <f aca="false">(($AJ171*$B$1*AD171*1000)/2000)/1000000</f>
        <v>0</v>
      </c>
      <c r="F171" s="401" t="n">
        <f aca="false">AF171*(($AK171*$B$1*AE171*1000)/2000)/1000000</f>
        <v>0</v>
      </c>
      <c r="G171" s="403" t="n">
        <f aca="false">IF('Peak Revenue'!$A$1="BL","-",SUM(C171:F171))</f>
        <v>44.8710949613298</v>
      </c>
      <c r="H171" s="411" t="n">
        <v>132.282280710173</v>
      </c>
      <c r="I171" s="411" t="n">
        <v>80.1892515471132</v>
      </c>
      <c r="J171" s="411" t="n">
        <v>66.6380001164049</v>
      </c>
      <c r="K171" s="411" t="n">
        <v>63.279614137145</v>
      </c>
      <c r="L171" s="411" t="n">
        <v>55.7321110645336</v>
      </c>
      <c r="M171" s="411" t="n">
        <v>52.0094758704916</v>
      </c>
      <c r="N171" s="411" t="n">
        <v>49.2685754955573</v>
      </c>
      <c r="O171" s="411" t="n">
        <v>48.4844852037332</v>
      </c>
      <c r="P171" s="411" t="n">
        <v>45.5718942784494</v>
      </c>
      <c r="Q171" s="411" t="n">
        <v>43.9950926516765</v>
      </c>
      <c r="R171" s="411" t="n">
        <v>42.0517866280956</v>
      </c>
      <c r="S171" s="411" t="n">
        <v>40.8512036854061</v>
      </c>
      <c r="T171" s="411" t="n">
        <v>38.8396103998677</v>
      </c>
      <c r="U171" s="411" t="n">
        <v>36.1128501012809</v>
      </c>
      <c r="V171" s="411" t="n">
        <v>34.8782417019714</v>
      </c>
      <c r="W171" s="411" t="n">
        <v>33.3875478058862</v>
      </c>
      <c r="X171" s="411" t="n">
        <v>32.892617618124</v>
      </c>
      <c r="Y171" s="411" t="n">
        <v>32.3278008958598</v>
      </c>
      <c r="Z171" s="411" t="n">
        <v>31.8674612795213</v>
      </c>
      <c r="AA171" s="411" t="n">
        <v>31.1727427011523</v>
      </c>
      <c r="AB171" s="401" t="n">
        <f aca="false">AB170*(1+Assumptions!$L$13/12)</f>
        <v>0.787105181204009</v>
      </c>
      <c r="AC171" s="401" t="n">
        <f aca="false">AC170</f>
        <v>0</v>
      </c>
      <c r="AD171" s="405" t="n">
        <f aca="false">AD170</f>
        <v>654.124550733522</v>
      </c>
      <c r="AE171" s="405" t="n">
        <f aca="false">AE170</f>
        <v>1780.92328465844</v>
      </c>
      <c r="AF171" s="392" t="n">
        <v>1</v>
      </c>
      <c r="AG171" s="406" t="n">
        <f aca="false">AG170</f>
        <v>0</v>
      </c>
      <c r="AH171" s="401" t="n">
        <f aca="false">Assumptions!$E$25*Assumptions!H16</f>
        <v>3.89960065659856</v>
      </c>
      <c r="AI171" s="401" t="n">
        <f aca="false">Assumptions!$F$25*Assumptions!I16</f>
        <v>3.62687277330215</v>
      </c>
      <c r="AJ171" s="401" t="n">
        <f aca="false">AJ170</f>
        <v>0</v>
      </c>
      <c r="AK171" s="401" t="n">
        <f aca="false">AK170</f>
        <v>0</v>
      </c>
      <c r="AL171" s="1"/>
    </row>
    <row r="172" customFormat="false" ht="12.75" hidden="false" customHeight="false" outlineLevel="0" collapsed="false">
      <c r="A172" s="400" t="n">
        <f aca="false">A171+30.417</f>
        <v>41437.137</v>
      </c>
      <c r="B172" s="401" t="n">
        <f aca="false">IF($B$9="Coal",AG172,IF($B$9="Gas",AH172,IF($B$9="Oil",AI172,0)))</f>
        <v>3.71539841452807</v>
      </c>
      <c r="C172" s="402" t="n">
        <f aca="false">(B172*$B$1*1000)/1000000</f>
        <v>42.0016304638787</v>
      </c>
      <c r="D172" s="401" t="n">
        <f aca="false">AB172+AC172</f>
        <v>0.788417023172682</v>
      </c>
      <c r="E172" s="401" t="n">
        <f aca="false">(($AJ172*$B$1*AD172*1000)/2000)/1000000</f>
        <v>0</v>
      </c>
      <c r="F172" s="401" t="n">
        <f aca="false">AF172*(($AK172*$B$1*AE172*1000)/2000)/1000000</f>
        <v>0</v>
      </c>
      <c r="G172" s="403" t="n">
        <f aca="false">IF('Peak Revenue'!$A$1="BL","-",SUM(C172:F172))</f>
        <v>42.7900474870514</v>
      </c>
      <c r="H172" s="411" t="n">
        <v>168.096063731654</v>
      </c>
      <c r="I172" s="411" t="n">
        <v>154.253273283718</v>
      </c>
      <c r="J172" s="411" t="n">
        <v>138.545276317221</v>
      </c>
      <c r="K172" s="411" t="n">
        <v>102.563480841163</v>
      </c>
      <c r="L172" s="411" t="n">
        <v>83.7933372792152</v>
      </c>
      <c r="M172" s="411" t="n">
        <v>75.5891303101941</v>
      </c>
      <c r="N172" s="411" t="n">
        <v>69.0844087187171</v>
      </c>
      <c r="O172" s="411" t="n">
        <v>55.6607133170526</v>
      </c>
      <c r="P172" s="411" t="n">
        <v>48.9152934255981</v>
      </c>
      <c r="Q172" s="411" t="n">
        <v>38.3765696065445</v>
      </c>
      <c r="R172" s="411" t="n">
        <v>36.1301958082415</v>
      </c>
      <c r="S172" s="411" t="n">
        <v>35.8065436894983</v>
      </c>
      <c r="T172" s="411" t="n">
        <v>35.8065334081606</v>
      </c>
      <c r="U172" s="411" t="n">
        <v>35.8065334081606</v>
      </c>
      <c r="V172" s="411" t="n">
        <v>35.8064478373935</v>
      </c>
      <c r="W172" s="411" t="n">
        <v>35.8061240318898</v>
      </c>
      <c r="X172" s="411" t="n">
        <v>35.8061240318898</v>
      </c>
      <c r="Y172" s="411" t="n">
        <v>35.7999296484378</v>
      </c>
      <c r="Z172" s="411" t="n">
        <v>34.6613703366675</v>
      </c>
      <c r="AA172" s="411" t="n">
        <v>30.6162809070696</v>
      </c>
      <c r="AB172" s="401" t="n">
        <f aca="false">AB171*(1+Assumptions!$L$13/12)</f>
        <v>0.788417023172682</v>
      </c>
      <c r="AC172" s="401" t="n">
        <f aca="false">AC171</f>
        <v>0</v>
      </c>
      <c r="AD172" s="405" t="n">
        <f aca="false">AD171</f>
        <v>654.124550733522</v>
      </c>
      <c r="AE172" s="405" t="n">
        <f aca="false">AE171</f>
        <v>1780.92328465844</v>
      </c>
      <c r="AF172" s="392" t="n">
        <v>1</v>
      </c>
      <c r="AG172" s="406" t="n">
        <f aca="false">AG171</f>
        <v>0</v>
      </c>
      <c r="AH172" s="401" t="n">
        <f aca="false">Assumptions!$E$25*Assumptions!H17</f>
        <v>3.71539841452807</v>
      </c>
      <c r="AI172" s="401" t="n">
        <f aca="false">Assumptions!$F$25*Assumptions!I17</f>
        <v>3.62687277330215</v>
      </c>
      <c r="AJ172" s="401" t="n">
        <f aca="false">AJ171</f>
        <v>0</v>
      </c>
      <c r="AK172" s="401" t="n">
        <f aca="false">AK171</f>
        <v>0</v>
      </c>
      <c r="AL172" s="1"/>
    </row>
    <row r="173" customFormat="false" ht="12.75" hidden="false" customHeight="false" outlineLevel="0" collapsed="false">
      <c r="A173" s="400" t="n">
        <f aca="false">A172+30.417</f>
        <v>41467.554</v>
      </c>
      <c r="B173" s="401" t="n">
        <f aca="false">IF($B$9="Coal",AG173,IF($B$9="Gas",AH173,IF($B$9="Oil",AI173,0)))</f>
        <v>3.70364082460868</v>
      </c>
      <c r="C173" s="402" t="n">
        <f aca="false">(B173*$B$1*1000)/1000000</f>
        <v>41.8687139117778</v>
      </c>
      <c r="D173" s="401" t="n">
        <f aca="false">AB173+AC173</f>
        <v>0.789731051544637</v>
      </c>
      <c r="E173" s="401" t="n">
        <f aca="false">(($AJ173*$B$1*AD173*1000)/2000)/1000000</f>
        <v>0</v>
      </c>
      <c r="F173" s="401" t="n">
        <f aca="false">AF173*(($AK173*$B$1*AE173*1000)/2000)/1000000</f>
        <v>0</v>
      </c>
      <c r="G173" s="403" t="n">
        <f aca="false">IF('Peak Revenue'!$A$1="BL","-",SUM(C173:F173))</f>
        <v>42.6584449633224</v>
      </c>
      <c r="H173" s="411" t="n">
        <v>298.636614820828</v>
      </c>
      <c r="I173" s="411" t="n">
        <v>237.364725540343</v>
      </c>
      <c r="J173" s="411" t="n">
        <v>216.471806747227</v>
      </c>
      <c r="K173" s="411" t="n">
        <v>192.957656917917</v>
      </c>
      <c r="L173" s="411" t="n">
        <v>173.501743064563</v>
      </c>
      <c r="M173" s="411" t="n">
        <v>155.963243969938</v>
      </c>
      <c r="N173" s="411" t="n">
        <v>105.920854599673</v>
      </c>
      <c r="O173" s="411" t="n">
        <v>59.7397916656137</v>
      </c>
      <c r="P173" s="411" t="n">
        <v>50.6013608746705</v>
      </c>
      <c r="Q173" s="411" t="n">
        <v>47.357554626351</v>
      </c>
      <c r="R173" s="411" t="n">
        <v>43.9024707406269</v>
      </c>
      <c r="S173" s="411" t="n">
        <v>40.7361641397214</v>
      </c>
      <c r="T173" s="411" t="n">
        <v>36.7858350671236</v>
      </c>
      <c r="U173" s="411" t="n">
        <v>34.8133192773475</v>
      </c>
      <c r="V173" s="411" t="n">
        <v>34.4484050957865</v>
      </c>
      <c r="W173" s="411" t="n">
        <v>33.5105141699907</v>
      </c>
      <c r="X173" s="411" t="n">
        <v>32.0690699547267</v>
      </c>
      <c r="Y173" s="411" t="n">
        <v>30.2734517045882</v>
      </c>
      <c r="Z173" s="411" t="n">
        <v>28.5370903882632</v>
      </c>
      <c r="AA173" s="411" t="n">
        <v>26.4117423034665</v>
      </c>
      <c r="AB173" s="401" t="n">
        <f aca="false">AB172*(1+Assumptions!$L$13/12)</f>
        <v>0.789731051544637</v>
      </c>
      <c r="AC173" s="401" t="n">
        <f aca="false">AC172</f>
        <v>0</v>
      </c>
      <c r="AD173" s="405" t="n">
        <f aca="false">AD172</f>
        <v>654.124550733522</v>
      </c>
      <c r="AE173" s="405" t="n">
        <f aca="false">AE172</f>
        <v>1780.92328465844</v>
      </c>
      <c r="AF173" s="392" t="n">
        <v>1</v>
      </c>
      <c r="AG173" s="406" t="n">
        <f aca="false">AG172</f>
        <v>0</v>
      </c>
      <c r="AH173" s="401" t="n">
        <f aca="false">Assumptions!$E$25*Assumptions!H18</f>
        <v>3.70364082460868</v>
      </c>
      <c r="AI173" s="401" t="n">
        <f aca="false">Assumptions!$F$25*Assumptions!I18</f>
        <v>3.62687277330215</v>
      </c>
      <c r="AJ173" s="401" t="n">
        <f aca="false">AJ172</f>
        <v>0</v>
      </c>
      <c r="AK173" s="401" t="n">
        <f aca="false">AK172</f>
        <v>0</v>
      </c>
      <c r="AL173" s="1"/>
    </row>
    <row r="174" customFormat="false" ht="12.75" hidden="false" customHeight="false" outlineLevel="0" collapsed="false">
      <c r="A174" s="400" t="n">
        <f aca="false">A173+30.417</f>
        <v>41497.971</v>
      </c>
      <c r="B174" s="401" t="n">
        <f aca="false">IF($B$9="Coal",AG174,IF($B$9="Gas",AH174,IF($B$9="Oil",AI174,0)))</f>
        <v>3.5116001892586</v>
      </c>
      <c r="C174" s="402" t="n">
        <f aca="false">(B174*$B$1*1000)/1000000</f>
        <v>39.6977435607967</v>
      </c>
      <c r="D174" s="401" t="n">
        <f aca="false">AB174+AC174</f>
        <v>0.791047269963878</v>
      </c>
      <c r="E174" s="401" t="n">
        <f aca="false">(($AJ174*$B$1*AD174*1000)/2000)/1000000</f>
        <v>0</v>
      </c>
      <c r="F174" s="401" t="n">
        <f aca="false">AF174*(($AK174*$B$1*AE174*1000)/2000)/1000000</f>
        <v>0</v>
      </c>
      <c r="G174" s="403" t="n">
        <f aca="false">IF('Peak Revenue'!$A$1="BL","-",SUM(C174:F174))</f>
        <v>40.4887908307606</v>
      </c>
      <c r="H174" s="411" t="n">
        <v>341.281139039479</v>
      </c>
      <c r="I174" s="411" t="n">
        <v>241.309517736842</v>
      </c>
      <c r="J174" s="411" t="n">
        <v>215.790569946173</v>
      </c>
      <c r="K174" s="411" t="n">
        <v>187.897591726777</v>
      </c>
      <c r="L174" s="411" t="n">
        <v>165.439968528877</v>
      </c>
      <c r="M174" s="411" t="n">
        <v>140.651232205255</v>
      </c>
      <c r="N174" s="411" t="n">
        <v>90.5472539166494</v>
      </c>
      <c r="O174" s="411" t="n">
        <v>74.4049625873217</v>
      </c>
      <c r="P174" s="411" t="n">
        <v>67.8903857799762</v>
      </c>
      <c r="Q174" s="411" t="n">
        <v>52.873303049155</v>
      </c>
      <c r="R174" s="411" t="n">
        <v>45.2510203606487</v>
      </c>
      <c r="S174" s="411" t="n">
        <v>37.9347969672296</v>
      </c>
      <c r="T174" s="411" t="n">
        <v>35.7622930253447</v>
      </c>
      <c r="U174" s="411" t="n">
        <v>34.8019377889127</v>
      </c>
      <c r="V174" s="411" t="n">
        <v>34.5890359956859</v>
      </c>
      <c r="W174" s="411" t="n">
        <v>34.5890359956859</v>
      </c>
      <c r="X174" s="411" t="n">
        <v>34.5890359956859</v>
      </c>
      <c r="Y174" s="411" t="n">
        <v>34.5888115022242</v>
      </c>
      <c r="Z174" s="411" t="n">
        <v>34.5886248977689</v>
      </c>
      <c r="AA174" s="411" t="n">
        <v>31.8870744462122</v>
      </c>
      <c r="AB174" s="401" t="n">
        <f aca="false">AB173*(1+Assumptions!$L$13/12)</f>
        <v>0.791047269963878</v>
      </c>
      <c r="AC174" s="401" t="n">
        <f aca="false">AC173</f>
        <v>0</v>
      </c>
      <c r="AD174" s="405" t="n">
        <f aca="false">AD173</f>
        <v>654.124550733522</v>
      </c>
      <c r="AE174" s="405" t="n">
        <f aca="false">AE173</f>
        <v>1780.92328465844</v>
      </c>
      <c r="AF174" s="392" t="n">
        <v>1</v>
      </c>
      <c r="AG174" s="406" t="n">
        <f aca="false">AG173</f>
        <v>0</v>
      </c>
      <c r="AH174" s="401" t="n">
        <f aca="false">Assumptions!$E$25*Assumptions!H19</f>
        <v>3.5116001892586</v>
      </c>
      <c r="AI174" s="401" t="n">
        <f aca="false">Assumptions!$F$25*Assumptions!I19</f>
        <v>3.62687277330215</v>
      </c>
      <c r="AJ174" s="401" t="n">
        <f aca="false">AJ173</f>
        <v>0</v>
      </c>
      <c r="AK174" s="401" t="n">
        <f aca="false">AK173</f>
        <v>0</v>
      </c>
      <c r="AL174" s="1"/>
    </row>
    <row r="175" customFormat="false" ht="12.75" hidden="false" customHeight="false" outlineLevel="0" collapsed="false">
      <c r="A175" s="400" t="n">
        <f aca="false">A174+30.417</f>
        <v>41528.388</v>
      </c>
      <c r="B175" s="401" t="n">
        <f aca="false">IF($B$9="Coal",AG175,IF($B$9="Gas",AH175,IF($B$9="Oil",AI175,0)))</f>
        <v>3.49984259933921</v>
      </c>
      <c r="C175" s="402" t="n">
        <f aca="false">(B175*$B$1*1000)/1000000</f>
        <v>39.5648270086958</v>
      </c>
      <c r="D175" s="401" t="n">
        <f aca="false">AB175+AC175</f>
        <v>0.792365682080485</v>
      </c>
      <c r="E175" s="401" t="n">
        <f aca="false">(($AJ175*$B$1*AD175*1000)/2000)/1000000</f>
        <v>0</v>
      </c>
      <c r="F175" s="401" t="n">
        <f aca="false">AF175*(($AK175*$B$1*AE175*1000)/2000)/1000000</f>
        <v>0</v>
      </c>
      <c r="G175" s="403" t="n">
        <f aca="false">IF('Peak Revenue'!$A$1="BL","-",SUM(C175:F175))</f>
        <v>40.3571926907763</v>
      </c>
      <c r="H175" s="411" t="n">
        <v>165.291923871355</v>
      </c>
      <c r="I175" s="411" t="n">
        <v>152.625582545162</v>
      </c>
      <c r="J175" s="411" t="n">
        <v>127.272086422003</v>
      </c>
      <c r="K175" s="411" t="n">
        <v>92.3740208004919</v>
      </c>
      <c r="L175" s="411" t="n">
        <v>79.7389500262557</v>
      </c>
      <c r="M175" s="411" t="n">
        <v>73.8965112307162</v>
      </c>
      <c r="N175" s="411" t="n">
        <v>71.0528699230523</v>
      </c>
      <c r="O175" s="411" t="n">
        <v>51.1483592088037</v>
      </c>
      <c r="P175" s="411" t="n">
        <v>47.5471843380881</v>
      </c>
      <c r="Q175" s="411" t="n">
        <v>42.6429865065236</v>
      </c>
      <c r="R175" s="411" t="n">
        <v>37.1497688633783</v>
      </c>
      <c r="S175" s="411" t="n">
        <v>35.5173091095086</v>
      </c>
      <c r="T175" s="411" t="n">
        <v>35.4568653613756</v>
      </c>
      <c r="U175" s="411" t="n">
        <v>35.4568498112207</v>
      </c>
      <c r="V175" s="411" t="n">
        <v>35.4568498112207</v>
      </c>
      <c r="W175" s="411" t="n">
        <v>35.4568498112207</v>
      </c>
      <c r="X175" s="411" t="n">
        <v>35.4565879180898</v>
      </c>
      <c r="Y175" s="411" t="n">
        <v>35.4564378497674</v>
      </c>
      <c r="Z175" s="411" t="n">
        <v>35.4564378497674</v>
      </c>
      <c r="AA175" s="411" t="n">
        <v>33.4994715195979</v>
      </c>
      <c r="AB175" s="401" t="n">
        <f aca="false">AB174*(1+Assumptions!$L$13/12)</f>
        <v>0.792365682080485</v>
      </c>
      <c r="AC175" s="401" t="n">
        <f aca="false">AC174</f>
        <v>0</v>
      </c>
      <c r="AD175" s="405" t="n">
        <f aca="false">AD174</f>
        <v>654.124550733522</v>
      </c>
      <c r="AE175" s="405" t="n">
        <f aca="false">AE174</f>
        <v>1780.92328465844</v>
      </c>
      <c r="AF175" s="392" t="n">
        <v>1</v>
      </c>
      <c r="AG175" s="406" t="n">
        <f aca="false">AG174</f>
        <v>0</v>
      </c>
      <c r="AH175" s="401" t="n">
        <f aca="false">Assumptions!$E$25*Assumptions!H20</f>
        <v>3.49984259933921</v>
      </c>
      <c r="AI175" s="401" t="n">
        <f aca="false">Assumptions!$F$25*Assumptions!I20</f>
        <v>3.62687277330215</v>
      </c>
      <c r="AJ175" s="401" t="n">
        <f aca="false">AJ174</f>
        <v>0</v>
      </c>
      <c r="AK175" s="401" t="n">
        <f aca="false">AK174</f>
        <v>0</v>
      </c>
      <c r="AL175" s="1"/>
    </row>
    <row r="176" customFormat="false" ht="12.75" hidden="false" customHeight="false" outlineLevel="0" collapsed="false">
      <c r="A176" s="400" t="n">
        <f aca="false">A175+30.417</f>
        <v>41558.805</v>
      </c>
      <c r="B176" s="401" t="n">
        <f aca="false">IF($B$9="Coal",AG176,IF($B$9="Gas",AH176,IF($B$9="Oil",AI176,0)))</f>
        <v>3.87608547675977</v>
      </c>
      <c r="C176" s="402" t="n">
        <f aca="false">(B176*$B$1*1000)/1000000</f>
        <v>43.8181566759241</v>
      </c>
      <c r="D176" s="401" t="n">
        <f aca="false">AB176+AC176</f>
        <v>0.793686291550619</v>
      </c>
      <c r="E176" s="401" t="n">
        <f aca="false">(($AJ176*$B$1*AD176*1000)/2000)/1000000</f>
        <v>0</v>
      </c>
      <c r="F176" s="401" t="n">
        <f aca="false">AF176*(($AK176*$B$1*AE176*1000)/2000)/1000000</f>
        <v>0</v>
      </c>
      <c r="G176" s="403" t="n">
        <f aca="false">IF('Peak Revenue'!$A$1="BL","-",SUM(C176:F176))</f>
        <v>44.6118429674747</v>
      </c>
      <c r="H176" s="411" t="n">
        <v>69.7077559304633</v>
      </c>
      <c r="I176" s="411" t="n">
        <v>67.3794776962106</v>
      </c>
      <c r="J176" s="411" t="n">
        <v>67.2016049020229</v>
      </c>
      <c r="K176" s="411" t="n">
        <v>67.017370820196</v>
      </c>
      <c r="L176" s="411" t="n">
        <v>59.8006655185536</v>
      </c>
      <c r="M176" s="411" t="n">
        <v>51.1566793754451</v>
      </c>
      <c r="N176" s="411" t="n">
        <v>47.2683891152593</v>
      </c>
      <c r="O176" s="411" t="n">
        <v>46.6332719293135</v>
      </c>
      <c r="P176" s="411" t="n">
        <v>44.8918501799374</v>
      </c>
      <c r="Q176" s="411" t="n">
        <v>44.2449819956923</v>
      </c>
      <c r="R176" s="411" t="n">
        <v>43.6554619671449</v>
      </c>
      <c r="S176" s="411" t="n">
        <v>43.1405123130313</v>
      </c>
      <c r="T176" s="411" t="n">
        <v>42.3877740216687</v>
      </c>
      <c r="U176" s="411" t="n">
        <v>40.556111916074</v>
      </c>
      <c r="V176" s="411" t="n">
        <v>38.4269450197283</v>
      </c>
      <c r="W176" s="411" t="n">
        <v>37.768700211907</v>
      </c>
      <c r="X176" s="411" t="n">
        <v>35.4709099917318</v>
      </c>
      <c r="Y176" s="411" t="n">
        <v>35.053390767422</v>
      </c>
      <c r="Z176" s="411" t="n">
        <v>34.3454737479501</v>
      </c>
      <c r="AA176" s="411" t="n">
        <v>33.409058290155</v>
      </c>
      <c r="AB176" s="401" t="n">
        <f aca="false">AB175*(1+Assumptions!$L$13/12)</f>
        <v>0.793686291550619</v>
      </c>
      <c r="AC176" s="401" t="n">
        <f aca="false">AC175</f>
        <v>0</v>
      </c>
      <c r="AD176" s="405" t="n">
        <f aca="false">AD175</f>
        <v>654.124550733522</v>
      </c>
      <c r="AE176" s="405" t="n">
        <f aca="false">AE175</f>
        <v>1780.92328465844</v>
      </c>
      <c r="AF176" s="392" t="n">
        <f aca="false">IF(Assumptions!D$25=1,0,1)</f>
        <v>1</v>
      </c>
      <c r="AG176" s="406" t="n">
        <f aca="false">AG175</f>
        <v>0</v>
      </c>
      <c r="AH176" s="401" t="n">
        <f aca="false">Assumptions!$E$25*Assumptions!H21</f>
        <v>3.87608547675977</v>
      </c>
      <c r="AI176" s="401" t="n">
        <f aca="false">Assumptions!$F$25*Assumptions!I21</f>
        <v>3.62687277330215</v>
      </c>
      <c r="AJ176" s="401" t="n">
        <f aca="false">AJ175</f>
        <v>0</v>
      </c>
      <c r="AK176" s="401" t="n">
        <f aca="false">AK175</f>
        <v>0</v>
      </c>
      <c r="AL176" s="1"/>
    </row>
    <row r="177" customFormat="false" ht="12.75" hidden="false" customHeight="false" outlineLevel="0" collapsed="false">
      <c r="A177" s="400" t="n">
        <f aca="false">A176+30.417</f>
        <v>41589.222</v>
      </c>
      <c r="B177" s="401" t="n">
        <f aca="false">IF($B$9="Coal",AG177,IF($B$9="Gas",AH177,IF($B$9="Oil",AI177,0)))</f>
        <v>4.24448996090074</v>
      </c>
      <c r="C177" s="402" t="n">
        <f aca="false">(B177*$B$1*1000)/1000000</f>
        <v>47.9828753084184</v>
      </c>
      <c r="D177" s="401" t="n">
        <f aca="false">AB177+AC177</f>
        <v>0.795009102036536</v>
      </c>
      <c r="E177" s="401" t="n">
        <f aca="false">(($AJ177*$B$1*AD177*1000)/2000)/1000000</f>
        <v>0</v>
      </c>
      <c r="F177" s="401" t="n">
        <f aca="false">AF177*(($AK177*$B$1*AE177*1000)/2000)/1000000</f>
        <v>0</v>
      </c>
      <c r="G177" s="403" t="n">
        <f aca="false">IF('Peak Revenue'!$A$1="BL","-",SUM(C177:F177))</f>
        <v>48.7778844104549</v>
      </c>
      <c r="H177" s="411" t="n">
        <v>164.424220530514</v>
      </c>
      <c r="I177" s="411" t="n">
        <v>156.805302256425</v>
      </c>
      <c r="J177" s="411" t="n">
        <v>151.610864472079</v>
      </c>
      <c r="K177" s="411" t="n">
        <v>119.152155392307</v>
      </c>
      <c r="L177" s="411" t="n">
        <v>82.6286182729625</v>
      </c>
      <c r="M177" s="411" t="n">
        <v>71.5592106207768</v>
      </c>
      <c r="N177" s="411" t="n">
        <v>65.6797388756896</v>
      </c>
      <c r="O177" s="411" t="n">
        <v>60.7649432682673</v>
      </c>
      <c r="P177" s="411" t="n">
        <v>59.9186625060055</v>
      </c>
      <c r="Q177" s="411" t="n">
        <v>57.3518604766038</v>
      </c>
      <c r="R177" s="411" t="n">
        <v>45.47297657021</v>
      </c>
      <c r="S177" s="411" t="n">
        <v>41.9603813387383</v>
      </c>
      <c r="T177" s="411" t="n">
        <v>37.3819880664136</v>
      </c>
      <c r="U177" s="411" t="n">
        <v>34.4835645369883</v>
      </c>
      <c r="V177" s="411" t="n">
        <v>34.2339238773377</v>
      </c>
      <c r="W177" s="411" t="n">
        <v>33.3554381512689</v>
      </c>
      <c r="X177" s="411" t="n">
        <v>32.3094160201127</v>
      </c>
      <c r="Y177" s="411" t="n">
        <v>31.4410697792365</v>
      </c>
      <c r="Z177" s="411" t="n">
        <v>30.7796106686066</v>
      </c>
      <c r="AA177" s="411" t="n">
        <v>30.3839549356997</v>
      </c>
      <c r="AB177" s="401" t="n">
        <f aca="false">AB176*(1+Assumptions!$L$13/12)</f>
        <v>0.795009102036536</v>
      </c>
      <c r="AC177" s="401" t="n">
        <f aca="false">AC176</f>
        <v>0</v>
      </c>
      <c r="AD177" s="405" t="n">
        <f aca="false">AD176</f>
        <v>654.124550733522</v>
      </c>
      <c r="AE177" s="405" t="n">
        <f aca="false">AE176</f>
        <v>1780.92328465844</v>
      </c>
      <c r="AF177" s="392" t="n">
        <f aca="false">IF(Assumptions!D$25=1,0,1)</f>
        <v>1</v>
      </c>
      <c r="AG177" s="406" t="n">
        <f aca="false">AG176</f>
        <v>0</v>
      </c>
      <c r="AH177" s="401" t="n">
        <f aca="false">Assumptions!$E$25*Assumptions!H22</f>
        <v>4.24448996090074</v>
      </c>
      <c r="AI177" s="401" t="n">
        <f aca="false">Assumptions!$F$25*Assumptions!I22</f>
        <v>3.93229363842233</v>
      </c>
      <c r="AJ177" s="401" t="n">
        <f aca="false">AJ176</f>
        <v>0</v>
      </c>
      <c r="AK177" s="401" t="n">
        <f aca="false">AK176</f>
        <v>0</v>
      </c>
      <c r="AL177" s="1"/>
    </row>
    <row r="178" customFormat="false" ht="12.75" hidden="false" customHeight="false" outlineLevel="0" collapsed="false">
      <c r="A178" s="400" t="n">
        <f aca="false">A177+30.417</f>
        <v>41619.639</v>
      </c>
      <c r="B178" s="401" t="n">
        <f aca="false">IF($B$9="Coal",AG178,IF($B$9="Gas",AH178,IF($B$9="Oil",AI178,0)))</f>
        <v>4.59329846184272</v>
      </c>
      <c r="C178" s="402" t="n">
        <f aca="false">(B178*$B$1*1000)/1000000</f>
        <v>51.9260663540779</v>
      </c>
      <c r="D178" s="401" t="n">
        <f aca="false">AB178+AC178</f>
        <v>0.796334117206597</v>
      </c>
      <c r="E178" s="401" t="n">
        <f aca="false">(($AJ178*$B$1*AD178*1000)/2000)/1000000</f>
        <v>0</v>
      </c>
      <c r="F178" s="401" t="n">
        <f aca="false">AF178*(($AK178*$B$1*AE178*1000)/2000)/1000000</f>
        <v>0</v>
      </c>
      <c r="G178" s="403" t="n">
        <f aca="false">IF('Peak Revenue'!$A$1="BL","-",SUM(C178:F178))</f>
        <v>52.7224004712845</v>
      </c>
      <c r="H178" s="411" t="n">
        <v>164.596915096147</v>
      </c>
      <c r="I178" s="411" t="n">
        <v>157.440732637368</v>
      </c>
      <c r="J178" s="411" t="n">
        <v>152.398079899687</v>
      </c>
      <c r="K178" s="411" t="n">
        <v>132.346052847185</v>
      </c>
      <c r="L178" s="411" t="n">
        <v>92.9715942039913</v>
      </c>
      <c r="M178" s="411" t="n">
        <v>80.1088007923171</v>
      </c>
      <c r="N178" s="411" t="n">
        <v>74.478592059869</v>
      </c>
      <c r="O178" s="411" t="n">
        <v>69.0442990534638</v>
      </c>
      <c r="P178" s="411" t="n">
        <v>67.220421680113</v>
      </c>
      <c r="Q178" s="411" t="n">
        <v>66.5413413638429</v>
      </c>
      <c r="R178" s="411" t="n">
        <v>57.0717781532139</v>
      </c>
      <c r="S178" s="411" t="n">
        <v>46.9325418365788</v>
      </c>
      <c r="T178" s="411" t="n">
        <v>40.9959056681318</v>
      </c>
      <c r="U178" s="411" t="n">
        <v>38.1842248960603</v>
      </c>
      <c r="V178" s="411" t="n">
        <v>36.5886518258764</v>
      </c>
      <c r="W178" s="411" t="n">
        <v>34.1524805557863</v>
      </c>
      <c r="X178" s="411" t="n">
        <v>33.9599126447614</v>
      </c>
      <c r="Y178" s="411" t="n">
        <v>33.7254763162694</v>
      </c>
      <c r="Z178" s="411" t="n">
        <v>33.6172767108378</v>
      </c>
      <c r="AA178" s="411" t="n">
        <v>33.2567387848796</v>
      </c>
      <c r="AB178" s="401" t="n">
        <f aca="false">AB177*(1+Assumptions!$L$13/12)</f>
        <v>0.796334117206597</v>
      </c>
      <c r="AC178" s="401" t="n">
        <f aca="false">AC177</f>
        <v>0</v>
      </c>
      <c r="AD178" s="405" t="n">
        <f aca="false">AD177</f>
        <v>654.124550733522</v>
      </c>
      <c r="AE178" s="405" t="n">
        <f aca="false">AE177</f>
        <v>1780.92328465844</v>
      </c>
      <c r="AF178" s="392" t="n">
        <f aca="false">IF(Assumptions!D$25=1,0,1)</f>
        <v>1</v>
      </c>
      <c r="AG178" s="406" t="n">
        <f aca="false">AG177</f>
        <v>0</v>
      </c>
      <c r="AH178" s="401" t="n">
        <f aca="false">Assumptions!$E$25*Assumptions!H23</f>
        <v>4.59329846184272</v>
      </c>
      <c r="AI178" s="401" t="n">
        <f aca="false">Assumptions!$F$25*Assumptions!I23</f>
        <v>4.12318167912245</v>
      </c>
      <c r="AJ178" s="401" t="n">
        <f aca="false">AJ177</f>
        <v>0</v>
      </c>
      <c r="AK178" s="401" t="n">
        <f aca="false">AK177</f>
        <v>0</v>
      </c>
      <c r="AL178" s="1"/>
    </row>
    <row r="179" customFormat="false" ht="12.75" hidden="false" customHeight="false" outlineLevel="0" collapsed="false">
      <c r="A179" s="400" t="n">
        <f aca="false">A178+30.417</f>
        <v>41650.056</v>
      </c>
      <c r="B179" s="401" t="n">
        <f aca="false">IF($B$9="Coal",AG179,IF($B$9="Gas",AH179,IF($B$9="Oil",AI179,0)))</f>
        <v>4.44606979155667</v>
      </c>
      <c r="C179" s="402" t="n">
        <f aca="false">(B179*$B$1*1000)/1000000</f>
        <v>50.2616838267929</v>
      </c>
      <c r="D179" s="401" t="n">
        <f aca="false">AB179+AC179</f>
        <v>0.797661340735275</v>
      </c>
      <c r="E179" s="401" t="n">
        <f aca="false">(($AJ179*$B$1*AD179*1000)/2000)/1000000</f>
        <v>0</v>
      </c>
      <c r="F179" s="401" t="n">
        <f aca="false">AF179*(($AK179*$B$1*AE179*1000)/2000)/1000000</f>
        <v>0</v>
      </c>
      <c r="G179" s="403" t="n">
        <f aca="false">IF('Peak Revenue'!$A$1="BL","-",SUM(C179:F179))</f>
        <v>51.0593451675282</v>
      </c>
      <c r="H179" s="411" t="n">
        <v>109.826033190456</v>
      </c>
      <c r="I179" s="411" t="n">
        <v>104.555850660256</v>
      </c>
      <c r="J179" s="411" t="n">
        <v>99.4948499709411</v>
      </c>
      <c r="K179" s="411" t="n">
        <v>93.0435314425725</v>
      </c>
      <c r="L179" s="411" t="n">
        <v>90.6340973340462</v>
      </c>
      <c r="M179" s="411" t="n">
        <v>88.8061119291921</v>
      </c>
      <c r="N179" s="411" t="n">
        <v>70.7726966204154</v>
      </c>
      <c r="O179" s="411" t="n">
        <v>60.1720645290395</v>
      </c>
      <c r="P179" s="411" t="n">
        <v>51.362452309757</v>
      </c>
      <c r="Q179" s="411" t="n">
        <v>50.5709271124831</v>
      </c>
      <c r="R179" s="411" t="n">
        <v>46.1259027519111</v>
      </c>
      <c r="S179" s="411" t="n">
        <v>43.4389260512395</v>
      </c>
      <c r="T179" s="411" t="n">
        <v>43.2209037137904</v>
      </c>
      <c r="U179" s="411" t="n">
        <v>43.2209002851635</v>
      </c>
      <c r="V179" s="411" t="n">
        <v>43.2209002851635</v>
      </c>
      <c r="W179" s="411" t="n">
        <v>43.2208143002468</v>
      </c>
      <c r="X179" s="411" t="n">
        <v>43.2207746384691</v>
      </c>
      <c r="Y179" s="411" t="n">
        <v>43.2205766914748</v>
      </c>
      <c r="Z179" s="411" t="n">
        <v>43.0927404695228</v>
      </c>
      <c r="AA179" s="411" t="n">
        <v>39.884316048371</v>
      </c>
      <c r="AB179" s="401" t="n">
        <f aca="false">AB178*(1+Assumptions!$L$13/12)</f>
        <v>0.797661340735275</v>
      </c>
      <c r="AC179" s="401" t="n">
        <f aca="false">VLOOKUP($C$1,EnvVOM,17)</f>
        <v>0</v>
      </c>
      <c r="AD179" s="405" t="n">
        <f aca="false">Assumptions!B26</f>
        <v>728.142699152122</v>
      </c>
      <c r="AE179" s="405" t="n">
        <f aca="false">Assumptions!C26</f>
        <v>1844.59962418705</v>
      </c>
      <c r="AF179" s="392" t="n">
        <f aca="false">IF(Assumptions!D$26=1,0,1)</f>
        <v>1</v>
      </c>
      <c r="AG179" s="406" t="n">
        <f aca="false">VLOOKUP($C$1,Coal,17)</f>
        <v>0</v>
      </c>
      <c r="AH179" s="401" t="n">
        <f aca="false">Assumptions!$E$26*Assumptions!H12</f>
        <v>4.44606979155667</v>
      </c>
      <c r="AI179" s="401" t="n">
        <f aca="false">Assumptions!$F$26*Assumptions!I12</f>
        <v>4.11706676822558</v>
      </c>
      <c r="AJ179" s="401" t="n">
        <f aca="false">VLOOKUP($C$1,SO2Rate,17)</f>
        <v>0</v>
      </c>
      <c r="AK179" s="401" t="n">
        <f aca="false">VLOOKUP($C$1,NOxRate,17)</f>
        <v>0</v>
      </c>
      <c r="AL179" s="1"/>
    </row>
    <row r="180" customFormat="false" ht="12.75" hidden="false" customHeight="false" outlineLevel="0" collapsed="false">
      <c r="A180" s="400" t="n">
        <f aca="false">A179+30.417</f>
        <v>41680.473</v>
      </c>
      <c r="B180" s="401" t="n">
        <f aca="false">IF($B$9="Coal",AG180,IF($B$9="Gas",AH180,IF($B$9="Oil",AI180,0)))</f>
        <v>3.98490829721968</v>
      </c>
      <c r="C180" s="402" t="n">
        <f aca="false">(B180*$B$1*1000)/1000000</f>
        <v>45.0483708766734</v>
      </c>
      <c r="D180" s="401" t="n">
        <f aca="false">AB180+AC180</f>
        <v>0.798990776303167</v>
      </c>
      <c r="E180" s="401" t="n">
        <f aca="false">(($AJ180*$B$1*AD180*1000)/2000)/1000000</f>
        <v>0</v>
      </c>
      <c r="F180" s="401" t="n">
        <f aca="false">AF180*(($AK180*$B$1*AE180*1000)/2000)/1000000</f>
        <v>0</v>
      </c>
      <c r="G180" s="403" t="n">
        <f aca="false">IF('Peak Revenue'!$A$1="BL","-",SUM(C180:F180))</f>
        <v>45.8473616529766</v>
      </c>
      <c r="H180" s="411" t="n">
        <v>155.975912881104</v>
      </c>
      <c r="I180" s="411" t="n">
        <v>150.630597674267</v>
      </c>
      <c r="J180" s="411" t="n">
        <v>146.609126518782</v>
      </c>
      <c r="K180" s="411" t="n">
        <v>115.789115406064</v>
      </c>
      <c r="L180" s="411" t="n">
        <v>91.3162829859699</v>
      </c>
      <c r="M180" s="411" t="n">
        <v>83.743631408923</v>
      </c>
      <c r="N180" s="411" t="n">
        <v>79.250971427649</v>
      </c>
      <c r="O180" s="411" t="n">
        <v>77.4898718354542</v>
      </c>
      <c r="P180" s="411" t="n">
        <v>62.2178893594862</v>
      </c>
      <c r="Q180" s="411" t="n">
        <v>53.6934003172816</v>
      </c>
      <c r="R180" s="411" t="n">
        <v>45.866944944736</v>
      </c>
      <c r="S180" s="411" t="n">
        <v>44.5977260123658</v>
      </c>
      <c r="T180" s="411" t="n">
        <v>42.017699872432</v>
      </c>
      <c r="U180" s="411" t="n">
        <v>39.5958112217747</v>
      </c>
      <c r="V180" s="411" t="n">
        <v>39.0253437326016</v>
      </c>
      <c r="W180" s="411" t="n">
        <v>38.6914774756445</v>
      </c>
      <c r="X180" s="411" t="n">
        <v>38.6041066019851</v>
      </c>
      <c r="Y180" s="411" t="n">
        <v>38.317360727731</v>
      </c>
      <c r="Z180" s="411" t="n">
        <v>38.2899914366552</v>
      </c>
      <c r="AA180" s="411" t="n">
        <v>36.8194250873944</v>
      </c>
      <c r="AB180" s="401" t="n">
        <f aca="false">AB179*(1+Assumptions!$L$13/12)</f>
        <v>0.798990776303167</v>
      </c>
      <c r="AC180" s="401" t="n">
        <f aca="false">AC179</f>
        <v>0</v>
      </c>
      <c r="AD180" s="405" t="n">
        <f aca="false">AD179</f>
        <v>728.142699152122</v>
      </c>
      <c r="AE180" s="405" t="n">
        <f aca="false">AE179</f>
        <v>1844.59962418705</v>
      </c>
      <c r="AF180" s="392" t="n">
        <f aca="false">IF(Assumptions!D$26=1,0,1)</f>
        <v>1</v>
      </c>
      <c r="AG180" s="406" t="n">
        <f aca="false">AG179</f>
        <v>0</v>
      </c>
      <c r="AH180" s="401" t="n">
        <f aca="false">Assumptions!$E$26*Assumptions!H13</f>
        <v>3.98490829721968</v>
      </c>
      <c r="AI180" s="401" t="n">
        <f aca="false">Assumptions!$F$26*Assumptions!I13</f>
        <v>4.0789457796309</v>
      </c>
      <c r="AJ180" s="401" t="n">
        <f aca="false">AJ179</f>
        <v>0</v>
      </c>
      <c r="AK180" s="401" t="n">
        <f aca="false">AK179</f>
        <v>0</v>
      </c>
      <c r="AL180" s="1"/>
    </row>
    <row r="181" customFormat="false" ht="12.75" hidden="false" customHeight="false" outlineLevel="0" collapsed="false">
      <c r="A181" s="400" t="n">
        <f aca="false">A180+30.417</f>
        <v>41710.89</v>
      </c>
      <c r="B181" s="401" t="n">
        <f aca="false">IF($B$9="Coal",AG181,IF($B$9="Gas",AH181,IF($B$9="Oil",AI181,0)))</f>
        <v>3.91790192624764</v>
      </c>
      <c r="C181" s="402" t="n">
        <f aca="false">(B181*$B$1*1000)/1000000</f>
        <v>44.2908809608441</v>
      </c>
      <c r="D181" s="401" t="n">
        <f aca="false">AB181+AC181</f>
        <v>0.800322427597006</v>
      </c>
      <c r="E181" s="401" t="n">
        <f aca="false">(($AJ181*$B$1*AD181*1000)/2000)/1000000</f>
        <v>0</v>
      </c>
      <c r="F181" s="401" t="n">
        <f aca="false">AF181*(($AK181*$B$1*AE181*1000)/2000)/1000000</f>
        <v>0</v>
      </c>
      <c r="G181" s="403" t="n">
        <f aca="false">IF('Peak Revenue'!$A$1="BL","-",SUM(C181:F181))</f>
        <v>45.0912033884411</v>
      </c>
      <c r="H181" s="411" t="n">
        <v>100.78357170344</v>
      </c>
      <c r="I181" s="411" t="n">
        <v>97.0944780085285</v>
      </c>
      <c r="J181" s="411" t="n">
        <v>89.8321529786941</v>
      </c>
      <c r="K181" s="411" t="n">
        <v>80.3417224536171</v>
      </c>
      <c r="L181" s="411" t="n">
        <v>76.8859922871691</v>
      </c>
      <c r="M181" s="411" t="n">
        <v>72.3800593625283</v>
      </c>
      <c r="N181" s="411" t="n">
        <v>70.6668858542157</v>
      </c>
      <c r="O181" s="411" t="n">
        <v>69.6219278718487</v>
      </c>
      <c r="P181" s="411" t="n">
        <v>53.1692463104114</v>
      </c>
      <c r="Q181" s="411" t="n">
        <v>48.5622804849637</v>
      </c>
      <c r="R181" s="411" t="n">
        <v>46.9342936572097</v>
      </c>
      <c r="S181" s="411" t="n">
        <v>44.2602887189411</v>
      </c>
      <c r="T181" s="411" t="n">
        <v>36.6659106172728</v>
      </c>
      <c r="U181" s="411" t="n">
        <v>34.6819132059285</v>
      </c>
      <c r="V181" s="411" t="n">
        <v>34.6075591352703</v>
      </c>
      <c r="W181" s="411" t="n">
        <v>34.6075591352703</v>
      </c>
      <c r="X181" s="411" t="n">
        <v>34.6073614325961</v>
      </c>
      <c r="Y181" s="411" t="n">
        <v>34.6072940693039</v>
      </c>
      <c r="Z181" s="411" t="n">
        <v>34.6071748645948</v>
      </c>
      <c r="AA181" s="411" t="n">
        <v>32.3900988176336</v>
      </c>
      <c r="AB181" s="401" t="n">
        <f aca="false">AB180*(1+Assumptions!$L$13/12)</f>
        <v>0.800322427597006</v>
      </c>
      <c r="AC181" s="401" t="n">
        <f aca="false">AC180</f>
        <v>0</v>
      </c>
      <c r="AD181" s="405" t="n">
        <f aca="false">AD180</f>
        <v>728.142699152122</v>
      </c>
      <c r="AE181" s="405" t="n">
        <f aca="false">AE180</f>
        <v>1844.59962418705</v>
      </c>
      <c r="AF181" s="392" t="n">
        <f aca="false">IF(Assumptions!D$26=1,0,1)</f>
        <v>1</v>
      </c>
      <c r="AG181" s="406" t="n">
        <f aca="false">AG180</f>
        <v>0</v>
      </c>
      <c r="AH181" s="401" t="n">
        <f aca="false">Assumptions!$E$26*Assumptions!H14</f>
        <v>3.91790192624764</v>
      </c>
      <c r="AI181" s="401" t="n">
        <f aca="false">Assumptions!$F$26*Assumptions!I14</f>
        <v>3.92646182525217</v>
      </c>
      <c r="AJ181" s="401" t="n">
        <f aca="false">AJ180</f>
        <v>0</v>
      </c>
      <c r="AK181" s="401" t="n">
        <f aca="false">AK180</f>
        <v>0</v>
      </c>
      <c r="AL181" s="1"/>
    </row>
    <row r="182" customFormat="false" ht="12.75" hidden="false" customHeight="false" outlineLevel="0" collapsed="false">
      <c r="A182" s="400" t="n">
        <f aca="false">A181+30.417</f>
        <v>41741.307</v>
      </c>
      <c r="B182" s="401" t="n">
        <f aca="false">IF($B$9="Coal",AG182,IF($B$9="Gas",AH182,IF($B$9="Oil",AI182,0)))</f>
        <v>3.72476591579881</v>
      </c>
      <c r="C182" s="402" t="n">
        <f aca="false">(B182*$B$1*1000)/1000000</f>
        <v>42.1075276740419</v>
      </c>
      <c r="D182" s="401" t="n">
        <f aca="false">AB182+AC182</f>
        <v>0.801656298309667</v>
      </c>
      <c r="E182" s="401" t="n">
        <f aca="false">(($AJ182*$B$1*AD182*1000)/2000)/1000000</f>
        <v>0</v>
      </c>
      <c r="F182" s="401" t="n">
        <f aca="false">AF182*(($AK182*$B$1*AE182*1000)/2000)/1000000</f>
        <v>0</v>
      </c>
      <c r="G182" s="403" t="n">
        <f aca="false">IF('Peak Revenue'!$A$1="BL","-",SUM(C182:F182))</f>
        <v>42.9091839723516</v>
      </c>
      <c r="H182" s="411" t="n">
        <v>142.073626766752</v>
      </c>
      <c r="I182" s="411" t="n">
        <v>98.3609757116996</v>
      </c>
      <c r="J182" s="411" t="n">
        <v>70.319777232617</v>
      </c>
      <c r="K182" s="411" t="n">
        <v>65.1202439529773</v>
      </c>
      <c r="L182" s="411" t="n">
        <v>60.935432836931</v>
      </c>
      <c r="M182" s="411" t="n">
        <v>58.3640030518482</v>
      </c>
      <c r="N182" s="411" t="n">
        <v>57.8066507219746</v>
      </c>
      <c r="O182" s="411" t="n">
        <v>52.1017503536127</v>
      </c>
      <c r="P182" s="411" t="n">
        <v>46.3065054914597</v>
      </c>
      <c r="Q182" s="411" t="n">
        <v>42.4292781569401</v>
      </c>
      <c r="R182" s="411" t="n">
        <v>41.4917629139355</v>
      </c>
      <c r="S182" s="411" t="n">
        <v>40.6667472076199</v>
      </c>
      <c r="T182" s="411" t="n">
        <v>39.0058254853837</v>
      </c>
      <c r="U182" s="411" t="n">
        <v>37.1123681488675</v>
      </c>
      <c r="V182" s="411" t="n">
        <v>35.5022700968434</v>
      </c>
      <c r="W182" s="411" t="n">
        <v>34.1047204561994</v>
      </c>
      <c r="X182" s="411" t="n">
        <v>33.4075510269663</v>
      </c>
      <c r="Y182" s="411" t="n">
        <v>32.6080508300924</v>
      </c>
      <c r="Z182" s="411" t="n">
        <v>31.4039258888181</v>
      </c>
      <c r="AA182" s="411" t="n">
        <v>30.4031831310758</v>
      </c>
      <c r="AB182" s="401" t="n">
        <f aca="false">AB181*(1+Assumptions!$L$13/12)</f>
        <v>0.801656298309667</v>
      </c>
      <c r="AC182" s="401" t="n">
        <f aca="false">AC181</f>
        <v>0</v>
      </c>
      <c r="AD182" s="405" t="n">
        <f aca="false">AD181</f>
        <v>728.142699152122</v>
      </c>
      <c r="AE182" s="405" t="n">
        <f aca="false">AE181</f>
        <v>1844.59962418705</v>
      </c>
      <c r="AF182" s="392" t="n">
        <f aca="false">IF(Assumptions!D$26=1,0,1)</f>
        <v>1</v>
      </c>
      <c r="AG182" s="406" t="n">
        <f aca="false">AG181</f>
        <v>0</v>
      </c>
      <c r="AH182" s="401" t="n">
        <f aca="false">Assumptions!$E$26*Assumptions!H15</f>
        <v>3.72476591579881</v>
      </c>
      <c r="AI182" s="401" t="n">
        <f aca="false">Assumptions!$F$26*Assumptions!I15</f>
        <v>3.77397787087345</v>
      </c>
      <c r="AJ182" s="401" t="n">
        <f aca="false">AJ181</f>
        <v>0</v>
      </c>
      <c r="AK182" s="401" t="n">
        <f aca="false">AK181</f>
        <v>0</v>
      </c>
      <c r="AL182" s="1"/>
    </row>
    <row r="183" customFormat="false" ht="12.75" hidden="false" customHeight="false" outlineLevel="0" collapsed="false">
      <c r="A183" s="400" t="n">
        <f aca="false">A182+30.417</f>
        <v>41771.724</v>
      </c>
      <c r="B183" s="401" t="n">
        <f aca="false">IF($B$9="Coal",AG183,IF($B$9="Gas",AH183,IF($B$9="Oil",AI183,0)))</f>
        <v>3.92184347748129</v>
      </c>
      <c r="C183" s="402" t="n">
        <f aca="false">(B183*$B$1*1000)/1000000</f>
        <v>44.335439191187</v>
      </c>
      <c r="D183" s="401" t="n">
        <f aca="false">AB183+AC183</f>
        <v>0.802992392140184</v>
      </c>
      <c r="E183" s="401" t="n">
        <f aca="false">(($AJ183*$B$1*AD183*1000)/2000)/1000000</f>
        <v>0</v>
      </c>
      <c r="F183" s="401" t="n">
        <f aca="false">AF183*(($AK183*$B$1*AE183*1000)/2000)/1000000</f>
        <v>0</v>
      </c>
      <c r="G183" s="403" t="n">
        <f aca="false">IF('Peak Revenue'!$A$1="BL","-",SUM(C183:F183))</f>
        <v>45.1384315833272</v>
      </c>
      <c r="H183" s="411" t="n">
        <v>116.391545867172</v>
      </c>
      <c r="I183" s="411" t="n">
        <v>88.5867905788528</v>
      </c>
      <c r="J183" s="411" t="n">
        <v>72.1850905429504</v>
      </c>
      <c r="K183" s="411" t="n">
        <v>65.9116733629336</v>
      </c>
      <c r="L183" s="411" t="n">
        <v>60.5276876173624</v>
      </c>
      <c r="M183" s="411" t="n">
        <v>59.5660309372255</v>
      </c>
      <c r="N183" s="411" t="n">
        <v>52.5508185534577</v>
      </c>
      <c r="O183" s="411" t="n">
        <v>46.5186288965433</v>
      </c>
      <c r="P183" s="411" t="n">
        <v>43.6783769263151</v>
      </c>
      <c r="Q183" s="411" t="n">
        <v>42.5714035566061</v>
      </c>
      <c r="R183" s="411" t="n">
        <v>41.9664308884609</v>
      </c>
      <c r="S183" s="411" t="n">
        <v>40.6291997625634</v>
      </c>
      <c r="T183" s="411" t="n">
        <v>38.4722820502667</v>
      </c>
      <c r="U183" s="411" t="n">
        <v>36.0845957430726</v>
      </c>
      <c r="V183" s="411" t="n">
        <v>34.6779007001306</v>
      </c>
      <c r="W183" s="411" t="n">
        <v>34.305942226551</v>
      </c>
      <c r="X183" s="411" t="n">
        <v>34.0955004067526</v>
      </c>
      <c r="Y183" s="411" t="n">
        <v>33.5817855566301</v>
      </c>
      <c r="Z183" s="411" t="n">
        <v>33.1593004315143</v>
      </c>
      <c r="AA183" s="411" t="n">
        <v>32.3390174265859</v>
      </c>
      <c r="AB183" s="401" t="n">
        <f aca="false">AB182*(1+Assumptions!$L$13/12)</f>
        <v>0.802992392140184</v>
      </c>
      <c r="AC183" s="401" t="n">
        <f aca="false">AC182</f>
        <v>0</v>
      </c>
      <c r="AD183" s="405" t="n">
        <f aca="false">AD182</f>
        <v>728.142699152122</v>
      </c>
      <c r="AE183" s="405" t="n">
        <f aca="false">AE182</f>
        <v>1844.59962418705</v>
      </c>
      <c r="AF183" s="392" t="n">
        <v>1</v>
      </c>
      <c r="AG183" s="406" t="n">
        <f aca="false">AG182</f>
        <v>0</v>
      </c>
      <c r="AH183" s="401" t="n">
        <f aca="false">Assumptions!$E$26*Assumptions!H16</f>
        <v>3.92184347748129</v>
      </c>
      <c r="AI183" s="401" t="n">
        <f aca="false">Assumptions!$F$26*Assumptions!I16</f>
        <v>3.62149391649472</v>
      </c>
      <c r="AJ183" s="401" t="n">
        <f aca="false">AJ182</f>
        <v>0</v>
      </c>
      <c r="AK183" s="401" t="n">
        <f aca="false">AK182</f>
        <v>0</v>
      </c>
      <c r="AL183" s="1"/>
    </row>
    <row r="184" customFormat="false" ht="12.75" hidden="false" customHeight="false" outlineLevel="0" collapsed="false">
      <c r="A184" s="400" t="n">
        <f aca="false">A183+30.417</f>
        <v>41802.141</v>
      </c>
      <c r="B184" s="401" t="n">
        <f aca="false">IF($B$9="Coal",AG184,IF($B$9="Gas",AH184,IF($B$9="Oil",AI184,0)))</f>
        <v>3.73659056949976</v>
      </c>
      <c r="C184" s="402" t="n">
        <f aca="false">(B184*$B$1*1000)/1000000</f>
        <v>42.2412023650706</v>
      </c>
      <c r="D184" s="401" t="n">
        <f aca="false">AB184+AC184</f>
        <v>0.804330712793751</v>
      </c>
      <c r="E184" s="401" t="n">
        <f aca="false">(($AJ184*$B$1*AD184*1000)/2000)/1000000</f>
        <v>0</v>
      </c>
      <c r="F184" s="401" t="n">
        <f aca="false">AF184*(($AK184*$B$1*AE184*1000)/2000)/1000000</f>
        <v>0</v>
      </c>
      <c r="G184" s="403" t="n">
        <f aca="false">IF('Peak Revenue'!$A$1="BL","-",SUM(C184:F184))</f>
        <v>43.0455330778644</v>
      </c>
      <c r="H184" s="411" t="n">
        <v>206.237076498385</v>
      </c>
      <c r="I184" s="411" t="n">
        <v>188.858693984259</v>
      </c>
      <c r="J184" s="411" t="n">
        <v>174.840678918967</v>
      </c>
      <c r="K184" s="411" t="n">
        <v>158.313920230229</v>
      </c>
      <c r="L184" s="411" t="n">
        <v>144.185392309176</v>
      </c>
      <c r="M184" s="411" t="n">
        <v>77.0033750880776</v>
      </c>
      <c r="N184" s="411" t="n">
        <v>62.8781928087567</v>
      </c>
      <c r="O184" s="411" t="n">
        <v>59.1307281883281</v>
      </c>
      <c r="P184" s="411" t="n">
        <v>44.7731463104909</v>
      </c>
      <c r="Q184" s="411" t="n">
        <v>38.8377452454943</v>
      </c>
      <c r="R184" s="411" t="n">
        <v>35.3366989119725</v>
      </c>
      <c r="S184" s="411" t="n">
        <v>34.8546946077916</v>
      </c>
      <c r="T184" s="411" t="n">
        <v>33.7645010593231</v>
      </c>
      <c r="U184" s="411" t="n">
        <v>32.2309035789795</v>
      </c>
      <c r="V184" s="411" t="n">
        <v>30.876866273163</v>
      </c>
      <c r="W184" s="411" t="n">
        <v>30.643844969095</v>
      </c>
      <c r="X184" s="411" t="n">
        <v>30.643827954183</v>
      </c>
      <c r="Y184" s="411" t="n">
        <v>30.6436584717348</v>
      </c>
      <c r="Z184" s="411" t="n">
        <v>30.6432925911657</v>
      </c>
      <c r="AA184" s="411" t="n">
        <v>29.9344770627262</v>
      </c>
      <c r="AB184" s="401" t="n">
        <f aca="false">AB183*(1+Assumptions!$L$13/12)</f>
        <v>0.804330712793751</v>
      </c>
      <c r="AC184" s="401" t="n">
        <f aca="false">AC183</f>
        <v>0</v>
      </c>
      <c r="AD184" s="405" t="n">
        <f aca="false">AD183</f>
        <v>728.142699152122</v>
      </c>
      <c r="AE184" s="405" t="n">
        <f aca="false">AE183</f>
        <v>1844.59962418705</v>
      </c>
      <c r="AF184" s="392" t="n">
        <v>1</v>
      </c>
      <c r="AG184" s="406" t="n">
        <f aca="false">AG183</f>
        <v>0</v>
      </c>
      <c r="AH184" s="401" t="n">
        <f aca="false">Assumptions!$E$26*Assumptions!H17</f>
        <v>3.73659056949976</v>
      </c>
      <c r="AI184" s="401" t="n">
        <f aca="false">Assumptions!$F$26*Assumptions!I17</f>
        <v>3.62149391649472</v>
      </c>
      <c r="AJ184" s="401" t="n">
        <f aca="false">AJ183</f>
        <v>0</v>
      </c>
      <c r="AK184" s="401" t="n">
        <f aca="false">AK183</f>
        <v>0</v>
      </c>
      <c r="AL184" s="1"/>
    </row>
    <row r="185" customFormat="false" ht="12.75" hidden="false" customHeight="false" outlineLevel="0" collapsed="false">
      <c r="A185" s="400" t="n">
        <f aca="false">A184+30.417</f>
        <v>41832.558</v>
      </c>
      <c r="B185" s="401" t="n">
        <f aca="false">IF($B$9="Coal",AG185,IF($B$9="Gas",AH185,IF($B$9="Oil",AI185,0)))</f>
        <v>3.72476591579881</v>
      </c>
      <c r="C185" s="402" t="n">
        <f aca="false">(B185*$B$1*1000)/1000000</f>
        <v>42.1075276740419</v>
      </c>
      <c r="D185" s="401" t="n">
        <f aca="false">AB185+AC185</f>
        <v>0.80567126398174</v>
      </c>
      <c r="E185" s="401" t="n">
        <f aca="false">(($AJ185*$B$1*AD185*1000)/2000)/1000000</f>
        <v>0</v>
      </c>
      <c r="F185" s="401" t="n">
        <f aca="false">AF185*(($AK185*$B$1*AE185*1000)/2000)/1000000</f>
        <v>0</v>
      </c>
      <c r="G185" s="403" t="n">
        <f aca="false">IF('Peak Revenue'!$A$1="BL","-",SUM(C185:F185))</f>
        <v>42.9131989380237</v>
      </c>
      <c r="H185" s="411" t="n">
        <v>315.512426616239</v>
      </c>
      <c r="I185" s="411" t="n">
        <v>235.679468771443</v>
      </c>
      <c r="J185" s="411" t="n">
        <v>216.454387397608</v>
      </c>
      <c r="K185" s="411" t="n">
        <v>195.040033753732</v>
      </c>
      <c r="L185" s="411" t="n">
        <v>178.346055375474</v>
      </c>
      <c r="M185" s="411" t="n">
        <v>161.395167707968</v>
      </c>
      <c r="N185" s="411" t="n">
        <v>139.681419147346</v>
      </c>
      <c r="O185" s="411" t="n">
        <v>52.6481527124812</v>
      </c>
      <c r="P185" s="411" t="n">
        <v>47.2782127283804</v>
      </c>
      <c r="Q185" s="411" t="n">
        <v>45.2524866102374</v>
      </c>
      <c r="R185" s="411" t="n">
        <v>42.5442022309338</v>
      </c>
      <c r="S185" s="411" t="n">
        <v>38.5663799099725</v>
      </c>
      <c r="T185" s="411" t="n">
        <v>35.7730108273892</v>
      </c>
      <c r="U185" s="411" t="n">
        <v>34.6620393069931</v>
      </c>
      <c r="V185" s="411" t="n">
        <v>33.5620652611319</v>
      </c>
      <c r="W185" s="411" t="n">
        <v>33.0798381175274</v>
      </c>
      <c r="X185" s="411" t="n">
        <v>32.3618035399884</v>
      </c>
      <c r="Y185" s="411" t="n">
        <v>31.8337744047921</v>
      </c>
      <c r="Z185" s="411" t="n">
        <v>30.4978466553051</v>
      </c>
      <c r="AA185" s="411" t="n">
        <v>27.8217141057509</v>
      </c>
      <c r="AB185" s="401" t="n">
        <f aca="false">AB184*(1+Assumptions!$L$13/12)</f>
        <v>0.80567126398174</v>
      </c>
      <c r="AC185" s="401" t="n">
        <f aca="false">AC184</f>
        <v>0</v>
      </c>
      <c r="AD185" s="405" t="n">
        <f aca="false">AD184</f>
        <v>728.142699152122</v>
      </c>
      <c r="AE185" s="405" t="n">
        <f aca="false">AE184</f>
        <v>1844.59962418705</v>
      </c>
      <c r="AF185" s="392" t="n">
        <v>1</v>
      </c>
      <c r="AG185" s="406" t="n">
        <f aca="false">AG184</f>
        <v>0</v>
      </c>
      <c r="AH185" s="401" t="n">
        <f aca="false">Assumptions!$E$26*Assumptions!H18</f>
        <v>3.72476591579881</v>
      </c>
      <c r="AI185" s="401" t="n">
        <f aca="false">Assumptions!$F$26*Assumptions!I18</f>
        <v>3.62149391649472</v>
      </c>
      <c r="AJ185" s="401" t="n">
        <f aca="false">AJ184</f>
        <v>0</v>
      </c>
      <c r="AK185" s="401" t="n">
        <f aca="false">AK184</f>
        <v>0</v>
      </c>
      <c r="AL185" s="1"/>
    </row>
    <row r="186" customFormat="false" ht="12.75" hidden="false" customHeight="false" outlineLevel="0" collapsed="false">
      <c r="A186" s="400" t="n">
        <f aca="false">A185+30.417</f>
        <v>41862.975</v>
      </c>
      <c r="B186" s="401" t="n">
        <f aca="false">IF($B$9="Coal",AG186,IF($B$9="Gas",AH186,IF($B$9="Oil",AI186,0)))</f>
        <v>3.53162990534998</v>
      </c>
      <c r="C186" s="402" t="n">
        <f aca="false">(B186*$B$1*1000)/1000000</f>
        <v>39.9241743872398</v>
      </c>
      <c r="D186" s="401" t="n">
        <f aca="false">AB186+AC186</f>
        <v>0.80701404942171</v>
      </c>
      <c r="E186" s="401" t="n">
        <f aca="false">(($AJ186*$B$1*AD186*1000)/2000)/1000000</f>
        <v>0</v>
      </c>
      <c r="F186" s="401" t="n">
        <f aca="false">AF186*(($AK186*$B$1*AE186*1000)/2000)/1000000</f>
        <v>0</v>
      </c>
      <c r="G186" s="403" t="n">
        <f aca="false">IF('Peak Revenue'!$A$1="BL","-",SUM(C186:F186))</f>
        <v>40.7311884366615</v>
      </c>
      <c r="H186" s="411" t="n">
        <v>323.761213661855</v>
      </c>
      <c r="I186" s="411" t="n">
        <v>230.99318060147</v>
      </c>
      <c r="J186" s="411" t="n">
        <v>208.410855759459</v>
      </c>
      <c r="K186" s="411" t="n">
        <v>183.490029192693</v>
      </c>
      <c r="L186" s="411" t="n">
        <v>163.197072161326</v>
      </c>
      <c r="M186" s="411" t="n">
        <v>144.271410049049</v>
      </c>
      <c r="N186" s="411" t="n">
        <v>103.146574484758</v>
      </c>
      <c r="O186" s="411" t="n">
        <v>92.3993567894365</v>
      </c>
      <c r="P186" s="411" t="n">
        <v>76.7619901048373</v>
      </c>
      <c r="Q186" s="411" t="n">
        <v>60.8448388265605</v>
      </c>
      <c r="R186" s="411" t="n">
        <v>52.6960280611812</v>
      </c>
      <c r="S186" s="411" t="n">
        <v>45.459716862602</v>
      </c>
      <c r="T186" s="411" t="n">
        <v>44.1664137347451</v>
      </c>
      <c r="U186" s="411" t="n">
        <v>41.1699118339015</v>
      </c>
      <c r="V186" s="411" t="n">
        <v>39.324026289178</v>
      </c>
      <c r="W186" s="411" t="n">
        <v>36.8918627426353</v>
      </c>
      <c r="X186" s="411" t="n">
        <v>34.8082360377641</v>
      </c>
      <c r="Y186" s="411" t="n">
        <v>33.5901558177332</v>
      </c>
      <c r="Z186" s="411" t="n">
        <v>30.7124212418967</v>
      </c>
      <c r="AA186" s="411" t="n">
        <v>28.7992312719781</v>
      </c>
      <c r="AB186" s="401" t="n">
        <f aca="false">AB185*(1+Assumptions!$L$13/12)</f>
        <v>0.80701404942171</v>
      </c>
      <c r="AC186" s="401" t="n">
        <f aca="false">AC185</f>
        <v>0</v>
      </c>
      <c r="AD186" s="405" t="n">
        <f aca="false">AD185</f>
        <v>728.142699152122</v>
      </c>
      <c r="AE186" s="405" t="n">
        <f aca="false">AE185</f>
        <v>1844.59962418705</v>
      </c>
      <c r="AF186" s="392" t="n">
        <v>1</v>
      </c>
      <c r="AG186" s="406" t="n">
        <f aca="false">AG185</f>
        <v>0</v>
      </c>
      <c r="AH186" s="401" t="n">
        <f aca="false">Assumptions!$E$26*Assumptions!H19</f>
        <v>3.53162990534998</v>
      </c>
      <c r="AI186" s="401" t="n">
        <f aca="false">Assumptions!$F$26*Assumptions!I19</f>
        <v>3.62149391649472</v>
      </c>
      <c r="AJ186" s="401" t="n">
        <f aca="false">AJ185</f>
        <v>0</v>
      </c>
      <c r="AK186" s="401" t="n">
        <f aca="false">AK185</f>
        <v>0</v>
      </c>
      <c r="AL186" s="1"/>
    </row>
    <row r="187" customFormat="false" ht="12.75" hidden="false" customHeight="false" outlineLevel="0" collapsed="false">
      <c r="A187" s="400" t="n">
        <f aca="false">A186+30.417</f>
        <v>41893.392</v>
      </c>
      <c r="B187" s="401" t="n">
        <f aca="false">IF($B$9="Coal",AG187,IF($B$9="Gas",AH187,IF($B$9="Oil",AI187,0)))</f>
        <v>3.51980525164903</v>
      </c>
      <c r="C187" s="402" t="n">
        <f aca="false">(B187*$B$1*1000)/1000000</f>
        <v>39.7904996962111</v>
      </c>
      <c r="D187" s="401" t="n">
        <f aca="false">AB187+AC187</f>
        <v>0.808359072837413</v>
      </c>
      <c r="E187" s="401" t="n">
        <f aca="false">(($AJ187*$B$1*AD187*1000)/2000)/1000000</f>
        <v>0</v>
      </c>
      <c r="F187" s="401" t="n">
        <f aca="false">AF187*(($AK187*$B$1*AE187*1000)/2000)/1000000</f>
        <v>0</v>
      </c>
      <c r="G187" s="403" t="n">
        <f aca="false">IF('Peak Revenue'!$A$1="BL","-",SUM(C187:F187))</f>
        <v>40.5988587690485</v>
      </c>
      <c r="H187" s="411" t="n">
        <v>199.592823752983</v>
      </c>
      <c r="I187" s="411" t="n">
        <v>183.308733567052</v>
      </c>
      <c r="J187" s="411" t="n">
        <v>170.294582198679</v>
      </c>
      <c r="K187" s="411" t="n">
        <v>155.597262372033</v>
      </c>
      <c r="L187" s="411" t="n">
        <v>123.12222295518</v>
      </c>
      <c r="M187" s="411" t="n">
        <v>58.288024787662</v>
      </c>
      <c r="N187" s="411" t="n">
        <v>51.0990133089145</v>
      </c>
      <c r="O187" s="411" t="n">
        <v>47.3766528683458</v>
      </c>
      <c r="P187" s="411" t="n">
        <v>46.3299965156039</v>
      </c>
      <c r="Q187" s="411" t="n">
        <v>42.1006476419706</v>
      </c>
      <c r="R187" s="411" t="n">
        <v>38.5271359742244</v>
      </c>
      <c r="S187" s="411" t="n">
        <v>36.3002992013092</v>
      </c>
      <c r="T187" s="411" t="n">
        <v>35.1336269440289</v>
      </c>
      <c r="U187" s="411" t="n">
        <v>34.4405983631429</v>
      </c>
      <c r="V187" s="411" t="n">
        <v>33.9496638415872</v>
      </c>
      <c r="W187" s="411" t="n">
        <v>33.5425733265107</v>
      </c>
      <c r="X187" s="411" t="n">
        <v>32.2238099379468</v>
      </c>
      <c r="Y187" s="411" t="n">
        <v>30.5041743629455</v>
      </c>
      <c r="Z187" s="411" t="n">
        <v>29.8218751083956</v>
      </c>
      <c r="AA187" s="411" t="n">
        <v>28.3819010257166</v>
      </c>
      <c r="AB187" s="401" t="n">
        <f aca="false">AB186*(1+Assumptions!$L$13/12)</f>
        <v>0.808359072837413</v>
      </c>
      <c r="AC187" s="401" t="n">
        <f aca="false">AC186</f>
        <v>0</v>
      </c>
      <c r="AD187" s="405" t="n">
        <f aca="false">AD186</f>
        <v>728.142699152122</v>
      </c>
      <c r="AE187" s="405" t="n">
        <f aca="false">AE186</f>
        <v>1844.59962418705</v>
      </c>
      <c r="AF187" s="392" t="n">
        <v>1</v>
      </c>
      <c r="AG187" s="406" t="n">
        <f aca="false">AG186</f>
        <v>0</v>
      </c>
      <c r="AH187" s="401" t="n">
        <f aca="false">Assumptions!$E$26*Assumptions!H20</f>
        <v>3.51980525164903</v>
      </c>
      <c r="AI187" s="401" t="n">
        <f aca="false">Assumptions!$F$26*Assumptions!I20</f>
        <v>3.62149391649472</v>
      </c>
      <c r="AJ187" s="401" t="n">
        <f aca="false">AJ186</f>
        <v>0</v>
      </c>
      <c r="AK187" s="401" t="n">
        <f aca="false">AK186</f>
        <v>0</v>
      </c>
      <c r="AL187" s="1"/>
    </row>
    <row r="188" customFormat="false" ht="12.75" hidden="false" customHeight="false" outlineLevel="0" collapsed="false">
      <c r="A188" s="400" t="n">
        <f aca="false">A187+30.417</f>
        <v>41923.809</v>
      </c>
      <c r="B188" s="401" t="n">
        <f aca="false">IF($B$9="Coal",AG188,IF($B$9="Gas",AH188,IF($B$9="Oil",AI188,0)))</f>
        <v>3.89819417007939</v>
      </c>
      <c r="C188" s="402" t="n">
        <f aca="false">(B188*$B$1*1000)/1000000</f>
        <v>44.0680898091296</v>
      </c>
      <c r="D188" s="401" t="n">
        <f aca="false">AB188+AC188</f>
        <v>0.809706337958808</v>
      </c>
      <c r="E188" s="401" t="n">
        <f aca="false">(($AJ188*$B$1*AD188*1000)/2000)/1000000</f>
        <v>0</v>
      </c>
      <c r="F188" s="401" t="n">
        <f aca="false">AF188*(($AK188*$B$1*AE188*1000)/2000)/1000000</f>
        <v>0</v>
      </c>
      <c r="G188" s="403" t="n">
        <f aca="false">IF('Peak Revenue'!$A$1="BL","-",SUM(C188:F188))</f>
        <v>44.8777961470884</v>
      </c>
      <c r="H188" s="411" t="n">
        <v>66.0979595408974</v>
      </c>
      <c r="I188" s="411" t="n">
        <v>64.501524253662</v>
      </c>
      <c r="J188" s="411" t="n">
        <v>58.2249308928623</v>
      </c>
      <c r="K188" s="411" t="n">
        <v>52.1008667376188</v>
      </c>
      <c r="L188" s="411" t="n">
        <v>50.8936937504256</v>
      </c>
      <c r="M188" s="411" t="n">
        <v>50.2977897908941</v>
      </c>
      <c r="N188" s="411" t="n">
        <v>49.5383844720795</v>
      </c>
      <c r="O188" s="411" t="n">
        <v>49.0292789868872</v>
      </c>
      <c r="P188" s="411" t="n">
        <v>48.7378296518452</v>
      </c>
      <c r="Q188" s="411" t="n">
        <v>48.3372334673088</v>
      </c>
      <c r="R188" s="411" t="n">
        <v>47.83201474534</v>
      </c>
      <c r="S188" s="411" t="n">
        <v>47.0922751951382</v>
      </c>
      <c r="T188" s="411" t="n">
        <v>46.3809428375525</v>
      </c>
      <c r="U188" s="411" t="n">
        <v>46.1915818092509</v>
      </c>
      <c r="V188" s="411" t="n">
        <v>45.4304246784462</v>
      </c>
      <c r="W188" s="411" t="n">
        <v>41.7806453646396</v>
      </c>
      <c r="X188" s="411" t="n">
        <v>40.0900349239435</v>
      </c>
      <c r="Y188" s="411" t="n">
        <v>38.3216700683579</v>
      </c>
      <c r="Z188" s="411" t="n">
        <v>37.5999798932218</v>
      </c>
      <c r="AA188" s="411" t="n">
        <v>35.9982058839304</v>
      </c>
      <c r="AB188" s="401" t="n">
        <f aca="false">AB187*(1+Assumptions!$L$13/12)</f>
        <v>0.809706337958808</v>
      </c>
      <c r="AC188" s="401" t="n">
        <f aca="false">AC187</f>
        <v>0</v>
      </c>
      <c r="AD188" s="405" t="n">
        <f aca="false">AD187</f>
        <v>728.142699152122</v>
      </c>
      <c r="AE188" s="405" t="n">
        <f aca="false">AE187</f>
        <v>1844.59962418705</v>
      </c>
      <c r="AF188" s="392" t="n">
        <f aca="false">IF(Assumptions!D$26=1,0,1)</f>
        <v>1</v>
      </c>
      <c r="AG188" s="406" t="n">
        <f aca="false">AG187</f>
        <v>0</v>
      </c>
      <c r="AH188" s="401" t="n">
        <f aca="false">Assumptions!$E$26*Assumptions!H21</f>
        <v>3.89819417007939</v>
      </c>
      <c r="AI188" s="401" t="n">
        <f aca="false">Assumptions!$F$26*Assumptions!I21</f>
        <v>3.62149391649472</v>
      </c>
      <c r="AJ188" s="401" t="n">
        <f aca="false">AJ187</f>
        <v>0</v>
      </c>
      <c r="AK188" s="401" t="n">
        <f aca="false">AK187</f>
        <v>0</v>
      </c>
      <c r="AL188" s="1"/>
    </row>
    <row r="189" customFormat="false" ht="12.75" hidden="false" customHeight="false" outlineLevel="0" collapsed="false">
      <c r="A189" s="400" t="n">
        <f aca="false">A188+30.417</f>
        <v>41954.226</v>
      </c>
      <c r="B189" s="401" t="n">
        <f aca="false">IF($B$9="Coal",AG189,IF($B$9="Gas",AH189,IF($B$9="Oil",AI189,0)))</f>
        <v>4.26869998604245</v>
      </c>
      <c r="C189" s="402" t="n">
        <f aca="false">(B189*$B$1*1000)/1000000</f>
        <v>48.2565634613623</v>
      </c>
      <c r="D189" s="401" t="n">
        <f aca="false">AB189+AC189</f>
        <v>0.811055848522073</v>
      </c>
      <c r="E189" s="401" t="n">
        <f aca="false">(($AJ189*$B$1*AD189*1000)/2000)/1000000</f>
        <v>0</v>
      </c>
      <c r="F189" s="401" t="n">
        <f aca="false">AF189*(($AK189*$B$1*AE189*1000)/2000)/1000000</f>
        <v>0</v>
      </c>
      <c r="G189" s="403" t="n">
        <f aca="false">IF('Peak Revenue'!$A$1="BL","-",SUM(C189:F189))</f>
        <v>49.0676193098844</v>
      </c>
      <c r="H189" s="411" t="n">
        <v>148.864826187792</v>
      </c>
      <c r="I189" s="411" t="n">
        <v>107.410316346407</v>
      </c>
      <c r="J189" s="411" t="n">
        <v>89.0377985687241</v>
      </c>
      <c r="K189" s="411" t="n">
        <v>83.5223212731131</v>
      </c>
      <c r="L189" s="411" t="n">
        <v>77.6828717693212</v>
      </c>
      <c r="M189" s="411" t="n">
        <v>76.9741244718925</v>
      </c>
      <c r="N189" s="411" t="n">
        <v>73.8028607572103</v>
      </c>
      <c r="O189" s="411" t="n">
        <v>57.0695181335303</v>
      </c>
      <c r="P189" s="411" t="n">
        <v>51.6147651406793</v>
      </c>
      <c r="Q189" s="411" t="n">
        <v>44.4464201318356</v>
      </c>
      <c r="R189" s="411" t="n">
        <v>43.3983271955239</v>
      </c>
      <c r="S189" s="411" t="n">
        <v>42.2413887298544</v>
      </c>
      <c r="T189" s="411" t="n">
        <v>40.0068802635069</v>
      </c>
      <c r="U189" s="411" t="n">
        <v>38.4330577050588</v>
      </c>
      <c r="V189" s="411" t="n">
        <v>37.9590542081006</v>
      </c>
      <c r="W189" s="411" t="n">
        <v>37.9472083200817</v>
      </c>
      <c r="X189" s="411" t="n">
        <v>37.6779367832559</v>
      </c>
      <c r="Y189" s="411" t="n">
        <v>37.3326572646381</v>
      </c>
      <c r="Z189" s="411" t="n">
        <v>37.3326572646381</v>
      </c>
      <c r="AA189" s="411" t="n">
        <v>34.2918368354987</v>
      </c>
      <c r="AB189" s="401" t="n">
        <f aca="false">AB188*(1+Assumptions!$L$13/12)</f>
        <v>0.811055848522073</v>
      </c>
      <c r="AC189" s="401" t="n">
        <f aca="false">AC188</f>
        <v>0</v>
      </c>
      <c r="AD189" s="405" t="n">
        <f aca="false">AD188</f>
        <v>728.142699152122</v>
      </c>
      <c r="AE189" s="405" t="n">
        <f aca="false">AE188</f>
        <v>1844.59962418705</v>
      </c>
      <c r="AF189" s="392" t="n">
        <f aca="false">IF(Assumptions!D$26=1,0,1)</f>
        <v>1</v>
      </c>
      <c r="AG189" s="406" t="n">
        <f aca="false">AG188</f>
        <v>0</v>
      </c>
      <c r="AH189" s="401" t="n">
        <f aca="false">Assumptions!$E$26*Assumptions!H22</f>
        <v>4.26869998604245</v>
      </c>
      <c r="AI189" s="401" t="n">
        <f aca="false">Assumptions!$F$26*Assumptions!I22</f>
        <v>3.92646182525217</v>
      </c>
      <c r="AJ189" s="401" t="n">
        <f aca="false">AJ188</f>
        <v>0</v>
      </c>
      <c r="AK189" s="401" t="n">
        <f aca="false">AK188</f>
        <v>0</v>
      </c>
      <c r="AL189" s="1"/>
    </row>
    <row r="190" customFormat="false" ht="12.75" hidden="false" customHeight="false" outlineLevel="0" collapsed="false">
      <c r="A190" s="400" t="n">
        <f aca="false">A189+30.417</f>
        <v>41984.643</v>
      </c>
      <c r="B190" s="401" t="n">
        <f aca="false">IF($B$9="Coal",AG190,IF($B$9="Gas",AH190,IF($B$9="Oil",AI190,0)))</f>
        <v>4.61949804583725</v>
      </c>
      <c r="C190" s="402" t="n">
        <f aca="false">(B190*$B$1*1000)/1000000</f>
        <v>52.2222459618806</v>
      </c>
      <c r="D190" s="401" t="n">
        <f aca="false">AB190+AC190</f>
        <v>0.81240760826961</v>
      </c>
      <c r="E190" s="401" t="n">
        <f aca="false">(($AJ190*$B$1*AD190*1000)/2000)/1000000</f>
        <v>0</v>
      </c>
      <c r="F190" s="401" t="n">
        <f aca="false">AF190*(($AK190*$B$1*AE190*1000)/2000)/1000000</f>
        <v>0</v>
      </c>
      <c r="G190" s="403" t="n">
        <f aca="false">IF('Peak Revenue'!$A$1="BL","-",SUM(C190:F190))</f>
        <v>53.0346535701502</v>
      </c>
      <c r="H190" s="411" t="n">
        <v>152.622908479504</v>
      </c>
      <c r="I190" s="411" t="n">
        <v>149.218395969462</v>
      </c>
      <c r="J190" s="411" t="n">
        <v>134.423058415114</v>
      </c>
      <c r="K190" s="411" t="n">
        <v>101.768367058792</v>
      </c>
      <c r="L190" s="411" t="n">
        <v>95.2412615379346</v>
      </c>
      <c r="M190" s="411" t="n">
        <v>88.262164633879</v>
      </c>
      <c r="N190" s="411" t="n">
        <v>86.3718071846</v>
      </c>
      <c r="O190" s="411" t="n">
        <v>79.8831611729778</v>
      </c>
      <c r="P190" s="411" t="n">
        <v>60.4764657077589</v>
      </c>
      <c r="Q190" s="411" t="n">
        <v>50.9261075347728</v>
      </c>
      <c r="R190" s="411" t="n">
        <v>47.3186868379912</v>
      </c>
      <c r="S190" s="411" t="n">
        <v>42.964530673871</v>
      </c>
      <c r="T190" s="411" t="n">
        <v>42.964530673871</v>
      </c>
      <c r="U190" s="411" t="n">
        <v>42.8458420165195</v>
      </c>
      <c r="V190" s="411" t="n">
        <v>42.6154165122705</v>
      </c>
      <c r="W190" s="411" t="n">
        <v>42.6154165122705</v>
      </c>
      <c r="X190" s="411" t="n">
        <v>42.6154165122705</v>
      </c>
      <c r="Y190" s="411" t="n">
        <v>42.4144939440556</v>
      </c>
      <c r="Z190" s="411" t="n">
        <v>41.7974519205122</v>
      </c>
      <c r="AA190" s="411" t="n">
        <v>41.4355873460968</v>
      </c>
      <c r="AB190" s="401" t="n">
        <f aca="false">AB189*(1+Assumptions!$L$13/12)</f>
        <v>0.81240760826961</v>
      </c>
      <c r="AC190" s="401" t="n">
        <f aca="false">AC189</f>
        <v>0</v>
      </c>
      <c r="AD190" s="405" t="n">
        <f aca="false">AD189</f>
        <v>728.142699152122</v>
      </c>
      <c r="AE190" s="405" t="n">
        <f aca="false">AE189</f>
        <v>1844.59962418705</v>
      </c>
      <c r="AF190" s="392" t="n">
        <f aca="false">IF(Assumptions!D$26=1,0,1)</f>
        <v>1</v>
      </c>
      <c r="AG190" s="406" t="n">
        <f aca="false">AG189</f>
        <v>0</v>
      </c>
      <c r="AH190" s="401" t="n">
        <f aca="false">Assumptions!$E$26*Assumptions!H23</f>
        <v>4.61949804583725</v>
      </c>
      <c r="AI190" s="401" t="n">
        <f aca="false">Assumptions!$F$26*Assumptions!I23</f>
        <v>4.11706676822558</v>
      </c>
      <c r="AJ190" s="401" t="n">
        <f aca="false">AJ189</f>
        <v>0</v>
      </c>
      <c r="AK190" s="401" t="n">
        <f aca="false">AK189</f>
        <v>0</v>
      </c>
      <c r="AL190" s="1"/>
    </row>
    <row r="191" customFormat="false" ht="12.75" hidden="false" customHeight="false" outlineLevel="0" collapsed="false">
      <c r="A191" s="400" t="n">
        <f aca="false">A190+30.417</f>
        <v>42015.06</v>
      </c>
      <c r="B191" s="401" t="n">
        <f aca="false">IF($B$9="Coal",AG191,IF($B$9="Gas",AH191,IF($B$9="Oil",AI191,0)))</f>
        <v>4.85688500637169</v>
      </c>
      <c r="C191" s="402" t="n">
        <f aca="false">(B191*$B$1*1000)/1000000</f>
        <v>54.9058449412857</v>
      </c>
      <c r="D191" s="401" t="n">
        <f aca="false">AB191+AC191</f>
        <v>0.813761620950059</v>
      </c>
      <c r="E191" s="401" t="n">
        <f aca="false">(($AJ191*$B$1*AD191*1000)/2000)/1000000</f>
        <v>0</v>
      </c>
      <c r="F191" s="401" t="n">
        <f aca="false">AF191*(($AK191*$B$1*AE191*1000)/2000)/1000000</f>
        <v>0</v>
      </c>
      <c r="G191" s="403" t="n">
        <f aca="false">IF('Peak Revenue'!$A$1="BL","-",SUM(C191:F191))</f>
        <v>55.7196065622358</v>
      </c>
      <c r="H191" s="411" t="n">
        <v>111.932261833028</v>
      </c>
      <c r="I191" s="411" t="n">
        <v>103.218297348142</v>
      </c>
      <c r="J191" s="411" t="n">
        <v>98.66360136209</v>
      </c>
      <c r="K191" s="411" t="n">
        <v>91.4231239351957</v>
      </c>
      <c r="L191" s="411" t="n">
        <v>90.912081896174</v>
      </c>
      <c r="M191" s="411" t="n">
        <v>83.0951480023415</v>
      </c>
      <c r="N191" s="411" t="n">
        <v>66.5083558533741</v>
      </c>
      <c r="O191" s="411" t="n">
        <v>65.8404441190462</v>
      </c>
      <c r="P191" s="411" t="n">
        <v>65.0830697553517</v>
      </c>
      <c r="Q191" s="411" t="n">
        <v>64.5099722453716</v>
      </c>
      <c r="R191" s="411" t="n">
        <v>62.5960466509096</v>
      </c>
      <c r="S191" s="411" t="n">
        <v>55.6977962738477</v>
      </c>
      <c r="T191" s="411" t="n">
        <v>49.1752252819134</v>
      </c>
      <c r="U191" s="411" t="n">
        <v>44.6659635791695</v>
      </c>
      <c r="V191" s="411" t="n">
        <v>44.3476836287119</v>
      </c>
      <c r="W191" s="411" t="n">
        <v>44.0524573261051</v>
      </c>
      <c r="X191" s="411" t="n">
        <v>43.6084887646453</v>
      </c>
      <c r="Y191" s="411" t="n">
        <v>43.6084690467831</v>
      </c>
      <c r="Z191" s="411" t="n">
        <v>43.6084601870877</v>
      </c>
      <c r="AA191" s="411" t="n">
        <v>43.5813354976073</v>
      </c>
      <c r="AB191" s="401" t="n">
        <f aca="false">AB190*(1+Assumptions!$L$13/12)</f>
        <v>0.813761620950059</v>
      </c>
      <c r="AC191" s="401" t="n">
        <f aca="false">VLOOKUP($C$1,EnvVOM,18)</f>
        <v>0</v>
      </c>
      <c r="AD191" s="405" t="n">
        <f aca="false">Assumptions!B27</f>
        <v>806.55967593313</v>
      </c>
      <c r="AE191" s="405" t="n">
        <f aca="false">Assumptions!C27</f>
        <v>1882.71897858527</v>
      </c>
      <c r="AF191" s="392" t="n">
        <f aca="false">IF(Assumptions!D$27=1,0,1)</f>
        <v>1</v>
      </c>
      <c r="AG191" s="406" t="n">
        <f aca="false">VLOOKUP($C$1,Coal,18)</f>
        <v>0</v>
      </c>
      <c r="AH191" s="401" t="n">
        <f aca="false">Assumptions!$E$27*Assumptions!H12</f>
        <v>4.85688500637169</v>
      </c>
      <c r="AI191" s="401" t="n">
        <f aca="false">Assumptions!$F$27*Assumptions!I12</f>
        <v>4.55315519264122</v>
      </c>
      <c r="AJ191" s="401" t="n">
        <f aca="false">VLOOKUP($C$1,SO2Rate,18)</f>
        <v>0</v>
      </c>
      <c r="AK191" s="401" t="n">
        <f aca="false">VLOOKUP($C$1,NOxRate,18)</f>
        <v>0</v>
      </c>
      <c r="AL191" s="1"/>
    </row>
    <row r="192" customFormat="false" ht="12.75" hidden="false" customHeight="false" outlineLevel="0" collapsed="false">
      <c r="A192" s="400" t="n">
        <f aca="false">A191+30.417</f>
        <v>42045.477</v>
      </c>
      <c r="B192" s="401" t="n">
        <f aca="false">IF($B$9="Coal",AG192,IF($B$9="Gas",AH192,IF($B$9="Oil",AI192,0)))</f>
        <v>4.3531123594342</v>
      </c>
      <c r="C192" s="402" t="n">
        <f aca="false">(B192*$B$1*1000)/1000000</f>
        <v>49.2108237904609</v>
      </c>
      <c r="D192" s="401" t="n">
        <f aca="false">AB192+AC192</f>
        <v>0.815117890318309</v>
      </c>
      <c r="E192" s="401" t="n">
        <f aca="false">(($AJ192*$B$1*AD192*1000)/2000)/1000000</f>
        <v>0</v>
      </c>
      <c r="F192" s="401" t="n">
        <f aca="false">AF192*(($AK192*$B$1*AE192*1000)/2000)/1000000</f>
        <v>0</v>
      </c>
      <c r="G192" s="403" t="n">
        <f aca="false">IF('Peak Revenue'!$A$1="BL","-",SUM(C192:F192))</f>
        <v>50.0259416807792</v>
      </c>
      <c r="H192" s="411" t="n">
        <v>150.374363303336</v>
      </c>
      <c r="I192" s="411" t="n">
        <v>145.536921152612</v>
      </c>
      <c r="J192" s="411" t="n">
        <v>127.975602868551</v>
      </c>
      <c r="K192" s="411" t="n">
        <v>103.834096868872</v>
      </c>
      <c r="L192" s="411" t="n">
        <v>95.8375696898385</v>
      </c>
      <c r="M192" s="411" t="n">
        <v>89.6253639193208</v>
      </c>
      <c r="N192" s="411" t="n">
        <v>84.4957937280763</v>
      </c>
      <c r="O192" s="411" t="n">
        <v>62.9513082866226</v>
      </c>
      <c r="P192" s="411" t="n">
        <v>52.2683323763392</v>
      </c>
      <c r="Q192" s="411" t="n">
        <v>49.6220139659613</v>
      </c>
      <c r="R192" s="411" t="n">
        <v>45.0582121191519</v>
      </c>
      <c r="S192" s="411" t="n">
        <v>43.6042709445451</v>
      </c>
      <c r="T192" s="411" t="n">
        <v>43.6042709445451</v>
      </c>
      <c r="U192" s="411" t="n">
        <v>43.2514133206118</v>
      </c>
      <c r="V192" s="411" t="n">
        <v>43.1132017448314</v>
      </c>
      <c r="W192" s="411" t="n">
        <v>42.8797757547969</v>
      </c>
      <c r="X192" s="411" t="n">
        <v>42.879738822635</v>
      </c>
      <c r="Y192" s="411" t="n">
        <v>42.8797067945133</v>
      </c>
      <c r="Z192" s="411" t="n">
        <v>42.8795172819581</v>
      </c>
      <c r="AA192" s="411" t="n">
        <v>42.8579464736736</v>
      </c>
      <c r="AB192" s="401" t="n">
        <f aca="false">AB191*(1+Assumptions!$L$13/12)</f>
        <v>0.815117890318309</v>
      </c>
      <c r="AC192" s="401" t="n">
        <f aca="false">AC191</f>
        <v>0</v>
      </c>
      <c r="AD192" s="405" t="n">
        <f aca="false">AD191</f>
        <v>806.55967593313</v>
      </c>
      <c r="AE192" s="405" t="n">
        <f aca="false">AE191</f>
        <v>1882.71897858527</v>
      </c>
      <c r="AF192" s="392" t="n">
        <f aca="false">IF(Assumptions!D$27=1,0,1)</f>
        <v>1</v>
      </c>
      <c r="AG192" s="406" t="n">
        <f aca="false">AG191</f>
        <v>0</v>
      </c>
      <c r="AH192" s="401" t="n">
        <f aca="false">Assumptions!$E$27*Assumptions!H13</f>
        <v>4.3531123594342</v>
      </c>
      <c r="AI192" s="401" t="n">
        <f aca="false">Assumptions!$F$27*Assumptions!I13</f>
        <v>4.51099634826491</v>
      </c>
      <c r="AJ192" s="401" t="n">
        <f aca="false">AJ191</f>
        <v>0</v>
      </c>
      <c r="AK192" s="401" t="n">
        <f aca="false">AK191</f>
        <v>0</v>
      </c>
      <c r="AL192" s="1"/>
    </row>
    <row r="193" customFormat="false" ht="12.75" hidden="false" customHeight="false" outlineLevel="0" collapsed="false">
      <c r="A193" s="400" t="n">
        <f aca="false">A192+30.417</f>
        <v>42075.894</v>
      </c>
      <c r="B193" s="401" t="n">
        <f aca="false">IF($B$9="Coal",AG193,IF($B$9="Gas",AH193,IF($B$9="Oil",AI193,0)))</f>
        <v>4.2799146244091</v>
      </c>
      <c r="C193" s="402" t="n">
        <f aca="false">(B193*$B$1*1000)/1000000</f>
        <v>48.3833420847855</v>
      </c>
      <c r="D193" s="401" t="n">
        <f aca="false">AB193+AC193</f>
        <v>0.816476420135507</v>
      </c>
      <c r="E193" s="401" t="n">
        <f aca="false">(($AJ193*$B$1*AD193*1000)/2000)/1000000</f>
        <v>0</v>
      </c>
      <c r="F193" s="401" t="n">
        <f aca="false">AF193*(($AK193*$B$1*AE193*1000)/2000)/1000000</f>
        <v>0</v>
      </c>
      <c r="G193" s="403" t="n">
        <f aca="false">IF('Peak Revenue'!$A$1="BL","-",SUM(C193:F193))</f>
        <v>49.199818504921</v>
      </c>
      <c r="H193" s="411" t="n">
        <v>100.133124265418</v>
      </c>
      <c r="I193" s="411" t="n">
        <v>96.3964747379344</v>
      </c>
      <c r="J193" s="411" t="n">
        <v>96.2310579887369</v>
      </c>
      <c r="K193" s="411" t="n">
        <v>94.621359697733</v>
      </c>
      <c r="L193" s="411" t="n">
        <v>82.8189616036872</v>
      </c>
      <c r="M193" s="411" t="n">
        <v>65.7310775484114</v>
      </c>
      <c r="N193" s="411" t="n">
        <v>57.1490430224969</v>
      </c>
      <c r="O193" s="411" t="n">
        <v>53.6565642606597</v>
      </c>
      <c r="P193" s="411" t="n">
        <v>53.0088147655414</v>
      </c>
      <c r="Q193" s="411" t="n">
        <v>49.2170903340844</v>
      </c>
      <c r="R193" s="411" t="n">
        <v>46.9564498437114</v>
      </c>
      <c r="S193" s="411" t="n">
        <v>46.6169204047836</v>
      </c>
      <c r="T193" s="411" t="n">
        <v>46.4484317643031</v>
      </c>
      <c r="U193" s="411" t="n">
        <v>46.4484317643031</v>
      </c>
      <c r="V193" s="411" t="n">
        <v>46.4202646873037</v>
      </c>
      <c r="W193" s="411" t="n">
        <v>45.7363491997467</v>
      </c>
      <c r="X193" s="411" t="n">
        <v>45.6674083277524</v>
      </c>
      <c r="Y193" s="411" t="n">
        <v>45.6674083277524</v>
      </c>
      <c r="Z193" s="411" t="n">
        <v>45.6674083277524</v>
      </c>
      <c r="AA193" s="411" t="n">
        <v>45.0802430606207</v>
      </c>
      <c r="AB193" s="401" t="n">
        <f aca="false">AB192*(1+Assumptions!$L$13/12)</f>
        <v>0.816476420135507</v>
      </c>
      <c r="AC193" s="401" t="n">
        <f aca="false">AC192</f>
        <v>0</v>
      </c>
      <c r="AD193" s="405" t="n">
        <f aca="false">AD192</f>
        <v>806.55967593313</v>
      </c>
      <c r="AE193" s="405" t="n">
        <f aca="false">AE192</f>
        <v>1882.71897858527</v>
      </c>
      <c r="AF193" s="392" t="n">
        <f aca="false">IF(Assumptions!D$27=1,0,1)</f>
        <v>1</v>
      </c>
      <c r="AG193" s="406" t="n">
        <f aca="false">AG192</f>
        <v>0</v>
      </c>
      <c r="AH193" s="401" t="n">
        <f aca="false">Assumptions!$E$27*Assumptions!H14</f>
        <v>4.2799146244091</v>
      </c>
      <c r="AI193" s="401" t="n">
        <f aca="false">Assumptions!$F$27*Assumptions!I14</f>
        <v>4.34236097075968</v>
      </c>
      <c r="AJ193" s="401" t="n">
        <f aca="false">AJ192</f>
        <v>0</v>
      </c>
      <c r="AK193" s="401" t="n">
        <f aca="false">AK192</f>
        <v>0</v>
      </c>
      <c r="AL193" s="1"/>
    </row>
    <row r="194" customFormat="false" ht="12.75" hidden="false" customHeight="false" outlineLevel="0" collapsed="false">
      <c r="A194" s="400" t="n">
        <f aca="false">A193+30.417</f>
        <v>42106.311</v>
      </c>
      <c r="B194" s="401" t="n">
        <f aca="false">IF($B$9="Coal",AG194,IF($B$9="Gas",AH194,IF($B$9="Oil",AI194,0)))</f>
        <v>4.06893291757203</v>
      </c>
      <c r="C194" s="402" t="n">
        <f aca="false">(B194*$B$1*1000)/1000000</f>
        <v>45.9982477566622</v>
      </c>
      <c r="D194" s="401" t="n">
        <f aca="false">AB194+AC194</f>
        <v>0.817837214169066</v>
      </c>
      <c r="E194" s="401" t="n">
        <f aca="false">(($AJ194*$B$1*AD194*1000)/2000)/1000000</f>
        <v>0</v>
      </c>
      <c r="F194" s="401" t="n">
        <f aca="false">AF194*(($AK194*$B$1*AE194*1000)/2000)/1000000</f>
        <v>0</v>
      </c>
      <c r="G194" s="403" t="n">
        <f aca="false">IF('Peak Revenue'!$A$1="BL","-",SUM(C194:F194))</f>
        <v>46.8160849708313</v>
      </c>
      <c r="H194" s="411" t="n">
        <v>77.2823405111719</v>
      </c>
      <c r="I194" s="411" t="n">
        <v>74.4547349637927</v>
      </c>
      <c r="J194" s="411" t="n">
        <v>71.6708026586025</v>
      </c>
      <c r="K194" s="411" t="n">
        <v>68.3328970182062</v>
      </c>
      <c r="L194" s="411" t="n">
        <v>63.8009302772213</v>
      </c>
      <c r="M194" s="411" t="n">
        <v>63.2565727852081</v>
      </c>
      <c r="N194" s="411" t="n">
        <v>59.3707244199754</v>
      </c>
      <c r="O194" s="411" t="n">
        <v>53.7751305104049</v>
      </c>
      <c r="P194" s="411" t="n">
        <v>50.9805232561006</v>
      </c>
      <c r="Q194" s="411" t="n">
        <v>49.4466396468115</v>
      </c>
      <c r="R194" s="411" t="n">
        <v>48.1108366647321</v>
      </c>
      <c r="S194" s="411" t="n">
        <v>46.3253087072626</v>
      </c>
      <c r="T194" s="411" t="n">
        <v>44.7691218567187</v>
      </c>
      <c r="U194" s="411" t="n">
        <v>42.4830610778323</v>
      </c>
      <c r="V194" s="411" t="n">
        <v>38.5447097591541</v>
      </c>
      <c r="W194" s="411" t="n">
        <v>37.2599957910336</v>
      </c>
      <c r="X194" s="411" t="n">
        <v>36.3310700751614</v>
      </c>
      <c r="Y194" s="411" t="n">
        <v>36.0928620623465</v>
      </c>
      <c r="Z194" s="411" t="n">
        <v>35.8057248944057</v>
      </c>
      <c r="AA194" s="411" t="n">
        <v>34.6064809642009</v>
      </c>
      <c r="AB194" s="401" t="n">
        <f aca="false">AB193*(1+Assumptions!$L$13/12)</f>
        <v>0.817837214169066</v>
      </c>
      <c r="AC194" s="401" t="n">
        <f aca="false">AC193</f>
        <v>0</v>
      </c>
      <c r="AD194" s="405" t="n">
        <f aca="false">AD193</f>
        <v>806.55967593313</v>
      </c>
      <c r="AE194" s="405" t="n">
        <f aca="false">AE193</f>
        <v>1882.71897858527</v>
      </c>
      <c r="AF194" s="392" t="n">
        <f aca="false">IF(Assumptions!D$27=1,0,1)</f>
        <v>1</v>
      </c>
      <c r="AG194" s="406" t="n">
        <f aca="false">AG193</f>
        <v>0</v>
      </c>
      <c r="AH194" s="401" t="n">
        <f aca="false">Assumptions!$E$27*Assumptions!H15</f>
        <v>4.06893291757203</v>
      </c>
      <c r="AI194" s="401" t="n">
        <f aca="false">Assumptions!$F$27*Assumptions!I15</f>
        <v>4.17372559325445</v>
      </c>
      <c r="AJ194" s="401" t="n">
        <f aca="false">AJ193</f>
        <v>0</v>
      </c>
      <c r="AK194" s="401" t="n">
        <f aca="false">AK193</f>
        <v>0</v>
      </c>
      <c r="AL194" s="1"/>
    </row>
    <row r="195" customFormat="false" ht="12.75" hidden="false" customHeight="false" outlineLevel="0" collapsed="false">
      <c r="A195" s="400" t="n">
        <f aca="false">A194+30.417</f>
        <v>42136.728</v>
      </c>
      <c r="B195" s="401" t="n">
        <f aca="false">IF($B$9="Coal",AG195,IF($B$9="Gas",AH195,IF($B$9="Oil",AI195,0)))</f>
        <v>4.28422037352822</v>
      </c>
      <c r="C195" s="402" t="n">
        <f aca="false">(B195*$B$1*1000)/1000000</f>
        <v>48.432017479237</v>
      </c>
      <c r="D195" s="401" t="n">
        <f aca="false">AB195+AC195</f>
        <v>0.819200276192681</v>
      </c>
      <c r="E195" s="401" t="n">
        <f aca="false">(($AJ195*$B$1*AD195*1000)/2000)/1000000</f>
        <v>0</v>
      </c>
      <c r="F195" s="401" t="n">
        <f aca="false">AF195*(($AK195*$B$1*AE195*1000)/2000)/1000000</f>
        <v>0</v>
      </c>
      <c r="G195" s="403" t="n">
        <f aca="false">IF('Peak Revenue'!$A$1="BL","-",SUM(C195:F195))</f>
        <v>49.2512177554296</v>
      </c>
      <c r="H195" s="411" t="n">
        <v>166.165608314353</v>
      </c>
      <c r="I195" s="411" t="n">
        <v>155.693761464286</v>
      </c>
      <c r="J195" s="411" t="n">
        <v>149.552826377326</v>
      </c>
      <c r="K195" s="411" t="n">
        <v>83.4402178665334</v>
      </c>
      <c r="L195" s="411" t="n">
        <v>68.663128732702</v>
      </c>
      <c r="M195" s="411" t="n">
        <v>63.1252650756414</v>
      </c>
      <c r="N195" s="411" t="n">
        <v>62.1459512104916</v>
      </c>
      <c r="O195" s="411" t="n">
        <v>53.6856720385284</v>
      </c>
      <c r="P195" s="411" t="n">
        <v>44.9856864730011</v>
      </c>
      <c r="Q195" s="411" t="n">
        <v>44.0312900760433</v>
      </c>
      <c r="R195" s="411" t="n">
        <v>42.7193840491031</v>
      </c>
      <c r="S195" s="411" t="n">
        <v>41.5377996617074</v>
      </c>
      <c r="T195" s="411" t="n">
        <v>39.8604142068113</v>
      </c>
      <c r="U195" s="411" t="n">
        <v>37.6693902181822</v>
      </c>
      <c r="V195" s="411" t="n">
        <v>36.2178535497074</v>
      </c>
      <c r="W195" s="411" t="n">
        <v>35.6195960077676</v>
      </c>
      <c r="X195" s="411" t="n">
        <v>34.7701959937204</v>
      </c>
      <c r="Y195" s="411" t="n">
        <v>32.3395205776795</v>
      </c>
      <c r="Z195" s="411" t="n">
        <v>31.5977157943918</v>
      </c>
      <c r="AA195" s="411" t="n">
        <v>31.2311415830919</v>
      </c>
      <c r="AB195" s="401" t="n">
        <f aca="false">AB194*(1+Assumptions!$L$13/12)</f>
        <v>0.819200276192681</v>
      </c>
      <c r="AC195" s="401" t="n">
        <f aca="false">AC194</f>
        <v>0</v>
      </c>
      <c r="AD195" s="405" t="n">
        <f aca="false">AD194</f>
        <v>806.55967593313</v>
      </c>
      <c r="AE195" s="405" t="n">
        <f aca="false">AE194</f>
        <v>1882.71897858527</v>
      </c>
      <c r="AF195" s="392" t="n">
        <v>1</v>
      </c>
      <c r="AG195" s="406" t="n">
        <f aca="false">AG194</f>
        <v>0</v>
      </c>
      <c r="AH195" s="401" t="n">
        <f aca="false">Assumptions!$E$27*Assumptions!H16</f>
        <v>4.28422037352822</v>
      </c>
      <c r="AI195" s="401" t="n">
        <f aca="false">Assumptions!$F$27*Assumptions!I16</f>
        <v>4.00509021574922</v>
      </c>
      <c r="AJ195" s="401" t="n">
        <f aca="false">AJ194</f>
        <v>0</v>
      </c>
      <c r="AK195" s="401" t="n">
        <f aca="false">AK194</f>
        <v>0</v>
      </c>
      <c r="AL195" s="1"/>
    </row>
    <row r="196" customFormat="false" ht="12.75" hidden="false" customHeight="false" outlineLevel="0" collapsed="false">
      <c r="A196" s="400" t="n">
        <f aca="false">A195+30.417</f>
        <v>42167.145</v>
      </c>
      <c r="B196" s="401" t="n">
        <f aca="false">IF($B$9="Coal",AG196,IF($B$9="Gas",AH196,IF($B$9="Oil",AI196,0)))</f>
        <v>4.0818501649294</v>
      </c>
      <c r="C196" s="402" t="n">
        <f aca="false">(B196*$B$1*1000)/1000000</f>
        <v>46.1442739400167</v>
      </c>
      <c r="D196" s="401" t="n">
        <f aca="false">AB196+AC196</f>
        <v>0.820565609986335</v>
      </c>
      <c r="E196" s="401" t="n">
        <f aca="false">(($AJ196*$B$1*AD196*1000)/2000)/1000000</f>
        <v>0</v>
      </c>
      <c r="F196" s="401" t="n">
        <f aca="false">AF196*(($AK196*$B$1*AE196*1000)/2000)/1000000</f>
        <v>0</v>
      </c>
      <c r="G196" s="403" t="n">
        <f aca="false">IF('Peak Revenue'!$A$1="BL","-",SUM(C196:F196))</f>
        <v>46.964839550003</v>
      </c>
      <c r="H196" s="411" t="n">
        <v>193.030103790655</v>
      </c>
      <c r="I196" s="411" t="n">
        <v>178.072272041577</v>
      </c>
      <c r="J196" s="411" t="n">
        <v>165.435246103444</v>
      </c>
      <c r="K196" s="411" t="n">
        <v>152.273261666669</v>
      </c>
      <c r="L196" s="411" t="n">
        <v>122.324688745811</v>
      </c>
      <c r="M196" s="411" t="n">
        <v>89.079918900294</v>
      </c>
      <c r="N196" s="411" t="n">
        <v>68.4511349760301</v>
      </c>
      <c r="O196" s="411" t="n">
        <v>61.7530047041107</v>
      </c>
      <c r="P196" s="411" t="n">
        <v>59.8942962058832</v>
      </c>
      <c r="Q196" s="411" t="n">
        <v>51.8221134000851</v>
      </c>
      <c r="R196" s="411" t="n">
        <v>47.1852448418874</v>
      </c>
      <c r="S196" s="411" t="n">
        <v>41.9790983475524</v>
      </c>
      <c r="T196" s="411" t="n">
        <v>38.2605604564715</v>
      </c>
      <c r="U196" s="411" t="n">
        <v>36.5381052325199</v>
      </c>
      <c r="V196" s="411" t="n">
        <v>35.2337403247372</v>
      </c>
      <c r="W196" s="411" t="n">
        <v>33.9466905810513</v>
      </c>
      <c r="X196" s="411" t="n">
        <v>32.1728791126191</v>
      </c>
      <c r="Y196" s="411" t="n">
        <v>30.6792526767881</v>
      </c>
      <c r="Z196" s="411" t="n">
        <v>30.535058037068</v>
      </c>
      <c r="AA196" s="411" t="n">
        <v>28.0992232447447</v>
      </c>
      <c r="AB196" s="401" t="n">
        <f aca="false">AB195*(1+Assumptions!$L$13/12)</f>
        <v>0.820565609986335</v>
      </c>
      <c r="AC196" s="401" t="n">
        <f aca="false">AC195</f>
        <v>0</v>
      </c>
      <c r="AD196" s="405" t="n">
        <f aca="false">AD195</f>
        <v>806.55967593313</v>
      </c>
      <c r="AE196" s="405" t="n">
        <f aca="false">AE195</f>
        <v>1882.71897858527</v>
      </c>
      <c r="AF196" s="392" t="n">
        <v>1</v>
      </c>
      <c r="AG196" s="406" t="n">
        <f aca="false">AG195</f>
        <v>0</v>
      </c>
      <c r="AH196" s="401" t="n">
        <f aca="false">Assumptions!$E$27*Assumptions!H17</f>
        <v>4.0818501649294</v>
      </c>
      <c r="AI196" s="401" t="n">
        <f aca="false">Assumptions!$F$27*Assumptions!I17</f>
        <v>4.00509021574922</v>
      </c>
      <c r="AJ196" s="401" t="n">
        <f aca="false">AJ195</f>
        <v>0</v>
      </c>
      <c r="AK196" s="401" t="n">
        <f aca="false">AK195</f>
        <v>0</v>
      </c>
      <c r="AL196" s="1"/>
    </row>
    <row r="197" customFormat="false" ht="12.75" hidden="false" customHeight="false" outlineLevel="0" collapsed="false">
      <c r="A197" s="400" t="n">
        <f aca="false">A196+30.417</f>
        <v>42197.562</v>
      </c>
      <c r="B197" s="401" t="n">
        <f aca="false">IF($B$9="Coal",AG197,IF($B$9="Gas",AH197,IF($B$9="Oil",AI197,0)))</f>
        <v>4.06893291757203</v>
      </c>
      <c r="C197" s="402" t="n">
        <f aca="false">(B197*$B$1*1000)/1000000</f>
        <v>45.9982477566622</v>
      </c>
      <c r="D197" s="401" t="n">
        <f aca="false">AB197+AC197</f>
        <v>0.821933219336313</v>
      </c>
      <c r="E197" s="401" t="n">
        <f aca="false">(($AJ197*$B$1*AD197*1000)/2000)/1000000</f>
        <v>0</v>
      </c>
      <c r="F197" s="401" t="n">
        <f aca="false">AF197*(($AK197*$B$1*AE197*1000)/2000)/1000000</f>
        <v>0</v>
      </c>
      <c r="G197" s="403" t="n">
        <f aca="false">IF('Peak Revenue'!$A$1="BL","-",SUM(C197:F197))</f>
        <v>46.8201809759985</v>
      </c>
      <c r="H197" s="411" t="n">
        <v>323.697698425941</v>
      </c>
      <c r="I197" s="411" t="n">
        <v>237.366409721195</v>
      </c>
      <c r="J197" s="411" t="n">
        <v>214.715370265318</v>
      </c>
      <c r="K197" s="411" t="n">
        <v>195.017164221555</v>
      </c>
      <c r="L197" s="411" t="n">
        <v>178.440340762882</v>
      </c>
      <c r="M197" s="411" t="n">
        <v>161.913023567664</v>
      </c>
      <c r="N197" s="411" t="n">
        <v>148.312256700558</v>
      </c>
      <c r="O197" s="411" t="n">
        <v>76.185430812382</v>
      </c>
      <c r="P197" s="411" t="n">
        <v>59.3797731340177</v>
      </c>
      <c r="Q197" s="411" t="n">
        <v>53.533354174934</v>
      </c>
      <c r="R197" s="411" t="n">
        <v>49.2476547817257</v>
      </c>
      <c r="S197" s="411" t="n">
        <v>39.4467443597087</v>
      </c>
      <c r="T197" s="411" t="n">
        <v>38.3980998309656</v>
      </c>
      <c r="U197" s="411" t="n">
        <v>37.1386735758526</v>
      </c>
      <c r="V197" s="411" t="n">
        <v>35.8367153314875</v>
      </c>
      <c r="W197" s="411" t="n">
        <v>34.2311798587868</v>
      </c>
      <c r="X197" s="411" t="n">
        <v>32.2609676165584</v>
      </c>
      <c r="Y197" s="411" t="n">
        <v>30.9562881663433</v>
      </c>
      <c r="Z197" s="411" t="n">
        <v>28.620290117514</v>
      </c>
      <c r="AA197" s="411" t="n">
        <v>27.1176029107877</v>
      </c>
      <c r="AB197" s="401" t="n">
        <f aca="false">AB196*(1+Assumptions!$L$13/12)</f>
        <v>0.821933219336313</v>
      </c>
      <c r="AC197" s="401" t="n">
        <f aca="false">AC196</f>
        <v>0</v>
      </c>
      <c r="AD197" s="405" t="n">
        <f aca="false">AD196</f>
        <v>806.55967593313</v>
      </c>
      <c r="AE197" s="405" t="n">
        <f aca="false">AE196</f>
        <v>1882.71897858527</v>
      </c>
      <c r="AF197" s="392" t="n">
        <v>1</v>
      </c>
      <c r="AG197" s="406" t="n">
        <f aca="false">AG196</f>
        <v>0</v>
      </c>
      <c r="AH197" s="401" t="n">
        <f aca="false">Assumptions!$E$27*Assumptions!H18</f>
        <v>4.06893291757203</v>
      </c>
      <c r="AI197" s="401" t="n">
        <f aca="false">Assumptions!$F$27*Assumptions!I18</f>
        <v>4.00509021574922</v>
      </c>
      <c r="AJ197" s="401" t="n">
        <f aca="false">AJ196</f>
        <v>0</v>
      </c>
      <c r="AK197" s="401" t="n">
        <f aca="false">AK196</f>
        <v>0</v>
      </c>
      <c r="AL197" s="1"/>
    </row>
    <row r="198" customFormat="false" ht="12.75" hidden="false" customHeight="false" outlineLevel="0" collapsed="false">
      <c r="A198" s="400" t="n">
        <f aca="false">A197+30.417</f>
        <v>42227.979</v>
      </c>
      <c r="B198" s="401" t="n">
        <f aca="false">IF($B$9="Coal",AG198,IF($B$9="Gas",AH198,IF($B$9="Oil",AI198,0)))</f>
        <v>3.85795121073496</v>
      </c>
      <c r="C198" s="402" t="n">
        <f aca="false">(B198*$B$1*1000)/1000000</f>
        <v>43.613153428539</v>
      </c>
      <c r="D198" s="401" t="n">
        <f aca="false">AB198+AC198</f>
        <v>0.823303108035207</v>
      </c>
      <c r="E198" s="401" t="n">
        <f aca="false">(($AJ198*$B$1*AD198*1000)/2000)/1000000</f>
        <v>0</v>
      </c>
      <c r="F198" s="401" t="n">
        <f aca="false">AF198*(($AK198*$B$1*AE198*1000)/2000)/1000000</f>
        <v>0</v>
      </c>
      <c r="G198" s="403" t="n">
        <f aca="false">IF('Peak Revenue'!$A$1="BL","-",SUM(C198:F198))</f>
        <v>44.4364565365742</v>
      </c>
      <c r="H198" s="411" t="n">
        <v>329.426610474636</v>
      </c>
      <c r="I198" s="411" t="n">
        <v>232.767344411932</v>
      </c>
      <c r="J198" s="411" t="n">
        <v>210.054190021319</v>
      </c>
      <c r="K198" s="411" t="n">
        <v>187.542030862887</v>
      </c>
      <c r="L198" s="411" t="n">
        <v>169.238646047617</v>
      </c>
      <c r="M198" s="411" t="n">
        <v>152.742662103072</v>
      </c>
      <c r="N198" s="411" t="n">
        <v>100.29037812739</v>
      </c>
      <c r="O198" s="411" t="n">
        <v>84.4156443622255</v>
      </c>
      <c r="P198" s="411" t="n">
        <v>57.7739622972649</v>
      </c>
      <c r="Q198" s="411" t="n">
        <v>49.317396925991</v>
      </c>
      <c r="R198" s="411" t="n">
        <v>46.5603798728132</v>
      </c>
      <c r="S198" s="411" t="n">
        <v>43.7132501520269</v>
      </c>
      <c r="T198" s="411" t="n">
        <v>43.1168572741799</v>
      </c>
      <c r="U198" s="411" t="n">
        <v>42.8448032717585</v>
      </c>
      <c r="V198" s="411" t="n">
        <v>42.8448032717585</v>
      </c>
      <c r="W198" s="411" t="n">
        <v>42.8448032717585</v>
      </c>
      <c r="X198" s="411" t="n">
        <v>42.3898510772351</v>
      </c>
      <c r="Y198" s="411" t="n">
        <v>42.1349412244642</v>
      </c>
      <c r="Z198" s="411" t="n">
        <v>42.1348820697886</v>
      </c>
      <c r="AA198" s="411" t="n">
        <v>40.8363204344349</v>
      </c>
      <c r="AB198" s="401" t="n">
        <f aca="false">AB197*(1+Assumptions!$L$13/12)</f>
        <v>0.823303108035207</v>
      </c>
      <c r="AC198" s="401" t="n">
        <f aca="false">AC197</f>
        <v>0</v>
      </c>
      <c r="AD198" s="405" t="n">
        <f aca="false">AD197</f>
        <v>806.55967593313</v>
      </c>
      <c r="AE198" s="405" t="n">
        <f aca="false">AE197</f>
        <v>1882.71897858527</v>
      </c>
      <c r="AF198" s="392" t="n">
        <v>1</v>
      </c>
      <c r="AG198" s="406" t="n">
        <f aca="false">AG197</f>
        <v>0</v>
      </c>
      <c r="AH198" s="401" t="n">
        <f aca="false">Assumptions!$E$27*Assumptions!H19</f>
        <v>3.85795121073496</v>
      </c>
      <c r="AI198" s="401" t="n">
        <f aca="false">Assumptions!$F$27*Assumptions!I19</f>
        <v>4.00509021574922</v>
      </c>
      <c r="AJ198" s="401" t="n">
        <f aca="false">AJ197</f>
        <v>0</v>
      </c>
      <c r="AK198" s="401" t="n">
        <f aca="false">AK197</f>
        <v>0</v>
      </c>
      <c r="AL198" s="1"/>
    </row>
    <row r="199" customFormat="false" ht="12.75" hidden="false" customHeight="false" outlineLevel="0" collapsed="false">
      <c r="A199" s="400" t="n">
        <f aca="false">A198+30.417</f>
        <v>42258.396</v>
      </c>
      <c r="B199" s="401" t="n">
        <f aca="false">IF($B$9="Coal",AG199,IF($B$9="Gas",AH199,IF($B$9="Oil",AI199,0)))</f>
        <v>3.84503396337759</v>
      </c>
      <c r="C199" s="402" t="n">
        <f aca="false">(B199*$B$1*1000)/1000000</f>
        <v>43.4671272451845</v>
      </c>
      <c r="D199" s="401" t="n">
        <f aca="false">AB199+AC199</f>
        <v>0.824675279881932</v>
      </c>
      <c r="E199" s="401" t="n">
        <f aca="false">(($AJ199*$B$1*AD199*1000)/2000)/1000000</f>
        <v>0</v>
      </c>
      <c r="F199" s="401" t="n">
        <f aca="false">AF199*(($AK199*$B$1*AE199*1000)/2000)/1000000</f>
        <v>0</v>
      </c>
      <c r="G199" s="403" t="n">
        <f aca="false">IF('Peak Revenue'!$A$1="BL","-",SUM(C199:F199))</f>
        <v>44.2918025250664</v>
      </c>
      <c r="H199" s="411" t="n">
        <v>152.873695706852</v>
      </c>
      <c r="I199" s="411" t="n">
        <v>134.411318459205</v>
      </c>
      <c r="J199" s="411" t="n">
        <v>103.515366294886</v>
      </c>
      <c r="K199" s="411" t="n">
        <v>94.2669928592908</v>
      </c>
      <c r="L199" s="411" t="n">
        <v>82.9783609500998</v>
      </c>
      <c r="M199" s="411" t="n">
        <v>59.2664266578791</v>
      </c>
      <c r="N199" s="411" t="n">
        <v>52.1040187165778</v>
      </c>
      <c r="O199" s="411" t="n">
        <v>48.3494879661889</v>
      </c>
      <c r="P199" s="411" t="n">
        <v>46.1476627641513</v>
      </c>
      <c r="Q199" s="411" t="n">
        <v>45.7969014928954</v>
      </c>
      <c r="R199" s="411" t="n">
        <v>45.4378597772759</v>
      </c>
      <c r="S199" s="411" t="n">
        <v>45.4378597772759</v>
      </c>
      <c r="T199" s="411" t="n">
        <v>45.4378597772759</v>
      </c>
      <c r="U199" s="411" t="n">
        <v>45.3997300375531</v>
      </c>
      <c r="V199" s="411" t="n">
        <v>44.8418205364933</v>
      </c>
      <c r="W199" s="411" t="n">
        <v>44.6772166821549</v>
      </c>
      <c r="X199" s="411" t="n">
        <v>44.6772112340745</v>
      </c>
      <c r="Y199" s="411" t="n">
        <v>44.6770728157456</v>
      </c>
      <c r="Z199" s="411" t="n">
        <v>44.677065728967</v>
      </c>
      <c r="AA199" s="411" t="n">
        <v>43.6760482555956</v>
      </c>
      <c r="AB199" s="401" t="n">
        <f aca="false">AB198*(1+Assumptions!$L$13/12)</f>
        <v>0.824675279881932</v>
      </c>
      <c r="AC199" s="401" t="n">
        <f aca="false">AC198</f>
        <v>0</v>
      </c>
      <c r="AD199" s="405" t="n">
        <f aca="false">AD198</f>
        <v>806.55967593313</v>
      </c>
      <c r="AE199" s="405" t="n">
        <f aca="false">AE198</f>
        <v>1882.71897858527</v>
      </c>
      <c r="AF199" s="392" t="n">
        <v>1</v>
      </c>
      <c r="AG199" s="406" t="n">
        <f aca="false">AG198</f>
        <v>0</v>
      </c>
      <c r="AH199" s="401" t="n">
        <f aca="false">Assumptions!$E$27*Assumptions!H20</f>
        <v>3.84503396337759</v>
      </c>
      <c r="AI199" s="401" t="n">
        <f aca="false">Assumptions!$F$27*Assumptions!I20</f>
        <v>4.00509021574922</v>
      </c>
      <c r="AJ199" s="401" t="n">
        <f aca="false">AJ198</f>
        <v>0</v>
      </c>
      <c r="AK199" s="401" t="n">
        <f aca="false">AK198</f>
        <v>0</v>
      </c>
      <c r="AL199" s="1"/>
    </row>
    <row r="200" customFormat="false" ht="12.75" hidden="false" customHeight="false" outlineLevel="0" collapsed="false">
      <c r="A200" s="400" t="n">
        <f aca="false">A199+30.417</f>
        <v>42288.813</v>
      </c>
      <c r="B200" s="401" t="n">
        <f aca="false">IF($B$9="Coal",AG200,IF($B$9="Gas",AH200,IF($B$9="Oil",AI200,0)))</f>
        <v>4.25838587881348</v>
      </c>
      <c r="C200" s="402" t="n">
        <f aca="false">(B200*$B$1*1000)/1000000</f>
        <v>48.139965112528</v>
      </c>
      <c r="D200" s="401" t="n">
        <f aca="false">AB200+AC200</f>
        <v>0.826049738681735</v>
      </c>
      <c r="E200" s="401" t="n">
        <f aca="false">(($AJ200*$B$1*AD200*1000)/2000)/1000000</f>
        <v>0</v>
      </c>
      <c r="F200" s="401" t="n">
        <f aca="false">AF200*(($AK200*$B$1*AE200*1000)/2000)/1000000</f>
        <v>0</v>
      </c>
      <c r="G200" s="403" t="n">
        <f aca="false">IF('Peak Revenue'!$A$1="BL","-",SUM(C200:F200))</f>
        <v>48.9660148512097</v>
      </c>
      <c r="H200" s="411" t="n">
        <v>149.279529510409</v>
      </c>
      <c r="I200" s="411" t="n">
        <v>143.293747512301</v>
      </c>
      <c r="J200" s="411" t="n">
        <v>105.95878367961</v>
      </c>
      <c r="K200" s="411" t="n">
        <v>89.6393486829296</v>
      </c>
      <c r="L200" s="411" t="n">
        <v>82.5611589065944</v>
      </c>
      <c r="M200" s="411" t="n">
        <v>81.9692227277457</v>
      </c>
      <c r="N200" s="411" t="n">
        <v>69.913721166388</v>
      </c>
      <c r="O200" s="411" t="n">
        <v>56.0638952039362</v>
      </c>
      <c r="P200" s="411" t="n">
        <v>46.5781086689618</v>
      </c>
      <c r="Q200" s="411" t="n">
        <v>46.0323259060781</v>
      </c>
      <c r="R200" s="411" t="n">
        <v>41.2109146577027</v>
      </c>
      <c r="S200" s="411" t="n">
        <v>39.6398320104918</v>
      </c>
      <c r="T200" s="411" t="n">
        <v>39.6398320104918</v>
      </c>
      <c r="U200" s="411" t="n">
        <v>39.6396583516683</v>
      </c>
      <c r="V200" s="411" t="n">
        <v>39.6390965972613</v>
      </c>
      <c r="W200" s="411" t="n">
        <v>39.6390965972613</v>
      </c>
      <c r="X200" s="411" t="n">
        <v>39.6390965972613</v>
      </c>
      <c r="Y200" s="411" t="n">
        <v>39.6390965972613</v>
      </c>
      <c r="Z200" s="411" t="n">
        <v>38.2333245780632</v>
      </c>
      <c r="AA200" s="411" t="n">
        <v>33.8081849626033</v>
      </c>
      <c r="AB200" s="401" t="n">
        <f aca="false">AB199*(1+Assumptions!$L$13/12)</f>
        <v>0.826049738681735</v>
      </c>
      <c r="AC200" s="401" t="n">
        <f aca="false">AC199</f>
        <v>0</v>
      </c>
      <c r="AD200" s="405" t="n">
        <f aca="false">AD199</f>
        <v>806.55967593313</v>
      </c>
      <c r="AE200" s="405" t="n">
        <f aca="false">AE199</f>
        <v>1882.71897858527</v>
      </c>
      <c r="AF200" s="392" t="n">
        <f aca="false">IF(Assumptions!D$27=1,0,1)</f>
        <v>1</v>
      </c>
      <c r="AG200" s="406" t="n">
        <f aca="false">AG199</f>
        <v>0</v>
      </c>
      <c r="AH200" s="401" t="n">
        <f aca="false">Assumptions!$E$27*Assumptions!H21</f>
        <v>4.25838587881348</v>
      </c>
      <c r="AI200" s="401" t="n">
        <f aca="false">Assumptions!$F$27*Assumptions!I21</f>
        <v>4.00509021574922</v>
      </c>
      <c r="AJ200" s="401" t="n">
        <f aca="false">AJ199</f>
        <v>0</v>
      </c>
      <c r="AK200" s="401" t="n">
        <f aca="false">AK199</f>
        <v>0</v>
      </c>
      <c r="AL200" s="1"/>
    </row>
    <row r="201" customFormat="false" ht="12.75" hidden="false" customHeight="false" outlineLevel="0" collapsed="false">
      <c r="A201" s="400" t="n">
        <f aca="false">A200+30.417</f>
        <v>42319.23</v>
      </c>
      <c r="B201" s="401" t="n">
        <f aca="false">IF($B$9="Coal",AG201,IF($B$9="Gas",AH201,IF($B$9="Oil",AI201,0)))</f>
        <v>4.66312629601112</v>
      </c>
      <c r="C201" s="402" t="n">
        <f aca="false">(B201*$B$1*1000)/1000000</f>
        <v>52.7154521909685</v>
      </c>
      <c r="D201" s="401" t="n">
        <f aca="false">AB201+AC201</f>
        <v>0.827426488246205</v>
      </c>
      <c r="E201" s="401" t="n">
        <f aca="false">(($AJ201*$B$1*AD201*1000)/2000)/1000000</f>
        <v>0</v>
      </c>
      <c r="F201" s="401" t="n">
        <f aca="false">AF201*(($AK201*$B$1*AE201*1000)/2000)/1000000</f>
        <v>0</v>
      </c>
      <c r="G201" s="403" t="n">
        <f aca="false">IF('Peak Revenue'!$A$1="BL","-",SUM(C201:F201))</f>
        <v>53.5428786792147</v>
      </c>
      <c r="H201" s="411" t="n">
        <v>105.972401293328</v>
      </c>
      <c r="I201" s="411" t="n">
        <v>101.368415849416</v>
      </c>
      <c r="J201" s="411" t="n">
        <v>97.9565559000838</v>
      </c>
      <c r="K201" s="411" t="n">
        <v>92.6772551397387</v>
      </c>
      <c r="L201" s="411" t="n">
        <v>91.7802936140653</v>
      </c>
      <c r="M201" s="411" t="n">
        <v>89.4149866713027</v>
      </c>
      <c r="N201" s="411" t="n">
        <v>68.60033849184</v>
      </c>
      <c r="O201" s="411" t="n">
        <v>61.7412217772196</v>
      </c>
      <c r="P201" s="411" t="n">
        <v>56.794869678319</v>
      </c>
      <c r="Q201" s="411" t="n">
        <v>56.2735116987616</v>
      </c>
      <c r="R201" s="411" t="n">
        <v>51.5810810498142</v>
      </c>
      <c r="S201" s="411" t="n">
        <v>48.8344614548699</v>
      </c>
      <c r="T201" s="411" t="n">
        <v>47.2986245554776</v>
      </c>
      <c r="U201" s="411" t="n">
        <v>45.2834883575824</v>
      </c>
      <c r="V201" s="411" t="n">
        <v>44.6176933340783</v>
      </c>
      <c r="W201" s="411" t="n">
        <v>44.6176933340783</v>
      </c>
      <c r="X201" s="411" t="n">
        <v>44.6176933340783</v>
      </c>
      <c r="Y201" s="411" t="n">
        <v>44.6176933340783</v>
      </c>
      <c r="Z201" s="411" t="n">
        <v>44.6176933340783</v>
      </c>
      <c r="AA201" s="411" t="n">
        <v>44.1721368879986</v>
      </c>
      <c r="AB201" s="401" t="n">
        <f aca="false">AB200*(1+Assumptions!$L$13/12)</f>
        <v>0.827426488246205</v>
      </c>
      <c r="AC201" s="401" t="n">
        <f aca="false">AC200</f>
        <v>0</v>
      </c>
      <c r="AD201" s="405" t="n">
        <f aca="false">AD200</f>
        <v>806.55967593313</v>
      </c>
      <c r="AE201" s="405" t="n">
        <f aca="false">AE200</f>
        <v>1882.71897858527</v>
      </c>
      <c r="AF201" s="392" t="n">
        <f aca="false">IF(Assumptions!D$27=1,0,1)</f>
        <v>1</v>
      </c>
      <c r="AG201" s="406" t="n">
        <f aca="false">AG200</f>
        <v>0</v>
      </c>
      <c r="AH201" s="401" t="n">
        <f aca="false">Assumptions!$E$27*Assumptions!H22</f>
        <v>4.66312629601112</v>
      </c>
      <c r="AI201" s="401" t="n">
        <f aca="false">Assumptions!$F$27*Assumptions!I22</f>
        <v>4.34236097075968</v>
      </c>
      <c r="AJ201" s="401" t="n">
        <f aca="false">AJ200</f>
        <v>0</v>
      </c>
      <c r="AK201" s="401" t="n">
        <f aca="false">AK200</f>
        <v>0</v>
      </c>
      <c r="AL201" s="1"/>
    </row>
    <row r="202" customFormat="false" ht="12.75" hidden="false" customHeight="false" outlineLevel="0" collapsed="false">
      <c r="A202" s="400" t="n">
        <f aca="false">A201+30.417</f>
        <v>42349.647</v>
      </c>
      <c r="B202" s="401" t="n">
        <f aca="false">IF($B$9="Coal",AG202,IF($B$9="Gas",AH202,IF($B$9="Oil",AI202,0)))</f>
        <v>5.04633796761314</v>
      </c>
      <c r="C202" s="402" t="n">
        <f aca="false">(B202*$B$1*1000)/1000000</f>
        <v>57.0475622971515</v>
      </c>
      <c r="D202" s="401" t="n">
        <f aca="false">AB202+AC202</f>
        <v>0.828805532393282</v>
      </c>
      <c r="E202" s="401" t="n">
        <f aca="false">(($AJ202*$B$1*AD202*1000)/2000)/1000000</f>
        <v>0</v>
      </c>
      <c r="F202" s="401" t="n">
        <f aca="false">AF202*(($AK202*$B$1*AE202*1000)/2000)/1000000</f>
        <v>0</v>
      </c>
      <c r="G202" s="403" t="n">
        <f aca="false">IF('Peak Revenue'!$A$1="BL","-",SUM(C202:F202))</f>
        <v>57.8763678295447</v>
      </c>
      <c r="H202" s="411" t="n">
        <v>112.522447063536</v>
      </c>
      <c r="I202" s="411" t="n">
        <v>105.841761221436</v>
      </c>
      <c r="J202" s="411" t="n">
        <v>103.743852067788</v>
      </c>
      <c r="K202" s="411" t="n">
        <v>97.6730765242028</v>
      </c>
      <c r="L202" s="411" t="n">
        <v>95.6886599523528</v>
      </c>
      <c r="M202" s="411" t="n">
        <v>95.0615825158743</v>
      </c>
      <c r="N202" s="411" t="n">
        <v>78.9386386689102</v>
      </c>
      <c r="O202" s="411" t="n">
        <v>65.2915591520601</v>
      </c>
      <c r="P202" s="411" t="n">
        <v>61.396313875135</v>
      </c>
      <c r="Q202" s="411" t="n">
        <v>60.4939811416447</v>
      </c>
      <c r="R202" s="411" t="n">
        <v>56.3258584305163</v>
      </c>
      <c r="S202" s="411" t="n">
        <v>51.5171721975872</v>
      </c>
      <c r="T202" s="411" t="n">
        <v>49.6500396487669</v>
      </c>
      <c r="U202" s="411" t="n">
        <v>47.7116577046201</v>
      </c>
      <c r="V202" s="411" t="n">
        <v>46.3415137552443</v>
      </c>
      <c r="W202" s="411" t="n">
        <v>46.3393917849637</v>
      </c>
      <c r="X202" s="411" t="n">
        <v>46.3393917849637</v>
      </c>
      <c r="Y202" s="411" t="n">
        <v>46.3393917849637</v>
      </c>
      <c r="Z202" s="411" t="n">
        <v>46.3393917849637</v>
      </c>
      <c r="AA202" s="411" t="n">
        <v>46.034217144583</v>
      </c>
      <c r="AB202" s="401" t="n">
        <f aca="false">AB201*(1+Assumptions!$L$13/12)</f>
        <v>0.828805532393282</v>
      </c>
      <c r="AC202" s="401" t="n">
        <f aca="false">AC201</f>
        <v>0</v>
      </c>
      <c r="AD202" s="405" t="n">
        <f aca="false">AD201</f>
        <v>806.55967593313</v>
      </c>
      <c r="AE202" s="405" t="n">
        <f aca="false">AE201</f>
        <v>1882.71897858527</v>
      </c>
      <c r="AF202" s="392" t="n">
        <f aca="false">IF(Assumptions!D$27=1,0,1)</f>
        <v>1</v>
      </c>
      <c r="AG202" s="406" t="n">
        <f aca="false">AG201</f>
        <v>0</v>
      </c>
      <c r="AH202" s="401" t="n">
        <f aca="false">Assumptions!$E$27*Assumptions!H23</f>
        <v>5.04633796761314</v>
      </c>
      <c r="AI202" s="401" t="n">
        <f aca="false">Assumptions!$F$27*Assumptions!I23</f>
        <v>4.55315519264122</v>
      </c>
      <c r="AJ202" s="401" t="n">
        <f aca="false">AJ201</f>
        <v>0</v>
      </c>
      <c r="AK202" s="401" t="n">
        <f aca="false">AK201</f>
        <v>0</v>
      </c>
      <c r="AL202" s="1"/>
    </row>
    <row r="203" customFormat="false" ht="12.75" hidden="false" customHeight="false" outlineLevel="0" collapsed="false">
      <c r="A203" s="400" t="n">
        <f aca="false">A202+30.417</f>
        <v>42380.064</v>
      </c>
      <c r="B203" s="401" t="n">
        <f aca="false">IF($B$9="Coal",AG203,IF($B$9="Gas",AH203,IF($B$9="Oil",AI203,0)))</f>
        <v>5.07554634010301</v>
      </c>
      <c r="C203" s="402" t="n">
        <f aca="false">(B203*$B$1*1000)/1000000</f>
        <v>57.3777554906926</v>
      </c>
      <c r="D203" s="401" t="n">
        <f aca="false">AB203+AC203</f>
        <v>0.830186874947271</v>
      </c>
      <c r="E203" s="401" t="n">
        <f aca="false">(($AJ203*$B$1*AD203*1000)/2000)/1000000</f>
        <v>0</v>
      </c>
      <c r="F203" s="401" t="n">
        <f aca="false">AF203*(($AK203*$B$1*AE203*1000)/2000)/1000000</f>
        <v>0</v>
      </c>
      <c r="G203" s="403" t="n">
        <f aca="false">IF('Peak Revenue'!$A$1="BL","-",SUM(C203:F203))</f>
        <v>58.2079423656399</v>
      </c>
      <c r="H203" s="411" t="n">
        <v>113.700470504813</v>
      </c>
      <c r="I203" s="411" t="n">
        <v>105.398022701955</v>
      </c>
      <c r="J203" s="411" t="n">
        <v>98.7105553976492</v>
      </c>
      <c r="K203" s="411" t="n">
        <v>93.3589061235442</v>
      </c>
      <c r="L203" s="411" t="n">
        <v>89.0234416441869</v>
      </c>
      <c r="M203" s="411" t="n">
        <v>87.7922181734062</v>
      </c>
      <c r="N203" s="411" t="n">
        <v>72.7679739912901</v>
      </c>
      <c r="O203" s="411" t="n">
        <v>60.9709684706457</v>
      </c>
      <c r="P203" s="411" t="n">
        <v>57.7630790243028</v>
      </c>
      <c r="Q203" s="411" t="n">
        <v>54.5838816248275</v>
      </c>
      <c r="R203" s="411" t="n">
        <v>54.2213877183494</v>
      </c>
      <c r="S203" s="411" t="n">
        <v>53.0263139120403</v>
      </c>
      <c r="T203" s="411" t="n">
        <v>51.0607225974721</v>
      </c>
      <c r="U203" s="411" t="n">
        <v>48.6864973782988</v>
      </c>
      <c r="V203" s="411" t="n">
        <v>45.092517094222</v>
      </c>
      <c r="W203" s="411" t="n">
        <v>43.3476486038154</v>
      </c>
      <c r="X203" s="411" t="n">
        <v>43.3476486038154</v>
      </c>
      <c r="Y203" s="411" t="n">
        <v>43.3476486038154</v>
      </c>
      <c r="Z203" s="411" t="n">
        <v>43.3476486038154</v>
      </c>
      <c r="AA203" s="411" t="n">
        <v>42.2791345055084</v>
      </c>
      <c r="AB203" s="401" t="n">
        <f aca="false">AB202*(1+Assumptions!$L$13/12)</f>
        <v>0.830186874947271</v>
      </c>
      <c r="AC203" s="401" t="n">
        <f aca="false">VLOOKUP($C$1,EnvVOM,19)</f>
        <v>0</v>
      </c>
      <c r="AD203" s="405" t="n">
        <f aca="false">Assumptions!B28</f>
        <v>885.601532299286</v>
      </c>
      <c r="AE203" s="405" t="n">
        <f aca="false">Assumptions!C28</f>
        <v>1999.31527872019</v>
      </c>
      <c r="AF203" s="392" t="n">
        <f aca="false">IF(Assumptions!D$28=1,0,1)</f>
        <v>1</v>
      </c>
      <c r="AG203" s="406" t="n">
        <f aca="false">VLOOKUP($C$1,Coal,19)</f>
        <v>0</v>
      </c>
      <c r="AH203" s="401" t="n">
        <f aca="false">Assumptions!$E$28*Assumptions!H12</f>
        <v>5.07554634010301</v>
      </c>
      <c r="AI203" s="401" t="n">
        <f aca="false">Assumptions!$F$28*Assumptions!I12</f>
        <v>4.73535374784809</v>
      </c>
      <c r="AJ203" s="401" t="n">
        <f aca="false">VLOOKUP($C$1,SO2Rate,19)</f>
        <v>0</v>
      </c>
      <c r="AK203" s="401" t="n">
        <f aca="false">VLOOKUP($C$1,NOxRate,19)</f>
        <v>0</v>
      </c>
      <c r="AL203" s="1"/>
    </row>
    <row r="204" customFormat="false" ht="12.75" hidden="false" customHeight="false" outlineLevel="0" collapsed="false">
      <c r="A204" s="400" t="n">
        <f aca="false">A203+30.417</f>
        <v>42410.481</v>
      </c>
      <c r="B204" s="401" t="n">
        <f aca="false">IF($B$9="Coal",AG204,IF($B$9="Gas",AH204,IF($B$9="Oil",AI204,0)))</f>
        <v>4.5490933952519</v>
      </c>
      <c r="C204" s="402" t="n">
        <f aca="false">(B204*$B$1*1000)/1000000</f>
        <v>51.4263393626687</v>
      </c>
      <c r="D204" s="401" t="n">
        <f aca="false">AB204+AC204</f>
        <v>0.831570519738849</v>
      </c>
      <c r="E204" s="401" t="n">
        <f aca="false">(($AJ204*$B$1*AD204*1000)/2000)/1000000</f>
        <v>0</v>
      </c>
      <c r="F204" s="401" t="n">
        <f aca="false">AF204*(($AK204*$B$1*AE204*1000)/2000)/1000000</f>
        <v>0</v>
      </c>
      <c r="G204" s="403" t="n">
        <f aca="false">IF('Peak Revenue'!$A$1="BL","-",SUM(C204:F204))</f>
        <v>52.2579098824075</v>
      </c>
      <c r="H204" s="411" t="n">
        <v>152.284546134791</v>
      </c>
      <c r="I204" s="411" t="n">
        <v>147.99903550398</v>
      </c>
      <c r="J204" s="411" t="n">
        <v>132.876334016017</v>
      </c>
      <c r="K204" s="411" t="n">
        <v>105.208462993504</v>
      </c>
      <c r="L204" s="411" t="n">
        <v>96.7401771050181</v>
      </c>
      <c r="M204" s="411" t="n">
        <v>89.5000174470195</v>
      </c>
      <c r="N204" s="411" t="n">
        <v>86.3919565686536</v>
      </c>
      <c r="O204" s="411" t="n">
        <v>82.9721345816462</v>
      </c>
      <c r="P204" s="411" t="n">
        <v>64.6829122190996</v>
      </c>
      <c r="Q204" s="411" t="n">
        <v>55.8542352346629</v>
      </c>
      <c r="R204" s="411" t="n">
        <v>48.4090435032819</v>
      </c>
      <c r="S204" s="411" t="n">
        <v>47.2365662465628</v>
      </c>
      <c r="T204" s="411" t="n">
        <v>43.0809250270135</v>
      </c>
      <c r="U204" s="411" t="n">
        <v>41.7305932476655</v>
      </c>
      <c r="V204" s="411" t="n">
        <v>41.5326876822383</v>
      </c>
      <c r="W204" s="411" t="n">
        <v>41.5326847001113</v>
      </c>
      <c r="X204" s="411" t="n">
        <v>41.5325637839174</v>
      </c>
      <c r="Y204" s="411" t="n">
        <v>41.5324896714237</v>
      </c>
      <c r="Z204" s="411" t="n">
        <v>41.433763298252</v>
      </c>
      <c r="AA204" s="411" t="n">
        <v>38.7425505724296</v>
      </c>
      <c r="AB204" s="401" t="n">
        <f aca="false">AB203*(1+Assumptions!$L$13/12)</f>
        <v>0.831570519738849</v>
      </c>
      <c r="AC204" s="401" t="n">
        <f aca="false">AC203</f>
        <v>0</v>
      </c>
      <c r="AD204" s="405" t="n">
        <f aca="false">AD203</f>
        <v>885.601532299286</v>
      </c>
      <c r="AE204" s="405" t="n">
        <f aca="false">AE203</f>
        <v>1999.31527872019</v>
      </c>
      <c r="AF204" s="392" t="n">
        <f aca="false">IF(Assumptions!D$28=1,0,1)</f>
        <v>1</v>
      </c>
      <c r="AG204" s="406" t="n">
        <f aca="false">AG203</f>
        <v>0</v>
      </c>
      <c r="AH204" s="401" t="n">
        <f aca="false">Assumptions!$E$28*Assumptions!H13</f>
        <v>4.5490933952519</v>
      </c>
      <c r="AI204" s="401" t="n">
        <f aca="false">Assumptions!$F$28*Assumptions!I13</f>
        <v>4.69150787981246</v>
      </c>
      <c r="AJ204" s="401" t="n">
        <f aca="false">AJ203</f>
        <v>0</v>
      </c>
      <c r="AK204" s="401" t="n">
        <f aca="false">AK203</f>
        <v>0</v>
      </c>
      <c r="AL204" s="1"/>
    </row>
    <row r="205" customFormat="false" ht="12.75" hidden="false" customHeight="false" outlineLevel="0" collapsed="false">
      <c r="A205" s="400" t="n">
        <f aca="false">A204+30.417</f>
        <v>42440.898</v>
      </c>
      <c r="B205" s="401" t="n">
        <f aca="false">IF($B$9="Coal",AG205,IF($B$9="Gas",AH205,IF($B$9="Oil",AI205,0)))</f>
        <v>4.47260023232482</v>
      </c>
      <c r="C205" s="402" t="n">
        <f aca="false">(B205*$B$1*1000)/1000000</f>
        <v>50.5616036859472</v>
      </c>
      <c r="D205" s="401" t="n">
        <f aca="false">AB205+AC205</f>
        <v>0.832956470605081</v>
      </c>
      <c r="E205" s="401" t="n">
        <f aca="false">(($AJ205*$B$1*AD205*1000)/2000)/1000000</f>
        <v>0</v>
      </c>
      <c r="F205" s="401" t="n">
        <f aca="false">AF205*(($AK205*$B$1*AE205*1000)/2000)/1000000</f>
        <v>0</v>
      </c>
      <c r="G205" s="403" t="n">
        <f aca="false">IF('Peak Revenue'!$A$1="BL","-",SUM(C205:F205))</f>
        <v>51.3945601565523</v>
      </c>
      <c r="H205" s="411" t="n">
        <v>94.4480212473492</v>
      </c>
      <c r="I205" s="411" t="n">
        <v>92.3538444614559</v>
      </c>
      <c r="J205" s="411" t="n">
        <v>88.0493825914258</v>
      </c>
      <c r="K205" s="411" t="n">
        <v>83.9443314507802</v>
      </c>
      <c r="L205" s="411" t="n">
        <v>83.4446027456427</v>
      </c>
      <c r="M205" s="411" t="n">
        <v>80.6371407771729</v>
      </c>
      <c r="N205" s="411" t="n">
        <v>67.4742531735968</v>
      </c>
      <c r="O205" s="411" t="n">
        <v>57.6611537635314</v>
      </c>
      <c r="P205" s="411" t="n">
        <v>56.0011862146839</v>
      </c>
      <c r="Q205" s="411" t="n">
        <v>52.7729601335112</v>
      </c>
      <c r="R205" s="411" t="n">
        <v>50.4329601802439</v>
      </c>
      <c r="S205" s="411" t="n">
        <v>48.6074127406511</v>
      </c>
      <c r="T205" s="411" t="n">
        <v>47.6367792832831</v>
      </c>
      <c r="U205" s="411" t="n">
        <v>47.4459230132665</v>
      </c>
      <c r="V205" s="411" t="n">
        <v>47.1526515859057</v>
      </c>
      <c r="W205" s="411" t="n">
        <v>45.6681560516014</v>
      </c>
      <c r="X205" s="411" t="n">
        <v>44.0267207831478</v>
      </c>
      <c r="Y205" s="411" t="n">
        <v>42.7970042834305</v>
      </c>
      <c r="Z205" s="411" t="n">
        <v>40.9986285693304</v>
      </c>
      <c r="AA205" s="411" t="n">
        <v>40.8823632416194</v>
      </c>
      <c r="AB205" s="401" t="n">
        <f aca="false">AB204*(1+Assumptions!$L$13/12)</f>
        <v>0.832956470605081</v>
      </c>
      <c r="AC205" s="401" t="n">
        <f aca="false">AC204</f>
        <v>0</v>
      </c>
      <c r="AD205" s="405" t="n">
        <f aca="false">AD204</f>
        <v>885.601532299286</v>
      </c>
      <c r="AE205" s="405" t="n">
        <f aca="false">AE204</f>
        <v>1999.31527872019</v>
      </c>
      <c r="AF205" s="392" t="n">
        <f aca="false">IF(Assumptions!D$28=1,0,1)</f>
        <v>1</v>
      </c>
      <c r="AG205" s="406" t="n">
        <f aca="false">AG204</f>
        <v>0</v>
      </c>
      <c r="AH205" s="401" t="n">
        <f aca="false">Assumptions!$E$28*Assumptions!H14</f>
        <v>4.47260023232482</v>
      </c>
      <c r="AI205" s="401" t="n">
        <f aca="false">Assumptions!$F$28*Assumptions!I14</f>
        <v>4.51612440766994</v>
      </c>
      <c r="AJ205" s="401" t="n">
        <f aca="false">AJ204</f>
        <v>0</v>
      </c>
      <c r="AK205" s="401" t="n">
        <f aca="false">AK204</f>
        <v>0</v>
      </c>
      <c r="AL205" s="1"/>
    </row>
    <row r="206" customFormat="false" ht="12.75" hidden="false" customHeight="false" outlineLevel="0" collapsed="false">
      <c r="A206" s="400" t="n">
        <f aca="false">A205+30.417</f>
        <v>42471.315</v>
      </c>
      <c r="B206" s="401" t="n">
        <f aca="false">IF($B$9="Coal",AG206,IF($B$9="Gas",AH206,IF($B$9="Oil",AI206,0)))</f>
        <v>4.25211993918205</v>
      </c>
      <c r="C206" s="402" t="n">
        <f aca="false">(B206*$B$1*1000)/1000000</f>
        <v>48.069130264809</v>
      </c>
      <c r="D206" s="401" t="n">
        <f aca="false">AB206+AC206</f>
        <v>0.834344731389423</v>
      </c>
      <c r="E206" s="401" t="n">
        <f aca="false">(($AJ206*$B$1*AD206*1000)/2000)/1000000</f>
        <v>0</v>
      </c>
      <c r="F206" s="401" t="n">
        <f aca="false">AF206*(($AK206*$B$1*AE206*1000)/2000)/1000000</f>
        <v>0</v>
      </c>
      <c r="G206" s="403" t="n">
        <f aca="false">IF('Peak Revenue'!$A$1="BL","-",SUM(C206:F206))</f>
        <v>48.9034749961984</v>
      </c>
      <c r="H206" s="411" t="n">
        <v>123.442734329077</v>
      </c>
      <c r="I206" s="411" t="n">
        <v>96.0342007586062</v>
      </c>
      <c r="J206" s="411" t="n">
        <v>89.3915270267677</v>
      </c>
      <c r="K206" s="411" t="n">
        <v>84.7111356468924</v>
      </c>
      <c r="L206" s="411" t="n">
        <v>84.4139147174032</v>
      </c>
      <c r="M206" s="411" t="n">
        <v>66.8900249329429</v>
      </c>
      <c r="N206" s="411" t="n">
        <v>53.5832133535115</v>
      </c>
      <c r="O206" s="411" t="n">
        <v>47.4330394984654</v>
      </c>
      <c r="P206" s="411" t="n">
        <v>45.7408729278517</v>
      </c>
      <c r="Q206" s="411" t="n">
        <v>40.9340612210925</v>
      </c>
      <c r="R206" s="411" t="n">
        <v>40.746312912266</v>
      </c>
      <c r="S206" s="411" t="n">
        <v>40.746312912266</v>
      </c>
      <c r="T206" s="411" t="n">
        <v>40.746294178599</v>
      </c>
      <c r="U206" s="411" t="n">
        <v>40.7456327014314</v>
      </c>
      <c r="V206" s="411" t="n">
        <v>40.7455682541685</v>
      </c>
      <c r="W206" s="411" t="n">
        <v>40.7455682541685</v>
      </c>
      <c r="X206" s="411" t="n">
        <v>40.7455682541685</v>
      </c>
      <c r="Y206" s="411" t="n">
        <v>40.278733675442</v>
      </c>
      <c r="Z206" s="411" t="n">
        <v>38.3793824383195</v>
      </c>
      <c r="AA206" s="411" t="n">
        <v>36.104342652063</v>
      </c>
      <c r="AB206" s="401" t="n">
        <f aca="false">AB205*(1+Assumptions!$L$13/12)</f>
        <v>0.834344731389423</v>
      </c>
      <c r="AC206" s="401" t="n">
        <f aca="false">AC205</f>
        <v>0</v>
      </c>
      <c r="AD206" s="405" t="n">
        <f aca="false">AD205</f>
        <v>885.601532299286</v>
      </c>
      <c r="AE206" s="405" t="n">
        <f aca="false">AE205</f>
        <v>1999.31527872019</v>
      </c>
      <c r="AF206" s="392" t="n">
        <f aca="false">IF(Assumptions!D$28=1,0,1)</f>
        <v>1</v>
      </c>
      <c r="AG206" s="406" t="n">
        <f aca="false">AG205</f>
        <v>0</v>
      </c>
      <c r="AH206" s="401" t="n">
        <f aca="false">Assumptions!$E$28*Assumptions!H15</f>
        <v>4.25211993918205</v>
      </c>
      <c r="AI206" s="401" t="n">
        <f aca="false">Assumptions!$F$28*Assumptions!I15</f>
        <v>4.34074093552742</v>
      </c>
      <c r="AJ206" s="401" t="n">
        <f aca="false">AJ205</f>
        <v>0</v>
      </c>
      <c r="AK206" s="401" t="n">
        <f aca="false">AK205</f>
        <v>0</v>
      </c>
      <c r="AL206" s="1"/>
    </row>
    <row r="207" customFormat="false" ht="12.75" hidden="false" customHeight="false" outlineLevel="0" collapsed="false">
      <c r="A207" s="400" t="n">
        <f aca="false">A206+30.417</f>
        <v>42501.732</v>
      </c>
      <c r="B207" s="401" t="n">
        <f aca="false">IF($B$9="Coal",AG207,IF($B$9="Gas",AH207,IF($B$9="Oil",AI207,0)))</f>
        <v>4.47709983014406</v>
      </c>
      <c r="C207" s="402" t="n">
        <f aca="false">(B207*$B$1*1000)/1000000</f>
        <v>50.6124704904603</v>
      </c>
      <c r="D207" s="401" t="n">
        <f aca="false">AB207+AC207</f>
        <v>0.835735305941738</v>
      </c>
      <c r="E207" s="401" t="n">
        <f aca="false">(($AJ207*$B$1*AD207*1000)/2000)/1000000</f>
        <v>0</v>
      </c>
      <c r="F207" s="401" t="n">
        <f aca="false">AF207*(($AK207*$B$1*AE207*1000)/2000)/1000000</f>
        <v>0</v>
      </c>
      <c r="G207" s="403" t="n">
        <f aca="false">IF('Peak Revenue'!$A$1="BL","-",SUM(C207:F207))</f>
        <v>51.448205796402</v>
      </c>
      <c r="H207" s="411" t="n">
        <v>84.4670949380035</v>
      </c>
      <c r="I207" s="411" t="n">
        <v>67.6443731135792</v>
      </c>
      <c r="J207" s="411" t="n">
        <v>61.5094775305283</v>
      </c>
      <c r="K207" s="411" t="n">
        <v>59.0695955198175</v>
      </c>
      <c r="L207" s="411" t="n">
        <v>57.3688122296219</v>
      </c>
      <c r="M207" s="411" t="n">
        <v>57.0608920329644</v>
      </c>
      <c r="N207" s="411" t="n">
        <v>55.5694287924215</v>
      </c>
      <c r="O207" s="411" t="n">
        <v>53.6315665024238</v>
      </c>
      <c r="P207" s="411" t="n">
        <v>52.3208612744595</v>
      </c>
      <c r="Q207" s="411" t="n">
        <v>51.9280204280167</v>
      </c>
      <c r="R207" s="411" t="n">
        <v>50.5911775550871</v>
      </c>
      <c r="S207" s="411" t="n">
        <v>48.5705939934203</v>
      </c>
      <c r="T207" s="411" t="n">
        <v>44.7323969426129</v>
      </c>
      <c r="U207" s="411" t="n">
        <v>41.9529395149454</v>
      </c>
      <c r="V207" s="411" t="n">
        <v>41.1162902862314</v>
      </c>
      <c r="W207" s="411" t="n">
        <v>38.3981846836073</v>
      </c>
      <c r="X207" s="411" t="n">
        <v>37.3610187127859</v>
      </c>
      <c r="Y207" s="411" t="n">
        <v>36.8483761147267</v>
      </c>
      <c r="Z207" s="411" t="n">
        <v>36.091258426722</v>
      </c>
      <c r="AA207" s="411" t="n">
        <v>35.0950279302191</v>
      </c>
      <c r="AB207" s="401" t="n">
        <f aca="false">AB206*(1+Assumptions!$L$13/12)</f>
        <v>0.835735305941738</v>
      </c>
      <c r="AC207" s="401" t="n">
        <f aca="false">AC206</f>
        <v>0</v>
      </c>
      <c r="AD207" s="405" t="n">
        <f aca="false">AD206</f>
        <v>885.601532299286</v>
      </c>
      <c r="AE207" s="405" t="n">
        <f aca="false">AE206</f>
        <v>1999.31527872019</v>
      </c>
      <c r="AF207" s="392" t="n">
        <v>1</v>
      </c>
      <c r="AG207" s="406" t="n">
        <f aca="false">AG206</f>
        <v>0</v>
      </c>
      <c r="AH207" s="401" t="n">
        <f aca="false">Assumptions!$E$28*Assumptions!H16</f>
        <v>4.47709983014406</v>
      </c>
      <c r="AI207" s="401" t="n">
        <f aca="false">Assumptions!$F$28*Assumptions!I16</f>
        <v>4.16535746338489</v>
      </c>
      <c r="AJ207" s="401" t="n">
        <f aca="false">AJ206</f>
        <v>0</v>
      </c>
      <c r="AK207" s="401" t="n">
        <f aca="false">AK206</f>
        <v>0</v>
      </c>
      <c r="AL207" s="1"/>
    </row>
    <row r="208" customFormat="false" ht="12.75" hidden="false" customHeight="false" outlineLevel="0" collapsed="false">
      <c r="A208" s="400" t="n">
        <f aca="false">A207+30.417</f>
        <v>42532.149</v>
      </c>
      <c r="B208" s="401" t="n">
        <f aca="false">IF($B$9="Coal",AG208,IF($B$9="Gas",AH208,IF($B$9="Oil",AI208,0)))</f>
        <v>4.26561873263977</v>
      </c>
      <c r="C208" s="402" t="n">
        <f aca="false">(B208*$B$1*1000)/1000000</f>
        <v>48.2217306783481</v>
      </c>
      <c r="D208" s="401" t="n">
        <f aca="false">AB208+AC208</f>
        <v>0.837128198118308</v>
      </c>
      <c r="E208" s="401" t="n">
        <f aca="false">(($AJ208*$B$1*AD208*1000)/2000)/1000000</f>
        <v>0</v>
      </c>
      <c r="F208" s="401" t="n">
        <f aca="false">AF208*(($AK208*$B$1*AE208*1000)/2000)/1000000</f>
        <v>0</v>
      </c>
      <c r="G208" s="403" t="n">
        <f aca="false">IF('Peak Revenue'!$A$1="BL","-",SUM(C208:F208))</f>
        <v>49.0588588764664</v>
      </c>
      <c r="H208" s="411" t="n">
        <v>193.387437183418</v>
      </c>
      <c r="I208" s="411" t="n">
        <v>179.981394391601</v>
      </c>
      <c r="J208" s="411" t="n">
        <v>168.456530115331</v>
      </c>
      <c r="K208" s="411" t="n">
        <v>155.281128885461</v>
      </c>
      <c r="L208" s="411" t="n">
        <v>146.782824750687</v>
      </c>
      <c r="M208" s="411" t="n">
        <v>84.7643394737026</v>
      </c>
      <c r="N208" s="411" t="n">
        <v>75.6786468769141</v>
      </c>
      <c r="O208" s="411" t="n">
        <v>55.5842330098877</v>
      </c>
      <c r="P208" s="411" t="n">
        <v>45.2168718815079</v>
      </c>
      <c r="Q208" s="411" t="n">
        <v>42.2988255342106</v>
      </c>
      <c r="R208" s="411" t="n">
        <v>38.6631494107108</v>
      </c>
      <c r="S208" s="411" t="n">
        <v>37.1371581455926</v>
      </c>
      <c r="T208" s="411" t="n">
        <v>37.0095943363963</v>
      </c>
      <c r="U208" s="411" t="n">
        <v>37.0095756526261</v>
      </c>
      <c r="V208" s="411" t="n">
        <v>37.0088644018444</v>
      </c>
      <c r="W208" s="411" t="n">
        <v>37.0088465587668</v>
      </c>
      <c r="X208" s="411" t="n">
        <v>37.0088465587668</v>
      </c>
      <c r="Y208" s="411" t="n">
        <v>36.9664352734181</v>
      </c>
      <c r="Z208" s="411" t="n">
        <v>36.5217799556641</v>
      </c>
      <c r="AA208" s="411" t="n">
        <v>33.0009214033007</v>
      </c>
      <c r="AB208" s="401" t="n">
        <f aca="false">AB207*(1+Assumptions!$L$13/12)</f>
        <v>0.837128198118308</v>
      </c>
      <c r="AC208" s="401" t="n">
        <f aca="false">AC207</f>
        <v>0</v>
      </c>
      <c r="AD208" s="405" t="n">
        <f aca="false">AD207</f>
        <v>885.601532299286</v>
      </c>
      <c r="AE208" s="405" t="n">
        <f aca="false">AE207</f>
        <v>1999.31527872019</v>
      </c>
      <c r="AF208" s="392" t="n">
        <v>1</v>
      </c>
      <c r="AG208" s="406" t="n">
        <f aca="false">AG207</f>
        <v>0</v>
      </c>
      <c r="AH208" s="401" t="n">
        <f aca="false">Assumptions!$E$28*Assumptions!H17</f>
        <v>4.26561873263977</v>
      </c>
      <c r="AI208" s="401" t="n">
        <f aca="false">Assumptions!$F$28*Assumptions!I17</f>
        <v>4.16535746338489</v>
      </c>
      <c r="AJ208" s="401" t="n">
        <f aca="false">AJ207</f>
        <v>0</v>
      </c>
      <c r="AK208" s="401" t="n">
        <f aca="false">AK207</f>
        <v>0</v>
      </c>
      <c r="AL208" s="1"/>
    </row>
    <row r="209" customFormat="false" ht="12.75" hidden="false" customHeight="false" outlineLevel="0" collapsed="false">
      <c r="A209" s="400" t="n">
        <f aca="false">A208+30.417</f>
        <v>42562.566</v>
      </c>
      <c r="B209" s="401" t="n">
        <f aca="false">IF($B$9="Coal",AG209,IF($B$9="Gas",AH209,IF($B$9="Oil",AI209,0)))</f>
        <v>4.25211993918205</v>
      </c>
      <c r="C209" s="402" t="n">
        <f aca="false">(B209*$B$1*1000)/1000000</f>
        <v>48.069130264809</v>
      </c>
      <c r="D209" s="401" t="n">
        <f aca="false">AB209+AC209</f>
        <v>0.838523411781839</v>
      </c>
      <c r="E209" s="401" t="n">
        <f aca="false">(($AJ209*$B$1*AD209*1000)/2000)/1000000</f>
        <v>0</v>
      </c>
      <c r="F209" s="401" t="n">
        <f aca="false">AF209*(($AK209*$B$1*AE209*1000)/2000)/1000000</f>
        <v>0</v>
      </c>
      <c r="G209" s="403" t="n">
        <f aca="false">IF('Peak Revenue'!$A$1="BL","-",SUM(C209:F209))</f>
        <v>48.9076536765908</v>
      </c>
      <c r="H209" s="411" t="n">
        <v>202.903879124232</v>
      </c>
      <c r="I209" s="411" t="n">
        <v>185.902630309524</v>
      </c>
      <c r="J209" s="411" t="n">
        <v>173.473147227258</v>
      </c>
      <c r="K209" s="411" t="n">
        <v>158.787804342602</v>
      </c>
      <c r="L209" s="411" t="n">
        <v>149.272020049222</v>
      </c>
      <c r="M209" s="411" t="n">
        <v>107.175676016264</v>
      </c>
      <c r="N209" s="411" t="n">
        <v>80.0652015265395</v>
      </c>
      <c r="O209" s="411" t="n">
        <v>76.3885189078777</v>
      </c>
      <c r="P209" s="411" t="n">
        <v>61.3737952078431</v>
      </c>
      <c r="Q209" s="411" t="n">
        <v>57.6628777135801</v>
      </c>
      <c r="R209" s="411" t="n">
        <v>56.136502930413</v>
      </c>
      <c r="S209" s="411" t="n">
        <v>55.6624600338679</v>
      </c>
      <c r="T209" s="411" t="n">
        <v>54.8887022621511</v>
      </c>
      <c r="U209" s="411" t="n">
        <v>54.2984607222946</v>
      </c>
      <c r="V209" s="411" t="n">
        <v>53.7860241923918</v>
      </c>
      <c r="W209" s="411" t="n">
        <v>51.4497192179712</v>
      </c>
      <c r="X209" s="411" t="n">
        <v>46.8891886028049</v>
      </c>
      <c r="Y209" s="411" t="n">
        <v>43.8809302250334</v>
      </c>
      <c r="Z209" s="411" t="n">
        <v>41.7339756241155</v>
      </c>
      <c r="AA209" s="411" t="n">
        <v>38.2370246301819</v>
      </c>
      <c r="AB209" s="401" t="n">
        <f aca="false">AB208*(1+Assumptions!$L$13/12)</f>
        <v>0.838523411781839</v>
      </c>
      <c r="AC209" s="401" t="n">
        <f aca="false">AC208</f>
        <v>0</v>
      </c>
      <c r="AD209" s="405" t="n">
        <f aca="false">AD208</f>
        <v>885.601532299286</v>
      </c>
      <c r="AE209" s="405" t="n">
        <f aca="false">AE208</f>
        <v>1999.31527872019</v>
      </c>
      <c r="AF209" s="392" t="n">
        <v>1</v>
      </c>
      <c r="AG209" s="406" t="n">
        <f aca="false">AG208</f>
        <v>0</v>
      </c>
      <c r="AH209" s="401" t="n">
        <f aca="false">Assumptions!$E$28*Assumptions!H18</f>
        <v>4.25211993918205</v>
      </c>
      <c r="AI209" s="401" t="n">
        <f aca="false">Assumptions!$F$28*Assumptions!I18</f>
        <v>4.16535746338489</v>
      </c>
      <c r="AJ209" s="401" t="n">
        <f aca="false">AJ208</f>
        <v>0</v>
      </c>
      <c r="AK209" s="401" t="n">
        <f aca="false">AK208</f>
        <v>0</v>
      </c>
      <c r="AL209" s="1"/>
    </row>
    <row r="210" customFormat="false" ht="12.75" hidden="false" customHeight="false" outlineLevel="0" collapsed="false">
      <c r="A210" s="400" t="n">
        <f aca="false">A209+30.417</f>
        <v>42592.983</v>
      </c>
      <c r="B210" s="401" t="n">
        <f aca="false">IF($B$9="Coal",AG210,IF($B$9="Gas",AH210,IF($B$9="Oil",AI210,0)))</f>
        <v>4.03163964603927</v>
      </c>
      <c r="C210" s="402" t="n">
        <f aca="false">(B210*$B$1*1000)/1000000</f>
        <v>45.5766568436708</v>
      </c>
      <c r="D210" s="401" t="n">
        <f aca="false">AB210+AC210</f>
        <v>0.839920950801475</v>
      </c>
      <c r="E210" s="401" t="n">
        <f aca="false">(($AJ210*$B$1*AD210*1000)/2000)/1000000</f>
        <v>0</v>
      </c>
      <c r="F210" s="401" t="n">
        <f aca="false">AF210*(($AK210*$B$1*AE210*1000)/2000)/1000000</f>
        <v>0</v>
      </c>
      <c r="G210" s="403" t="n">
        <f aca="false">IF('Peak Revenue'!$A$1="BL","-",SUM(C210:F210))</f>
        <v>46.4165777944722</v>
      </c>
      <c r="H210" s="411" t="n">
        <v>284.657406838055</v>
      </c>
      <c r="I210" s="411" t="n">
        <v>214.067758537973</v>
      </c>
      <c r="J210" s="411" t="n">
        <v>196.551688369458</v>
      </c>
      <c r="K210" s="411" t="n">
        <v>177.225032864728</v>
      </c>
      <c r="L210" s="411" t="n">
        <v>161.781429482174</v>
      </c>
      <c r="M210" s="411" t="n">
        <v>147.782848422813</v>
      </c>
      <c r="N210" s="411" t="n">
        <v>106.039415975265</v>
      </c>
      <c r="O210" s="411" t="n">
        <v>89.621825917147</v>
      </c>
      <c r="P210" s="411" t="n">
        <v>74.7733231574089</v>
      </c>
      <c r="Q210" s="411" t="n">
        <v>52.8583986480041</v>
      </c>
      <c r="R210" s="411" t="n">
        <v>44.0978866704438</v>
      </c>
      <c r="S210" s="411" t="n">
        <v>42.7610989132642</v>
      </c>
      <c r="T210" s="411" t="n">
        <v>42.7610511795554</v>
      </c>
      <c r="U210" s="411" t="n">
        <v>42.7610319848467</v>
      </c>
      <c r="V210" s="411" t="n">
        <v>42.7608398419321</v>
      </c>
      <c r="W210" s="411" t="n">
        <v>42.7607425154526</v>
      </c>
      <c r="X210" s="411" t="n">
        <v>42.5062392791502</v>
      </c>
      <c r="Y210" s="411" t="n">
        <v>38.8893483235855</v>
      </c>
      <c r="Z210" s="411" t="n">
        <v>36.8565520651401</v>
      </c>
      <c r="AA210" s="411" t="n">
        <v>30.9507071303647</v>
      </c>
      <c r="AB210" s="401" t="n">
        <f aca="false">AB209*(1+Assumptions!$L$13/12)</f>
        <v>0.839920950801475</v>
      </c>
      <c r="AC210" s="401" t="n">
        <f aca="false">AC209</f>
        <v>0</v>
      </c>
      <c r="AD210" s="405" t="n">
        <f aca="false">AD209</f>
        <v>885.601532299286</v>
      </c>
      <c r="AE210" s="405" t="n">
        <f aca="false">AE209</f>
        <v>1999.31527872019</v>
      </c>
      <c r="AF210" s="392" t="n">
        <v>1</v>
      </c>
      <c r="AG210" s="406" t="n">
        <f aca="false">AG209</f>
        <v>0</v>
      </c>
      <c r="AH210" s="401" t="n">
        <f aca="false">Assumptions!$E$28*Assumptions!H19</f>
        <v>4.03163964603927</v>
      </c>
      <c r="AI210" s="401" t="n">
        <f aca="false">Assumptions!$F$28*Assumptions!I19</f>
        <v>4.16535746338489</v>
      </c>
      <c r="AJ210" s="401" t="n">
        <f aca="false">AJ209</f>
        <v>0</v>
      </c>
      <c r="AK210" s="401" t="n">
        <f aca="false">AK209</f>
        <v>0</v>
      </c>
      <c r="AL210" s="1"/>
    </row>
    <row r="211" customFormat="false" ht="12.75" hidden="false" customHeight="false" outlineLevel="0" collapsed="false">
      <c r="A211" s="400" t="n">
        <f aca="false">A210+30.417</f>
        <v>42623.4</v>
      </c>
      <c r="B211" s="401" t="n">
        <f aca="false">IF($B$9="Coal",AG211,IF($B$9="Gas",AH211,IF($B$9="Oil",AI211,0)))</f>
        <v>4.01814085258155</v>
      </c>
      <c r="C211" s="402" t="n">
        <f aca="false">(B211*$B$1*1000)/1000000</f>
        <v>45.4240564301317</v>
      </c>
      <c r="D211" s="401" t="n">
        <f aca="false">AB211+AC211</f>
        <v>0.841320819052811</v>
      </c>
      <c r="E211" s="401" t="n">
        <f aca="false">(($AJ211*$B$1*AD211*1000)/2000)/1000000</f>
        <v>0</v>
      </c>
      <c r="F211" s="401" t="n">
        <f aca="false">AF211*(($AK211*$B$1*AE211*1000)/2000)/1000000</f>
        <v>0</v>
      </c>
      <c r="G211" s="403" t="n">
        <f aca="false">IF('Peak Revenue'!$A$1="BL","-",SUM(C211:F211))</f>
        <v>46.2653772491845</v>
      </c>
      <c r="H211" s="411" t="n">
        <v>177.144194207069</v>
      </c>
      <c r="I211" s="411" t="n">
        <v>165.029747012083</v>
      </c>
      <c r="J211" s="411" t="n">
        <v>155.57787401246</v>
      </c>
      <c r="K211" s="411" t="n">
        <v>147.3488988899</v>
      </c>
      <c r="L211" s="411" t="n">
        <v>106.050994284693</v>
      </c>
      <c r="M211" s="411" t="n">
        <v>70.3322704237908</v>
      </c>
      <c r="N211" s="411" t="n">
        <v>62.0589791357687</v>
      </c>
      <c r="O211" s="411" t="n">
        <v>60.4229950230756</v>
      </c>
      <c r="P211" s="411" t="n">
        <v>51.5205773227395</v>
      </c>
      <c r="Q211" s="411" t="n">
        <v>45.2832348973519</v>
      </c>
      <c r="R211" s="411" t="n">
        <v>43.4438438089526</v>
      </c>
      <c r="S211" s="411" t="n">
        <v>42.2580336422266</v>
      </c>
      <c r="T211" s="411" t="n">
        <v>39.9596792072446</v>
      </c>
      <c r="U211" s="411" t="n">
        <v>37.8788894458761</v>
      </c>
      <c r="V211" s="411" t="n">
        <v>35.1724613831673</v>
      </c>
      <c r="W211" s="411" t="n">
        <v>33.5544832654568</v>
      </c>
      <c r="X211" s="411" t="n">
        <v>31.8831388277978</v>
      </c>
      <c r="Y211" s="411" t="n">
        <v>31.3071759702799</v>
      </c>
      <c r="Z211" s="411" t="n">
        <v>30.6646914554798</v>
      </c>
      <c r="AA211" s="411" t="n">
        <v>30.4689232520014</v>
      </c>
      <c r="AB211" s="401" t="n">
        <f aca="false">AB210*(1+Assumptions!$L$13/12)</f>
        <v>0.841320819052811</v>
      </c>
      <c r="AC211" s="401" t="n">
        <f aca="false">AC210</f>
        <v>0</v>
      </c>
      <c r="AD211" s="405" t="n">
        <f aca="false">AD210</f>
        <v>885.601532299286</v>
      </c>
      <c r="AE211" s="405" t="n">
        <f aca="false">AE210</f>
        <v>1999.31527872019</v>
      </c>
      <c r="AF211" s="392" t="n">
        <v>1</v>
      </c>
      <c r="AG211" s="406" t="n">
        <f aca="false">AG210</f>
        <v>0</v>
      </c>
      <c r="AH211" s="401" t="n">
        <f aca="false">Assumptions!$E$28*Assumptions!H20</f>
        <v>4.01814085258155</v>
      </c>
      <c r="AI211" s="401" t="n">
        <f aca="false">Assumptions!$F$28*Assumptions!I20</f>
        <v>4.16535746338489</v>
      </c>
      <c r="AJ211" s="401" t="n">
        <f aca="false">AJ210</f>
        <v>0</v>
      </c>
      <c r="AK211" s="401" t="n">
        <f aca="false">AK210</f>
        <v>0</v>
      </c>
      <c r="AL211" s="1"/>
    </row>
    <row r="212" customFormat="false" ht="12.75" hidden="false" customHeight="false" outlineLevel="0" collapsed="false">
      <c r="A212" s="400" t="n">
        <f aca="false">A211+30.417</f>
        <v>42653.817</v>
      </c>
      <c r="B212" s="401" t="n">
        <f aca="false">IF($B$9="Coal",AG212,IF($B$9="Gas",AH212,IF($B$9="Oil",AI212,0)))</f>
        <v>4.45010224322862</v>
      </c>
      <c r="C212" s="402" t="n">
        <f aca="false">(B212*$B$1*1000)/1000000</f>
        <v>50.3072696633821</v>
      </c>
      <c r="D212" s="401" t="n">
        <f aca="false">AB212+AC212</f>
        <v>0.842723020417899</v>
      </c>
      <c r="E212" s="401" t="n">
        <f aca="false">(($AJ212*$B$1*AD212*1000)/2000)/1000000</f>
        <v>0</v>
      </c>
      <c r="F212" s="401" t="n">
        <f aca="false">AF212*(($AK212*$B$1*AE212*1000)/2000)/1000000</f>
        <v>0</v>
      </c>
      <c r="G212" s="403" t="n">
        <f aca="false">IF('Peak Revenue'!$A$1="BL","-",SUM(C212:F212))</f>
        <v>51.1499926838</v>
      </c>
      <c r="H212" s="411" t="n">
        <v>90.0927922664456</v>
      </c>
      <c r="I212" s="411" t="n">
        <v>84.754453706077</v>
      </c>
      <c r="J212" s="411" t="n">
        <v>82.0228607400873</v>
      </c>
      <c r="K212" s="411" t="n">
        <v>76.8539149964453</v>
      </c>
      <c r="L212" s="411" t="n">
        <v>74.489457410685</v>
      </c>
      <c r="M212" s="411" t="n">
        <v>74.0668990620302</v>
      </c>
      <c r="N212" s="411" t="n">
        <v>64.9117285660474</v>
      </c>
      <c r="O212" s="411" t="n">
        <v>52.5860023895291</v>
      </c>
      <c r="P212" s="411" t="n">
        <v>50.9877810389344</v>
      </c>
      <c r="Q212" s="411" t="n">
        <v>46.4030755120063</v>
      </c>
      <c r="R212" s="411" t="n">
        <v>45.1733231354843</v>
      </c>
      <c r="S212" s="411" t="n">
        <v>44.047918164276</v>
      </c>
      <c r="T212" s="411" t="n">
        <v>42.8279684777981</v>
      </c>
      <c r="U212" s="411" t="n">
        <v>42.0610439523653</v>
      </c>
      <c r="V212" s="411" t="n">
        <v>41.5468810459907</v>
      </c>
      <c r="W212" s="411" t="n">
        <v>39.5548249435845</v>
      </c>
      <c r="X212" s="411" t="n">
        <v>37.4394539405639</v>
      </c>
      <c r="Y212" s="411" t="n">
        <v>36.9088409013103</v>
      </c>
      <c r="Z212" s="411" t="n">
        <v>36.8591598970367</v>
      </c>
      <c r="AA212" s="411" t="n">
        <v>36.1096422062745</v>
      </c>
      <c r="AB212" s="401" t="n">
        <f aca="false">AB211*(1+Assumptions!$L$13/12)</f>
        <v>0.842723020417899</v>
      </c>
      <c r="AC212" s="401" t="n">
        <f aca="false">AC211</f>
        <v>0</v>
      </c>
      <c r="AD212" s="405" t="n">
        <f aca="false">AD211</f>
        <v>885.601532299286</v>
      </c>
      <c r="AE212" s="405" t="n">
        <f aca="false">AE211</f>
        <v>1999.31527872019</v>
      </c>
      <c r="AF212" s="392" t="n">
        <f aca="false">IF(Assumptions!D$28=1,0,1)</f>
        <v>1</v>
      </c>
      <c r="AG212" s="406" t="n">
        <f aca="false">AG211</f>
        <v>0</v>
      </c>
      <c r="AH212" s="401" t="n">
        <f aca="false">Assumptions!$E$28*Assumptions!H21</f>
        <v>4.45010224322862</v>
      </c>
      <c r="AI212" s="401" t="n">
        <f aca="false">Assumptions!$F$28*Assumptions!I21</f>
        <v>4.16535746338489</v>
      </c>
      <c r="AJ212" s="401" t="n">
        <f aca="false">AJ211</f>
        <v>0</v>
      </c>
      <c r="AK212" s="401" t="n">
        <f aca="false">AK211</f>
        <v>0</v>
      </c>
      <c r="AL212" s="1"/>
    </row>
    <row r="213" customFormat="false" ht="12.75" hidden="false" customHeight="false" outlineLevel="0" collapsed="false">
      <c r="A213" s="400" t="n">
        <f aca="false">A212+30.417</f>
        <v>42684.234</v>
      </c>
      <c r="B213" s="401" t="n">
        <f aca="false">IF($B$9="Coal",AG213,IF($B$9="Gas",AH213,IF($B$9="Oil",AI213,0)))</f>
        <v>4.8730644382372</v>
      </c>
      <c r="C213" s="402" t="n">
        <f aca="false">(B213*$B$1*1000)/1000000</f>
        <v>55.0887492876065</v>
      </c>
      <c r="D213" s="401" t="n">
        <f aca="false">AB213+AC213</f>
        <v>0.844127558785262</v>
      </c>
      <c r="E213" s="401" t="n">
        <f aca="false">(($AJ213*$B$1*AD213*1000)/2000)/1000000</f>
        <v>0</v>
      </c>
      <c r="F213" s="401" t="n">
        <f aca="false">AF213*(($AK213*$B$1*AE213*1000)/2000)/1000000</f>
        <v>0</v>
      </c>
      <c r="G213" s="403" t="n">
        <f aca="false">IF('Peak Revenue'!$A$1="BL","-",SUM(C213:F213))</f>
        <v>55.9328768463917</v>
      </c>
      <c r="H213" s="411" t="n">
        <v>154.083957279018</v>
      </c>
      <c r="I213" s="411" t="n">
        <v>150.289557438838</v>
      </c>
      <c r="J213" s="411" t="n">
        <v>145.119276314523</v>
      </c>
      <c r="K213" s="411" t="n">
        <v>100.44735109319</v>
      </c>
      <c r="L213" s="411" t="n">
        <v>90.7158749985322</v>
      </c>
      <c r="M213" s="411" t="n">
        <v>88.8279237136289</v>
      </c>
      <c r="N213" s="411" t="n">
        <v>76.8567914585517</v>
      </c>
      <c r="O213" s="411" t="n">
        <v>59.9379467687406</v>
      </c>
      <c r="P213" s="411" t="n">
        <v>49.7620703920211</v>
      </c>
      <c r="Q213" s="411" t="n">
        <v>48.868718214023</v>
      </c>
      <c r="R213" s="411" t="n">
        <v>42.935252560628</v>
      </c>
      <c r="S213" s="411" t="n">
        <v>42.6459254003862</v>
      </c>
      <c r="T213" s="411" t="n">
        <v>42.6459254003862</v>
      </c>
      <c r="U213" s="411" t="n">
        <v>42.6458783131524</v>
      </c>
      <c r="V213" s="411" t="n">
        <v>42.6451697666329</v>
      </c>
      <c r="W213" s="411" t="n">
        <v>42.6451697666329</v>
      </c>
      <c r="X213" s="411" t="n">
        <v>42.6451697666329</v>
      </c>
      <c r="Y213" s="411" t="n">
        <v>42.6451697666329</v>
      </c>
      <c r="Z213" s="411" t="n">
        <v>39.6410641487493</v>
      </c>
      <c r="AA213" s="411" t="n">
        <v>35.6101616509571</v>
      </c>
      <c r="AB213" s="401" t="n">
        <f aca="false">AB212*(1+Assumptions!$L$13/12)</f>
        <v>0.844127558785262</v>
      </c>
      <c r="AC213" s="401" t="n">
        <f aca="false">AC212</f>
        <v>0</v>
      </c>
      <c r="AD213" s="405" t="n">
        <f aca="false">AD212</f>
        <v>885.601532299286</v>
      </c>
      <c r="AE213" s="405" t="n">
        <f aca="false">AE212</f>
        <v>1999.31527872019</v>
      </c>
      <c r="AF213" s="392" t="n">
        <f aca="false">IF(Assumptions!D$28=1,0,1)</f>
        <v>1</v>
      </c>
      <c r="AG213" s="406" t="n">
        <f aca="false">AG212</f>
        <v>0</v>
      </c>
      <c r="AH213" s="401" t="n">
        <f aca="false">Assumptions!$E$28*Assumptions!H22</f>
        <v>4.8730644382372</v>
      </c>
      <c r="AI213" s="401" t="n">
        <f aca="false">Assumptions!$F$28*Assumptions!I22</f>
        <v>4.51612440766994</v>
      </c>
      <c r="AJ213" s="401" t="n">
        <f aca="false">AJ212</f>
        <v>0</v>
      </c>
      <c r="AK213" s="401" t="n">
        <f aca="false">AK212</f>
        <v>0</v>
      </c>
      <c r="AL213" s="1"/>
    </row>
    <row r="214" customFormat="false" ht="12.75" hidden="false" customHeight="false" outlineLevel="0" collapsed="false">
      <c r="A214" s="400" t="n">
        <f aca="false">A213+30.417</f>
        <v>42714.651</v>
      </c>
      <c r="B214" s="401" t="n">
        <f aca="false">IF($B$9="Coal",AG214,IF($B$9="Gas",AH214,IF($B$9="Oil",AI214,0)))</f>
        <v>5.27352864414959</v>
      </c>
      <c r="C214" s="402" t="n">
        <f aca="false">(B214*$B$1*1000)/1000000</f>
        <v>59.6158948892658</v>
      </c>
      <c r="D214" s="401" t="n">
        <f aca="false">AB214+AC214</f>
        <v>0.845534438049904</v>
      </c>
      <c r="E214" s="401" t="n">
        <f aca="false">(($AJ214*$B$1*AD214*1000)/2000)/1000000</f>
        <v>0</v>
      </c>
      <c r="F214" s="401" t="n">
        <f aca="false">AF214*(($AK214*$B$1*AE214*1000)/2000)/1000000</f>
        <v>0</v>
      </c>
      <c r="G214" s="403" t="n">
        <f aca="false">IF('Peak Revenue'!$A$1="BL","-",SUM(C214:F214))</f>
        <v>60.4614293273157</v>
      </c>
      <c r="H214" s="411" t="n">
        <v>123.917916283604</v>
      </c>
      <c r="I214" s="411" t="n">
        <v>119.488101009373</v>
      </c>
      <c r="J214" s="411" t="n">
        <v>112.320891653984</v>
      </c>
      <c r="K214" s="411" t="n">
        <v>110.805351646527</v>
      </c>
      <c r="L214" s="411" t="n">
        <v>109.340385708389</v>
      </c>
      <c r="M214" s="411" t="n">
        <v>93.1910744177141</v>
      </c>
      <c r="N214" s="411" t="n">
        <v>73.4935904049063</v>
      </c>
      <c r="O214" s="411" t="n">
        <v>61.4775810523893</v>
      </c>
      <c r="P214" s="411" t="n">
        <v>60.4930831801113</v>
      </c>
      <c r="Q214" s="411" t="n">
        <v>53.3112938418797</v>
      </c>
      <c r="R214" s="411" t="n">
        <v>52.1498289036724</v>
      </c>
      <c r="S214" s="411" t="n">
        <v>52.1498289036724</v>
      </c>
      <c r="T214" s="411" t="n">
        <v>52.1498289036724</v>
      </c>
      <c r="U214" s="411" t="n">
        <v>52.1498289036724</v>
      </c>
      <c r="V214" s="411" t="n">
        <v>52.1498289036724</v>
      </c>
      <c r="W214" s="411" t="n">
        <v>52.1497806806744</v>
      </c>
      <c r="X214" s="411" t="n">
        <v>52.1492236634471</v>
      </c>
      <c r="Y214" s="411" t="n">
        <v>52.1484597070636</v>
      </c>
      <c r="Z214" s="411" t="n">
        <v>52.1484597070636</v>
      </c>
      <c r="AA214" s="411" t="n">
        <v>47.3049835663618</v>
      </c>
      <c r="AB214" s="401" t="n">
        <f aca="false">AB213*(1+Assumptions!$L$13/12)</f>
        <v>0.845534438049904</v>
      </c>
      <c r="AC214" s="401" t="n">
        <f aca="false">AC213</f>
        <v>0</v>
      </c>
      <c r="AD214" s="405" t="n">
        <f aca="false">AD213</f>
        <v>885.601532299286</v>
      </c>
      <c r="AE214" s="405" t="n">
        <f aca="false">AE213</f>
        <v>1999.31527872019</v>
      </c>
      <c r="AF214" s="392" t="n">
        <f aca="false">IF(Assumptions!D$28=1,0,1)</f>
        <v>1</v>
      </c>
      <c r="AG214" s="406" t="n">
        <f aca="false">AG213</f>
        <v>0</v>
      </c>
      <c r="AH214" s="401" t="n">
        <f aca="false">Assumptions!$E$28*Assumptions!H23</f>
        <v>5.27352864414959</v>
      </c>
      <c r="AI214" s="401" t="n">
        <f aca="false">Assumptions!$F$28*Assumptions!I23</f>
        <v>4.73535374784809</v>
      </c>
      <c r="AJ214" s="401" t="n">
        <f aca="false">AJ213</f>
        <v>0</v>
      </c>
      <c r="AK214" s="401" t="n">
        <f aca="false">AK213</f>
        <v>0</v>
      </c>
      <c r="AL214" s="1"/>
    </row>
    <row r="215" customFormat="false" ht="12.75" hidden="false" customHeight="false" outlineLevel="0" collapsed="false">
      <c r="A215" s="400" t="n">
        <f aca="false">A214+30.417</f>
        <v>42745.068</v>
      </c>
      <c r="B215" s="401" t="n">
        <f aca="false">IF($B$9="Coal",AG215,IF($B$9="Gas",AH215,IF($B$9="Oil",AI215,0)))</f>
        <v>5.24275454262602</v>
      </c>
      <c r="C215" s="402" t="n">
        <f aca="false">(B215*$B$1*1000)/1000000</f>
        <v>59.2680015287593</v>
      </c>
      <c r="D215" s="401" t="n">
        <f aca="false">AB215+AC215</f>
        <v>0.846943662113321</v>
      </c>
      <c r="E215" s="401" t="n">
        <f aca="false">(($AJ215*$B$1*AD215*1000)/2000)/1000000</f>
        <v>0</v>
      </c>
      <c r="F215" s="401" t="n">
        <f aca="false">AF215*(($AK215*$B$1*AE215*1000)/2000)/1000000</f>
        <v>0</v>
      </c>
      <c r="G215" s="403" t="n">
        <f aca="false">IF('Peak Revenue'!$A$1="BL","-",SUM(C215:F215))</f>
        <v>60.1149451908726</v>
      </c>
      <c r="H215" s="411" t="n">
        <v>122.404091611044</v>
      </c>
      <c r="I215" s="411" t="n">
        <v>115.926852774015</v>
      </c>
      <c r="J215" s="411" t="n">
        <v>111.688540027966</v>
      </c>
      <c r="K215" s="411" t="n">
        <v>104.408215485289</v>
      </c>
      <c r="L215" s="411" t="n">
        <v>103.896491941489</v>
      </c>
      <c r="M215" s="411" t="n">
        <v>95.9944882458232</v>
      </c>
      <c r="N215" s="411" t="n">
        <v>71.0026323882352</v>
      </c>
      <c r="O215" s="411" t="n">
        <v>58.4687641172681</v>
      </c>
      <c r="P215" s="411" t="n">
        <v>55.8385363401156</v>
      </c>
      <c r="Q215" s="411" t="n">
        <v>49.9049197221929</v>
      </c>
      <c r="R215" s="411" t="n">
        <v>49.9049197221929</v>
      </c>
      <c r="S215" s="411" t="n">
        <v>49.9049197221929</v>
      </c>
      <c r="T215" s="411" t="n">
        <v>49.7720565859185</v>
      </c>
      <c r="U215" s="411" t="n">
        <v>49.105480623067</v>
      </c>
      <c r="V215" s="411" t="n">
        <v>49.05767555026</v>
      </c>
      <c r="W215" s="411" t="n">
        <v>49.05767555026</v>
      </c>
      <c r="X215" s="411" t="n">
        <v>49.0574076163158</v>
      </c>
      <c r="Y215" s="411" t="n">
        <v>49.0572745012152</v>
      </c>
      <c r="Z215" s="411" t="n">
        <v>48.9652568474234</v>
      </c>
      <c r="AA215" s="411" t="n">
        <v>40.0586963000199</v>
      </c>
      <c r="AB215" s="401" t="n">
        <f aca="false">AB214*(1+Assumptions!$L$13/12)</f>
        <v>0.846943662113321</v>
      </c>
      <c r="AC215" s="401" t="n">
        <f aca="false">VLOOKUP($C$1,EnvVOM,20)</f>
        <v>0</v>
      </c>
      <c r="AD215" s="405" t="n">
        <f aca="false">Assumptions!B29</f>
        <v>870.060330328103</v>
      </c>
      <c r="AE215" s="405" t="n">
        <f aca="false">Assumptions!C29</f>
        <v>1879.5637242099</v>
      </c>
      <c r="AF215" s="392" t="n">
        <f aca="false">IF(Assumptions!D$29=1,0,1)</f>
        <v>1</v>
      </c>
      <c r="AG215" s="406" t="n">
        <f aca="false">VLOOKUP($C$1,Coal,20)</f>
        <v>0</v>
      </c>
      <c r="AH215" s="401" t="n">
        <f aca="false">Assumptions!$E$29*Assumptions!H12</f>
        <v>5.24275454262602</v>
      </c>
      <c r="AI215" s="401" t="n">
        <f aca="false">Assumptions!$F$29*Assumptions!I12</f>
        <v>4.88291068396218</v>
      </c>
      <c r="AJ215" s="401" t="n">
        <f aca="false">VLOOKUP($C$1,SO2Rate,20)</f>
        <v>0</v>
      </c>
      <c r="AK215" s="401" t="n">
        <f aca="false">VLOOKUP($C$1,NOxRate,20)</f>
        <v>0</v>
      </c>
      <c r="AL215" s="1"/>
    </row>
    <row r="216" customFormat="false" ht="12.75" hidden="false" customHeight="false" outlineLevel="0" collapsed="false">
      <c r="A216" s="400" t="n">
        <f aca="false">A215+30.417</f>
        <v>42775.485</v>
      </c>
      <c r="B216" s="401" t="n">
        <f aca="false">IF($B$9="Coal",AG216,IF($B$9="Gas",AH216,IF($B$9="Oil",AI216,0)))</f>
        <v>4.69895819378981</v>
      </c>
      <c r="C216" s="402" t="n">
        <f aca="false">(B216*$B$1*1000)/1000000</f>
        <v>53.1205226467869</v>
      </c>
      <c r="D216" s="401" t="n">
        <f aca="false">AB216+AC216</f>
        <v>0.84835523488351</v>
      </c>
      <c r="E216" s="401" t="n">
        <f aca="false">(($AJ216*$B$1*AD216*1000)/2000)/1000000</f>
        <v>0</v>
      </c>
      <c r="F216" s="401" t="n">
        <f aca="false">AF216*(($AK216*$B$1*AE216*1000)/2000)/1000000</f>
        <v>0</v>
      </c>
      <c r="G216" s="403" t="n">
        <f aca="false">IF('Peak Revenue'!$A$1="BL","-",SUM(C216:F216))</f>
        <v>53.9688778816704</v>
      </c>
      <c r="H216" s="411" t="n">
        <v>146.84494019442</v>
      </c>
      <c r="I216" s="411" t="n">
        <v>137.115604186932</v>
      </c>
      <c r="J216" s="411" t="n">
        <v>119.920423227852</v>
      </c>
      <c r="K216" s="411" t="n">
        <v>107.587118492853</v>
      </c>
      <c r="L216" s="411" t="n">
        <v>100.395617041951</v>
      </c>
      <c r="M216" s="411" t="n">
        <v>99.4422566954801</v>
      </c>
      <c r="N216" s="411" t="n">
        <v>85.4985732326309</v>
      </c>
      <c r="O216" s="411" t="n">
        <v>77.7825787395889</v>
      </c>
      <c r="P216" s="411" t="n">
        <v>66.7047219984543</v>
      </c>
      <c r="Q216" s="411" t="n">
        <v>50.831284192795</v>
      </c>
      <c r="R216" s="411" t="n">
        <v>47.2999359989829</v>
      </c>
      <c r="S216" s="411" t="n">
        <v>47.2912758426238</v>
      </c>
      <c r="T216" s="411" t="n">
        <v>47.2912751242895</v>
      </c>
      <c r="U216" s="411" t="n">
        <v>47.2912703634383</v>
      </c>
      <c r="V216" s="411" t="n">
        <v>47.2912615810209</v>
      </c>
      <c r="W216" s="411" t="n">
        <v>47.2912607807821</v>
      </c>
      <c r="X216" s="411" t="n">
        <v>47.2912480365414</v>
      </c>
      <c r="Y216" s="411" t="n">
        <v>47.2912480365414</v>
      </c>
      <c r="Z216" s="411" t="n">
        <v>45.4125588508652</v>
      </c>
      <c r="AA216" s="411" t="n">
        <v>41.6129915143352</v>
      </c>
      <c r="AB216" s="401" t="n">
        <f aca="false">AB215*(1+Assumptions!$L$13/12)</f>
        <v>0.84835523488351</v>
      </c>
      <c r="AC216" s="401" t="n">
        <f aca="false">AC215</f>
        <v>0</v>
      </c>
      <c r="AD216" s="405" t="n">
        <f aca="false">AD215</f>
        <v>870.060330328103</v>
      </c>
      <c r="AE216" s="405" t="n">
        <f aca="false">AE215</f>
        <v>1879.5637242099</v>
      </c>
      <c r="AF216" s="392" t="n">
        <f aca="false">IF(Assumptions!D$29=1,0,1)</f>
        <v>1</v>
      </c>
      <c r="AG216" s="406" t="n">
        <f aca="false">AG215</f>
        <v>0</v>
      </c>
      <c r="AH216" s="401" t="n">
        <f aca="false">Assumptions!$E$29*Assumptions!H13</f>
        <v>4.69895819378981</v>
      </c>
      <c r="AI216" s="401" t="n">
        <f aca="false">Assumptions!$F$29*Assumptions!I13</f>
        <v>4.83769854799956</v>
      </c>
      <c r="AJ216" s="401" t="n">
        <f aca="false">AJ215</f>
        <v>0</v>
      </c>
      <c r="AK216" s="401" t="n">
        <f aca="false">AK215</f>
        <v>0</v>
      </c>
      <c r="AL216" s="1"/>
    </row>
    <row r="217" customFormat="false" ht="12.75" hidden="false" customHeight="false" outlineLevel="0" collapsed="false">
      <c r="A217" s="400" t="n">
        <f aca="false">A216+30.417</f>
        <v>42805.902</v>
      </c>
      <c r="B217" s="401" t="n">
        <f aca="false">IF($B$9="Coal",AG217,IF($B$9="Gas",AH217,IF($B$9="Oil",AI217,0)))</f>
        <v>4.61994504908711</v>
      </c>
      <c r="C217" s="402" t="n">
        <f aca="false">(B217*$B$1*1000)/1000000</f>
        <v>52.2272992194918</v>
      </c>
      <c r="D217" s="401" t="n">
        <f aca="false">AB217+AC217</f>
        <v>0.849769160274982</v>
      </c>
      <c r="E217" s="401" t="n">
        <f aca="false">(($AJ217*$B$1*AD217*1000)/2000)/1000000</f>
        <v>0</v>
      </c>
      <c r="F217" s="401" t="n">
        <f aca="false">AF217*(($AK217*$B$1*AE217*1000)/2000)/1000000</f>
        <v>0</v>
      </c>
      <c r="G217" s="403" t="n">
        <f aca="false">IF('Peak Revenue'!$A$1="BL","-",SUM(C217:F217))</f>
        <v>53.0770683797667</v>
      </c>
      <c r="H217" s="411" t="n">
        <v>106.54765768351</v>
      </c>
      <c r="I217" s="411" t="n">
        <v>98.902465115548</v>
      </c>
      <c r="J217" s="411" t="n">
        <v>94.5066308783332</v>
      </c>
      <c r="K217" s="411" t="n">
        <v>88.7248597769694</v>
      </c>
      <c r="L217" s="411" t="n">
        <v>88.3601215810825</v>
      </c>
      <c r="M217" s="411" t="n">
        <v>81.3746794321616</v>
      </c>
      <c r="N217" s="411" t="n">
        <v>61.9868659126232</v>
      </c>
      <c r="O217" s="411" t="n">
        <v>57.3550370326766</v>
      </c>
      <c r="P217" s="411" t="n">
        <v>50.6280714783047</v>
      </c>
      <c r="Q217" s="411" t="n">
        <v>49.5234033090933</v>
      </c>
      <c r="R217" s="411" t="n">
        <v>48.6883017458742</v>
      </c>
      <c r="S217" s="411" t="n">
        <v>47.0522792374276</v>
      </c>
      <c r="T217" s="411" t="n">
        <v>45.3697514765947</v>
      </c>
      <c r="U217" s="411" t="n">
        <v>43.7278793017714</v>
      </c>
      <c r="V217" s="411" t="n">
        <v>42.6797395851145</v>
      </c>
      <c r="W217" s="411" t="n">
        <v>42.4442751751622</v>
      </c>
      <c r="X217" s="411" t="n">
        <v>42.4442243523562</v>
      </c>
      <c r="Y217" s="411" t="n">
        <v>42.4441398302659</v>
      </c>
      <c r="Z217" s="411" t="n">
        <v>42.4440050103982</v>
      </c>
      <c r="AA217" s="411" t="n">
        <v>42.1166125319815</v>
      </c>
      <c r="AB217" s="401" t="n">
        <f aca="false">AB216*(1+Assumptions!$L$13/12)</f>
        <v>0.849769160274982</v>
      </c>
      <c r="AC217" s="401" t="n">
        <f aca="false">AC216</f>
        <v>0</v>
      </c>
      <c r="AD217" s="405" t="n">
        <f aca="false">AD216</f>
        <v>870.060330328103</v>
      </c>
      <c r="AE217" s="405" t="n">
        <f aca="false">AE216</f>
        <v>1879.5637242099</v>
      </c>
      <c r="AF217" s="392" t="n">
        <f aca="false">IF(Assumptions!D$29=1,0,1)</f>
        <v>1</v>
      </c>
      <c r="AG217" s="406" t="n">
        <f aca="false">AG216</f>
        <v>0</v>
      </c>
      <c r="AH217" s="401" t="n">
        <f aca="false">Assumptions!$E$29*Assumptions!H14</f>
        <v>4.61994504908711</v>
      </c>
      <c r="AI217" s="401" t="n">
        <f aca="false">Assumptions!$F$29*Assumptions!I14</f>
        <v>4.65685000414911</v>
      </c>
      <c r="AJ217" s="401" t="n">
        <f aca="false">AJ216</f>
        <v>0</v>
      </c>
      <c r="AK217" s="401" t="n">
        <f aca="false">AK216</f>
        <v>0</v>
      </c>
      <c r="AL217" s="1"/>
    </row>
    <row r="218" customFormat="false" ht="12.75" hidden="false" customHeight="false" outlineLevel="0" collapsed="false">
      <c r="A218" s="400" t="n">
        <f aca="false">A217+30.417</f>
        <v>42836.319</v>
      </c>
      <c r="B218" s="401" t="n">
        <f aca="false">IF($B$9="Coal",AG218,IF($B$9="Gas",AH218,IF($B$9="Oil",AI218,0)))</f>
        <v>4.39220127906169</v>
      </c>
      <c r="C218" s="402" t="n">
        <f aca="false">(B218*$B$1*1000)/1000000</f>
        <v>49.6527140466999</v>
      </c>
      <c r="D218" s="401" t="n">
        <f aca="false">AB218+AC218</f>
        <v>0.851185442208774</v>
      </c>
      <c r="E218" s="401" t="n">
        <f aca="false">(($AJ218*$B$1*AD218*1000)/2000)/1000000</f>
        <v>0</v>
      </c>
      <c r="F218" s="401" t="n">
        <f aca="false">AF218*(($AK218*$B$1*AE218*1000)/2000)/1000000</f>
        <v>0</v>
      </c>
      <c r="G218" s="403" t="n">
        <f aca="false">IF('Peak Revenue'!$A$1="BL","-",SUM(C218:F218))</f>
        <v>50.5038994889087</v>
      </c>
      <c r="H218" s="411" t="n">
        <v>106.835125272223</v>
      </c>
      <c r="I218" s="411" t="n">
        <v>93.0657010621895</v>
      </c>
      <c r="J218" s="411" t="n">
        <v>86.9359726701002</v>
      </c>
      <c r="K218" s="411" t="n">
        <v>84.3329977041935</v>
      </c>
      <c r="L218" s="411" t="n">
        <v>83.7402677947229</v>
      </c>
      <c r="M218" s="411" t="n">
        <v>62.4247275079397</v>
      </c>
      <c r="N218" s="411" t="n">
        <v>50.5623289351346</v>
      </c>
      <c r="O218" s="411" t="n">
        <v>47.3109321089032</v>
      </c>
      <c r="P218" s="411" t="n">
        <v>43.2498687729012</v>
      </c>
      <c r="Q218" s="411" t="n">
        <v>40.742446100754</v>
      </c>
      <c r="R218" s="411" t="n">
        <v>40.742446100754</v>
      </c>
      <c r="S218" s="411" t="n">
        <v>40.742446100754</v>
      </c>
      <c r="T218" s="411" t="n">
        <v>40.7422605916893</v>
      </c>
      <c r="U218" s="411" t="n">
        <v>40.7416826028174</v>
      </c>
      <c r="V218" s="411" t="n">
        <v>40.7416826028174</v>
      </c>
      <c r="W218" s="411" t="n">
        <v>40.7416826028174</v>
      </c>
      <c r="X218" s="411" t="n">
        <v>40.7416826028174</v>
      </c>
      <c r="Y218" s="411" t="n">
        <v>39.6694407398728</v>
      </c>
      <c r="Z218" s="411" t="n">
        <v>37.2218549304815</v>
      </c>
      <c r="AA218" s="411" t="n">
        <v>33.4887577361331</v>
      </c>
      <c r="AB218" s="401" t="n">
        <f aca="false">AB217*(1+Assumptions!$L$13/12)</f>
        <v>0.851185442208774</v>
      </c>
      <c r="AC218" s="401" t="n">
        <f aca="false">AC217</f>
        <v>0</v>
      </c>
      <c r="AD218" s="405" t="n">
        <f aca="false">AD217</f>
        <v>870.060330328103</v>
      </c>
      <c r="AE218" s="405" t="n">
        <f aca="false">AE217</f>
        <v>1879.5637242099</v>
      </c>
      <c r="AF218" s="392" t="n">
        <f aca="false">IF(Assumptions!D$29=1,0,1)</f>
        <v>1</v>
      </c>
      <c r="AG218" s="406" t="n">
        <f aca="false">AG217</f>
        <v>0</v>
      </c>
      <c r="AH218" s="401" t="n">
        <f aca="false">Assumptions!$E$29*Assumptions!H15</f>
        <v>4.39220127906169</v>
      </c>
      <c r="AI218" s="401" t="n">
        <f aca="false">Assumptions!$F$29*Assumptions!I15</f>
        <v>4.47600146029866</v>
      </c>
      <c r="AJ218" s="401" t="n">
        <f aca="false">AJ217</f>
        <v>0</v>
      </c>
      <c r="AK218" s="401" t="n">
        <f aca="false">AK217</f>
        <v>0</v>
      </c>
      <c r="AL218" s="1"/>
    </row>
    <row r="219" customFormat="false" ht="12.75" hidden="false" customHeight="false" outlineLevel="0" collapsed="false">
      <c r="A219" s="400" t="n">
        <f aca="false">A218+30.417</f>
        <v>42866.736</v>
      </c>
      <c r="B219" s="401" t="n">
        <f aca="false">IF($B$9="Coal",AG219,IF($B$9="Gas",AH219,IF($B$9="Oil",AI219,0)))</f>
        <v>4.62459288112845</v>
      </c>
      <c r="C219" s="402" t="n">
        <f aca="false">(B219*$B$1*1000)/1000000</f>
        <v>52.2798417740385</v>
      </c>
      <c r="D219" s="401" t="n">
        <f aca="false">AB219+AC219</f>
        <v>0.852604084612455</v>
      </c>
      <c r="E219" s="401" t="n">
        <f aca="false">(($AJ219*$B$1*AD219*1000)/2000)/1000000</f>
        <v>0</v>
      </c>
      <c r="F219" s="401" t="n">
        <f aca="false">AF219*(($AK219*$B$1*AE219*1000)/2000)/1000000</f>
        <v>0</v>
      </c>
      <c r="G219" s="403" t="n">
        <f aca="false">IF('Peak Revenue'!$A$1="BL","-",SUM(C219:F219))</f>
        <v>53.132445858651</v>
      </c>
      <c r="H219" s="411" t="n">
        <v>143.612124910075</v>
      </c>
      <c r="I219" s="411" t="n">
        <v>112.115151770413</v>
      </c>
      <c r="J219" s="411" t="n">
        <v>94.1332993216095</v>
      </c>
      <c r="K219" s="411" t="n">
        <v>83.4801190042086</v>
      </c>
      <c r="L219" s="411" t="n">
        <v>75.9821908252469</v>
      </c>
      <c r="M219" s="411" t="n">
        <v>73.4741372180153</v>
      </c>
      <c r="N219" s="411" t="n">
        <v>56.5818947359942</v>
      </c>
      <c r="O219" s="411" t="n">
        <v>48.2540872773443</v>
      </c>
      <c r="P219" s="411" t="n">
        <v>42.5501649452951</v>
      </c>
      <c r="Q219" s="411" t="n">
        <v>41.6045069555585</v>
      </c>
      <c r="R219" s="411" t="n">
        <v>41.0710654421196</v>
      </c>
      <c r="S219" s="411" t="n">
        <v>39.4906000822704</v>
      </c>
      <c r="T219" s="411" t="n">
        <v>38.4718597728562</v>
      </c>
      <c r="U219" s="411" t="n">
        <v>36.6288365860099</v>
      </c>
      <c r="V219" s="411" t="n">
        <v>36.252146557027</v>
      </c>
      <c r="W219" s="411" t="n">
        <v>35.982025942566</v>
      </c>
      <c r="X219" s="411" t="n">
        <v>35.981712983095</v>
      </c>
      <c r="Y219" s="411" t="n">
        <v>35.9816877865747</v>
      </c>
      <c r="Z219" s="411" t="n">
        <v>35.9816877865747</v>
      </c>
      <c r="AA219" s="411" t="n">
        <v>35.2023824173155</v>
      </c>
      <c r="AB219" s="401" t="n">
        <f aca="false">AB218*(1+Assumptions!$L$13/12)</f>
        <v>0.852604084612455</v>
      </c>
      <c r="AC219" s="401" t="n">
        <f aca="false">AC218</f>
        <v>0</v>
      </c>
      <c r="AD219" s="405" t="n">
        <f aca="false">AD218</f>
        <v>870.060330328103</v>
      </c>
      <c r="AE219" s="405" t="n">
        <f aca="false">AE218</f>
        <v>1879.5637242099</v>
      </c>
      <c r="AF219" s="392" t="n">
        <v>1</v>
      </c>
      <c r="AG219" s="406" t="n">
        <f aca="false">AG218</f>
        <v>0</v>
      </c>
      <c r="AH219" s="401" t="n">
        <f aca="false">Assumptions!$E$29*Assumptions!H16</f>
        <v>4.62459288112845</v>
      </c>
      <c r="AI219" s="401" t="n">
        <f aca="false">Assumptions!$F$29*Assumptions!I16</f>
        <v>4.29515291644821</v>
      </c>
      <c r="AJ219" s="401" t="n">
        <f aca="false">AJ218</f>
        <v>0</v>
      </c>
      <c r="AK219" s="401" t="n">
        <f aca="false">AK218</f>
        <v>0</v>
      </c>
      <c r="AL219" s="1"/>
    </row>
    <row r="220" customFormat="false" ht="12.75" hidden="false" customHeight="false" outlineLevel="0" collapsed="false">
      <c r="A220" s="400" t="n">
        <f aca="false">A219+30.417</f>
        <v>42897.153</v>
      </c>
      <c r="B220" s="401" t="n">
        <f aca="false">IF($B$9="Coal",AG220,IF($B$9="Gas",AH220,IF($B$9="Oil",AI220,0)))</f>
        <v>4.4061447751857</v>
      </c>
      <c r="C220" s="402" t="n">
        <f aca="false">(B220*$B$1*1000)/1000000</f>
        <v>49.8103417103402</v>
      </c>
      <c r="D220" s="401" t="n">
        <f aca="false">AB220+AC220</f>
        <v>0.854025091420143</v>
      </c>
      <c r="E220" s="401" t="n">
        <f aca="false">(($AJ220*$B$1*AD220*1000)/2000)/1000000</f>
        <v>0</v>
      </c>
      <c r="F220" s="401" t="n">
        <f aca="false">AF220*(($AK220*$B$1*AE220*1000)/2000)/1000000</f>
        <v>0</v>
      </c>
      <c r="G220" s="403" t="n">
        <f aca="false">IF('Peak Revenue'!$A$1="BL","-",SUM(C220:F220))</f>
        <v>50.6643668017604</v>
      </c>
      <c r="H220" s="411" t="n">
        <v>154.236373464898</v>
      </c>
      <c r="I220" s="411" t="n">
        <v>148.513022410873</v>
      </c>
      <c r="J220" s="411" t="n">
        <v>101.469098081614</v>
      </c>
      <c r="K220" s="411" t="n">
        <v>80.0750122953274</v>
      </c>
      <c r="L220" s="411" t="n">
        <v>77.581098681798</v>
      </c>
      <c r="M220" s="411" t="n">
        <v>72.6988389879376</v>
      </c>
      <c r="N220" s="411" t="n">
        <v>70.1237163013011</v>
      </c>
      <c r="O220" s="411" t="n">
        <v>64.6115950518048</v>
      </c>
      <c r="P220" s="411" t="n">
        <v>59.0635360606212</v>
      </c>
      <c r="Q220" s="411" t="n">
        <v>55.308458031196</v>
      </c>
      <c r="R220" s="411" t="n">
        <v>51.0914028923343</v>
      </c>
      <c r="S220" s="411" t="n">
        <v>46.2849633259441</v>
      </c>
      <c r="T220" s="411" t="n">
        <v>40.9934109078648</v>
      </c>
      <c r="U220" s="411" t="n">
        <v>39.9172727621186</v>
      </c>
      <c r="V220" s="411" t="n">
        <v>39.3321816008601</v>
      </c>
      <c r="W220" s="411" t="n">
        <v>38.9218326425422</v>
      </c>
      <c r="X220" s="411" t="n">
        <v>38.6446976015304</v>
      </c>
      <c r="Y220" s="411" t="n">
        <v>38.1473140739808</v>
      </c>
      <c r="Z220" s="411" t="n">
        <v>37.4909002590899</v>
      </c>
      <c r="AA220" s="411" t="n">
        <v>36.2559220222514</v>
      </c>
      <c r="AB220" s="401" t="n">
        <f aca="false">AB219*(1+Assumptions!$L$13/12)</f>
        <v>0.854025091420143</v>
      </c>
      <c r="AC220" s="401" t="n">
        <f aca="false">AC219</f>
        <v>0</v>
      </c>
      <c r="AD220" s="405" t="n">
        <f aca="false">AD219</f>
        <v>870.060330328103</v>
      </c>
      <c r="AE220" s="405" t="n">
        <f aca="false">AE219</f>
        <v>1879.5637242099</v>
      </c>
      <c r="AF220" s="392" t="n">
        <v>1</v>
      </c>
      <c r="AG220" s="406" t="n">
        <f aca="false">AG219</f>
        <v>0</v>
      </c>
      <c r="AH220" s="401" t="n">
        <f aca="false">Assumptions!$E$29*Assumptions!H17</f>
        <v>4.4061447751857</v>
      </c>
      <c r="AI220" s="401" t="n">
        <f aca="false">Assumptions!$F$29*Assumptions!I17</f>
        <v>4.29515291644821</v>
      </c>
      <c r="AJ220" s="401" t="n">
        <f aca="false">AJ219</f>
        <v>0</v>
      </c>
      <c r="AK220" s="401" t="n">
        <f aca="false">AK219</f>
        <v>0</v>
      </c>
      <c r="AL220" s="1"/>
    </row>
    <row r="221" customFormat="false" ht="12.75" hidden="false" customHeight="false" outlineLevel="0" collapsed="false">
      <c r="A221" s="400" t="n">
        <f aca="false">A220+30.417</f>
        <v>42927.57</v>
      </c>
      <c r="B221" s="401" t="n">
        <f aca="false">IF($B$9="Coal",AG221,IF($B$9="Gas",AH221,IF($B$9="Oil",AI221,0)))</f>
        <v>4.39220127906169</v>
      </c>
      <c r="C221" s="402" t="n">
        <f aca="false">(B221*$B$1*1000)/1000000</f>
        <v>49.6527140466999</v>
      </c>
      <c r="D221" s="401" t="n">
        <f aca="false">AB221+AC221</f>
        <v>0.85544846657251</v>
      </c>
      <c r="E221" s="401" t="n">
        <f aca="false">(($AJ221*$B$1*AD221*1000)/2000)/1000000</f>
        <v>0</v>
      </c>
      <c r="F221" s="401" t="n">
        <f aca="false">AF221*(($AK221*$B$1*AE221*1000)/2000)/1000000</f>
        <v>0</v>
      </c>
      <c r="G221" s="403" t="n">
        <f aca="false">IF('Peak Revenue'!$A$1="BL","-",SUM(C221:F221))</f>
        <v>50.5081625132724</v>
      </c>
      <c r="H221" s="411" t="n">
        <v>303.205537452228</v>
      </c>
      <c r="I221" s="411" t="n">
        <v>228.150861798371</v>
      </c>
      <c r="J221" s="411" t="n">
        <v>205.279692333164</v>
      </c>
      <c r="K221" s="411" t="n">
        <v>188.87218876912</v>
      </c>
      <c r="L221" s="411" t="n">
        <v>174.853301633706</v>
      </c>
      <c r="M221" s="411" t="n">
        <v>161.007306284271</v>
      </c>
      <c r="N221" s="411" t="n">
        <v>149.516274262338</v>
      </c>
      <c r="O221" s="411" t="n">
        <v>76.118642471708</v>
      </c>
      <c r="P221" s="411" t="n">
        <v>49.3744309149163</v>
      </c>
      <c r="Q221" s="411" t="n">
        <v>46.0387768184735</v>
      </c>
      <c r="R221" s="411" t="n">
        <v>43.1539864258002</v>
      </c>
      <c r="S221" s="411" t="n">
        <v>41.8155769588199</v>
      </c>
      <c r="T221" s="411" t="n">
        <v>40.8603593789363</v>
      </c>
      <c r="U221" s="411" t="n">
        <v>40.4381058223451</v>
      </c>
      <c r="V221" s="411" t="n">
        <v>39.2272041462159</v>
      </c>
      <c r="W221" s="411" t="n">
        <v>37.5367431757018</v>
      </c>
      <c r="X221" s="411" t="n">
        <v>35.8974019830091</v>
      </c>
      <c r="Y221" s="411" t="n">
        <v>34.9643769928461</v>
      </c>
      <c r="Z221" s="411" t="n">
        <v>32.7185424224654</v>
      </c>
      <c r="AA221" s="411" t="n">
        <v>30.5103810265956</v>
      </c>
      <c r="AB221" s="401" t="n">
        <f aca="false">AB220*(1+Assumptions!$L$13/12)</f>
        <v>0.85544846657251</v>
      </c>
      <c r="AC221" s="401" t="n">
        <f aca="false">AC220</f>
        <v>0</v>
      </c>
      <c r="AD221" s="405" t="n">
        <f aca="false">AD220</f>
        <v>870.060330328103</v>
      </c>
      <c r="AE221" s="405" t="n">
        <f aca="false">AE220</f>
        <v>1879.5637242099</v>
      </c>
      <c r="AF221" s="392" t="n">
        <v>1</v>
      </c>
      <c r="AG221" s="406" t="n">
        <f aca="false">AG220</f>
        <v>0</v>
      </c>
      <c r="AH221" s="401" t="n">
        <f aca="false">Assumptions!$E$29*Assumptions!H18</f>
        <v>4.39220127906169</v>
      </c>
      <c r="AI221" s="401" t="n">
        <f aca="false">Assumptions!$F$29*Assumptions!I18</f>
        <v>4.29515291644821</v>
      </c>
      <c r="AJ221" s="401" t="n">
        <f aca="false">AJ220</f>
        <v>0</v>
      </c>
      <c r="AK221" s="401" t="n">
        <f aca="false">AK220</f>
        <v>0</v>
      </c>
      <c r="AL221" s="1"/>
    </row>
    <row r="222" customFormat="false" ht="12.75" hidden="false" customHeight="false" outlineLevel="0" collapsed="false">
      <c r="A222" s="400" t="n">
        <f aca="false">A221+30.417</f>
        <v>42957.987</v>
      </c>
      <c r="B222" s="401" t="n">
        <f aca="false">IF($B$9="Coal",AG222,IF($B$9="Gas",AH222,IF($B$9="Oil",AI222,0)))</f>
        <v>4.16445750903627</v>
      </c>
      <c r="C222" s="402" t="n">
        <f aca="false">(B222*$B$1*1000)/1000000</f>
        <v>47.0781288739081</v>
      </c>
      <c r="D222" s="401" t="n">
        <f aca="false">AB222+AC222</f>
        <v>0.856874214016797</v>
      </c>
      <c r="E222" s="401" t="n">
        <f aca="false">(($AJ222*$B$1*AD222*1000)/2000)/1000000</f>
        <v>0</v>
      </c>
      <c r="F222" s="401" t="n">
        <f aca="false">AF222*(($AK222*$B$1*AE222*1000)/2000)/1000000</f>
        <v>0</v>
      </c>
      <c r="G222" s="403" t="n">
        <f aca="false">IF('Peak Revenue'!$A$1="BL","-",SUM(C222:F222))</f>
        <v>47.9350030879249</v>
      </c>
      <c r="H222" s="411" t="n">
        <v>375.187094534061</v>
      </c>
      <c r="I222" s="411" t="n">
        <v>266.268993747879</v>
      </c>
      <c r="J222" s="411" t="n">
        <v>212.627893418285</v>
      </c>
      <c r="K222" s="411" t="n">
        <v>192.28570573345</v>
      </c>
      <c r="L222" s="411" t="n">
        <v>175.490933476589</v>
      </c>
      <c r="M222" s="411" t="n">
        <v>158.640221185845</v>
      </c>
      <c r="N222" s="411" t="n">
        <v>128.492896279699</v>
      </c>
      <c r="O222" s="411" t="n">
        <v>78.2634532689191</v>
      </c>
      <c r="P222" s="411" t="n">
        <v>72.5929003215174</v>
      </c>
      <c r="Q222" s="411" t="n">
        <v>54.4648587711949</v>
      </c>
      <c r="R222" s="411" t="n">
        <v>43.9778968857266</v>
      </c>
      <c r="S222" s="411" t="n">
        <v>41.734880155201</v>
      </c>
      <c r="T222" s="411" t="n">
        <v>40.6444475186124</v>
      </c>
      <c r="U222" s="411" t="n">
        <v>38.018927964754</v>
      </c>
      <c r="V222" s="411" t="n">
        <v>36.6423954650718</v>
      </c>
      <c r="W222" s="411" t="n">
        <v>36.5761724011138</v>
      </c>
      <c r="X222" s="411" t="n">
        <v>36.4413843578534</v>
      </c>
      <c r="Y222" s="411" t="n">
        <v>35.9907585350553</v>
      </c>
      <c r="Z222" s="411" t="n">
        <v>35.9907585350553</v>
      </c>
      <c r="AA222" s="411" t="n">
        <v>32.5001590184635</v>
      </c>
      <c r="AB222" s="401" t="n">
        <f aca="false">AB221*(1+Assumptions!$L$13/12)</f>
        <v>0.856874214016797</v>
      </c>
      <c r="AC222" s="401" t="n">
        <f aca="false">AC221</f>
        <v>0</v>
      </c>
      <c r="AD222" s="405" t="n">
        <f aca="false">AD221</f>
        <v>870.060330328103</v>
      </c>
      <c r="AE222" s="405" t="n">
        <f aca="false">AE221</f>
        <v>1879.5637242099</v>
      </c>
      <c r="AF222" s="392" t="n">
        <v>1</v>
      </c>
      <c r="AG222" s="406" t="n">
        <f aca="false">AG221</f>
        <v>0</v>
      </c>
      <c r="AH222" s="401" t="n">
        <f aca="false">Assumptions!$E$29*Assumptions!H19</f>
        <v>4.16445750903627</v>
      </c>
      <c r="AI222" s="401" t="n">
        <f aca="false">Assumptions!$F$29*Assumptions!I19</f>
        <v>4.29515291644821</v>
      </c>
      <c r="AJ222" s="401" t="n">
        <f aca="false">AJ221</f>
        <v>0</v>
      </c>
      <c r="AK222" s="401" t="n">
        <f aca="false">AK221</f>
        <v>0</v>
      </c>
      <c r="AL222" s="1"/>
    </row>
    <row r="223" customFormat="false" ht="12.75" hidden="false" customHeight="false" outlineLevel="0" collapsed="false">
      <c r="A223" s="400" t="n">
        <f aca="false">A222+30.417</f>
        <v>42988.404</v>
      </c>
      <c r="B223" s="401" t="n">
        <f aca="false">IF($B$9="Coal",AG223,IF($B$9="Gas",AH223,IF($B$9="Oil",AI223,0)))</f>
        <v>4.15051401291227</v>
      </c>
      <c r="C223" s="402" t="n">
        <f aca="false">(B223*$B$1*1000)/1000000</f>
        <v>46.9205012102677</v>
      </c>
      <c r="D223" s="401" t="n">
        <f aca="false">AB223+AC223</f>
        <v>0.858302337706825</v>
      </c>
      <c r="E223" s="401" t="n">
        <f aca="false">(($AJ223*$B$1*AD223*1000)/2000)/1000000</f>
        <v>0</v>
      </c>
      <c r="F223" s="401" t="n">
        <f aca="false">AF223*(($AK223*$B$1*AE223*1000)/2000)/1000000</f>
        <v>0</v>
      </c>
      <c r="G223" s="403" t="n">
        <f aca="false">IF('Peak Revenue'!$A$1="BL","-",SUM(C223:F223))</f>
        <v>47.7788035479746</v>
      </c>
      <c r="H223" s="411" t="n">
        <v>181.421811926929</v>
      </c>
      <c r="I223" s="411" t="n">
        <v>170.426219052388</v>
      </c>
      <c r="J223" s="411" t="n">
        <v>160.695326740811</v>
      </c>
      <c r="K223" s="411" t="n">
        <v>150.656837234999</v>
      </c>
      <c r="L223" s="411" t="n">
        <v>112.927633639248</v>
      </c>
      <c r="M223" s="411" t="n">
        <v>81.321961927461</v>
      </c>
      <c r="N223" s="411" t="n">
        <v>76.2855483908794</v>
      </c>
      <c r="O223" s="411" t="n">
        <v>54.5706670598867</v>
      </c>
      <c r="P223" s="411" t="n">
        <v>44.7723656966224</v>
      </c>
      <c r="Q223" s="411" t="n">
        <v>42.7247490783996</v>
      </c>
      <c r="R223" s="411" t="n">
        <v>38.5734258709996</v>
      </c>
      <c r="S223" s="411" t="n">
        <v>38.1558623540319</v>
      </c>
      <c r="T223" s="411" t="n">
        <v>38.1558623540319</v>
      </c>
      <c r="U223" s="411" t="n">
        <v>38.1556172053022</v>
      </c>
      <c r="V223" s="411" t="n">
        <v>38.1550909602302</v>
      </c>
      <c r="W223" s="411" t="n">
        <v>38.1550909602302</v>
      </c>
      <c r="X223" s="411" t="n">
        <v>38.1550909602302</v>
      </c>
      <c r="Y223" s="411" t="n">
        <v>38.0227870006464</v>
      </c>
      <c r="Z223" s="411" t="n">
        <v>35.6856525272768</v>
      </c>
      <c r="AA223" s="411" t="n">
        <v>31.7761619019867</v>
      </c>
      <c r="AB223" s="401" t="n">
        <f aca="false">AB222*(1+Assumptions!$L$13/12)</f>
        <v>0.858302337706825</v>
      </c>
      <c r="AC223" s="401" t="n">
        <f aca="false">AC222</f>
        <v>0</v>
      </c>
      <c r="AD223" s="405" t="n">
        <f aca="false">AD222</f>
        <v>870.060330328103</v>
      </c>
      <c r="AE223" s="405" t="n">
        <f aca="false">AE222</f>
        <v>1879.5637242099</v>
      </c>
      <c r="AF223" s="392" t="n">
        <v>1</v>
      </c>
      <c r="AG223" s="406" t="n">
        <f aca="false">AG222</f>
        <v>0</v>
      </c>
      <c r="AH223" s="401" t="n">
        <f aca="false">Assumptions!$E$29*Assumptions!H20</f>
        <v>4.15051401291227</v>
      </c>
      <c r="AI223" s="401" t="n">
        <f aca="false">Assumptions!$F$29*Assumptions!I20</f>
        <v>4.29515291644821</v>
      </c>
      <c r="AJ223" s="401" t="n">
        <f aca="false">AJ222</f>
        <v>0</v>
      </c>
      <c r="AK223" s="401" t="n">
        <f aca="false">AK222</f>
        <v>0</v>
      </c>
      <c r="AL223" s="1"/>
    </row>
    <row r="224" customFormat="false" ht="12.75" hidden="false" customHeight="false" outlineLevel="0" collapsed="false">
      <c r="A224" s="400" t="n">
        <f aca="false">A223+30.417</f>
        <v>43018.821</v>
      </c>
      <c r="B224" s="401" t="n">
        <f aca="false">IF($B$9="Coal",AG224,IF($B$9="Gas",AH224,IF($B$9="Oil",AI224,0)))</f>
        <v>4.59670588888044</v>
      </c>
      <c r="C224" s="402" t="n">
        <f aca="false">(B224*$B$1*1000)/1000000</f>
        <v>51.9645864467579</v>
      </c>
      <c r="D224" s="401" t="n">
        <f aca="false">AB224+AC224</f>
        <v>0.859732841603003</v>
      </c>
      <c r="E224" s="401" t="n">
        <f aca="false">(($AJ224*$B$1*AD224*1000)/2000)/1000000</f>
        <v>0</v>
      </c>
      <c r="F224" s="401" t="n">
        <f aca="false">AF224*(($AK224*$B$1*AE224*1000)/2000)/1000000</f>
        <v>0</v>
      </c>
      <c r="G224" s="403" t="n">
        <f aca="false">IF('Peak Revenue'!$A$1="BL","-",SUM(C224:F224))</f>
        <v>52.8243192883609</v>
      </c>
      <c r="H224" s="411" t="n">
        <v>108.450128091523</v>
      </c>
      <c r="I224" s="411" t="n">
        <v>86.6311527515169</v>
      </c>
      <c r="J224" s="411" t="n">
        <v>80.6617774142738</v>
      </c>
      <c r="K224" s="411" t="n">
        <v>75.4370723880413</v>
      </c>
      <c r="L224" s="411" t="n">
        <v>70.9412783749964</v>
      </c>
      <c r="M224" s="411" t="n">
        <v>67.4673521469395</v>
      </c>
      <c r="N224" s="411" t="n">
        <v>66.9964528087473</v>
      </c>
      <c r="O224" s="411" t="n">
        <v>61.3730357522091</v>
      </c>
      <c r="P224" s="411" t="n">
        <v>54.4155769565137</v>
      </c>
      <c r="Q224" s="411" t="n">
        <v>50.773738161096</v>
      </c>
      <c r="R224" s="411" t="n">
        <v>49.0181326080267</v>
      </c>
      <c r="S224" s="411" t="n">
        <v>47.7829675308875</v>
      </c>
      <c r="T224" s="411" t="n">
        <v>47.3772231951075</v>
      </c>
      <c r="U224" s="411" t="n">
        <v>46.3492894792131</v>
      </c>
      <c r="V224" s="411" t="n">
        <v>43.5234227451064</v>
      </c>
      <c r="W224" s="411" t="n">
        <v>38.6952145145246</v>
      </c>
      <c r="X224" s="411" t="n">
        <v>37.199581328397</v>
      </c>
      <c r="Y224" s="411" t="n">
        <v>34.4630183684313</v>
      </c>
      <c r="Z224" s="411" t="n">
        <v>33.228812300963</v>
      </c>
      <c r="AA224" s="411" t="n">
        <v>33.1409068657517</v>
      </c>
      <c r="AB224" s="401" t="n">
        <f aca="false">AB223*(1+Assumptions!$L$13/12)</f>
        <v>0.859732841603003</v>
      </c>
      <c r="AC224" s="401" t="n">
        <f aca="false">AC223</f>
        <v>0</v>
      </c>
      <c r="AD224" s="405" t="n">
        <f aca="false">AD223</f>
        <v>870.060330328103</v>
      </c>
      <c r="AE224" s="405" t="n">
        <f aca="false">AE223</f>
        <v>1879.5637242099</v>
      </c>
      <c r="AF224" s="392" t="n">
        <f aca="false">IF(Assumptions!D$29=1,0,1)</f>
        <v>1</v>
      </c>
      <c r="AG224" s="406" t="n">
        <f aca="false">AG223</f>
        <v>0</v>
      </c>
      <c r="AH224" s="401" t="n">
        <f aca="false">Assumptions!$E$29*Assumptions!H21</f>
        <v>4.59670588888044</v>
      </c>
      <c r="AI224" s="401" t="n">
        <f aca="false">Assumptions!$F$29*Assumptions!I21</f>
        <v>4.29515291644821</v>
      </c>
      <c r="AJ224" s="401" t="n">
        <f aca="false">AJ223</f>
        <v>0</v>
      </c>
      <c r="AK224" s="401" t="n">
        <f aca="false">AK223</f>
        <v>0</v>
      </c>
      <c r="AL224" s="1"/>
    </row>
    <row r="225" customFormat="false" ht="12.75" hidden="false" customHeight="false" outlineLevel="0" collapsed="false">
      <c r="A225" s="400" t="n">
        <f aca="false">A224+30.417</f>
        <v>43049.238</v>
      </c>
      <c r="B225" s="401" t="n">
        <f aca="false">IF($B$9="Coal",AG225,IF($B$9="Gas",AH225,IF($B$9="Oil",AI225,0)))</f>
        <v>5.03360210076594</v>
      </c>
      <c r="C225" s="402" t="n">
        <f aca="false">(B225*$B$1*1000)/1000000</f>
        <v>56.9035865741545</v>
      </c>
      <c r="D225" s="401" t="n">
        <f aca="false">AB225+AC225</f>
        <v>0.861165729672342</v>
      </c>
      <c r="E225" s="401" t="n">
        <f aca="false">(($AJ225*$B$1*AD225*1000)/2000)/1000000</f>
        <v>0</v>
      </c>
      <c r="F225" s="401" t="n">
        <f aca="false">AF225*(($AK225*$B$1*AE225*1000)/2000)/1000000</f>
        <v>0</v>
      </c>
      <c r="G225" s="403" t="n">
        <f aca="false">IF('Peak Revenue'!$A$1="BL","-",SUM(C225:F225))</f>
        <v>57.7647523038268</v>
      </c>
      <c r="H225" s="411" t="n">
        <v>153.084125415593</v>
      </c>
      <c r="I225" s="411" t="n">
        <v>149.685981770307</v>
      </c>
      <c r="J225" s="411" t="n">
        <v>141.103013374236</v>
      </c>
      <c r="K225" s="411" t="n">
        <v>95.2888703472755</v>
      </c>
      <c r="L225" s="411" t="n">
        <v>86.6782848231768</v>
      </c>
      <c r="M225" s="411" t="n">
        <v>82.797094058184</v>
      </c>
      <c r="N225" s="411" t="n">
        <v>78.3368117640418</v>
      </c>
      <c r="O225" s="411" t="n">
        <v>60.1361508950017</v>
      </c>
      <c r="P225" s="411" t="n">
        <v>55.9029500643296</v>
      </c>
      <c r="Q225" s="411" t="n">
        <v>49.2374944965549</v>
      </c>
      <c r="R225" s="411" t="n">
        <v>46.5829849554778</v>
      </c>
      <c r="S225" s="411" t="n">
        <v>46.2026718211695</v>
      </c>
      <c r="T225" s="411" t="n">
        <v>44.659791386541</v>
      </c>
      <c r="U225" s="411" t="n">
        <v>43.4628708606644</v>
      </c>
      <c r="V225" s="411" t="n">
        <v>42.330852200422</v>
      </c>
      <c r="W225" s="411" t="n">
        <v>41.2154568511003</v>
      </c>
      <c r="X225" s="411" t="n">
        <v>40.1344737871147</v>
      </c>
      <c r="Y225" s="411" t="n">
        <v>39.9892284651027</v>
      </c>
      <c r="Z225" s="411" t="n">
        <v>39.9891478010989</v>
      </c>
      <c r="AA225" s="411" t="n">
        <v>39.9796483477238</v>
      </c>
      <c r="AB225" s="401" t="n">
        <f aca="false">AB224*(1+Assumptions!$L$13/12)</f>
        <v>0.861165729672342</v>
      </c>
      <c r="AC225" s="401" t="n">
        <f aca="false">AC224</f>
        <v>0</v>
      </c>
      <c r="AD225" s="405" t="n">
        <f aca="false">AD224</f>
        <v>870.060330328103</v>
      </c>
      <c r="AE225" s="405" t="n">
        <f aca="false">AE224</f>
        <v>1879.5637242099</v>
      </c>
      <c r="AF225" s="392" t="n">
        <f aca="false">IF(Assumptions!D$29=1,0,1)</f>
        <v>1</v>
      </c>
      <c r="AG225" s="406" t="n">
        <f aca="false">AG224</f>
        <v>0</v>
      </c>
      <c r="AH225" s="401" t="n">
        <f aca="false">Assumptions!$E$29*Assumptions!H22</f>
        <v>5.03360210076594</v>
      </c>
      <c r="AI225" s="401" t="n">
        <f aca="false">Assumptions!$F$29*Assumptions!I22</f>
        <v>4.65685000414911</v>
      </c>
      <c r="AJ225" s="401" t="n">
        <f aca="false">AJ224</f>
        <v>0</v>
      </c>
      <c r="AK225" s="401" t="n">
        <f aca="false">AK224</f>
        <v>0</v>
      </c>
      <c r="AL225" s="1"/>
    </row>
    <row r="226" customFormat="false" ht="12.75" hidden="false" customHeight="false" outlineLevel="0" collapsed="false">
      <c r="A226" s="400" t="n">
        <f aca="false">A225+30.417</f>
        <v>43079.655</v>
      </c>
      <c r="B226" s="401" t="n">
        <f aca="false">IF($B$9="Coal",AG226,IF($B$9="Gas",AH226,IF($B$9="Oil",AI226,0)))</f>
        <v>5.44725915244477</v>
      </c>
      <c r="C226" s="402" t="n">
        <f aca="false">(B226*$B$1*1000)/1000000</f>
        <v>61.5798739288172</v>
      </c>
      <c r="D226" s="401" t="n">
        <f aca="false">AB226+AC226</f>
        <v>0.862601005888462</v>
      </c>
      <c r="E226" s="401" t="n">
        <f aca="false">(($AJ226*$B$1*AD226*1000)/2000)/1000000</f>
        <v>0</v>
      </c>
      <c r="F226" s="401" t="n">
        <f aca="false">AF226*(($AK226*$B$1*AE226*1000)/2000)/1000000</f>
        <v>0</v>
      </c>
      <c r="G226" s="403" t="n">
        <f aca="false">IF('Peak Revenue'!$A$1="BL","-",SUM(C226:F226))</f>
        <v>62.4424749347057</v>
      </c>
      <c r="H226" s="411" t="n">
        <v>103.009401118358</v>
      </c>
      <c r="I226" s="411" t="n">
        <v>102.821620165117</v>
      </c>
      <c r="J226" s="411" t="n">
        <v>92.788730921699</v>
      </c>
      <c r="K226" s="411" t="n">
        <v>79.8885569990728</v>
      </c>
      <c r="L226" s="411" t="n">
        <v>77.5684310292384</v>
      </c>
      <c r="M226" s="411" t="n">
        <v>75.543936443386</v>
      </c>
      <c r="N226" s="411" t="n">
        <v>74.3703597246524</v>
      </c>
      <c r="O226" s="411" t="n">
        <v>73.5939899638125</v>
      </c>
      <c r="P226" s="411" t="n">
        <v>73.2147900022757</v>
      </c>
      <c r="Q226" s="411" t="n">
        <v>72.4699525969332</v>
      </c>
      <c r="R226" s="411" t="n">
        <v>70.7757347575996</v>
      </c>
      <c r="S226" s="411" t="n">
        <v>70.5218680639357</v>
      </c>
      <c r="T226" s="411" t="n">
        <v>70.0647219804976</v>
      </c>
      <c r="U226" s="411" t="n">
        <v>63.7629439137944</v>
      </c>
      <c r="V226" s="411" t="n">
        <v>58.1933406414002</v>
      </c>
      <c r="W226" s="411" t="n">
        <v>55.5951831759928</v>
      </c>
      <c r="X226" s="411" t="n">
        <v>51.5732781552023</v>
      </c>
      <c r="Y226" s="411" t="n">
        <v>48.6453730074145</v>
      </c>
      <c r="Z226" s="411" t="n">
        <v>48.6453426897138</v>
      </c>
      <c r="AA226" s="411" t="n">
        <v>48.6439602028484</v>
      </c>
      <c r="AB226" s="401" t="n">
        <f aca="false">AB225*(1+Assumptions!$L$13/12)</f>
        <v>0.862601005888462</v>
      </c>
      <c r="AC226" s="401" t="n">
        <f aca="false">AC225</f>
        <v>0</v>
      </c>
      <c r="AD226" s="405" t="n">
        <f aca="false">AD225</f>
        <v>870.060330328103</v>
      </c>
      <c r="AE226" s="405" t="n">
        <f aca="false">AE225</f>
        <v>1879.5637242099</v>
      </c>
      <c r="AF226" s="392" t="n">
        <f aca="false">IF(Assumptions!D$29=1,0,1)</f>
        <v>1</v>
      </c>
      <c r="AG226" s="406" t="n">
        <f aca="false">AG225</f>
        <v>0</v>
      </c>
      <c r="AH226" s="401" t="n">
        <f aca="false">Assumptions!$E$29*Assumptions!H23</f>
        <v>5.44725915244477</v>
      </c>
      <c r="AI226" s="401" t="n">
        <f aca="false">Assumptions!$F$29*Assumptions!I23</f>
        <v>4.88291068396218</v>
      </c>
      <c r="AJ226" s="401" t="n">
        <f aca="false">AJ225</f>
        <v>0</v>
      </c>
      <c r="AK226" s="401" t="n">
        <f aca="false">AK225</f>
        <v>0</v>
      </c>
      <c r="AL226" s="1"/>
    </row>
    <row r="227" customFormat="false" ht="12.75" hidden="false" customHeight="false" outlineLevel="0" collapsed="false">
      <c r="A227" s="400" t="n">
        <f aca="false">A226+30.417</f>
        <v>43110.072</v>
      </c>
      <c r="B227" s="401" t="n">
        <f aca="false">IF($B$9="Coal",AG227,IF($B$9="Gas",AH227,IF($B$9="Oil",AI227,0)))</f>
        <v>5.53737444382414</v>
      </c>
      <c r="C227" s="402" t="n">
        <f aca="false">(B227*$B$1*1000)/1000000</f>
        <v>62.5986042897016</v>
      </c>
      <c r="D227" s="401" t="n">
        <f aca="false">AB227+AC227</f>
        <v>0.86403867423161</v>
      </c>
      <c r="E227" s="401" t="n">
        <f aca="false">(($AJ227*$B$1*AD227*1000)/2000)/1000000</f>
        <v>0</v>
      </c>
      <c r="F227" s="401" t="n">
        <f aca="false">AF227*(($AK227*$B$1*AE227*1000)/2000)/1000000</f>
        <v>0</v>
      </c>
      <c r="G227" s="403" t="n">
        <f aca="false">IF('Peak Revenue'!$A$1="BL","-",SUM(C227:F227))</f>
        <v>63.4626429639332</v>
      </c>
      <c r="H227" s="411" t="n">
        <v>130.35656114132</v>
      </c>
      <c r="I227" s="411" t="n">
        <v>121.553033409574</v>
      </c>
      <c r="J227" s="411" t="n">
        <v>116.665285643891</v>
      </c>
      <c r="K227" s="411" t="n">
        <v>109.032511717181</v>
      </c>
      <c r="L227" s="411" t="n">
        <v>108.107439178237</v>
      </c>
      <c r="M227" s="411" t="n">
        <v>100.211376620751</v>
      </c>
      <c r="N227" s="411" t="n">
        <v>73.9953693740176</v>
      </c>
      <c r="O227" s="411" t="n">
        <v>61.9000508279622</v>
      </c>
      <c r="P227" s="411" t="n">
        <v>59.8424411550954</v>
      </c>
      <c r="Q227" s="411" t="n">
        <v>53.6937191460827</v>
      </c>
      <c r="R227" s="411" t="n">
        <v>51.984473133182</v>
      </c>
      <c r="S227" s="411" t="n">
        <v>51.5157368746121</v>
      </c>
      <c r="T227" s="411" t="n">
        <v>51.3692676435094</v>
      </c>
      <c r="U227" s="411" t="n">
        <v>50.9427754195089</v>
      </c>
      <c r="V227" s="411" t="n">
        <v>50.9287998798277</v>
      </c>
      <c r="W227" s="411" t="n">
        <v>50.9287998798277</v>
      </c>
      <c r="X227" s="411" t="n">
        <v>50.9287998798277</v>
      </c>
      <c r="Y227" s="411" t="n">
        <v>50.9287998798277</v>
      </c>
      <c r="Z227" s="411" t="n">
        <v>50.9285430885121</v>
      </c>
      <c r="AA227" s="411" t="n">
        <v>49.2331681210708</v>
      </c>
      <c r="AB227" s="401" t="n">
        <f aca="false">AB226*(1+Assumptions!$L$13/12)</f>
        <v>0.86403867423161</v>
      </c>
      <c r="AC227" s="401" t="n">
        <f aca="false">VLOOKUP($C$1,EnvVOM,21)</f>
        <v>0</v>
      </c>
      <c r="AD227" s="405" t="n">
        <f aca="false">Assumptions!B30</f>
        <v>744.383671998014</v>
      </c>
      <c r="AE227" s="405" t="n">
        <f aca="false">Assumptions!C30</f>
        <v>2070.10833338081</v>
      </c>
      <c r="AF227" s="392" t="n">
        <f aca="false">IF(Assumptions!D$30=1,0,1)</f>
        <v>1</v>
      </c>
      <c r="AG227" s="406" t="n">
        <f aca="false">VLOOKUP($C$1,Coal,21)</f>
        <v>0</v>
      </c>
      <c r="AH227" s="401" t="n">
        <f aca="false">Assumptions!$E$30*Assumptions!H12</f>
        <v>5.53737444382414</v>
      </c>
      <c r="AI227" s="401" t="n">
        <f aca="false">Assumptions!$F$30*Assumptions!I12</f>
        <v>5.17795714311112</v>
      </c>
      <c r="AJ227" s="401" t="n">
        <f aca="false">VLOOKUP($C$1,SO2Rate,21)</f>
        <v>0</v>
      </c>
      <c r="AK227" s="401" t="n">
        <f aca="false">VLOOKUP($C$1,NOxRate,21)</f>
        <v>0</v>
      </c>
      <c r="AL227" s="1"/>
    </row>
    <row r="228" customFormat="false" ht="12.75" hidden="false" customHeight="false" outlineLevel="0" collapsed="false">
      <c r="A228" s="400" t="n">
        <f aca="false">A227+30.417</f>
        <v>43140.489</v>
      </c>
      <c r="B228" s="401" t="n">
        <f aca="false">IF($B$9="Coal",AG228,IF($B$9="Gas",AH228,IF($B$9="Oil",AI228,0)))</f>
        <v>4.9630191158743</v>
      </c>
      <c r="C228" s="402" t="n">
        <f aca="false">(B228*$B$1*1000)/1000000</f>
        <v>56.1056639511421</v>
      </c>
      <c r="D228" s="401" t="n">
        <f aca="false">AB228+AC228</f>
        <v>0.865478738688662</v>
      </c>
      <c r="E228" s="401" t="n">
        <f aca="false">(($AJ228*$B$1*AD228*1000)/2000)/1000000</f>
        <v>0</v>
      </c>
      <c r="F228" s="401" t="n">
        <f aca="false">AF228*(($AK228*$B$1*AE228*1000)/2000)/1000000</f>
        <v>0</v>
      </c>
      <c r="G228" s="403" t="n">
        <f aca="false">IF('Peak Revenue'!$A$1="BL","-",SUM(C228:F228))</f>
        <v>56.9711426898308</v>
      </c>
      <c r="H228" s="411" t="n">
        <v>144.504323452613</v>
      </c>
      <c r="I228" s="411" t="n">
        <v>125.597417386697</v>
      </c>
      <c r="J228" s="411" t="n">
        <v>120.742347533082</v>
      </c>
      <c r="K228" s="411" t="n">
        <v>113.081757126438</v>
      </c>
      <c r="L228" s="411" t="n">
        <v>111.927646132508</v>
      </c>
      <c r="M228" s="411" t="n">
        <v>90.1778666184393</v>
      </c>
      <c r="N228" s="411" t="n">
        <v>79.0402487060737</v>
      </c>
      <c r="O228" s="411" t="n">
        <v>72.6001163396376</v>
      </c>
      <c r="P228" s="411" t="n">
        <v>63.3046480682827</v>
      </c>
      <c r="Q228" s="411" t="n">
        <v>59.0653464789222</v>
      </c>
      <c r="R228" s="411" t="n">
        <v>56.570497908015</v>
      </c>
      <c r="S228" s="411" t="n">
        <v>54.5533835365975</v>
      </c>
      <c r="T228" s="411" t="n">
        <v>53.594412445187</v>
      </c>
      <c r="U228" s="411" t="n">
        <v>52.9861556722795</v>
      </c>
      <c r="V228" s="411" t="n">
        <v>52.9861556722795</v>
      </c>
      <c r="W228" s="411" t="n">
        <v>52.9861556722795</v>
      </c>
      <c r="X228" s="411" t="n">
        <v>52.9861556722795</v>
      </c>
      <c r="Y228" s="411" t="n">
        <v>52.9861556722795</v>
      </c>
      <c r="Z228" s="411" t="n">
        <v>52.9068421635946</v>
      </c>
      <c r="AA228" s="411" t="n">
        <v>52.5013979530541</v>
      </c>
      <c r="AB228" s="401" t="n">
        <f aca="false">AB227*(1+Assumptions!$L$13/12)</f>
        <v>0.865478738688662</v>
      </c>
      <c r="AC228" s="401" t="n">
        <f aca="false">AC227</f>
        <v>0</v>
      </c>
      <c r="AD228" s="405" t="n">
        <f aca="false">AD227</f>
        <v>744.383671998014</v>
      </c>
      <c r="AE228" s="405" t="n">
        <f aca="false">AE227</f>
        <v>2070.10833338081</v>
      </c>
      <c r="AF228" s="392" t="n">
        <f aca="false">IF(Assumptions!D$30=1,0,1)</f>
        <v>1</v>
      </c>
      <c r="AG228" s="406" t="n">
        <f aca="false">AG227</f>
        <v>0</v>
      </c>
      <c r="AH228" s="401" t="n">
        <f aca="false">Assumptions!$E$30*Assumptions!H13</f>
        <v>4.9630191158743</v>
      </c>
      <c r="AI228" s="401" t="n">
        <f aca="false">Assumptions!$F$30*Assumptions!I13</f>
        <v>5.13001309548972</v>
      </c>
      <c r="AJ228" s="401" t="n">
        <f aca="false">AJ227</f>
        <v>0</v>
      </c>
      <c r="AK228" s="401" t="n">
        <f aca="false">AK227</f>
        <v>0</v>
      </c>
      <c r="AL228" s="1"/>
    </row>
    <row r="229" customFormat="false" ht="12.75" hidden="false" customHeight="false" outlineLevel="0" collapsed="false">
      <c r="A229" s="400" t="n">
        <f aca="false">A228+30.417</f>
        <v>43170.906</v>
      </c>
      <c r="B229" s="401" t="n">
        <f aca="false">IF($B$9="Coal",AG229,IF($B$9="Gas",AH229,IF($B$9="Oil",AI229,0)))</f>
        <v>4.87956577762517</v>
      </c>
      <c r="C229" s="402" t="n">
        <f aca="false">(B229*$B$1*1000)/1000000</f>
        <v>55.1622452694711</v>
      </c>
      <c r="D229" s="401" t="n">
        <f aca="false">AB229+AC229</f>
        <v>0.866921203253144</v>
      </c>
      <c r="E229" s="401" t="n">
        <f aca="false">(($AJ229*$B$1*AD229*1000)/2000)/1000000</f>
        <v>0</v>
      </c>
      <c r="F229" s="401" t="n">
        <f aca="false">AF229*(($AK229*$B$1*AE229*1000)/2000)/1000000</f>
        <v>0</v>
      </c>
      <c r="G229" s="403" t="n">
        <f aca="false">IF('Peak Revenue'!$A$1="BL","-",SUM(C229:F229))</f>
        <v>56.0291664727242</v>
      </c>
      <c r="H229" s="411" t="n">
        <v>128.601710947601</v>
      </c>
      <c r="I229" s="411" t="n">
        <v>97.6282690691138</v>
      </c>
      <c r="J229" s="411" t="n">
        <v>93.0237776749663</v>
      </c>
      <c r="K229" s="411" t="n">
        <v>87.2756197030197</v>
      </c>
      <c r="L229" s="411" t="n">
        <v>81.7466003052874</v>
      </c>
      <c r="M229" s="411" t="n">
        <v>81.1290857393808</v>
      </c>
      <c r="N229" s="411" t="n">
        <v>73.7749997308893</v>
      </c>
      <c r="O229" s="411" t="n">
        <v>60.5544668920474</v>
      </c>
      <c r="P229" s="411" t="n">
        <v>56.4954207954324</v>
      </c>
      <c r="Q229" s="411" t="n">
        <v>55.0998767235566</v>
      </c>
      <c r="R229" s="411" t="n">
        <v>51.6624050184799</v>
      </c>
      <c r="S229" s="411" t="n">
        <v>49.9175432061376</v>
      </c>
      <c r="T229" s="411" t="n">
        <v>48.7708223227661</v>
      </c>
      <c r="U229" s="411" t="n">
        <v>47.6410039650674</v>
      </c>
      <c r="V229" s="411" t="n">
        <v>45.9028780515047</v>
      </c>
      <c r="W229" s="411" t="n">
        <v>45.4600093598278</v>
      </c>
      <c r="X229" s="411" t="n">
        <v>44.0271117393499</v>
      </c>
      <c r="Y229" s="411" t="n">
        <v>42.6767193924879</v>
      </c>
      <c r="Z229" s="411" t="n">
        <v>40.2572839724399</v>
      </c>
      <c r="AA229" s="411" t="n">
        <v>39.4269950575864</v>
      </c>
      <c r="AB229" s="401" t="n">
        <f aca="false">AB228*(1+Assumptions!$L$13/12)</f>
        <v>0.866921203253144</v>
      </c>
      <c r="AC229" s="401" t="n">
        <f aca="false">AC228</f>
        <v>0</v>
      </c>
      <c r="AD229" s="405" t="n">
        <f aca="false">AD228</f>
        <v>744.383671998014</v>
      </c>
      <c r="AE229" s="405" t="n">
        <f aca="false">AE228</f>
        <v>2070.10833338081</v>
      </c>
      <c r="AF229" s="392" t="n">
        <f aca="false">IF(Assumptions!D$30=1,0,1)</f>
        <v>1</v>
      </c>
      <c r="AG229" s="406" t="n">
        <f aca="false">AG228</f>
        <v>0</v>
      </c>
      <c r="AH229" s="401" t="n">
        <f aca="false">Assumptions!$E$30*Assumptions!H14</f>
        <v>4.87956577762517</v>
      </c>
      <c r="AI229" s="401" t="n">
        <f aca="false">Assumptions!$F$30*Assumptions!I14</f>
        <v>4.93823690500412</v>
      </c>
      <c r="AJ229" s="401" t="n">
        <f aca="false">AJ228</f>
        <v>0</v>
      </c>
      <c r="AK229" s="401" t="n">
        <f aca="false">AK228</f>
        <v>0</v>
      </c>
      <c r="AL229" s="1"/>
    </row>
    <row r="230" customFormat="false" ht="12.75" hidden="false" customHeight="false" outlineLevel="0" collapsed="false">
      <c r="A230" s="400" t="n">
        <f aca="false">A229+30.417</f>
        <v>43201.323</v>
      </c>
      <c r="B230" s="401" t="n">
        <f aca="false">IF($B$9="Coal",AG230,IF($B$9="Gas",AH230,IF($B$9="Oil",AI230,0)))</f>
        <v>4.63902380267182</v>
      </c>
      <c r="C230" s="402" t="n">
        <f aca="false">(B230*$B$1*1000)/1000000</f>
        <v>52.4429796575957</v>
      </c>
      <c r="D230" s="401" t="n">
        <f aca="false">AB230+AC230</f>
        <v>0.868366071925232</v>
      </c>
      <c r="E230" s="401" t="n">
        <f aca="false">(($AJ230*$B$1*AD230*1000)/2000)/1000000</f>
        <v>0</v>
      </c>
      <c r="F230" s="401" t="n">
        <f aca="false">AF230*(($AK230*$B$1*AE230*1000)/2000)/1000000</f>
        <v>0</v>
      </c>
      <c r="G230" s="403" t="n">
        <f aca="false">IF('Peak Revenue'!$A$1="BL","-",SUM(C230:F230))</f>
        <v>53.311345729521</v>
      </c>
      <c r="H230" s="411" t="n">
        <v>97.9602337462752</v>
      </c>
      <c r="I230" s="411" t="n">
        <v>90.5470912381302</v>
      </c>
      <c r="J230" s="411" t="n">
        <v>85.6155963267499</v>
      </c>
      <c r="K230" s="411" t="n">
        <v>80.5997213046191</v>
      </c>
      <c r="L230" s="411" t="n">
        <v>75.326331313685</v>
      </c>
      <c r="M230" s="411" t="n">
        <v>74.8364390659178</v>
      </c>
      <c r="N230" s="411" t="n">
        <v>66.9372954721148</v>
      </c>
      <c r="O230" s="411" t="n">
        <v>52.3868714266256</v>
      </c>
      <c r="P230" s="411" t="n">
        <v>48.0823485609164</v>
      </c>
      <c r="Q230" s="411" t="n">
        <v>42.8662815781567</v>
      </c>
      <c r="R230" s="411" t="n">
        <v>42.3257598522207</v>
      </c>
      <c r="S230" s="411" t="n">
        <v>41.2884064265135</v>
      </c>
      <c r="T230" s="411" t="n">
        <v>39.7931033784392</v>
      </c>
      <c r="U230" s="411" t="n">
        <v>38.3979048918737</v>
      </c>
      <c r="V230" s="411" t="n">
        <v>37.1593385826382</v>
      </c>
      <c r="W230" s="411" t="n">
        <v>36.6654096087934</v>
      </c>
      <c r="X230" s="411" t="n">
        <v>36.6653941723493</v>
      </c>
      <c r="Y230" s="411" t="n">
        <v>36.6653941723493</v>
      </c>
      <c r="Z230" s="411" t="n">
        <v>36.6653941723493</v>
      </c>
      <c r="AA230" s="411" t="n">
        <v>36.3621497789375</v>
      </c>
      <c r="AB230" s="401" t="n">
        <f aca="false">AB229*(1+Assumptions!$L$13/12)</f>
        <v>0.868366071925232</v>
      </c>
      <c r="AC230" s="401" t="n">
        <f aca="false">AC229</f>
        <v>0</v>
      </c>
      <c r="AD230" s="405" t="n">
        <f aca="false">AD229</f>
        <v>744.383671998014</v>
      </c>
      <c r="AE230" s="405" t="n">
        <f aca="false">AE229</f>
        <v>2070.10833338081</v>
      </c>
      <c r="AF230" s="392" t="n">
        <f aca="false">IF(Assumptions!D$30=1,0,1)</f>
        <v>1</v>
      </c>
      <c r="AG230" s="406" t="n">
        <f aca="false">AG229</f>
        <v>0</v>
      </c>
      <c r="AH230" s="401" t="n">
        <f aca="false">Assumptions!$E$30*Assumptions!H15</f>
        <v>4.63902380267182</v>
      </c>
      <c r="AI230" s="401" t="n">
        <f aca="false">Assumptions!$F$30*Assumptions!I15</f>
        <v>4.74646071451852</v>
      </c>
      <c r="AJ230" s="401" t="n">
        <f aca="false">AJ229</f>
        <v>0</v>
      </c>
      <c r="AK230" s="401" t="n">
        <f aca="false">AK229</f>
        <v>0</v>
      </c>
      <c r="AL230" s="1"/>
    </row>
    <row r="231" customFormat="false" ht="12.75" hidden="false" customHeight="false" outlineLevel="0" collapsed="false">
      <c r="A231" s="400" t="n">
        <f aca="false">A230+30.417</f>
        <v>43231.74</v>
      </c>
      <c r="B231" s="401" t="n">
        <f aca="false">IF($B$9="Coal",AG231,IF($B$9="Gas",AH231,IF($B$9="Oil",AI231,0)))</f>
        <v>4.88447479752218</v>
      </c>
      <c r="C231" s="402" t="n">
        <f aca="false">(B231*$B$1*1000)/1000000</f>
        <v>55.2177404860399</v>
      </c>
      <c r="D231" s="401" t="n">
        <f aca="false">AB231+AC231</f>
        <v>0.869813348711774</v>
      </c>
      <c r="E231" s="401" t="n">
        <f aca="false">(($AJ231*$B$1*AD231*1000)/2000)/1000000</f>
        <v>0</v>
      </c>
      <c r="F231" s="401" t="n">
        <f aca="false">AF231*(($AK231*$B$1*AE231*1000)/2000)/1000000</f>
        <v>0</v>
      </c>
      <c r="G231" s="403" t="n">
        <f aca="false">IF('Peak Revenue'!$A$1="BL","-",SUM(C231:F231))</f>
        <v>56.0875538347517</v>
      </c>
      <c r="H231" s="411" t="n">
        <v>154.560934335856</v>
      </c>
      <c r="I231" s="411" t="n">
        <v>149.187590560897</v>
      </c>
      <c r="J231" s="411" t="n">
        <v>106.035825585193</v>
      </c>
      <c r="K231" s="411" t="n">
        <v>74.6959035825119</v>
      </c>
      <c r="L231" s="411" t="n">
        <v>69.183640193392</v>
      </c>
      <c r="M231" s="411" t="n">
        <v>66.2526388017497</v>
      </c>
      <c r="N231" s="411" t="n">
        <v>52.7350507644703</v>
      </c>
      <c r="O231" s="411" t="n">
        <v>48.6366791020293</v>
      </c>
      <c r="P231" s="411" t="n">
        <v>46.6683644158673</v>
      </c>
      <c r="Q231" s="411" t="n">
        <v>45.1035176568855</v>
      </c>
      <c r="R231" s="411" t="n">
        <v>43.585097226981</v>
      </c>
      <c r="S231" s="411" t="n">
        <v>42.4435147472814</v>
      </c>
      <c r="T231" s="411" t="n">
        <v>40.635173192299</v>
      </c>
      <c r="U231" s="411" t="n">
        <v>39.2483699314664</v>
      </c>
      <c r="V231" s="411" t="n">
        <v>38.4308055322002</v>
      </c>
      <c r="W231" s="411" t="n">
        <v>34.3938828714426</v>
      </c>
      <c r="X231" s="411" t="n">
        <v>34.0214172539867</v>
      </c>
      <c r="Y231" s="411" t="n">
        <v>34.0213821284881</v>
      </c>
      <c r="Z231" s="411" t="n">
        <v>34.0213328498306</v>
      </c>
      <c r="AA231" s="411" t="n">
        <v>34.0078614417061</v>
      </c>
      <c r="AB231" s="401" t="n">
        <f aca="false">AB230*(1+Assumptions!$L$13/12)</f>
        <v>0.869813348711774</v>
      </c>
      <c r="AC231" s="401" t="n">
        <f aca="false">AC230</f>
        <v>0</v>
      </c>
      <c r="AD231" s="405" t="n">
        <f aca="false">AD230</f>
        <v>744.383671998014</v>
      </c>
      <c r="AE231" s="405" t="n">
        <f aca="false">AE230</f>
        <v>2070.10833338081</v>
      </c>
      <c r="AF231" s="392" t="n">
        <v>1</v>
      </c>
      <c r="AG231" s="406" t="n">
        <f aca="false">AG230</f>
        <v>0</v>
      </c>
      <c r="AH231" s="401" t="n">
        <f aca="false">Assumptions!$E$30*Assumptions!H16</f>
        <v>4.88447479752218</v>
      </c>
      <c r="AI231" s="401" t="n">
        <f aca="false">Assumptions!$F$30*Assumptions!I16</f>
        <v>4.55468452403293</v>
      </c>
      <c r="AJ231" s="401" t="n">
        <f aca="false">AJ230</f>
        <v>0</v>
      </c>
      <c r="AK231" s="401" t="n">
        <f aca="false">AK230</f>
        <v>0</v>
      </c>
      <c r="AL231" s="1"/>
    </row>
    <row r="232" customFormat="false" ht="12.75" hidden="false" customHeight="false" outlineLevel="0" collapsed="false">
      <c r="A232" s="400" t="n">
        <f aca="false">A231+30.417</f>
        <v>43262.157</v>
      </c>
      <c r="B232" s="401" t="n">
        <f aca="false">IF($B$9="Coal",AG232,IF($B$9="Gas",AH232,IF($B$9="Oil",AI232,0)))</f>
        <v>4.65375086236284</v>
      </c>
      <c r="C232" s="402" t="n">
        <f aca="false">(B232*$B$1*1000)/1000000</f>
        <v>52.6094653073024</v>
      </c>
      <c r="D232" s="401" t="n">
        <f aca="false">AB232+AC232</f>
        <v>0.871263037626294</v>
      </c>
      <c r="E232" s="401" t="n">
        <f aca="false">(($AJ232*$B$1*AD232*1000)/2000)/1000000</f>
        <v>0</v>
      </c>
      <c r="F232" s="401" t="n">
        <f aca="false">AF232*(($AK232*$B$1*AE232*1000)/2000)/1000000</f>
        <v>0</v>
      </c>
      <c r="G232" s="403" t="n">
        <f aca="false">IF('Peak Revenue'!$A$1="BL","-",SUM(C232:F232))</f>
        <v>53.4807283449287</v>
      </c>
      <c r="H232" s="411" t="n">
        <v>190.461980034287</v>
      </c>
      <c r="I232" s="411" t="n">
        <v>177.836991983817</v>
      </c>
      <c r="J232" s="411" t="n">
        <v>167.243404098456</v>
      </c>
      <c r="K232" s="411" t="n">
        <v>154.702974330333</v>
      </c>
      <c r="L232" s="411" t="n">
        <v>141.371150989739</v>
      </c>
      <c r="M232" s="411" t="n">
        <v>85.4964956122739</v>
      </c>
      <c r="N232" s="411" t="n">
        <v>72.5383749868351</v>
      </c>
      <c r="O232" s="411" t="n">
        <v>68.7822327759941</v>
      </c>
      <c r="P232" s="411" t="n">
        <v>58.0944036712254</v>
      </c>
      <c r="Q232" s="411" t="n">
        <v>47.4938303793561</v>
      </c>
      <c r="R232" s="411" t="n">
        <v>42.1006425996434</v>
      </c>
      <c r="S232" s="411" t="n">
        <v>39.7390123374809</v>
      </c>
      <c r="T232" s="411" t="n">
        <v>39.027195051274</v>
      </c>
      <c r="U232" s="411" t="n">
        <v>38.1815012140351</v>
      </c>
      <c r="V232" s="411" t="n">
        <v>36.7369139364459</v>
      </c>
      <c r="W232" s="411" t="n">
        <v>35.0235848650692</v>
      </c>
      <c r="X232" s="411" t="n">
        <v>34.0227265548829</v>
      </c>
      <c r="Y232" s="411" t="n">
        <v>34.0227157418548</v>
      </c>
      <c r="Z232" s="411" t="n">
        <v>34.0227157418548</v>
      </c>
      <c r="AA232" s="411" t="n">
        <v>32.7603808174714</v>
      </c>
      <c r="AB232" s="401" t="n">
        <f aca="false">AB231*(1+Assumptions!$L$13/12)</f>
        <v>0.871263037626294</v>
      </c>
      <c r="AC232" s="401" t="n">
        <f aca="false">AC231</f>
        <v>0</v>
      </c>
      <c r="AD232" s="405" t="n">
        <f aca="false">AD231</f>
        <v>744.383671998014</v>
      </c>
      <c r="AE232" s="405" t="n">
        <f aca="false">AE231</f>
        <v>2070.10833338081</v>
      </c>
      <c r="AF232" s="392" t="n">
        <v>1</v>
      </c>
      <c r="AG232" s="406" t="n">
        <f aca="false">AG231</f>
        <v>0</v>
      </c>
      <c r="AH232" s="401" t="n">
        <f aca="false">Assumptions!$E$30*Assumptions!H17</f>
        <v>4.65375086236284</v>
      </c>
      <c r="AI232" s="401" t="n">
        <f aca="false">Assumptions!$F$30*Assumptions!I17</f>
        <v>4.55468452403293</v>
      </c>
      <c r="AJ232" s="401" t="n">
        <f aca="false">AJ231</f>
        <v>0</v>
      </c>
      <c r="AK232" s="401" t="n">
        <f aca="false">AK231</f>
        <v>0</v>
      </c>
      <c r="AL232" s="1"/>
    </row>
    <row r="233" customFormat="false" ht="12.75" hidden="false" customHeight="false" outlineLevel="0" collapsed="false">
      <c r="A233" s="400" t="n">
        <f aca="false">A232+30.417</f>
        <v>43292.574</v>
      </c>
      <c r="B233" s="401" t="n">
        <f aca="false">IF($B$9="Coal",AG233,IF($B$9="Gas",AH233,IF($B$9="Oil",AI233,0)))</f>
        <v>4.63902380267182</v>
      </c>
      <c r="C233" s="402" t="n">
        <f aca="false">(B233*$B$1*1000)/1000000</f>
        <v>52.4429796575957</v>
      </c>
      <c r="D233" s="401" t="n">
        <f aca="false">AB233+AC233</f>
        <v>0.872715142689004</v>
      </c>
      <c r="E233" s="401" t="n">
        <f aca="false">(($AJ233*$B$1*AD233*1000)/2000)/1000000</f>
        <v>0</v>
      </c>
      <c r="F233" s="401" t="n">
        <f aca="false">AF233*(($AK233*$B$1*AE233*1000)/2000)/1000000</f>
        <v>0</v>
      </c>
      <c r="G233" s="403" t="n">
        <f aca="false">IF('Peak Revenue'!$A$1="BL","-",SUM(C233:F233))</f>
        <v>53.3156948002847</v>
      </c>
      <c r="H233" s="411" t="n">
        <v>251.265080114193</v>
      </c>
      <c r="I233" s="411" t="n">
        <v>209.304756507849</v>
      </c>
      <c r="J233" s="411" t="n">
        <v>196.342297912153</v>
      </c>
      <c r="K233" s="411" t="n">
        <v>180.684876666858</v>
      </c>
      <c r="L233" s="411" t="n">
        <v>167.634208803939</v>
      </c>
      <c r="M233" s="411" t="n">
        <v>154.827891385199</v>
      </c>
      <c r="N233" s="411" t="n">
        <v>129.191880485586</v>
      </c>
      <c r="O233" s="411" t="n">
        <v>85.6499370670814</v>
      </c>
      <c r="P233" s="411" t="n">
        <v>81.3469492389666</v>
      </c>
      <c r="Q233" s="411" t="n">
        <v>58.4528241992382</v>
      </c>
      <c r="R233" s="411" t="n">
        <v>46.7142630278287</v>
      </c>
      <c r="S233" s="411" t="n">
        <v>43.3260038476457</v>
      </c>
      <c r="T233" s="411" t="n">
        <v>39.7852487862884</v>
      </c>
      <c r="U233" s="411" t="n">
        <v>39.7487552159036</v>
      </c>
      <c r="V233" s="411" t="n">
        <v>39.7485884805754</v>
      </c>
      <c r="W233" s="411" t="n">
        <v>39.7479677461468</v>
      </c>
      <c r="X233" s="411" t="n">
        <v>39.7479677461468</v>
      </c>
      <c r="Y233" s="411" t="n">
        <v>39.7479677461468</v>
      </c>
      <c r="Z233" s="411" t="n">
        <v>38.1801357303501</v>
      </c>
      <c r="AA233" s="411" t="n">
        <v>32.703231041533</v>
      </c>
      <c r="AB233" s="401" t="n">
        <f aca="false">AB232*(1+Assumptions!$L$13/12)</f>
        <v>0.872715142689004</v>
      </c>
      <c r="AC233" s="401" t="n">
        <f aca="false">AC232</f>
        <v>0</v>
      </c>
      <c r="AD233" s="405" t="n">
        <f aca="false">AD232</f>
        <v>744.383671998014</v>
      </c>
      <c r="AE233" s="405" t="n">
        <f aca="false">AE232</f>
        <v>2070.10833338081</v>
      </c>
      <c r="AF233" s="392" t="n">
        <v>1</v>
      </c>
      <c r="AG233" s="406" t="n">
        <f aca="false">AG232</f>
        <v>0</v>
      </c>
      <c r="AH233" s="401" t="n">
        <f aca="false">Assumptions!$E$30*Assumptions!H18</f>
        <v>4.63902380267182</v>
      </c>
      <c r="AI233" s="401" t="n">
        <f aca="false">Assumptions!$F$30*Assumptions!I18</f>
        <v>4.55468452403293</v>
      </c>
      <c r="AJ233" s="401" t="n">
        <f aca="false">AJ232</f>
        <v>0</v>
      </c>
      <c r="AK233" s="401" t="n">
        <f aca="false">AK232</f>
        <v>0</v>
      </c>
      <c r="AL233" s="1"/>
    </row>
    <row r="234" customFormat="false" ht="12.75" hidden="false" customHeight="false" outlineLevel="0" collapsed="false">
      <c r="A234" s="400" t="n">
        <f aca="false">A233+30.417</f>
        <v>43322.991</v>
      </c>
      <c r="B234" s="401" t="n">
        <f aca="false">IF($B$9="Coal",AG234,IF($B$9="Gas",AH234,IF($B$9="Oil",AI234,0)))</f>
        <v>4.39848182771847</v>
      </c>
      <c r="C234" s="402" t="n">
        <f aca="false">(B234*$B$1*1000)/1000000</f>
        <v>49.7237140457204</v>
      </c>
      <c r="D234" s="401" t="n">
        <f aca="false">AB234+AC234</f>
        <v>0.87416966792682</v>
      </c>
      <c r="E234" s="401" t="n">
        <f aca="false">(($AJ234*$B$1*AD234*1000)/2000)/1000000</f>
        <v>0</v>
      </c>
      <c r="F234" s="401" t="n">
        <f aca="false">AF234*(($AK234*$B$1*AE234*1000)/2000)/1000000</f>
        <v>0</v>
      </c>
      <c r="G234" s="403" t="n">
        <f aca="false">IF('Peak Revenue'!$A$1="BL","-",SUM(C234:F234))</f>
        <v>50.5978837136472</v>
      </c>
      <c r="H234" s="411" t="n">
        <v>547.354551668885</v>
      </c>
      <c r="I234" s="411" t="n">
        <v>381.977704199145</v>
      </c>
      <c r="J234" s="411" t="n">
        <v>289.471108449863</v>
      </c>
      <c r="K234" s="411" t="n">
        <v>216.153764093131</v>
      </c>
      <c r="L234" s="411" t="n">
        <v>193.570013341591</v>
      </c>
      <c r="M234" s="411" t="n">
        <v>175.162470521966</v>
      </c>
      <c r="N234" s="411" t="n">
        <v>157.157532616652</v>
      </c>
      <c r="O234" s="411" t="n">
        <v>123.074823724129</v>
      </c>
      <c r="P234" s="411" t="n">
        <v>44.2369420977752</v>
      </c>
      <c r="Q234" s="411" t="n">
        <v>37.5623446854559</v>
      </c>
      <c r="R234" s="411" t="n">
        <v>35.5319010362212</v>
      </c>
      <c r="S234" s="411" t="n">
        <v>33.746190028275</v>
      </c>
      <c r="T234" s="411" t="n">
        <v>31.9515507863769</v>
      </c>
      <c r="U234" s="411" t="n">
        <v>30.8087578246345</v>
      </c>
      <c r="V234" s="411" t="n">
        <v>28.7380364801995</v>
      </c>
      <c r="W234" s="411" t="n">
        <v>27.5283944007984</v>
      </c>
      <c r="X234" s="411" t="n">
        <v>26.8844556915788</v>
      </c>
      <c r="Y234" s="411" t="n">
        <v>24.8518142822597</v>
      </c>
      <c r="Z234" s="411" t="n">
        <v>23.6787293711362</v>
      </c>
      <c r="AA234" s="411" t="n">
        <v>21.991557648317</v>
      </c>
      <c r="AB234" s="401" t="n">
        <f aca="false">AB233*(1+Assumptions!$L$13/12)</f>
        <v>0.87416966792682</v>
      </c>
      <c r="AC234" s="401" t="n">
        <f aca="false">AC233</f>
        <v>0</v>
      </c>
      <c r="AD234" s="405" t="n">
        <f aca="false">AD233</f>
        <v>744.383671998014</v>
      </c>
      <c r="AE234" s="405" t="n">
        <f aca="false">AE233</f>
        <v>2070.10833338081</v>
      </c>
      <c r="AF234" s="392" t="n">
        <v>1</v>
      </c>
      <c r="AG234" s="406" t="n">
        <f aca="false">AG233</f>
        <v>0</v>
      </c>
      <c r="AH234" s="401" t="n">
        <f aca="false">Assumptions!$E$30*Assumptions!H19</f>
        <v>4.39848182771847</v>
      </c>
      <c r="AI234" s="401" t="n">
        <f aca="false">Assumptions!$F$30*Assumptions!I19</f>
        <v>4.55468452403293</v>
      </c>
      <c r="AJ234" s="401" t="n">
        <f aca="false">AJ233</f>
        <v>0</v>
      </c>
      <c r="AK234" s="401" t="n">
        <f aca="false">AK233</f>
        <v>0</v>
      </c>
      <c r="AL234" s="1"/>
    </row>
    <row r="235" customFormat="false" ht="12.75" hidden="false" customHeight="false" outlineLevel="0" collapsed="false">
      <c r="A235" s="400" t="n">
        <f aca="false">A234+30.417</f>
        <v>43353.408</v>
      </c>
      <c r="B235" s="401" t="n">
        <f aca="false">IF($B$9="Coal",AG235,IF($B$9="Gas",AH235,IF($B$9="Oil",AI235,0)))</f>
        <v>4.38375476802745</v>
      </c>
      <c r="C235" s="402" t="n">
        <f aca="false">(B235*$B$1*1000)/1000000</f>
        <v>49.5572283960137</v>
      </c>
      <c r="D235" s="401" t="n">
        <f aca="false">AB235+AC235</f>
        <v>0.875626617373364</v>
      </c>
      <c r="E235" s="401" t="n">
        <f aca="false">(($AJ235*$B$1*AD235*1000)/2000)/1000000</f>
        <v>0</v>
      </c>
      <c r="F235" s="401" t="n">
        <f aca="false">AF235*(($AK235*$B$1*AE235*1000)/2000)/1000000</f>
        <v>0</v>
      </c>
      <c r="G235" s="403" t="n">
        <f aca="false">IF('Peak Revenue'!$A$1="BL","-",SUM(C235:F235))</f>
        <v>50.4328550133871</v>
      </c>
      <c r="H235" s="411" t="n">
        <v>153.441549434659</v>
      </c>
      <c r="I235" s="411" t="n">
        <v>144.390546599843</v>
      </c>
      <c r="J235" s="411" t="n">
        <v>114.165589084499</v>
      </c>
      <c r="K235" s="411" t="n">
        <v>103.020938117401</v>
      </c>
      <c r="L235" s="411" t="n">
        <v>89.1134994502324</v>
      </c>
      <c r="M235" s="411" t="n">
        <v>63.1198948999243</v>
      </c>
      <c r="N235" s="411" t="n">
        <v>53.7435103167996</v>
      </c>
      <c r="O235" s="411" t="n">
        <v>49.8833953736024</v>
      </c>
      <c r="P235" s="411" t="n">
        <v>48.8611476201906</v>
      </c>
      <c r="Q235" s="411" t="n">
        <v>48.7733408883985</v>
      </c>
      <c r="R235" s="411" t="n">
        <v>48.7733408883985</v>
      </c>
      <c r="S235" s="411" t="n">
        <v>48.7731924674728</v>
      </c>
      <c r="T235" s="411" t="n">
        <v>48.7729567629546</v>
      </c>
      <c r="U235" s="411" t="n">
        <v>48.772865631377</v>
      </c>
      <c r="V235" s="411" t="n">
        <v>48.7726939587757</v>
      </c>
      <c r="W235" s="411" t="n">
        <v>48.7726051499569</v>
      </c>
      <c r="X235" s="411" t="n">
        <v>48.1159624794633</v>
      </c>
      <c r="Y235" s="411" t="n">
        <v>45.3369795922676</v>
      </c>
      <c r="Z235" s="411" t="n">
        <v>42.2847915914216</v>
      </c>
      <c r="AA235" s="411" t="n">
        <v>35.5995748025882</v>
      </c>
      <c r="AB235" s="401" t="n">
        <f aca="false">AB234*(1+Assumptions!$L$13/12)</f>
        <v>0.875626617373364</v>
      </c>
      <c r="AC235" s="401" t="n">
        <f aca="false">AC234</f>
        <v>0</v>
      </c>
      <c r="AD235" s="405" t="n">
        <f aca="false">AD234</f>
        <v>744.383671998014</v>
      </c>
      <c r="AE235" s="405" t="n">
        <f aca="false">AE234</f>
        <v>2070.10833338081</v>
      </c>
      <c r="AF235" s="392" t="n">
        <v>1</v>
      </c>
      <c r="AG235" s="406" t="n">
        <f aca="false">AG234</f>
        <v>0</v>
      </c>
      <c r="AH235" s="401" t="n">
        <f aca="false">Assumptions!$E$30*Assumptions!H20</f>
        <v>4.38375476802745</v>
      </c>
      <c r="AI235" s="401" t="n">
        <f aca="false">Assumptions!$F$30*Assumptions!I20</f>
        <v>4.55468452403293</v>
      </c>
      <c r="AJ235" s="401" t="n">
        <f aca="false">AJ234</f>
        <v>0</v>
      </c>
      <c r="AK235" s="401" t="n">
        <f aca="false">AK234</f>
        <v>0</v>
      </c>
      <c r="AL235" s="1"/>
    </row>
    <row r="236" customFormat="false" ht="12.75" hidden="false" customHeight="false" outlineLevel="0" collapsed="false">
      <c r="A236" s="400" t="n">
        <f aca="false">A235+30.417</f>
        <v>43383.825</v>
      </c>
      <c r="B236" s="401" t="n">
        <f aca="false">IF($B$9="Coal",AG236,IF($B$9="Gas",AH236,IF($B$9="Oil",AI236,0)))</f>
        <v>4.85502067814014</v>
      </c>
      <c r="C236" s="402" t="n">
        <f aca="false">(B236*$B$1*1000)/1000000</f>
        <v>54.8847691866266</v>
      </c>
      <c r="D236" s="401" t="n">
        <f aca="false">AB236+AC236</f>
        <v>0.877085995068987</v>
      </c>
      <c r="E236" s="401" t="n">
        <f aca="false">(($AJ236*$B$1*AD236*1000)/2000)/1000000</f>
        <v>0</v>
      </c>
      <c r="F236" s="401" t="n">
        <f aca="false">AF236*(($AK236*$B$1*AE236*1000)/2000)/1000000</f>
        <v>0</v>
      </c>
      <c r="G236" s="403" t="n">
        <f aca="false">IF('Peak Revenue'!$A$1="BL","-",SUM(C236:F236))</f>
        <v>55.7618551816956</v>
      </c>
      <c r="H236" s="411" t="n">
        <v>95.4968855990879</v>
      </c>
      <c r="I236" s="411" t="n">
        <v>92.5293139250962</v>
      </c>
      <c r="J236" s="411" t="n">
        <v>88.6881582075608</v>
      </c>
      <c r="K236" s="411" t="n">
        <v>83.1777126689942</v>
      </c>
      <c r="L236" s="411" t="n">
        <v>79.2817619331015</v>
      </c>
      <c r="M236" s="411" t="n">
        <v>78.6959101239746</v>
      </c>
      <c r="N236" s="411" t="n">
        <v>67.5717347127358</v>
      </c>
      <c r="O236" s="411" t="n">
        <v>55.4131798267844</v>
      </c>
      <c r="P236" s="411" t="n">
        <v>53.4277490669738</v>
      </c>
      <c r="Q236" s="411" t="n">
        <v>49.2245549278686</v>
      </c>
      <c r="R236" s="411" t="n">
        <v>46.4893334740233</v>
      </c>
      <c r="S236" s="411" t="n">
        <v>45.2469229229341</v>
      </c>
      <c r="T236" s="411" t="n">
        <v>44.6173897021071</v>
      </c>
      <c r="U236" s="411" t="n">
        <v>43.9644219683037</v>
      </c>
      <c r="V236" s="411" t="n">
        <v>41.9670990184207</v>
      </c>
      <c r="W236" s="411" t="n">
        <v>39.8448551126488</v>
      </c>
      <c r="X236" s="411" t="n">
        <v>38.6288317106019</v>
      </c>
      <c r="Y236" s="411" t="n">
        <v>38.5409758943652</v>
      </c>
      <c r="Z236" s="411" t="n">
        <v>38.5409758943652</v>
      </c>
      <c r="AA236" s="411" t="n">
        <v>38.5311998100568</v>
      </c>
      <c r="AB236" s="401" t="n">
        <f aca="false">AB235*(1+Assumptions!$L$13/12)</f>
        <v>0.877085995068987</v>
      </c>
      <c r="AC236" s="401" t="n">
        <f aca="false">AC235</f>
        <v>0</v>
      </c>
      <c r="AD236" s="405" t="n">
        <f aca="false">AD235</f>
        <v>744.383671998014</v>
      </c>
      <c r="AE236" s="405" t="n">
        <f aca="false">AE235</f>
        <v>2070.10833338081</v>
      </c>
      <c r="AF236" s="392" t="n">
        <f aca="false">IF(Assumptions!D$30=1,0,1)</f>
        <v>1</v>
      </c>
      <c r="AG236" s="406" t="n">
        <f aca="false">AG235</f>
        <v>0</v>
      </c>
      <c r="AH236" s="401" t="n">
        <f aca="false">Assumptions!$E$30*Assumptions!H21</f>
        <v>4.85502067814014</v>
      </c>
      <c r="AI236" s="401" t="n">
        <f aca="false">Assumptions!$F$30*Assumptions!I21</f>
        <v>4.55468452403293</v>
      </c>
      <c r="AJ236" s="401" t="n">
        <f aca="false">AJ235</f>
        <v>0</v>
      </c>
      <c r="AK236" s="401" t="n">
        <f aca="false">AK235</f>
        <v>0</v>
      </c>
      <c r="AL236" s="1"/>
    </row>
    <row r="237" customFormat="false" ht="12.75" hidden="false" customHeight="false" outlineLevel="0" collapsed="false">
      <c r="A237" s="400" t="n">
        <f aca="false">A236+30.417</f>
        <v>43414.242</v>
      </c>
      <c r="B237" s="401" t="n">
        <f aca="false">IF($B$9="Coal",AG237,IF($B$9="Gas",AH237,IF($B$9="Oil",AI237,0)))</f>
        <v>5.31646854845882</v>
      </c>
      <c r="C237" s="402" t="n">
        <f aca="false">(B237*$B$1*1000)/1000000</f>
        <v>60.1013195441018</v>
      </c>
      <c r="D237" s="401" t="n">
        <f aca="false">AB237+AC237</f>
        <v>0.878547805060768</v>
      </c>
      <c r="E237" s="401" t="n">
        <f aca="false">(($AJ237*$B$1*AD237*1000)/2000)/1000000</f>
        <v>0</v>
      </c>
      <c r="F237" s="401" t="n">
        <f aca="false">AF237*(($AK237*$B$1*AE237*1000)/2000)/1000000</f>
        <v>0</v>
      </c>
      <c r="G237" s="403" t="n">
        <f aca="false">IF('Peak Revenue'!$A$1="BL","-",SUM(C237:F237))</f>
        <v>60.9798673491625</v>
      </c>
      <c r="H237" s="411" t="n">
        <v>166.23681335783</v>
      </c>
      <c r="I237" s="411" t="n">
        <v>160.5594528899</v>
      </c>
      <c r="J237" s="411" t="n">
        <v>154.481512569249</v>
      </c>
      <c r="K237" s="411" t="n">
        <v>149.401572649497</v>
      </c>
      <c r="L237" s="411" t="n">
        <v>120.891306686293</v>
      </c>
      <c r="M237" s="411" t="n">
        <v>83.544438884466</v>
      </c>
      <c r="N237" s="411" t="n">
        <v>77.8889169025854</v>
      </c>
      <c r="O237" s="411" t="n">
        <v>70.5355295477222</v>
      </c>
      <c r="P237" s="411" t="n">
        <v>65.6892900215919</v>
      </c>
      <c r="Q237" s="411" t="n">
        <v>64.0334399527288</v>
      </c>
      <c r="R237" s="411" t="n">
        <v>62.4288516122037</v>
      </c>
      <c r="S237" s="411" t="n">
        <v>53.4749148343612</v>
      </c>
      <c r="T237" s="411" t="n">
        <v>49.7570709906057</v>
      </c>
      <c r="U237" s="411" t="n">
        <v>47.5361633756015</v>
      </c>
      <c r="V237" s="411" t="n">
        <v>45.6097685890576</v>
      </c>
      <c r="W237" s="411" t="n">
        <v>45.0237862177931</v>
      </c>
      <c r="X237" s="411" t="n">
        <v>42.1596218149128</v>
      </c>
      <c r="Y237" s="411" t="n">
        <v>36.9943564640071</v>
      </c>
      <c r="Z237" s="411" t="n">
        <v>31.8128134686608</v>
      </c>
      <c r="AA237" s="411" t="n">
        <v>31.8073231431248</v>
      </c>
      <c r="AB237" s="401" t="n">
        <f aca="false">AB236*(1+Assumptions!$L$13/12)</f>
        <v>0.878547805060768</v>
      </c>
      <c r="AC237" s="401" t="n">
        <f aca="false">AC236</f>
        <v>0</v>
      </c>
      <c r="AD237" s="405" t="n">
        <f aca="false">AD236</f>
        <v>744.383671998014</v>
      </c>
      <c r="AE237" s="405" t="n">
        <f aca="false">AE236</f>
        <v>2070.10833338081</v>
      </c>
      <c r="AF237" s="392" t="n">
        <f aca="false">IF(Assumptions!D$30=1,0,1)</f>
        <v>1</v>
      </c>
      <c r="AG237" s="406" t="n">
        <f aca="false">AG236</f>
        <v>0</v>
      </c>
      <c r="AH237" s="401" t="n">
        <f aca="false">Assumptions!$E$30*Assumptions!H22</f>
        <v>5.31646854845882</v>
      </c>
      <c r="AI237" s="401" t="n">
        <f aca="false">Assumptions!$F$30*Assumptions!I22</f>
        <v>4.93823690500412</v>
      </c>
      <c r="AJ237" s="401" t="n">
        <f aca="false">AJ236</f>
        <v>0</v>
      </c>
      <c r="AK237" s="401" t="n">
        <f aca="false">AK236</f>
        <v>0</v>
      </c>
      <c r="AL237" s="1"/>
    </row>
    <row r="238" customFormat="false" ht="12.75" hidden="false" customHeight="false" outlineLevel="0" collapsed="false">
      <c r="A238" s="400" t="n">
        <f aca="false">A237+30.417</f>
        <v>43444.659</v>
      </c>
      <c r="B238" s="401" t="n">
        <f aca="false">IF($B$9="Coal",AG238,IF($B$9="Gas",AH238,IF($B$9="Oil",AI238,0)))</f>
        <v>5.75337131929246</v>
      </c>
      <c r="C238" s="402" t="n">
        <f aca="false">(B238*$B$1*1000)/1000000</f>
        <v>65.0403938187325</v>
      </c>
      <c r="D238" s="401" t="n">
        <f aca="false">AB238+AC238</f>
        <v>0.880012051402536</v>
      </c>
      <c r="E238" s="401" t="n">
        <f aca="false">(($AJ238*$B$1*AD238*1000)/2000)/1000000</f>
        <v>0</v>
      </c>
      <c r="F238" s="401" t="n">
        <f aca="false">AF238*(($AK238*$B$1*AE238*1000)/2000)/1000000</f>
        <v>0</v>
      </c>
      <c r="G238" s="403" t="n">
        <f aca="false">IF('Peak Revenue'!$A$1="BL","-",SUM(C238:F238))</f>
        <v>65.920405870135</v>
      </c>
      <c r="H238" s="411" t="n">
        <v>151.043691321121</v>
      </c>
      <c r="I238" s="411" t="n">
        <v>148.581297554712</v>
      </c>
      <c r="J238" s="411" t="n">
        <v>144.27390571683</v>
      </c>
      <c r="K238" s="411" t="n">
        <v>120.912135862906</v>
      </c>
      <c r="L238" s="411" t="n">
        <v>111.129418256959</v>
      </c>
      <c r="M238" s="411" t="n">
        <v>102.282916012371</v>
      </c>
      <c r="N238" s="411" t="n">
        <v>100.50601070606</v>
      </c>
      <c r="O238" s="411" t="n">
        <v>92.353879023502</v>
      </c>
      <c r="P238" s="411" t="n">
        <v>69.675134247295</v>
      </c>
      <c r="Q238" s="411" t="n">
        <v>59.260474325009</v>
      </c>
      <c r="R238" s="411" t="n">
        <v>55.7583680398168</v>
      </c>
      <c r="S238" s="411" t="n">
        <v>48.2196452092321</v>
      </c>
      <c r="T238" s="411" t="n">
        <v>47.860773652622</v>
      </c>
      <c r="U238" s="411" t="n">
        <v>47.8607478036386</v>
      </c>
      <c r="V238" s="411" t="n">
        <v>47.8607169429022</v>
      </c>
      <c r="W238" s="411" t="n">
        <v>47.8607169429022</v>
      </c>
      <c r="X238" s="411" t="n">
        <v>47.8606729423778</v>
      </c>
      <c r="Y238" s="411" t="n">
        <v>47.8606460272095</v>
      </c>
      <c r="Z238" s="411" t="n">
        <v>47.8606226494439</v>
      </c>
      <c r="AA238" s="411" t="n">
        <v>46.6377861547125</v>
      </c>
      <c r="AB238" s="401" t="n">
        <f aca="false">AB237*(1+Assumptions!$L$13/12)</f>
        <v>0.880012051402536</v>
      </c>
      <c r="AC238" s="401" t="n">
        <f aca="false">AC237</f>
        <v>0</v>
      </c>
      <c r="AD238" s="405" t="n">
        <f aca="false">AD237</f>
        <v>744.383671998014</v>
      </c>
      <c r="AE238" s="405" t="n">
        <f aca="false">AE237</f>
        <v>2070.10833338081</v>
      </c>
      <c r="AF238" s="392" t="n">
        <f aca="false">IF(Assumptions!D$30=1,0,1)</f>
        <v>1</v>
      </c>
      <c r="AG238" s="406" t="n">
        <f aca="false">AG237</f>
        <v>0</v>
      </c>
      <c r="AH238" s="401" t="n">
        <f aca="false">Assumptions!$E$30*Assumptions!H23</f>
        <v>5.75337131929246</v>
      </c>
      <c r="AI238" s="401" t="n">
        <f aca="false">Assumptions!$F$30*Assumptions!I23</f>
        <v>5.17795714311112</v>
      </c>
      <c r="AJ238" s="401" t="n">
        <f aca="false">AJ237</f>
        <v>0</v>
      </c>
      <c r="AK238" s="401" t="n">
        <f aca="false">AK237</f>
        <v>0</v>
      </c>
      <c r="AL238" s="1"/>
    </row>
    <row r="239" customFormat="false" ht="12.75" hidden="false" customHeight="false" outlineLevel="0" collapsed="false">
      <c r="A239" s="400" t="n">
        <f aca="false">A238+30.417</f>
        <v>43475.076</v>
      </c>
      <c r="B239" s="401" t="n">
        <f aca="false">IF($B$9="Coal",AG239,IF($B$9="Gas",AH239,IF($B$9="Oil",AI239,0)))</f>
        <v>5.58797614488506</v>
      </c>
      <c r="C239" s="402" t="n">
        <f aca="false">(B239*$B$1*1000)/1000000</f>
        <v>63.170643600612</v>
      </c>
      <c r="D239" s="401" t="n">
        <f aca="false">AB239+AC239</f>
        <v>0.881478738154874</v>
      </c>
      <c r="E239" s="401" t="n">
        <f aca="false">(($AJ239*$B$1*AD239*1000)/2000)/1000000</f>
        <v>0</v>
      </c>
      <c r="F239" s="401" t="n">
        <f aca="false">AF239*(($AK239*$B$1*AE239*1000)/2000)/1000000</f>
        <v>0</v>
      </c>
      <c r="G239" s="403" t="n">
        <f aca="false">IF('Peak Revenue'!$A$1="BL","-",SUM(C239:F239))</f>
        <v>64.0521223387669</v>
      </c>
      <c r="H239" s="411" t="n">
        <v>137.480075019451</v>
      </c>
      <c r="I239" s="411" t="n">
        <v>130.652232209017</v>
      </c>
      <c r="J239" s="411" t="n">
        <v>124.514077913827</v>
      </c>
      <c r="K239" s="411" t="n">
        <v>116.142007614401</v>
      </c>
      <c r="L239" s="411" t="n">
        <v>114.923494772585</v>
      </c>
      <c r="M239" s="411" t="n">
        <v>105.034435542484</v>
      </c>
      <c r="N239" s="411" t="n">
        <v>76.523757736493</v>
      </c>
      <c r="O239" s="411" t="n">
        <v>63.6258638787122</v>
      </c>
      <c r="P239" s="411" t="n">
        <v>57.6850277829768</v>
      </c>
      <c r="Q239" s="411" t="n">
        <v>54.2106544734747</v>
      </c>
      <c r="R239" s="411" t="n">
        <v>54.2106544734747</v>
      </c>
      <c r="S239" s="411" t="n">
        <v>54.2106544734747</v>
      </c>
      <c r="T239" s="411" t="n">
        <v>54.2106544734747</v>
      </c>
      <c r="U239" s="411" t="n">
        <v>54.2106544734747</v>
      </c>
      <c r="V239" s="411" t="n">
        <v>54.2106544734747</v>
      </c>
      <c r="W239" s="411" t="n">
        <v>54.2106330848946</v>
      </c>
      <c r="X239" s="411" t="n">
        <v>54.2105993404527</v>
      </c>
      <c r="Y239" s="411" t="n">
        <v>54.2104129046871</v>
      </c>
      <c r="Z239" s="411" t="n">
        <v>54.2099802917937</v>
      </c>
      <c r="AA239" s="411" t="n">
        <v>49.7746851186225</v>
      </c>
      <c r="AB239" s="401" t="n">
        <f aca="false">AB238*(1+Assumptions!$L$13/12)</f>
        <v>0.881478738154874</v>
      </c>
      <c r="AC239" s="401" t="n">
        <f aca="false">VLOOKUP($C$1,EnvVOM,22)</f>
        <v>0</v>
      </c>
      <c r="AD239" s="405" t="n">
        <f aca="false">Assumptions!B31</f>
        <v>771.788531652048</v>
      </c>
      <c r="AE239" s="405" t="n">
        <f aca="false">Assumptions!C31</f>
        <v>1127.07162975123</v>
      </c>
      <c r="AF239" s="392" t="n">
        <f aca="false">IF(Assumptions!D$31=1,0,1)</f>
        <v>1</v>
      </c>
      <c r="AG239" s="406" t="n">
        <f aca="false">VLOOKUP($C$1,Coal,22)</f>
        <v>0</v>
      </c>
      <c r="AH239" s="401" t="n">
        <f aca="false">Assumptions!$E$31*Assumptions!H12</f>
        <v>5.58797614488506</v>
      </c>
      <c r="AI239" s="401" t="n">
        <f aca="false">Assumptions!$F$31*Assumptions!I12</f>
        <v>5.25085329964165</v>
      </c>
      <c r="AJ239" s="401" t="n">
        <f aca="false">VLOOKUP($C$1,SO2Rate,22)</f>
        <v>0</v>
      </c>
      <c r="AK239" s="401" t="n">
        <f aca="false">VLOOKUP($C$1,NOxRate,22)</f>
        <v>0</v>
      </c>
      <c r="AL239" s="1"/>
    </row>
    <row r="240" customFormat="false" ht="12.75" hidden="false" customHeight="false" outlineLevel="0" collapsed="false">
      <c r="A240" s="400" t="n">
        <f aca="false">A239+30.417</f>
        <v>43505.493</v>
      </c>
      <c r="B240" s="401" t="n">
        <f aca="false">IF($B$9="Coal",AG240,IF($B$9="Gas",AH240,IF($B$9="Oil",AI240,0)))</f>
        <v>5.00837223624007</v>
      </c>
      <c r="C240" s="402" t="n">
        <f aca="false">(B240*$B$1*1000)/1000000</f>
        <v>56.618369397357</v>
      </c>
      <c r="D240" s="401" t="n">
        <f aca="false">AB240+AC240</f>
        <v>0.882947869385132</v>
      </c>
      <c r="E240" s="401" t="n">
        <f aca="false">(($AJ240*$B$1*AD240*1000)/2000)/1000000</f>
        <v>0</v>
      </c>
      <c r="F240" s="401" t="n">
        <f aca="false">AF240*(($AK240*$B$1*AE240*1000)/2000)/1000000</f>
        <v>0</v>
      </c>
      <c r="G240" s="403" t="n">
        <f aca="false">IF('Peak Revenue'!$A$1="BL","-",SUM(C240:F240))</f>
        <v>57.5013172667422</v>
      </c>
      <c r="H240" s="411" t="n">
        <v>156.128329206788</v>
      </c>
      <c r="I240" s="411" t="n">
        <v>150.952062290976</v>
      </c>
      <c r="J240" s="411" t="n">
        <v>147.538332058287</v>
      </c>
      <c r="K240" s="411" t="n">
        <v>122.402705241957</v>
      </c>
      <c r="L240" s="411" t="n">
        <v>112.192886827942</v>
      </c>
      <c r="M240" s="411" t="n">
        <v>105.457915382664</v>
      </c>
      <c r="N240" s="411" t="n">
        <v>101.583767021676</v>
      </c>
      <c r="O240" s="411" t="n">
        <v>78.4304581321732</v>
      </c>
      <c r="P240" s="411" t="n">
        <v>65.4453265132147</v>
      </c>
      <c r="Q240" s="411" t="n">
        <v>58.5315219591647</v>
      </c>
      <c r="R240" s="411" t="n">
        <v>55.8576601330256</v>
      </c>
      <c r="S240" s="411" t="n">
        <v>50.5297027062009</v>
      </c>
      <c r="T240" s="411" t="n">
        <v>50.0520664913336</v>
      </c>
      <c r="U240" s="411" t="n">
        <v>50.0520664913336</v>
      </c>
      <c r="V240" s="411" t="n">
        <v>50.0520664913336</v>
      </c>
      <c r="W240" s="411" t="n">
        <v>50.0520664913336</v>
      </c>
      <c r="X240" s="411" t="n">
        <v>50.0519908132401</v>
      </c>
      <c r="Y240" s="411" t="n">
        <v>50.0509900435062</v>
      </c>
      <c r="Z240" s="411" t="n">
        <v>50.0506218589525</v>
      </c>
      <c r="AA240" s="411" t="n">
        <v>48.625979208787</v>
      </c>
      <c r="AB240" s="401" t="n">
        <f aca="false">AB239*(1+Assumptions!$L$13/12)</f>
        <v>0.882947869385132</v>
      </c>
      <c r="AC240" s="401" t="n">
        <f aca="false">AC239</f>
        <v>0</v>
      </c>
      <c r="AD240" s="405" t="n">
        <f aca="false">AD239</f>
        <v>771.788531652048</v>
      </c>
      <c r="AE240" s="405" t="n">
        <f aca="false">AE239</f>
        <v>1127.07162975123</v>
      </c>
      <c r="AF240" s="392" t="n">
        <f aca="false">IF(Assumptions!D$31=1,0,1)</f>
        <v>1</v>
      </c>
      <c r="AG240" s="406" t="n">
        <f aca="false">AG239</f>
        <v>0</v>
      </c>
      <c r="AH240" s="401" t="n">
        <f aca="false">Assumptions!$E$31*Assumptions!H13</f>
        <v>5.00837223624007</v>
      </c>
      <c r="AI240" s="401" t="n">
        <f aca="false">Assumptions!$F$31*Assumptions!I13</f>
        <v>5.20223428760793</v>
      </c>
      <c r="AJ240" s="401" t="n">
        <f aca="false">AJ239</f>
        <v>0</v>
      </c>
      <c r="AK240" s="401" t="n">
        <f aca="false">AK239</f>
        <v>0</v>
      </c>
      <c r="AL240" s="1"/>
    </row>
    <row r="241" customFormat="false" ht="12.75" hidden="false" customHeight="false" outlineLevel="0" collapsed="false">
      <c r="A241" s="400" t="n">
        <f aca="false">A240+30.417</f>
        <v>43535.91</v>
      </c>
      <c r="B241" s="401" t="n">
        <f aca="false">IF($B$9="Coal",AG241,IF($B$9="Gas",AH241,IF($B$9="Oil",AI241,0)))</f>
        <v>4.92415628370191</v>
      </c>
      <c r="C241" s="402" t="n">
        <f aca="false">(B241*$B$1*1000)/1000000</f>
        <v>55.6663295558584</v>
      </c>
      <c r="D241" s="401" t="n">
        <f aca="false">AB241+AC241</f>
        <v>0.884419449167441</v>
      </c>
      <c r="E241" s="401" t="n">
        <f aca="false">(($AJ241*$B$1*AD241*1000)/2000)/1000000</f>
        <v>0</v>
      </c>
      <c r="F241" s="401" t="n">
        <f aca="false">AF241*(($AK241*$B$1*AE241*1000)/2000)/1000000</f>
        <v>0</v>
      </c>
      <c r="G241" s="403" t="n">
        <f aca="false">IF('Peak Revenue'!$A$1="BL","-",SUM(C241:F241))</f>
        <v>56.5507490050259</v>
      </c>
      <c r="H241" s="411" t="n">
        <v>96.0051474879746</v>
      </c>
      <c r="I241" s="411" t="n">
        <v>92.9652133915144</v>
      </c>
      <c r="J241" s="411" t="n">
        <v>92.9138883050597</v>
      </c>
      <c r="K241" s="411" t="n">
        <v>92.37685989151</v>
      </c>
      <c r="L241" s="411" t="n">
        <v>92.1554249503539</v>
      </c>
      <c r="M241" s="411" t="n">
        <v>83.2725220747189</v>
      </c>
      <c r="N241" s="411" t="n">
        <v>74.0873196806321</v>
      </c>
      <c r="O241" s="411" t="n">
        <v>69.8014590240334</v>
      </c>
      <c r="P241" s="411" t="n">
        <v>66.1925703037115</v>
      </c>
      <c r="Q241" s="411" t="n">
        <v>63.7918285065927</v>
      </c>
      <c r="R241" s="411" t="n">
        <v>60.7596149869824</v>
      </c>
      <c r="S241" s="411" t="n">
        <v>52.0111173973384</v>
      </c>
      <c r="T241" s="411" t="n">
        <v>47.1744442629562</v>
      </c>
      <c r="U241" s="411" t="n">
        <v>44.5344638712938</v>
      </c>
      <c r="V241" s="411" t="n">
        <v>43.9690689155497</v>
      </c>
      <c r="W241" s="411" t="n">
        <v>43.9690689155497</v>
      </c>
      <c r="X241" s="411" t="n">
        <v>43.9690689155497</v>
      </c>
      <c r="Y241" s="411" t="n">
        <v>43.9690314765092</v>
      </c>
      <c r="Z241" s="411" t="n">
        <v>43.969026136759</v>
      </c>
      <c r="AA241" s="411" t="n">
        <v>43.9678735841979</v>
      </c>
      <c r="AB241" s="401" t="n">
        <f aca="false">AB240*(1+Assumptions!$L$13/12)</f>
        <v>0.884419449167441</v>
      </c>
      <c r="AC241" s="401" t="n">
        <f aca="false">AC240</f>
        <v>0</v>
      </c>
      <c r="AD241" s="405" t="n">
        <f aca="false">AD240</f>
        <v>771.788531652048</v>
      </c>
      <c r="AE241" s="405" t="n">
        <f aca="false">AE240</f>
        <v>1127.07162975123</v>
      </c>
      <c r="AF241" s="392" t="n">
        <f aca="false">IF(Assumptions!D$31=1,0,1)</f>
        <v>1</v>
      </c>
      <c r="AG241" s="406" t="n">
        <f aca="false">AG240</f>
        <v>0</v>
      </c>
      <c r="AH241" s="401" t="n">
        <f aca="false">Assumptions!$E$31*Assumptions!H14</f>
        <v>4.92415628370191</v>
      </c>
      <c r="AI241" s="401" t="n">
        <f aca="false">Assumptions!$F$31*Assumptions!I14</f>
        <v>5.00775823947305</v>
      </c>
      <c r="AJ241" s="401" t="n">
        <f aca="false">AJ240</f>
        <v>0</v>
      </c>
      <c r="AK241" s="401" t="n">
        <f aca="false">AK240</f>
        <v>0</v>
      </c>
      <c r="AL241" s="1"/>
    </row>
    <row r="242" customFormat="false" ht="12.75" hidden="false" customHeight="false" outlineLevel="0" collapsed="false">
      <c r="A242" s="400" t="n">
        <f aca="false">A241+30.417</f>
        <v>43566.327</v>
      </c>
      <c r="B242" s="401" t="n">
        <f aca="false">IF($B$9="Coal",AG242,IF($B$9="Gas",AH242,IF($B$9="Oil",AI242,0)))</f>
        <v>4.68141618520956</v>
      </c>
      <c r="C242" s="402" t="n">
        <f aca="false">(B242*$B$1*1000)/1000000</f>
        <v>52.9222147185978</v>
      </c>
      <c r="D242" s="401" t="n">
        <f aca="false">AB242+AC242</f>
        <v>0.88589348158272</v>
      </c>
      <c r="E242" s="401" t="n">
        <f aca="false">(($AJ242*$B$1*AD242*1000)/2000)/1000000</f>
        <v>0</v>
      </c>
      <c r="F242" s="401" t="n">
        <f aca="false">AF242*(($AK242*$B$1*AE242*1000)/2000)/1000000</f>
        <v>0</v>
      </c>
      <c r="G242" s="403" t="n">
        <f aca="false">IF('Peak Revenue'!$A$1="BL","-",SUM(C242:F242))</f>
        <v>53.8081082001805</v>
      </c>
      <c r="H242" s="411" t="n">
        <v>152.651514415292</v>
      </c>
      <c r="I242" s="411" t="n">
        <v>149.335312420196</v>
      </c>
      <c r="J242" s="411" t="n">
        <v>133.130079654401</v>
      </c>
      <c r="K242" s="411" t="n">
        <v>109.803696034953</v>
      </c>
      <c r="L242" s="411" t="n">
        <v>88.5095175802722</v>
      </c>
      <c r="M242" s="411" t="n">
        <v>67.0939832423671</v>
      </c>
      <c r="N242" s="411" t="n">
        <v>62.2925664915953</v>
      </c>
      <c r="O242" s="411" t="n">
        <v>59.5780528468627</v>
      </c>
      <c r="P242" s="411" t="n">
        <v>59.3127661749522</v>
      </c>
      <c r="Q242" s="411" t="n">
        <v>54.0521320810229</v>
      </c>
      <c r="R242" s="411" t="n">
        <v>49.4170106254614</v>
      </c>
      <c r="S242" s="411" t="n">
        <v>46.7453049408429</v>
      </c>
      <c r="T242" s="411" t="n">
        <v>44.8754322175512</v>
      </c>
      <c r="U242" s="411" t="n">
        <v>42.8879520347043</v>
      </c>
      <c r="V242" s="411" t="n">
        <v>42.2790712370257</v>
      </c>
      <c r="W242" s="411" t="n">
        <v>40.2847438056922</v>
      </c>
      <c r="X242" s="411" t="n">
        <v>35.1664177617554</v>
      </c>
      <c r="Y242" s="411" t="n">
        <v>30.4344356644843</v>
      </c>
      <c r="Z242" s="411" t="n">
        <v>30.0351802498495</v>
      </c>
      <c r="AA242" s="411" t="n">
        <v>30.029437349841</v>
      </c>
      <c r="AB242" s="401" t="n">
        <f aca="false">AB241*(1+Assumptions!$L$13/12)</f>
        <v>0.88589348158272</v>
      </c>
      <c r="AC242" s="401" t="n">
        <f aca="false">AC241</f>
        <v>0</v>
      </c>
      <c r="AD242" s="405" t="n">
        <f aca="false">AD241</f>
        <v>771.788531652048</v>
      </c>
      <c r="AE242" s="405" t="n">
        <f aca="false">AE241</f>
        <v>1127.07162975123</v>
      </c>
      <c r="AF242" s="392" t="n">
        <f aca="false">IF(Assumptions!D$31=1,0,1)</f>
        <v>1</v>
      </c>
      <c r="AG242" s="406" t="n">
        <f aca="false">AG241</f>
        <v>0</v>
      </c>
      <c r="AH242" s="401" t="n">
        <f aca="false">Assumptions!$E$31*Assumptions!H15</f>
        <v>4.68141618520956</v>
      </c>
      <c r="AI242" s="401" t="n">
        <f aca="false">Assumptions!$F$31*Assumptions!I15</f>
        <v>4.81328219133818</v>
      </c>
      <c r="AJ242" s="401" t="n">
        <f aca="false">AJ241</f>
        <v>0</v>
      </c>
      <c r="AK242" s="401" t="n">
        <f aca="false">AK241</f>
        <v>0</v>
      </c>
      <c r="AL242" s="1"/>
    </row>
    <row r="243" customFormat="false" ht="12.75" hidden="false" customHeight="false" outlineLevel="0" collapsed="false">
      <c r="A243" s="400" t="n">
        <f aca="false">A242+30.417</f>
        <v>43596.744</v>
      </c>
      <c r="B243" s="401" t="n">
        <f aca="false">IF($B$9="Coal",AG243,IF($B$9="Gas",AH243,IF($B$9="Oil",AI243,0)))</f>
        <v>4.92911016326297</v>
      </c>
      <c r="C243" s="402" t="n">
        <f aca="false">(B243*$B$1*1000)/1000000</f>
        <v>55.722331899476</v>
      </c>
      <c r="D243" s="401" t="n">
        <f aca="false">AB243+AC243</f>
        <v>0.887369970718691</v>
      </c>
      <c r="E243" s="401" t="n">
        <f aca="false">(($AJ243*$B$1*AD243*1000)/2000)/1000000</f>
        <v>0</v>
      </c>
      <c r="F243" s="401" t="n">
        <f aca="false">AF243*(($AK243*$B$1*AE243*1000)/2000)/1000000</f>
        <v>0</v>
      </c>
      <c r="G243" s="403" t="n">
        <f aca="false">IF('Peak Revenue'!$A$1="BL","-",SUM(C243:F243))</f>
        <v>56.6097018701947</v>
      </c>
      <c r="H243" s="411" t="n">
        <v>89.7228732734841</v>
      </c>
      <c r="I243" s="411" t="n">
        <v>83.4535618677626</v>
      </c>
      <c r="J243" s="411" t="n">
        <v>82.6990110826076</v>
      </c>
      <c r="K243" s="411" t="n">
        <v>78.0939907678711</v>
      </c>
      <c r="L243" s="411" t="n">
        <v>67.0383745759837</v>
      </c>
      <c r="M243" s="411" t="n">
        <v>59.7772316992151</v>
      </c>
      <c r="N243" s="411" t="n">
        <v>57.2240858898368</v>
      </c>
      <c r="O243" s="411" t="n">
        <v>55.8076458816816</v>
      </c>
      <c r="P243" s="411" t="n">
        <v>54.1466042071448</v>
      </c>
      <c r="Q243" s="411" t="n">
        <v>52.2015978446441</v>
      </c>
      <c r="R243" s="411" t="n">
        <v>49.9865352241764</v>
      </c>
      <c r="S243" s="411" t="n">
        <v>46.8077374088163</v>
      </c>
      <c r="T243" s="411" t="n">
        <v>46.4519394567074</v>
      </c>
      <c r="U243" s="411" t="n">
        <v>44.3433003939326</v>
      </c>
      <c r="V243" s="411" t="n">
        <v>41.5166307141575</v>
      </c>
      <c r="W243" s="411" t="n">
        <v>40.5707079485453</v>
      </c>
      <c r="X243" s="411" t="n">
        <v>40.2998744940913</v>
      </c>
      <c r="Y243" s="411" t="n">
        <v>40.1717908803669</v>
      </c>
      <c r="Z243" s="411" t="n">
        <v>40.1717908803669</v>
      </c>
      <c r="AA243" s="411" t="n">
        <v>40.1637524522589</v>
      </c>
      <c r="AB243" s="401" t="n">
        <f aca="false">AB242*(1+Assumptions!$L$13/12)</f>
        <v>0.887369970718691</v>
      </c>
      <c r="AC243" s="401" t="n">
        <f aca="false">AC242</f>
        <v>0</v>
      </c>
      <c r="AD243" s="405" t="n">
        <f aca="false">AD242</f>
        <v>771.788531652048</v>
      </c>
      <c r="AE243" s="405" t="n">
        <f aca="false">AE242</f>
        <v>1127.07162975123</v>
      </c>
      <c r="AF243" s="392" t="n">
        <v>1</v>
      </c>
      <c r="AG243" s="406" t="n">
        <f aca="false">AG242</f>
        <v>0</v>
      </c>
      <c r="AH243" s="401" t="n">
        <f aca="false">Assumptions!$E$31*Assumptions!H16</f>
        <v>4.92911016326297</v>
      </c>
      <c r="AI243" s="401" t="n">
        <f aca="false">Assumptions!$F$31*Assumptions!I16</f>
        <v>4.6188061432033</v>
      </c>
      <c r="AJ243" s="401" t="n">
        <f aca="false">AJ242</f>
        <v>0</v>
      </c>
      <c r="AK243" s="401" t="n">
        <f aca="false">AK242</f>
        <v>0</v>
      </c>
      <c r="AL243" s="1"/>
    </row>
    <row r="244" customFormat="false" ht="12.75" hidden="false" customHeight="false" outlineLevel="0" collapsed="false">
      <c r="A244" s="400" t="n">
        <f aca="false">A243+30.417</f>
        <v>43627.161</v>
      </c>
      <c r="B244" s="401" t="n">
        <f aca="false">IF($B$9="Coal",AG244,IF($B$9="Gas",AH244,IF($B$9="Oil",AI244,0)))</f>
        <v>4.69627782389276</v>
      </c>
      <c r="C244" s="402" t="n">
        <f aca="false">(B244*$B$1*1000)/1000000</f>
        <v>53.0902217494505</v>
      </c>
      <c r="D244" s="401" t="n">
        <f aca="false">AB244+AC244</f>
        <v>0.888848920669889</v>
      </c>
      <c r="E244" s="401" t="n">
        <f aca="false">(($AJ244*$B$1*AD244*1000)/2000)/1000000</f>
        <v>0</v>
      </c>
      <c r="F244" s="401" t="n">
        <f aca="false">AF244*(($AK244*$B$1*AE244*1000)/2000)/1000000</f>
        <v>0</v>
      </c>
      <c r="G244" s="403" t="n">
        <f aca="false">IF('Peak Revenue'!$A$1="BL","-",SUM(C244:F244))</f>
        <v>53.9790706701204</v>
      </c>
      <c r="H244" s="411" t="n">
        <v>177.421498645099</v>
      </c>
      <c r="I244" s="411" t="n">
        <v>165.944952420456</v>
      </c>
      <c r="J244" s="411" t="n">
        <v>156.195595504744</v>
      </c>
      <c r="K244" s="411" t="n">
        <v>141.613921381286</v>
      </c>
      <c r="L244" s="411" t="n">
        <v>89.243634437872</v>
      </c>
      <c r="M244" s="411" t="n">
        <v>84.15193291618</v>
      </c>
      <c r="N244" s="411" t="n">
        <v>77.266142445846</v>
      </c>
      <c r="O244" s="411" t="n">
        <v>73.3450452638031</v>
      </c>
      <c r="P244" s="411" t="n">
        <v>67.417380584849</v>
      </c>
      <c r="Q244" s="411" t="n">
        <v>60.026125212761</v>
      </c>
      <c r="R244" s="411" t="n">
        <v>53.1542362181684</v>
      </c>
      <c r="S244" s="411" t="n">
        <v>46.1451401447978</v>
      </c>
      <c r="T244" s="411" t="n">
        <v>42.9282717865375</v>
      </c>
      <c r="U244" s="411" t="n">
        <v>41.781555615436</v>
      </c>
      <c r="V244" s="411" t="n">
        <v>41.1604602152433</v>
      </c>
      <c r="W244" s="411" t="n">
        <v>40.6128655137966</v>
      </c>
      <c r="X244" s="411" t="n">
        <v>40.2762365195604</v>
      </c>
      <c r="Y244" s="411" t="n">
        <v>39.8484823582087</v>
      </c>
      <c r="Z244" s="411" t="n">
        <v>39.492529962457</v>
      </c>
      <c r="AA244" s="411" t="n">
        <v>38.4405110162493</v>
      </c>
      <c r="AB244" s="401" t="n">
        <f aca="false">AB243*(1+Assumptions!$L$13/12)</f>
        <v>0.888848920669889</v>
      </c>
      <c r="AC244" s="401" t="n">
        <f aca="false">AC243</f>
        <v>0</v>
      </c>
      <c r="AD244" s="405" t="n">
        <f aca="false">AD243</f>
        <v>771.788531652048</v>
      </c>
      <c r="AE244" s="405" t="n">
        <f aca="false">AE243</f>
        <v>1127.07162975123</v>
      </c>
      <c r="AF244" s="392" t="n">
        <v>1</v>
      </c>
      <c r="AG244" s="406" t="n">
        <f aca="false">AG243</f>
        <v>0</v>
      </c>
      <c r="AH244" s="401" t="n">
        <f aca="false">Assumptions!$E$31*Assumptions!H17</f>
        <v>4.69627782389276</v>
      </c>
      <c r="AI244" s="401" t="n">
        <f aca="false">Assumptions!$F$31*Assumptions!I17</f>
        <v>4.6188061432033</v>
      </c>
      <c r="AJ244" s="401" t="n">
        <f aca="false">AJ243</f>
        <v>0</v>
      </c>
      <c r="AK244" s="401" t="n">
        <f aca="false">AK243</f>
        <v>0</v>
      </c>
      <c r="AL244" s="1"/>
    </row>
    <row r="245" customFormat="false" ht="12.75" hidden="false" customHeight="false" outlineLevel="0" collapsed="false">
      <c r="A245" s="400" t="n">
        <f aca="false">A244+30.417</f>
        <v>43657.578</v>
      </c>
      <c r="B245" s="401" t="n">
        <f aca="false">IF($B$9="Coal",AG245,IF($B$9="Gas",AH245,IF($B$9="Oil",AI245,0)))</f>
        <v>4.68141618520956</v>
      </c>
      <c r="C245" s="402" t="n">
        <f aca="false">(B245*$B$1*1000)/1000000</f>
        <v>52.9222147185978</v>
      </c>
      <c r="D245" s="401" t="n">
        <f aca="false">AB245+AC245</f>
        <v>0.890330335537672</v>
      </c>
      <c r="E245" s="401" t="n">
        <f aca="false">(($AJ245*$B$1*AD245*1000)/2000)/1000000</f>
        <v>0</v>
      </c>
      <c r="F245" s="401" t="n">
        <f aca="false">AF245*(($AK245*$B$1*AE245*1000)/2000)/1000000</f>
        <v>0</v>
      </c>
      <c r="G245" s="403" t="n">
        <f aca="false">IF('Peak Revenue'!$A$1="BL","-",SUM(C245:F245))</f>
        <v>53.8125450541355</v>
      </c>
      <c r="H245" s="411" t="n">
        <v>291.20815794885</v>
      </c>
      <c r="I245" s="411" t="n">
        <v>219.118379439846</v>
      </c>
      <c r="J245" s="411" t="n">
        <v>202.55112622195</v>
      </c>
      <c r="K245" s="411" t="n">
        <v>186.45655927113</v>
      </c>
      <c r="L245" s="411" t="n">
        <v>172.73045948922</v>
      </c>
      <c r="M245" s="411" t="n">
        <v>158.947805603746</v>
      </c>
      <c r="N245" s="411" t="n">
        <v>146.946701809024</v>
      </c>
      <c r="O245" s="411" t="n">
        <v>95.0974012726666</v>
      </c>
      <c r="P245" s="411" t="n">
        <v>81.082160637327</v>
      </c>
      <c r="Q245" s="411" t="n">
        <v>73.1843563337035</v>
      </c>
      <c r="R245" s="411" t="n">
        <v>64.5408008160842</v>
      </c>
      <c r="S245" s="411" t="n">
        <v>48.9959220763091</v>
      </c>
      <c r="T245" s="411" t="n">
        <v>41.9863027939202</v>
      </c>
      <c r="U245" s="411" t="n">
        <v>41.0180161987782</v>
      </c>
      <c r="V245" s="411" t="n">
        <v>39.7397635271194</v>
      </c>
      <c r="W245" s="411" t="n">
        <v>37.9216223451758</v>
      </c>
      <c r="X245" s="411" t="n">
        <v>36.5848954083443</v>
      </c>
      <c r="Y245" s="411" t="n">
        <v>36.0616078505128</v>
      </c>
      <c r="Z245" s="411" t="n">
        <v>35.9233705357013</v>
      </c>
      <c r="AA245" s="411" t="n">
        <v>35.6656538336326</v>
      </c>
      <c r="AB245" s="401" t="n">
        <f aca="false">AB244*(1+Assumptions!$L$13/12)</f>
        <v>0.890330335537672</v>
      </c>
      <c r="AC245" s="401" t="n">
        <f aca="false">AC244</f>
        <v>0</v>
      </c>
      <c r="AD245" s="405" t="n">
        <f aca="false">AD244</f>
        <v>771.788531652048</v>
      </c>
      <c r="AE245" s="405" t="n">
        <f aca="false">AE244</f>
        <v>1127.07162975123</v>
      </c>
      <c r="AF245" s="392" t="n">
        <v>1</v>
      </c>
      <c r="AG245" s="406" t="n">
        <f aca="false">AG244</f>
        <v>0</v>
      </c>
      <c r="AH245" s="401" t="n">
        <f aca="false">Assumptions!$E$31*Assumptions!H18</f>
        <v>4.68141618520956</v>
      </c>
      <c r="AI245" s="401" t="n">
        <f aca="false">Assumptions!$F$31*Assumptions!I18</f>
        <v>4.6188061432033</v>
      </c>
      <c r="AJ245" s="401" t="n">
        <f aca="false">AJ244</f>
        <v>0</v>
      </c>
      <c r="AK245" s="401" t="n">
        <f aca="false">AK244</f>
        <v>0</v>
      </c>
      <c r="AL245" s="1"/>
    </row>
    <row r="246" customFormat="false" ht="12.75" hidden="false" customHeight="false" outlineLevel="0" collapsed="false">
      <c r="A246" s="400" t="n">
        <f aca="false">A245+30.417</f>
        <v>43687.995</v>
      </c>
      <c r="B246" s="401" t="n">
        <f aca="false">IF($B$9="Coal",AG246,IF($B$9="Gas",AH246,IF($B$9="Oil",AI246,0)))</f>
        <v>4.43867608671721</v>
      </c>
      <c r="C246" s="402" t="n">
        <f aca="false">(B246*$B$1*1000)/1000000</f>
        <v>50.1780998813372</v>
      </c>
      <c r="D246" s="401" t="n">
        <f aca="false">AB246+AC246</f>
        <v>0.891814219430235</v>
      </c>
      <c r="E246" s="401" t="n">
        <f aca="false">(($AJ246*$B$1*AD246*1000)/2000)/1000000</f>
        <v>0</v>
      </c>
      <c r="F246" s="401" t="n">
        <f aca="false">AF246*(($AK246*$B$1*AE246*1000)/2000)/1000000</f>
        <v>0</v>
      </c>
      <c r="G246" s="403" t="n">
        <f aca="false">IF('Peak Revenue'!$A$1="BL","-",SUM(C246:F246))</f>
        <v>51.0699141007674</v>
      </c>
      <c r="H246" s="411" t="n">
        <v>290.54329184833</v>
      </c>
      <c r="I246" s="411" t="n">
        <v>211.702251019926</v>
      </c>
      <c r="J246" s="411" t="n">
        <v>195.408355811431</v>
      </c>
      <c r="K246" s="411" t="n">
        <v>176.940905338834</v>
      </c>
      <c r="L246" s="411" t="n">
        <v>162.382434402329</v>
      </c>
      <c r="M246" s="411" t="n">
        <v>149.755222061754</v>
      </c>
      <c r="N246" s="411" t="n">
        <v>116.225984765224</v>
      </c>
      <c r="O246" s="411" t="n">
        <v>100.417859288538</v>
      </c>
      <c r="P246" s="411" t="n">
        <v>89.3562631339844</v>
      </c>
      <c r="Q246" s="411" t="n">
        <v>64.5719143771594</v>
      </c>
      <c r="R246" s="411" t="n">
        <v>55.1622643254132</v>
      </c>
      <c r="S246" s="411" t="n">
        <v>51.2088719684412</v>
      </c>
      <c r="T246" s="411" t="n">
        <v>48.7088067740001</v>
      </c>
      <c r="U246" s="411" t="n">
        <v>48.3674491677769</v>
      </c>
      <c r="V246" s="411" t="n">
        <v>48.3674491677769</v>
      </c>
      <c r="W246" s="411" t="n">
        <v>47.5203242309889</v>
      </c>
      <c r="X246" s="411" t="n">
        <v>47.1573825314249</v>
      </c>
      <c r="Y246" s="411" t="n">
        <v>47.157302175642</v>
      </c>
      <c r="Z246" s="411" t="n">
        <v>47.1572829620783</v>
      </c>
      <c r="AA246" s="411" t="n">
        <v>38.7114549535079</v>
      </c>
      <c r="AB246" s="401" t="n">
        <f aca="false">AB245*(1+Assumptions!$L$13/12)</f>
        <v>0.891814219430235</v>
      </c>
      <c r="AC246" s="401" t="n">
        <f aca="false">AC245</f>
        <v>0</v>
      </c>
      <c r="AD246" s="405" t="n">
        <f aca="false">AD245</f>
        <v>771.788531652048</v>
      </c>
      <c r="AE246" s="405" t="n">
        <f aca="false">AE245</f>
        <v>1127.07162975123</v>
      </c>
      <c r="AF246" s="392" t="n">
        <v>1</v>
      </c>
      <c r="AG246" s="406" t="n">
        <f aca="false">AG245</f>
        <v>0</v>
      </c>
      <c r="AH246" s="401" t="n">
        <f aca="false">Assumptions!$E$31*Assumptions!H19</f>
        <v>4.43867608671721</v>
      </c>
      <c r="AI246" s="401" t="n">
        <f aca="false">Assumptions!$F$31*Assumptions!I19</f>
        <v>4.6188061432033</v>
      </c>
      <c r="AJ246" s="401" t="n">
        <f aca="false">AJ245</f>
        <v>0</v>
      </c>
      <c r="AK246" s="401" t="n">
        <f aca="false">AK245</f>
        <v>0</v>
      </c>
      <c r="AL246" s="1"/>
    </row>
    <row r="247" customFormat="false" ht="12.75" hidden="false" customHeight="false" outlineLevel="0" collapsed="false">
      <c r="A247" s="400" t="n">
        <f aca="false">A246+30.417</f>
        <v>43718.412</v>
      </c>
      <c r="B247" s="401" t="n">
        <f aca="false">IF($B$9="Coal",AG247,IF($B$9="Gas",AH247,IF($B$9="Oil",AI247,0)))</f>
        <v>4.42381444803401</v>
      </c>
      <c r="C247" s="402" t="n">
        <f aca="false">(B247*$B$1*1000)/1000000</f>
        <v>50.0100928504845</v>
      </c>
      <c r="D247" s="401" t="n">
        <f aca="false">AB247+AC247</f>
        <v>0.893300576462619</v>
      </c>
      <c r="E247" s="401" t="n">
        <f aca="false">(($AJ247*$B$1*AD247*1000)/2000)/1000000</f>
        <v>0</v>
      </c>
      <c r="F247" s="401" t="n">
        <f aca="false">AF247*(($AK247*$B$1*AE247*1000)/2000)/1000000</f>
        <v>0</v>
      </c>
      <c r="G247" s="403" t="n">
        <f aca="false">IF('Peak Revenue'!$A$1="BL","-",SUM(C247:F247))</f>
        <v>50.9033934269471</v>
      </c>
      <c r="H247" s="411" t="n">
        <v>165.154300816316</v>
      </c>
      <c r="I247" s="411" t="n">
        <v>154.499257369547</v>
      </c>
      <c r="J247" s="411" t="n">
        <v>148.637143275785</v>
      </c>
      <c r="K247" s="411" t="n">
        <v>115.802035219732</v>
      </c>
      <c r="L247" s="411" t="n">
        <v>95.5116354320124</v>
      </c>
      <c r="M247" s="411" t="n">
        <v>88.1131044050664</v>
      </c>
      <c r="N247" s="411" t="n">
        <v>75.34846347332</v>
      </c>
      <c r="O247" s="411" t="n">
        <v>58.0633498304885</v>
      </c>
      <c r="P247" s="411" t="n">
        <v>53.6285220745075</v>
      </c>
      <c r="Q247" s="411" t="n">
        <v>49.1563573699372</v>
      </c>
      <c r="R247" s="411" t="n">
        <v>44.801889106887</v>
      </c>
      <c r="S247" s="411" t="n">
        <v>43.4950096732211</v>
      </c>
      <c r="T247" s="411" t="n">
        <v>42.7428950987361</v>
      </c>
      <c r="U247" s="411" t="n">
        <v>42.4083593091115</v>
      </c>
      <c r="V247" s="411" t="n">
        <v>42.3356149352211</v>
      </c>
      <c r="W247" s="411" t="n">
        <v>42.3356063398539</v>
      </c>
      <c r="X247" s="411" t="n">
        <v>42.3356063398539</v>
      </c>
      <c r="Y247" s="411" t="n">
        <v>42.3353091257547</v>
      </c>
      <c r="Z247" s="411" t="n">
        <v>42.3352449364863</v>
      </c>
      <c r="AA247" s="411" t="n">
        <v>40.1635516759682</v>
      </c>
      <c r="AB247" s="401" t="n">
        <f aca="false">AB246*(1+Assumptions!$L$13/12)</f>
        <v>0.893300576462619</v>
      </c>
      <c r="AC247" s="401" t="n">
        <f aca="false">AC246</f>
        <v>0</v>
      </c>
      <c r="AD247" s="405" t="n">
        <f aca="false">AD246</f>
        <v>771.788531652048</v>
      </c>
      <c r="AE247" s="405" t="n">
        <f aca="false">AE246</f>
        <v>1127.07162975123</v>
      </c>
      <c r="AF247" s="392" t="n">
        <v>1</v>
      </c>
      <c r="AG247" s="406" t="n">
        <f aca="false">AG246</f>
        <v>0</v>
      </c>
      <c r="AH247" s="401" t="n">
        <f aca="false">Assumptions!$E$31*Assumptions!H20</f>
        <v>4.42381444803401</v>
      </c>
      <c r="AI247" s="401" t="n">
        <f aca="false">Assumptions!$F$31*Assumptions!I20</f>
        <v>4.6188061432033</v>
      </c>
      <c r="AJ247" s="401" t="n">
        <f aca="false">AJ246</f>
        <v>0</v>
      </c>
      <c r="AK247" s="401" t="n">
        <f aca="false">AK246</f>
        <v>0</v>
      </c>
      <c r="AL247" s="1"/>
    </row>
    <row r="248" customFormat="false" ht="12.75" hidden="false" customHeight="false" outlineLevel="0" collapsed="false">
      <c r="A248" s="400" t="n">
        <f aca="false">A247+30.417</f>
        <v>43748.829</v>
      </c>
      <c r="B248" s="401" t="n">
        <f aca="false">IF($B$9="Coal",AG248,IF($B$9="Gas",AH248,IF($B$9="Oil",AI248,0)))</f>
        <v>4.89938688589656</v>
      </c>
      <c r="C248" s="402" t="n">
        <f aca="false">(B248*$B$1*1000)/1000000</f>
        <v>55.3863178377706</v>
      </c>
      <c r="D248" s="401" t="n">
        <f aca="false">AB248+AC248</f>
        <v>0.894789410756723</v>
      </c>
      <c r="E248" s="401" t="n">
        <f aca="false">(($AJ248*$B$1*AD248*1000)/2000)/1000000</f>
        <v>0</v>
      </c>
      <c r="F248" s="401" t="n">
        <f aca="false">AF248*(($AK248*$B$1*AE248*1000)/2000)/1000000</f>
        <v>0</v>
      </c>
      <c r="G248" s="403" t="n">
        <f aca="false">IF('Peak Revenue'!$A$1="BL","-",SUM(C248:F248))</f>
        <v>56.2811072485274</v>
      </c>
      <c r="H248" s="411" t="n">
        <v>129.028553176784</v>
      </c>
      <c r="I248" s="411" t="n">
        <v>106.288082259615</v>
      </c>
      <c r="J248" s="411" t="n">
        <v>100.314530453136</v>
      </c>
      <c r="K248" s="411" t="n">
        <v>93.3479352084987</v>
      </c>
      <c r="L248" s="411" t="n">
        <v>89.6319333268477</v>
      </c>
      <c r="M248" s="411" t="n">
        <v>89.3341187024283</v>
      </c>
      <c r="N248" s="411" t="n">
        <v>70.835629073069</v>
      </c>
      <c r="O248" s="411" t="n">
        <v>60.7308185849723</v>
      </c>
      <c r="P248" s="411" t="n">
        <v>50.7985667531003</v>
      </c>
      <c r="Q248" s="411" t="n">
        <v>50.1370311076521</v>
      </c>
      <c r="R248" s="411" t="n">
        <v>47.9833760137978</v>
      </c>
      <c r="S248" s="411" t="n">
        <v>44.349616509218</v>
      </c>
      <c r="T248" s="411" t="n">
        <v>44.3495189296843</v>
      </c>
      <c r="U248" s="411" t="n">
        <v>44.3495189296843</v>
      </c>
      <c r="V248" s="411" t="n">
        <v>44.3495189296843</v>
      </c>
      <c r="W248" s="411" t="n">
        <v>44.3495189296843</v>
      </c>
      <c r="X248" s="411" t="n">
        <v>42.50002287028</v>
      </c>
      <c r="Y248" s="411" t="n">
        <v>40.3801730573193</v>
      </c>
      <c r="Z248" s="411" t="n">
        <v>38.868430450539</v>
      </c>
      <c r="AA248" s="411" t="n">
        <v>34.174230876441</v>
      </c>
      <c r="AB248" s="401" t="n">
        <f aca="false">AB247*(1+Assumptions!$L$13/12)</f>
        <v>0.894789410756723</v>
      </c>
      <c r="AC248" s="401" t="n">
        <f aca="false">AC247</f>
        <v>0</v>
      </c>
      <c r="AD248" s="405" t="n">
        <f aca="false">AD247</f>
        <v>771.788531652048</v>
      </c>
      <c r="AE248" s="405" t="n">
        <f aca="false">AE247</f>
        <v>1127.07162975123</v>
      </c>
      <c r="AF248" s="392" t="n">
        <f aca="false">IF(Assumptions!D$31=1,0,1)</f>
        <v>1</v>
      </c>
      <c r="AG248" s="406" t="n">
        <f aca="false">AG247</f>
        <v>0</v>
      </c>
      <c r="AH248" s="401" t="n">
        <f aca="false">Assumptions!$E$31*Assumptions!H21</f>
        <v>4.89938688589656</v>
      </c>
      <c r="AI248" s="401" t="n">
        <f aca="false">Assumptions!$F$31*Assumptions!I21</f>
        <v>4.6188061432033</v>
      </c>
      <c r="AJ248" s="401" t="n">
        <f aca="false">AJ247</f>
        <v>0</v>
      </c>
      <c r="AK248" s="401" t="n">
        <f aca="false">AK247</f>
        <v>0</v>
      </c>
      <c r="AL248" s="1"/>
    </row>
    <row r="249" customFormat="false" ht="12.75" hidden="false" customHeight="false" outlineLevel="0" collapsed="false">
      <c r="A249" s="400" t="n">
        <f aca="false">A248+30.417</f>
        <v>43779.246</v>
      </c>
      <c r="B249" s="401" t="n">
        <f aca="false">IF($B$9="Coal",AG249,IF($B$9="Gas",AH249,IF($B$9="Oil",AI249,0)))</f>
        <v>5.36505156463698</v>
      </c>
      <c r="C249" s="402" t="n">
        <f aca="false">(B249*$B$1*1000)/1000000</f>
        <v>60.6505381378216</v>
      </c>
      <c r="D249" s="401" t="n">
        <f aca="false">AB249+AC249</f>
        <v>0.896280726441318</v>
      </c>
      <c r="E249" s="401" t="n">
        <f aca="false">(($AJ249*$B$1*AD249*1000)/2000)/1000000</f>
        <v>0</v>
      </c>
      <c r="F249" s="401" t="n">
        <f aca="false">AF249*(($AK249*$B$1*AE249*1000)/2000)/1000000</f>
        <v>0</v>
      </c>
      <c r="G249" s="403" t="n">
        <f aca="false">IF('Peak Revenue'!$A$1="BL","-",SUM(C249:F249))</f>
        <v>61.5468188642629</v>
      </c>
      <c r="H249" s="411" t="n">
        <v>122.971380427169</v>
      </c>
      <c r="I249" s="411" t="n">
        <v>108.225406303383</v>
      </c>
      <c r="J249" s="411" t="n">
        <v>104.418678899402</v>
      </c>
      <c r="K249" s="411" t="n">
        <v>97.7864590482063</v>
      </c>
      <c r="L249" s="411" t="n">
        <v>97.1345687340717</v>
      </c>
      <c r="M249" s="411" t="n">
        <v>86.7338576274571</v>
      </c>
      <c r="N249" s="411" t="n">
        <v>71.2722520743003</v>
      </c>
      <c r="O249" s="411" t="n">
        <v>67.2027032189239</v>
      </c>
      <c r="P249" s="411" t="n">
        <v>60.8221956308339</v>
      </c>
      <c r="Q249" s="411" t="n">
        <v>50.4929204690784</v>
      </c>
      <c r="R249" s="411" t="n">
        <v>47.2599427056569</v>
      </c>
      <c r="S249" s="411" t="n">
        <v>46.8034197969744</v>
      </c>
      <c r="T249" s="411" t="n">
        <v>46.4203218196802</v>
      </c>
      <c r="U249" s="411" t="n">
        <v>46.4167807092592</v>
      </c>
      <c r="V249" s="411" t="n">
        <v>46.4167733831653</v>
      </c>
      <c r="W249" s="411" t="n">
        <v>46.4167733831653</v>
      </c>
      <c r="X249" s="411" t="n">
        <v>46.4164999314377</v>
      </c>
      <c r="Y249" s="411" t="n">
        <v>46.4164104894008</v>
      </c>
      <c r="Z249" s="411" t="n">
        <v>46.4164104894008</v>
      </c>
      <c r="AA249" s="411" t="n">
        <v>44.3406162723549</v>
      </c>
      <c r="AB249" s="401" t="n">
        <f aca="false">AB248*(1+Assumptions!$L$13/12)</f>
        <v>0.896280726441318</v>
      </c>
      <c r="AC249" s="401" t="n">
        <f aca="false">AC248</f>
        <v>0</v>
      </c>
      <c r="AD249" s="405" t="n">
        <f aca="false">AD248</f>
        <v>771.788531652048</v>
      </c>
      <c r="AE249" s="405" t="n">
        <f aca="false">AE248</f>
        <v>1127.07162975123</v>
      </c>
      <c r="AF249" s="392" t="n">
        <f aca="false">IF(Assumptions!D$31=1,0,1)</f>
        <v>1</v>
      </c>
      <c r="AG249" s="406" t="n">
        <f aca="false">AG248</f>
        <v>0</v>
      </c>
      <c r="AH249" s="401" t="n">
        <f aca="false">Assumptions!$E$31*Assumptions!H22</f>
        <v>5.36505156463698</v>
      </c>
      <c r="AI249" s="401" t="n">
        <f aca="false">Assumptions!$F$31*Assumptions!I22</f>
        <v>5.00775823947305</v>
      </c>
      <c r="AJ249" s="401" t="n">
        <f aca="false">AJ248</f>
        <v>0</v>
      </c>
      <c r="AK249" s="401" t="n">
        <f aca="false">AK248</f>
        <v>0</v>
      </c>
      <c r="AL249" s="1"/>
    </row>
    <row r="250" customFormat="false" ht="12.75" hidden="false" customHeight="false" outlineLevel="0" collapsed="false">
      <c r="A250" s="400" t="n">
        <f aca="false">A249+30.417</f>
        <v>43809.663</v>
      </c>
      <c r="B250" s="401" t="n">
        <f aca="false">IF($B$9="Coal",AG250,IF($B$9="Gas",AH250,IF($B$9="Oil",AI250,0)))</f>
        <v>5.80594684557206</v>
      </c>
      <c r="C250" s="402" t="n">
        <f aca="false">(B250*$B$1*1000)/1000000</f>
        <v>65.6347467197848</v>
      </c>
      <c r="D250" s="401" t="n">
        <f aca="false">AB250+AC250</f>
        <v>0.897774527652053</v>
      </c>
      <c r="E250" s="401" t="n">
        <f aca="false">(($AJ250*$B$1*AD250*1000)/2000)/1000000</f>
        <v>0</v>
      </c>
      <c r="F250" s="401" t="n">
        <f aca="false">AF250*(($AK250*$B$1*AE250*1000)/2000)/1000000</f>
        <v>0</v>
      </c>
      <c r="G250" s="403" t="n">
        <f aca="false">IF('Peak Revenue'!$A$1="BL","-",SUM(C250:F250))</f>
        <v>66.5325212474368</v>
      </c>
      <c r="H250" s="411" t="n">
        <v>138.837046686427</v>
      </c>
      <c r="I250" s="411" t="n">
        <v>124.763322648473</v>
      </c>
      <c r="J250" s="411" t="n">
        <v>121.119027352912</v>
      </c>
      <c r="K250" s="411" t="n">
        <v>112.99283766398</v>
      </c>
      <c r="L250" s="411" t="n">
        <v>111.986419924373</v>
      </c>
      <c r="M250" s="411" t="n">
        <v>105.231875507463</v>
      </c>
      <c r="N250" s="411" t="n">
        <v>75.8429942004619</v>
      </c>
      <c r="O250" s="411" t="n">
        <v>70.0539274446217</v>
      </c>
      <c r="P250" s="411" t="n">
        <v>68.0543702241265</v>
      </c>
      <c r="Q250" s="411" t="n">
        <v>54.2532232158332</v>
      </c>
      <c r="R250" s="411" t="n">
        <v>53.2923956485069</v>
      </c>
      <c r="S250" s="411" t="n">
        <v>52.8563960336799</v>
      </c>
      <c r="T250" s="411" t="n">
        <v>52.8563927172014</v>
      </c>
      <c r="U250" s="411" t="n">
        <v>52.8563815049448</v>
      </c>
      <c r="V250" s="411" t="n">
        <v>52.8563815049448</v>
      </c>
      <c r="W250" s="411" t="n">
        <v>52.8563457765865</v>
      </c>
      <c r="X250" s="411" t="n">
        <v>52.8560178636786</v>
      </c>
      <c r="Y250" s="411" t="n">
        <v>52.8560178636786</v>
      </c>
      <c r="Z250" s="411" t="n">
        <v>52.8560178636786</v>
      </c>
      <c r="AA250" s="411" t="n">
        <v>48.6311359613625</v>
      </c>
      <c r="AB250" s="401" t="n">
        <f aca="false">AB249*(1+Assumptions!$L$13/12)</f>
        <v>0.897774527652053</v>
      </c>
      <c r="AC250" s="401" t="n">
        <f aca="false">AC249</f>
        <v>0</v>
      </c>
      <c r="AD250" s="405" t="n">
        <f aca="false">AD249</f>
        <v>771.788531652048</v>
      </c>
      <c r="AE250" s="405" t="n">
        <f aca="false">AE249</f>
        <v>1127.07162975123</v>
      </c>
      <c r="AF250" s="392" t="n">
        <f aca="false">IF(Assumptions!D$31=1,0,1)</f>
        <v>1</v>
      </c>
      <c r="AG250" s="406" t="n">
        <f aca="false">AG249</f>
        <v>0</v>
      </c>
      <c r="AH250" s="401" t="n">
        <f aca="false">Assumptions!$E$31*Assumptions!H23</f>
        <v>5.80594684557206</v>
      </c>
      <c r="AI250" s="401" t="n">
        <f aca="false">Assumptions!$F$31*Assumptions!I23</f>
        <v>5.25085329964165</v>
      </c>
      <c r="AJ250" s="401" t="n">
        <f aca="false">AJ249</f>
        <v>0</v>
      </c>
      <c r="AK250" s="401" t="n">
        <f aca="false">AK249</f>
        <v>0</v>
      </c>
      <c r="AL250" s="1"/>
    </row>
  </sheetData>
  <mergeCells count="2">
    <mergeCell ref="AL8:AP8"/>
    <mergeCell ref="AL14:AP1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O59" activePane="bottomRight" state="frozen"/>
      <selection pane="topLeft" activeCell="A1" activeCellId="0" sqref="A1"/>
      <selection pane="topRight" activeCell="O1" activeCellId="0" sqref="O1"/>
      <selection pane="bottomLeft" activeCell="A59" activeCellId="0" sqref="A59"/>
      <selection pane="bottomRight" activeCell="X83" activeCellId="0" sqref="X8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14"/>
    <col collapsed="false" customWidth="true" hidden="false" outlineLevel="0" max="2" min="2" style="0" width="10.13"/>
    <col collapsed="false" customWidth="true" hidden="false" outlineLevel="0" max="3" min="3" style="0" width="12.56"/>
    <col collapsed="false" customWidth="true" hidden="false" outlineLevel="0" max="4" min="4" style="0" width="11.99"/>
    <col collapsed="false" customWidth="true" hidden="false" outlineLevel="0" max="5" min="5" style="0" width="11.42"/>
    <col collapsed="false" customWidth="true" hidden="false" outlineLevel="0" max="6" min="6" style="0" width="10.13"/>
    <col collapsed="false" customWidth="true" hidden="false" outlineLevel="0" max="9" min="7" style="0" width="11.42"/>
    <col collapsed="false" customWidth="true" hidden="false" outlineLevel="0" max="10" min="10" style="0" width="10.13"/>
    <col collapsed="false" customWidth="true" hidden="false" outlineLevel="0" max="20" min="11" style="0" width="10.71"/>
    <col collapsed="false" customWidth="true" hidden="false" outlineLevel="0" max="21" min="21" style="0" width="11.42"/>
    <col collapsed="false" customWidth="true" hidden="false" outlineLevel="0" max="24" min="22" style="0" width="11.99"/>
    <col collapsed="false" customWidth="true" hidden="false" outlineLevel="0" max="25" min="25" style="0" width="14.85"/>
    <col collapsed="false" customWidth="true" hidden="false" outlineLevel="0" max="26" min="26" style="412" width="13.41"/>
    <col collapsed="false" customWidth="true" hidden="false" outlineLevel="0" max="27" min="27" style="413" width="14.41"/>
    <col collapsed="false" customWidth="true" hidden="false" outlineLevel="0" max="28" min="28" style="413" width="11.85"/>
    <col collapsed="false" customWidth="true" hidden="false" outlineLevel="0" max="30" min="29" style="413" width="13.41"/>
    <col collapsed="false" customWidth="true" hidden="false" outlineLevel="0" max="31" min="31" style="413" width="14.41"/>
    <col collapsed="false" customWidth="true" hidden="false" outlineLevel="0" max="32" min="32" style="413" width="11.85"/>
    <col collapsed="false" customWidth="true" hidden="false" outlineLevel="0" max="33" min="33" style="413" width="13.41"/>
  </cols>
  <sheetData>
    <row r="1" customFormat="false" ht="12.75" hidden="false" customHeight="false" outlineLevel="0" collapsed="false">
      <c r="A1" s="263" t="str">
        <f aca="false">IS!$C$2</f>
        <v>Peak</v>
      </c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</row>
    <row r="5" customFormat="false" ht="12.75" hidden="false" customHeight="false" outlineLevel="0" collapsed="false">
      <c r="A5" s="263"/>
    </row>
    <row r="6" customFormat="false" ht="12.75" hidden="false" customHeight="false" outlineLevel="0" collapsed="false">
      <c r="Y6" s="368" t="s">
        <v>297</v>
      </c>
      <c r="Z6" s="414" t="s">
        <v>21</v>
      </c>
      <c r="AA6" s="414" t="s">
        <v>297</v>
      </c>
      <c r="AB6" s="414" t="s">
        <v>271</v>
      </c>
      <c r="AC6" s="414" t="s">
        <v>297</v>
      </c>
      <c r="AD6" s="414" t="s">
        <v>111</v>
      </c>
      <c r="AE6" s="414" t="s">
        <v>297</v>
      </c>
      <c r="AF6" s="414" t="s">
        <v>112</v>
      </c>
      <c r="AG6" s="414" t="s">
        <v>297</v>
      </c>
    </row>
    <row r="7" customFormat="false" ht="12.75" hidden="false" customHeight="false" outlineLevel="0" collapsed="false">
      <c r="Y7" s="368"/>
      <c r="Z7" s="414"/>
      <c r="AA7" s="414"/>
      <c r="AB7" s="414"/>
      <c r="AC7" s="414"/>
      <c r="AD7" s="414"/>
      <c r="AE7" s="414"/>
      <c r="AF7" s="414"/>
      <c r="AG7" s="414"/>
    </row>
    <row r="8" customFormat="false" ht="12.75" hidden="false" customHeight="false" outlineLevel="0" collapsed="false">
      <c r="B8" s="368" t="s">
        <v>273</v>
      </c>
      <c r="C8" s="368" t="s">
        <v>274</v>
      </c>
      <c r="D8" s="368" t="s">
        <v>275</v>
      </c>
      <c r="E8" s="368" t="s">
        <v>276</v>
      </c>
      <c r="F8" s="368" t="s">
        <v>277</v>
      </c>
      <c r="G8" s="368" t="s">
        <v>278</v>
      </c>
      <c r="H8" s="368" t="s">
        <v>279</v>
      </c>
      <c r="I8" s="368" t="s">
        <v>280</v>
      </c>
      <c r="J8" s="368" t="s">
        <v>281</v>
      </c>
      <c r="K8" s="368" t="s">
        <v>282</v>
      </c>
      <c r="L8" s="368" t="s">
        <v>283</v>
      </c>
      <c r="M8" s="368" t="s">
        <v>284</v>
      </c>
      <c r="N8" s="368" t="s">
        <v>285</v>
      </c>
      <c r="O8" s="368" t="s">
        <v>286</v>
      </c>
      <c r="P8" s="368" t="s">
        <v>287</v>
      </c>
      <c r="Q8" s="368" t="s">
        <v>288</v>
      </c>
      <c r="R8" s="368" t="s">
        <v>289</v>
      </c>
      <c r="S8" s="368" t="s">
        <v>290</v>
      </c>
      <c r="T8" s="368" t="s">
        <v>291</v>
      </c>
      <c r="U8" s="368" t="s">
        <v>292</v>
      </c>
      <c r="V8" s="368" t="s">
        <v>298</v>
      </c>
      <c r="W8" s="368" t="s">
        <v>299</v>
      </c>
      <c r="X8" s="368" t="s">
        <v>300</v>
      </c>
      <c r="Y8" s="368" t="s">
        <v>20</v>
      </c>
      <c r="Z8" s="414" t="s">
        <v>272</v>
      </c>
      <c r="AA8" s="414" t="s">
        <v>21</v>
      </c>
      <c r="AB8" s="414" t="s">
        <v>272</v>
      </c>
      <c r="AC8" s="414" t="s">
        <v>271</v>
      </c>
      <c r="AD8" s="414" t="s">
        <v>272</v>
      </c>
      <c r="AE8" s="414" t="s">
        <v>111</v>
      </c>
      <c r="AF8" s="414" t="s">
        <v>272</v>
      </c>
      <c r="AG8" s="414" t="s">
        <v>112</v>
      </c>
    </row>
    <row r="9" customFormat="false" ht="12.75" hidden="false" customHeight="false" outlineLevel="0" collapsed="false">
      <c r="W9" s="368" t="s">
        <v>20</v>
      </c>
      <c r="X9" s="368" t="s">
        <v>20</v>
      </c>
    </row>
    <row r="10" customFormat="false" ht="12.75" hidden="false" customHeight="false" outlineLevel="0" collapsed="false">
      <c r="A10" s="400" t="n">
        <v>36540</v>
      </c>
      <c r="B10" s="415" t="str">
        <f aca="false">IF($A$1="Peak","-",'Base Hours'!B10*BaseLoad!H9*'Base Hours'!$AA10)</f>
        <v>-</v>
      </c>
      <c r="C10" s="415" t="str">
        <f aca="false">IF($A$1="Peak","-",'Base Hours'!C10*BaseLoad!I9*'Base Hours'!$AA10)</f>
        <v>-</v>
      </c>
      <c r="D10" s="415" t="str">
        <f aca="false">IF($A$1="Peak","-",'Base Hours'!D10*BaseLoad!J9*'Base Hours'!$AA10)</f>
        <v>-</v>
      </c>
      <c r="E10" s="415" t="str">
        <f aca="false">IF($A$1="Peak","-",'Base Hours'!E10*BaseLoad!K9*'Base Hours'!$AA10)</f>
        <v>-</v>
      </c>
      <c r="F10" s="415" t="str">
        <f aca="false">IF($A$1="Peak","-",'Base Hours'!F10*BaseLoad!L9*'Base Hours'!$AA10)</f>
        <v>-</v>
      </c>
      <c r="G10" s="415" t="str">
        <f aca="false">IF($A$1="Peak","-",'Base Hours'!G10*BaseLoad!M9*'Base Hours'!$AA10)</f>
        <v>-</v>
      </c>
      <c r="H10" s="415" t="str">
        <f aca="false">IF($A$1="Peak","-",'Base Hours'!H10*BaseLoad!N9*'Base Hours'!$AA10)</f>
        <v>-</v>
      </c>
      <c r="I10" s="415" t="str">
        <f aca="false">IF($A$1="Peak","-",'Base Hours'!I10*BaseLoad!O9*'Base Hours'!$AA10)</f>
        <v>-</v>
      </c>
      <c r="J10" s="415" t="str">
        <f aca="false">IF($A$1="Peak","-",'Base Hours'!J10*BaseLoad!P9*'Base Hours'!$AA10)</f>
        <v>-</v>
      </c>
      <c r="K10" s="415" t="str">
        <f aca="false">IF($A$1="Peak","-",'Base Hours'!K10*BaseLoad!Q9*'Base Hours'!$AA10)</f>
        <v>-</v>
      </c>
      <c r="L10" s="415" t="str">
        <f aca="false">IF($A$1="Peak","-",'Base Hours'!L10*BaseLoad!R9*'Base Hours'!$AA10)</f>
        <v>-</v>
      </c>
      <c r="M10" s="415" t="str">
        <f aca="false">IF($A$1="Peak","-",'Base Hours'!M10*BaseLoad!S9*'Base Hours'!$AA10)</f>
        <v>-</v>
      </c>
      <c r="N10" s="415" t="str">
        <f aca="false">IF($A$1="Peak","-",'Base Hours'!N10*BaseLoad!T9*'Base Hours'!$AA10)</f>
        <v>-</v>
      </c>
      <c r="O10" s="415" t="str">
        <f aca="false">IF($A$1="Peak","-",'Base Hours'!O10*BaseLoad!U9*'Base Hours'!$AA10)</f>
        <v>-</v>
      </c>
      <c r="P10" s="415" t="str">
        <f aca="false">IF($A$1="Peak","-",'Base Hours'!P10*BaseLoad!V9*'Base Hours'!$AA10)</f>
        <v>-</v>
      </c>
      <c r="Q10" s="415" t="str">
        <f aca="false">IF($A$1="Peak","-",'Base Hours'!Q10*BaseLoad!W9*'Base Hours'!$AA10)</f>
        <v>-</v>
      </c>
      <c r="R10" s="415" t="str">
        <f aca="false">IF($A$1="Peak","-",'Base Hours'!R10*BaseLoad!X9*'Base Hours'!$AA10)</f>
        <v>-</v>
      </c>
      <c r="S10" s="415" t="str">
        <f aca="false">IF($A$1="Peak","-",'Base Hours'!S10*BaseLoad!Y9*'Base Hours'!$AA10)</f>
        <v>-</v>
      </c>
      <c r="T10" s="415" t="str">
        <f aca="false">IF($A$1="Peak","-",'Base Hours'!T10*BaseLoad!Z9*'Base Hours'!$AA10)</f>
        <v>-</v>
      </c>
      <c r="U10" s="415" t="str">
        <f aca="false">IF($A$1="Peak","-",'Base Hours'!U10*BaseLoad!AA9*'Base Hours'!$AA10)</f>
        <v>-</v>
      </c>
      <c r="V10" s="415" t="n">
        <f aca="false">SUM(B10:U10)</f>
        <v>0</v>
      </c>
      <c r="W10" s="415"/>
      <c r="X10" s="415"/>
      <c r="Y10" s="416"/>
      <c r="Z10" s="416" t="n">
        <f aca="false">(BaseLoad!C9*'Base Hours'!X10*'Base Hours'!$AA10)*-1</f>
        <v>-0</v>
      </c>
      <c r="AA10" s="416"/>
      <c r="AB10" s="416" t="n">
        <f aca="false">(BaseLoad!D9*'Base Hours'!X10*'Base Hours'!$AA10)*-1</f>
        <v>-0</v>
      </c>
      <c r="AC10" s="416"/>
      <c r="AD10" s="416" t="n">
        <f aca="false">(BaseLoad!E9*'Base Hours'!X10*'Base Hours'!$AA10)*-1</f>
        <v>-0</v>
      </c>
      <c r="AE10" s="416"/>
      <c r="AF10" s="416" t="n">
        <f aca="false">(BaseLoad!F9*'Base Hours'!X10*'Base Hours'!$AA10)*-1</f>
        <v>-0</v>
      </c>
      <c r="AG10" s="416"/>
    </row>
    <row r="11" customFormat="false" ht="12.75" hidden="false" customHeight="false" outlineLevel="0" collapsed="false">
      <c r="A11" s="400" t="n">
        <f aca="false">A10+30.417</f>
        <v>36570.417</v>
      </c>
      <c r="B11" s="415" t="str">
        <f aca="false">IF($A$1="Peak","-",'Base Hours'!B11*BaseLoad!H10*'Base Hours'!$AA11)</f>
        <v>-</v>
      </c>
      <c r="C11" s="415" t="str">
        <f aca="false">IF($A$1="Peak","-",'Base Hours'!C11*BaseLoad!I10*'Base Hours'!$AA11)</f>
        <v>-</v>
      </c>
      <c r="D11" s="415" t="str">
        <f aca="false">IF($A$1="Peak","-",'Base Hours'!D11*BaseLoad!J10*'Base Hours'!$AA11)</f>
        <v>-</v>
      </c>
      <c r="E11" s="415" t="str">
        <f aca="false">IF($A$1="Peak","-",'Base Hours'!E11*BaseLoad!K10*'Base Hours'!$AA11)</f>
        <v>-</v>
      </c>
      <c r="F11" s="415" t="str">
        <f aca="false">IF($A$1="Peak","-",'Base Hours'!F11*BaseLoad!L10*'Base Hours'!$AA11)</f>
        <v>-</v>
      </c>
      <c r="G11" s="415" t="str">
        <f aca="false">IF($A$1="Peak","-",'Base Hours'!G11*BaseLoad!M10*'Base Hours'!$AA11)</f>
        <v>-</v>
      </c>
      <c r="H11" s="415" t="str">
        <f aca="false">IF($A$1="Peak","-",'Base Hours'!H11*BaseLoad!N10*'Base Hours'!$AA11)</f>
        <v>-</v>
      </c>
      <c r="I11" s="415" t="str">
        <f aca="false">IF($A$1="Peak","-",'Base Hours'!I11*BaseLoad!O10*'Base Hours'!$AA11)</f>
        <v>-</v>
      </c>
      <c r="J11" s="415" t="str">
        <f aca="false">IF($A$1="Peak","-",'Base Hours'!J11*BaseLoad!P10*'Base Hours'!$AA11)</f>
        <v>-</v>
      </c>
      <c r="K11" s="415" t="str">
        <f aca="false">IF($A$1="Peak","-",'Base Hours'!K11*BaseLoad!Q10*'Base Hours'!$AA11)</f>
        <v>-</v>
      </c>
      <c r="L11" s="415" t="str">
        <f aca="false">IF($A$1="Peak","-",'Base Hours'!L11*BaseLoad!R10*'Base Hours'!$AA11)</f>
        <v>-</v>
      </c>
      <c r="M11" s="415" t="str">
        <f aca="false">IF($A$1="Peak","-",'Base Hours'!M11*BaseLoad!S10*'Base Hours'!$AA11)</f>
        <v>-</v>
      </c>
      <c r="N11" s="415" t="str">
        <f aca="false">IF($A$1="Peak","-",'Base Hours'!N11*BaseLoad!T10*'Base Hours'!$AA11)</f>
        <v>-</v>
      </c>
      <c r="O11" s="415" t="str">
        <f aca="false">IF($A$1="Peak","-",'Base Hours'!O11*BaseLoad!U10*'Base Hours'!$AA11)</f>
        <v>-</v>
      </c>
      <c r="P11" s="415" t="str">
        <f aca="false">IF($A$1="Peak","-",'Base Hours'!P11*BaseLoad!V10*'Base Hours'!$AA11)</f>
        <v>-</v>
      </c>
      <c r="Q11" s="415" t="str">
        <f aca="false">IF($A$1="Peak","-",'Base Hours'!Q11*BaseLoad!W10*'Base Hours'!$AA11)</f>
        <v>-</v>
      </c>
      <c r="R11" s="415" t="str">
        <f aca="false">IF($A$1="Peak","-",'Base Hours'!R11*BaseLoad!X10*'Base Hours'!$AA11)</f>
        <v>-</v>
      </c>
      <c r="S11" s="415" t="str">
        <f aca="false">IF($A$1="Peak","-",'Base Hours'!S11*BaseLoad!Y10*'Base Hours'!$AA11)</f>
        <v>-</v>
      </c>
      <c r="T11" s="415" t="str">
        <f aca="false">IF($A$1="Peak","-",'Base Hours'!T11*BaseLoad!Z10*'Base Hours'!$AA11)</f>
        <v>-</v>
      </c>
      <c r="U11" s="415" t="str">
        <f aca="false">IF($A$1="Peak","-",'Base Hours'!U11*BaseLoad!AA10*'Base Hours'!$AA11)</f>
        <v>-</v>
      </c>
      <c r="V11" s="415" t="n">
        <f aca="false">SUM(B11:U11)</f>
        <v>0</v>
      </c>
      <c r="W11" s="415"/>
      <c r="X11" s="415"/>
      <c r="Y11" s="416"/>
      <c r="Z11" s="416" t="n">
        <f aca="false">(BaseLoad!C10*'Base Hours'!X11*'Base Hours'!$AA11)*-1</f>
        <v>-0</v>
      </c>
      <c r="AA11" s="416"/>
      <c r="AB11" s="416" t="n">
        <f aca="false">(BaseLoad!D10*'Base Hours'!X11*'Base Hours'!$AA11)*-1</f>
        <v>-0</v>
      </c>
      <c r="AC11" s="416"/>
      <c r="AD11" s="416" t="n">
        <f aca="false">(BaseLoad!E10*'Base Hours'!X11*'Base Hours'!$AA11)*-1</f>
        <v>-0</v>
      </c>
      <c r="AE11" s="416"/>
      <c r="AF11" s="416" t="n">
        <f aca="false">(BaseLoad!F10*'Base Hours'!X11*'Base Hours'!$AA11)*-1</f>
        <v>-0</v>
      </c>
      <c r="AG11" s="416"/>
    </row>
    <row r="12" customFormat="false" ht="12.75" hidden="false" customHeight="false" outlineLevel="0" collapsed="false">
      <c r="A12" s="400" t="n">
        <f aca="false">A11+30.417</f>
        <v>36600.834</v>
      </c>
      <c r="B12" s="415" t="str">
        <f aca="false">IF($A$1="Peak","-",'Base Hours'!B12*BaseLoad!H11*'Base Hours'!$AA12)</f>
        <v>-</v>
      </c>
      <c r="C12" s="415" t="str">
        <f aca="false">IF($A$1="Peak","-",'Base Hours'!C12*BaseLoad!I11*'Base Hours'!$AA12)</f>
        <v>-</v>
      </c>
      <c r="D12" s="415" t="str">
        <f aca="false">IF($A$1="Peak","-",'Base Hours'!D12*BaseLoad!J11*'Base Hours'!$AA12)</f>
        <v>-</v>
      </c>
      <c r="E12" s="415" t="str">
        <f aca="false">IF($A$1="Peak","-",'Base Hours'!E12*BaseLoad!K11*'Base Hours'!$AA12)</f>
        <v>-</v>
      </c>
      <c r="F12" s="415" t="str">
        <f aca="false">IF($A$1="Peak","-",'Base Hours'!F12*BaseLoad!L11*'Base Hours'!$AA12)</f>
        <v>-</v>
      </c>
      <c r="G12" s="415" t="str">
        <f aca="false">IF($A$1="Peak","-",'Base Hours'!G12*BaseLoad!M11*'Base Hours'!$AA12)</f>
        <v>-</v>
      </c>
      <c r="H12" s="415" t="str">
        <f aca="false">IF($A$1="Peak","-",'Base Hours'!H12*BaseLoad!N11*'Base Hours'!$AA12)</f>
        <v>-</v>
      </c>
      <c r="I12" s="415" t="str">
        <f aca="false">IF($A$1="Peak","-",'Base Hours'!I12*BaseLoad!O11*'Base Hours'!$AA12)</f>
        <v>-</v>
      </c>
      <c r="J12" s="415" t="str">
        <f aca="false">IF($A$1="Peak","-",'Base Hours'!J12*BaseLoad!P11*'Base Hours'!$AA12)</f>
        <v>-</v>
      </c>
      <c r="K12" s="415" t="str">
        <f aca="false">IF($A$1="Peak","-",'Base Hours'!K12*BaseLoad!Q11*'Base Hours'!$AA12)</f>
        <v>-</v>
      </c>
      <c r="L12" s="415" t="str">
        <f aca="false">IF($A$1="Peak","-",'Base Hours'!L12*BaseLoad!R11*'Base Hours'!$AA12)</f>
        <v>-</v>
      </c>
      <c r="M12" s="415" t="str">
        <f aca="false">IF($A$1="Peak","-",'Base Hours'!M12*BaseLoad!S11*'Base Hours'!$AA12)</f>
        <v>-</v>
      </c>
      <c r="N12" s="415" t="str">
        <f aca="false">IF($A$1="Peak","-",'Base Hours'!N12*BaseLoad!T11*'Base Hours'!$AA12)</f>
        <v>-</v>
      </c>
      <c r="O12" s="415" t="str">
        <f aca="false">IF($A$1="Peak","-",'Base Hours'!O12*BaseLoad!U11*'Base Hours'!$AA12)</f>
        <v>-</v>
      </c>
      <c r="P12" s="415" t="str">
        <f aca="false">IF($A$1="Peak","-",'Base Hours'!P12*BaseLoad!V11*'Base Hours'!$AA12)</f>
        <v>-</v>
      </c>
      <c r="Q12" s="415" t="str">
        <f aca="false">IF($A$1="Peak","-",'Base Hours'!Q12*BaseLoad!W11*'Base Hours'!$AA12)</f>
        <v>-</v>
      </c>
      <c r="R12" s="415" t="str">
        <f aca="false">IF($A$1="Peak","-",'Base Hours'!R12*BaseLoad!X11*'Base Hours'!$AA12)</f>
        <v>-</v>
      </c>
      <c r="S12" s="415" t="str">
        <f aca="false">IF($A$1="Peak","-",'Base Hours'!S12*BaseLoad!Y11*'Base Hours'!$AA12)</f>
        <v>-</v>
      </c>
      <c r="T12" s="415" t="str">
        <f aca="false">IF($A$1="Peak","-",'Base Hours'!T12*BaseLoad!Z11*'Base Hours'!$AA12)</f>
        <v>-</v>
      </c>
      <c r="U12" s="415" t="str">
        <f aca="false">IF($A$1="Peak","-",'Base Hours'!U12*BaseLoad!AA11*'Base Hours'!$AA12)</f>
        <v>-</v>
      </c>
      <c r="V12" s="415" t="n">
        <f aca="false">SUM(B12:U12)</f>
        <v>0</v>
      </c>
      <c r="W12" s="415"/>
      <c r="X12" s="415"/>
      <c r="Y12" s="416"/>
      <c r="Z12" s="416" t="n">
        <f aca="false">(BaseLoad!C11*'Base Hours'!X12*'Base Hours'!$AA12)*-1</f>
        <v>-0</v>
      </c>
      <c r="AA12" s="416"/>
      <c r="AB12" s="416" t="n">
        <f aca="false">(BaseLoad!D11*'Base Hours'!X12*'Base Hours'!$AA12)*-1</f>
        <v>-0</v>
      </c>
      <c r="AC12" s="416"/>
      <c r="AD12" s="416" t="n">
        <f aca="false">(BaseLoad!E11*'Base Hours'!X12*'Base Hours'!$AA12)*-1</f>
        <v>-0</v>
      </c>
      <c r="AE12" s="416"/>
      <c r="AF12" s="416" t="n">
        <f aca="false">(BaseLoad!F11*'Base Hours'!X12*'Base Hours'!$AA12)*-1</f>
        <v>-0</v>
      </c>
      <c r="AG12" s="416"/>
    </row>
    <row r="13" customFormat="false" ht="12.75" hidden="false" customHeight="false" outlineLevel="0" collapsed="false">
      <c r="A13" s="400" t="n">
        <f aca="false">A12+30.417</f>
        <v>36631.251</v>
      </c>
      <c r="B13" s="415" t="str">
        <f aca="false">IF($A$1="Peak","-",'Base Hours'!B13*BaseLoad!H12*'Base Hours'!$AA13)</f>
        <v>-</v>
      </c>
      <c r="C13" s="415" t="str">
        <f aca="false">IF($A$1="Peak","-",'Base Hours'!C13*BaseLoad!I12*'Base Hours'!$AA13)</f>
        <v>-</v>
      </c>
      <c r="D13" s="415" t="str">
        <f aca="false">IF($A$1="Peak","-",'Base Hours'!D13*BaseLoad!J12*'Base Hours'!$AA13)</f>
        <v>-</v>
      </c>
      <c r="E13" s="415" t="str">
        <f aca="false">IF($A$1="Peak","-",'Base Hours'!E13*BaseLoad!K12*'Base Hours'!$AA13)</f>
        <v>-</v>
      </c>
      <c r="F13" s="415" t="str">
        <f aca="false">IF($A$1="Peak","-",'Base Hours'!F13*BaseLoad!L12*'Base Hours'!$AA13)</f>
        <v>-</v>
      </c>
      <c r="G13" s="415" t="str">
        <f aca="false">IF($A$1="Peak","-",'Base Hours'!G13*BaseLoad!M12*'Base Hours'!$AA13)</f>
        <v>-</v>
      </c>
      <c r="H13" s="415" t="str">
        <f aca="false">IF($A$1="Peak","-",'Base Hours'!H13*BaseLoad!N12*'Base Hours'!$AA13)</f>
        <v>-</v>
      </c>
      <c r="I13" s="415" t="str">
        <f aca="false">IF($A$1="Peak","-",'Base Hours'!I13*BaseLoad!O12*'Base Hours'!$AA13)</f>
        <v>-</v>
      </c>
      <c r="J13" s="415" t="str">
        <f aca="false">IF($A$1="Peak","-",'Base Hours'!J13*BaseLoad!P12*'Base Hours'!$AA13)</f>
        <v>-</v>
      </c>
      <c r="K13" s="415" t="str">
        <f aca="false">IF($A$1="Peak","-",'Base Hours'!K13*BaseLoad!Q12*'Base Hours'!$AA13)</f>
        <v>-</v>
      </c>
      <c r="L13" s="415" t="str">
        <f aca="false">IF($A$1="Peak","-",'Base Hours'!L13*BaseLoad!R12*'Base Hours'!$AA13)</f>
        <v>-</v>
      </c>
      <c r="M13" s="415" t="str">
        <f aca="false">IF($A$1="Peak","-",'Base Hours'!M13*BaseLoad!S12*'Base Hours'!$AA13)</f>
        <v>-</v>
      </c>
      <c r="N13" s="415" t="str">
        <f aca="false">IF($A$1="Peak","-",'Base Hours'!N13*BaseLoad!T12*'Base Hours'!$AA13)</f>
        <v>-</v>
      </c>
      <c r="O13" s="415" t="str">
        <f aca="false">IF($A$1="Peak","-",'Base Hours'!O13*BaseLoad!U12*'Base Hours'!$AA13)</f>
        <v>-</v>
      </c>
      <c r="P13" s="415" t="str">
        <f aca="false">IF($A$1="Peak","-",'Base Hours'!P13*BaseLoad!V12*'Base Hours'!$AA13)</f>
        <v>-</v>
      </c>
      <c r="Q13" s="415" t="str">
        <f aca="false">IF($A$1="Peak","-",'Base Hours'!Q13*BaseLoad!W12*'Base Hours'!$AA13)</f>
        <v>-</v>
      </c>
      <c r="R13" s="415" t="str">
        <f aca="false">IF($A$1="Peak","-",'Base Hours'!R13*BaseLoad!X12*'Base Hours'!$AA13)</f>
        <v>-</v>
      </c>
      <c r="S13" s="415" t="str">
        <f aca="false">IF($A$1="Peak","-",'Base Hours'!S13*BaseLoad!Y12*'Base Hours'!$AA13)</f>
        <v>-</v>
      </c>
      <c r="T13" s="415" t="str">
        <f aca="false">IF($A$1="Peak","-",'Base Hours'!T13*BaseLoad!Z12*'Base Hours'!$AA13)</f>
        <v>-</v>
      </c>
      <c r="U13" s="415" t="str">
        <f aca="false">IF($A$1="Peak","-",'Base Hours'!U13*BaseLoad!AA12*'Base Hours'!$AA13)</f>
        <v>-</v>
      </c>
      <c r="V13" s="415" t="n">
        <f aca="false">SUM(B13:U13)</f>
        <v>0</v>
      </c>
      <c r="W13" s="415"/>
      <c r="X13" s="415"/>
      <c r="Y13" s="416"/>
      <c r="Z13" s="416" t="n">
        <f aca="false">(BaseLoad!C12*'Base Hours'!X13*'Base Hours'!$AA13)*-1</f>
        <v>-0</v>
      </c>
      <c r="AA13" s="416"/>
      <c r="AB13" s="416" t="n">
        <f aca="false">(BaseLoad!D12*'Base Hours'!X13*'Base Hours'!$AA13)*-1</f>
        <v>-0</v>
      </c>
      <c r="AC13" s="416"/>
      <c r="AD13" s="416" t="n">
        <f aca="false">(BaseLoad!E12*'Base Hours'!X13*'Base Hours'!$AA13)*-1</f>
        <v>-0</v>
      </c>
      <c r="AE13" s="416"/>
      <c r="AF13" s="416" t="n">
        <f aca="false">(BaseLoad!F12*'Base Hours'!X13*'Base Hours'!$AA13)*-1</f>
        <v>-0</v>
      </c>
      <c r="AG13" s="416"/>
    </row>
    <row r="14" customFormat="false" ht="12.75" hidden="false" customHeight="false" outlineLevel="0" collapsed="false">
      <c r="A14" s="400" t="n">
        <f aca="false">A13+30.417</f>
        <v>36661.668</v>
      </c>
      <c r="B14" s="415" t="str">
        <f aca="false">IF($A$1="Peak","-",'Base Hours'!B14*BaseLoad!H13*'Base Hours'!$AA14)</f>
        <v>-</v>
      </c>
      <c r="C14" s="415" t="str">
        <f aca="false">IF($A$1="Peak","-",'Base Hours'!C14*BaseLoad!I13*'Base Hours'!$AA14)</f>
        <v>-</v>
      </c>
      <c r="D14" s="415" t="str">
        <f aca="false">IF($A$1="Peak","-",'Base Hours'!D14*BaseLoad!J13*'Base Hours'!$AA14)</f>
        <v>-</v>
      </c>
      <c r="E14" s="415" t="str">
        <f aca="false">IF($A$1="Peak","-",'Base Hours'!E14*BaseLoad!K13*'Base Hours'!$AA14)</f>
        <v>-</v>
      </c>
      <c r="F14" s="415" t="str">
        <f aca="false">IF($A$1="Peak","-",'Base Hours'!F14*BaseLoad!L13*'Base Hours'!$AA14)</f>
        <v>-</v>
      </c>
      <c r="G14" s="415" t="str">
        <f aca="false">IF($A$1="Peak","-",'Base Hours'!G14*BaseLoad!M13*'Base Hours'!$AA14)</f>
        <v>-</v>
      </c>
      <c r="H14" s="415" t="str">
        <f aca="false">IF($A$1="Peak","-",'Base Hours'!H14*BaseLoad!N13*'Base Hours'!$AA14)</f>
        <v>-</v>
      </c>
      <c r="I14" s="415" t="str">
        <f aca="false">IF($A$1="Peak","-",'Base Hours'!I14*BaseLoad!O13*'Base Hours'!$AA14)</f>
        <v>-</v>
      </c>
      <c r="J14" s="415" t="str">
        <f aca="false">IF($A$1="Peak","-",'Base Hours'!J14*BaseLoad!P13*'Base Hours'!$AA14)</f>
        <v>-</v>
      </c>
      <c r="K14" s="415" t="str">
        <f aca="false">IF($A$1="Peak","-",'Base Hours'!K14*BaseLoad!Q13*'Base Hours'!$AA14)</f>
        <v>-</v>
      </c>
      <c r="L14" s="415" t="str">
        <f aca="false">IF($A$1="Peak","-",'Base Hours'!L14*BaseLoad!R13*'Base Hours'!$AA14)</f>
        <v>-</v>
      </c>
      <c r="M14" s="415" t="str">
        <f aca="false">IF($A$1="Peak","-",'Base Hours'!M14*BaseLoad!S13*'Base Hours'!$AA14)</f>
        <v>-</v>
      </c>
      <c r="N14" s="415" t="str">
        <f aca="false">IF($A$1="Peak","-",'Base Hours'!N14*BaseLoad!T13*'Base Hours'!$AA14)</f>
        <v>-</v>
      </c>
      <c r="O14" s="415" t="str">
        <f aca="false">IF($A$1="Peak","-",'Base Hours'!O14*BaseLoad!U13*'Base Hours'!$AA14)</f>
        <v>-</v>
      </c>
      <c r="P14" s="415" t="str">
        <f aca="false">IF($A$1="Peak","-",'Base Hours'!P14*BaseLoad!V13*'Base Hours'!$AA14)</f>
        <v>-</v>
      </c>
      <c r="Q14" s="415" t="str">
        <f aca="false">IF($A$1="Peak","-",'Base Hours'!Q14*BaseLoad!W13*'Base Hours'!$AA14)</f>
        <v>-</v>
      </c>
      <c r="R14" s="415" t="str">
        <f aca="false">IF($A$1="Peak","-",'Base Hours'!R14*BaseLoad!X13*'Base Hours'!$AA14)</f>
        <v>-</v>
      </c>
      <c r="S14" s="415" t="str">
        <f aca="false">IF($A$1="Peak","-",'Base Hours'!S14*BaseLoad!Y13*'Base Hours'!$AA14)</f>
        <v>-</v>
      </c>
      <c r="T14" s="415" t="str">
        <f aca="false">IF($A$1="Peak","-",'Base Hours'!T14*BaseLoad!Z13*'Base Hours'!$AA14)</f>
        <v>-</v>
      </c>
      <c r="U14" s="415" t="str">
        <f aca="false">IF($A$1="Peak","-",'Base Hours'!U14*BaseLoad!AA13*'Base Hours'!$AA14)</f>
        <v>-</v>
      </c>
      <c r="V14" s="415" t="n">
        <f aca="false">SUM(B14:U14)</f>
        <v>0</v>
      </c>
      <c r="W14" s="415"/>
      <c r="X14" s="415"/>
      <c r="Y14" s="416"/>
      <c r="Z14" s="416" t="n">
        <f aca="false">(BaseLoad!C13*'Base Hours'!X14*'Base Hours'!$AA14)*-1</f>
        <v>-0</v>
      </c>
      <c r="AA14" s="416"/>
      <c r="AB14" s="416" t="n">
        <f aca="false">(BaseLoad!D13*'Base Hours'!X14*'Base Hours'!$AA14)*-1</f>
        <v>-0</v>
      </c>
      <c r="AC14" s="416"/>
      <c r="AD14" s="416" t="n">
        <f aca="false">(BaseLoad!E13*'Base Hours'!X14*'Base Hours'!$AA14)*-1</f>
        <v>-0</v>
      </c>
      <c r="AE14" s="416"/>
      <c r="AF14" s="416" t="n">
        <f aca="false">(BaseLoad!F13*'Base Hours'!X14*'Base Hours'!$AA14)*-1</f>
        <v>-0</v>
      </c>
      <c r="AG14" s="416"/>
    </row>
    <row r="15" customFormat="false" ht="12.75" hidden="false" customHeight="false" outlineLevel="0" collapsed="false">
      <c r="A15" s="400" t="n">
        <f aca="false">A14+30.417</f>
        <v>36692.085</v>
      </c>
      <c r="B15" s="415" t="str">
        <f aca="false">IF($A$1="Peak","-",'Base Hours'!B15*BaseLoad!H14*'Base Hours'!$AA15)</f>
        <v>-</v>
      </c>
      <c r="C15" s="415" t="str">
        <f aca="false">IF($A$1="Peak","-",'Base Hours'!C15*BaseLoad!I14*'Base Hours'!$AA15)</f>
        <v>-</v>
      </c>
      <c r="D15" s="415" t="str">
        <f aca="false">IF($A$1="Peak","-",'Base Hours'!D15*BaseLoad!J14*'Base Hours'!$AA15)</f>
        <v>-</v>
      </c>
      <c r="E15" s="415" t="str">
        <f aca="false">IF($A$1="Peak","-",'Base Hours'!E15*BaseLoad!K14*'Base Hours'!$AA15)</f>
        <v>-</v>
      </c>
      <c r="F15" s="415" t="str">
        <f aca="false">IF($A$1="Peak","-",'Base Hours'!F15*BaseLoad!L14*'Base Hours'!$AA15)</f>
        <v>-</v>
      </c>
      <c r="G15" s="415" t="str">
        <f aca="false">IF($A$1="Peak","-",'Base Hours'!G15*BaseLoad!M14*'Base Hours'!$AA15)</f>
        <v>-</v>
      </c>
      <c r="H15" s="415" t="str">
        <f aca="false">IF($A$1="Peak","-",'Base Hours'!H15*BaseLoad!N14*'Base Hours'!$AA15)</f>
        <v>-</v>
      </c>
      <c r="I15" s="415" t="str">
        <f aca="false">IF($A$1="Peak","-",'Base Hours'!I15*BaseLoad!O14*'Base Hours'!$AA15)</f>
        <v>-</v>
      </c>
      <c r="J15" s="415" t="str">
        <f aca="false">IF($A$1="Peak","-",'Base Hours'!J15*BaseLoad!P14*'Base Hours'!$AA15)</f>
        <v>-</v>
      </c>
      <c r="K15" s="415" t="str">
        <f aca="false">IF($A$1="Peak","-",'Base Hours'!K15*BaseLoad!Q14*'Base Hours'!$AA15)</f>
        <v>-</v>
      </c>
      <c r="L15" s="415" t="str">
        <f aca="false">IF($A$1="Peak","-",'Base Hours'!L15*BaseLoad!R14*'Base Hours'!$AA15)</f>
        <v>-</v>
      </c>
      <c r="M15" s="415" t="str">
        <f aca="false">IF($A$1="Peak","-",'Base Hours'!M15*BaseLoad!S14*'Base Hours'!$AA15)</f>
        <v>-</v>
      </c>
      <c r="N15" s="415" t="str">
        <f aca="false">IF($A$1="Peak","-",'Base Hours'!N15*BaseLoad!T14*'Base Hours'!$AA15)</f>
        <v>-</v>
      </c>
      <c r="O15" s="415" t="str">
        <f aca="false">IF($A$1="Peak","-",'Base Hours'!O15*BaseLoad!U14*'Base Hours'!$AA15)</f>
        <v>-</v>
      </c>
      <c r="P15" s="415" t="str">
        <f aca="false">IF($A$1="Peak","-",'Base Hours'!P15*BaseLoad!V14*'Base Hours'!$AA15)</f>
        <v>-</v>
      </c>
      <c r="Q15" s="415" t="str">
        <f aca="false">IF($A$1="Peak","-",'Base Hours'!Q15*BaseLoad!W14*'Base Hours'!$AA15)</f>
        <v>-</v>
      </c>
      <c r="R15" s="415" t="str">
        <f aca="false">IF($A$1="Peak","-",'Base Hours'!R15*BaseLoad!X14*'Base Hours'!$AA15)</f>
        <v>-</v>
      </c>
      <c r="S15" s="415" t="str">
        <f aca="false">IF($A$1="Peak","-",'Base Hours'!S15*BaseLoad!Y14*'Base Hours'!$AA15)</f>
        <v>-</v>
      </c>
      <c r="T15" s="415" t="str">
        <f aca="false">IF($A$1="Peak","-",'Base Hours'!T15*BaseLoad!Z14*'Base Hours'!$AA15)</f>
        <v>-</v>
      </c>
      <c r="U15" s="415" t="str">
        <f aca="false">IF($A$1="Peak","-",'Base Hours'!U15*BaseLoad!AA14*'Base Hours'!$AA15)</f>
        <v>-</v>
      </c>
      <c r="V15" s="415" t="n">
        <f aca="false">SUM(B15:U15)</f>
        <v>0</v>
      </c>
      <c r="W15" s="415"/>
      <c r="X15" s="415"/>
      <c r="Y15" s="416"/>
      <c r="Z15" s="416" t="n">
        <f aca="false">(BaseLoad!C14*'Base Hours'!X15*'Base Hours'!$AA15)*-1</f>
        <v>-0</v>
      </c>
      <c r="AA15" s="416"/>
      <c r="AB15" s="416" t="n">
        <f aca="false">(BaseLoad!D14*'Base Hours'!X15*'Base Hours'!$AA15)*-1</f>
        <v>-0</v>
      </c>
      <c r="AC15" s="416"/>
      <c r="AD15" s="416" t="n">
        <f aca="false">(BaseLoad!E14*'Base Hours'!X15*'Base Hours'!$AA15)*-1</f>
        <v>-0</v>
      </c>
      <c r="AE15" s="416"/>
      <c r="AF15" s="416" t="n">
        <f aca="false">(BaseLoad!F14*'Base Hours'!X15*'Base Hours'!$AA15)*-1</f>
        <v>-0</v>
      </c>
      <c r="AG15" s="416"/>
    </row>
    <row r="16" customFormat="false" ht="12.75" hidden="false" customHeight="false" outlineLevel="0" collapsed="false">
      <c r="A16" s="400" t="n">
        <f aca="false">A15+30.417</f>
        <v>36722.502</v>
      </c>
      <c r="B16" s="415" t="str">
        <f aca="false">IF($A$1="Peak","-",'Base Hours'!B16*BaseLoad!H15*'Base Hours'!$AA16)</f>
        <v>-</v>
      </c>
      <c r="C16" s="415" t="str">
        <f aca="false">IF($A$1="Peak","-",'Base Hours'!C16*BaseLoad!I15*'Base Hours'!$AA16)</f>
        <v>-</v>
      </c>
      <c r="D16" s="415" t="str">
        <f aca="false">IF($A$1="Peak","-",'Base Hours'!D16*BaseLoad!J15*'Base Hours'!$AA16)</f>
        <v>-</v>
      </c>
      <c r="E16" s="415" t="str">
        <f aca="false">IF($A$1="Peak","-",'Base Hours'!E16*BaseLoad!K15*'Base Hours'!$AA16)</f>
        <v>-</v>
      </c>
      <c r="F16" s="415" t="str">
        <f aca="false">IF($A$1="Peak","-",'Base Hours'!F16*BaseLoad!L15*'Base Hours'!$AA16)</f>
        <v>-</v>
      </c>
      <c r="G16" s="415" t="str">
        <f aca="false">IF($A$1="Peak","-",'Base Hours'!G16*BaseLoad!M15*'Base Hours'!$AA16)</f>
        <v>-</v>
      </c>
      <c r="H16" s="415" t="str">
        <f aca="false">IF($A$1="Peak","-",'Base Hours'!H16*BaseLoad!N15*'Base Hours'!$AA16)</f>
        <v>-</v>
      </c>
      <c r="I16" s="415" t="str">
        <f aca="false">IF($A$1="Peak","-",'Base Hours'!I16*BaseLoad!O15*'Base Hours'!$AA16)</f>
        <v>-</v>
      </c>
      <c r="J16" s="415" t="str">
        <f aca="false">IF($A$1="Peak","-",'Base Hours'!J16*BaseLoad!P15*'Base Hours'!$AA16)</f>
        <v>-</v>
      </c>
      <c r="K16" s="415" t="str">
        <f aca="false">IF($A$1="Peak","-",'Base Hours'!K16*BaseLoad!Q15*'Base Hours'!$AA16)</f>
        <v>-</v>
      </c>
      <c r="L16" s="415" t="str">
        <f aca="false">IF($A$1="Peak","-",'Base Hours'!L16*BaseLoad!R15*'Base Hours'!$AA16)</f>
        <v>-</v>
      </c>
      <c r="M16" s="415" t="str">
        <f aca="false">IF($A$1="Peak","-",'Base Hours'!M16*BaseLoad!S15*'Base Hours'!$AA16)</f>
        <v>-</v>
      </c>
      <c r="N16" s="415" t="str">
        <f aca="false">IF($A$1="Peak","-",'Base Hours'!N16*BaseLoad!T15*'Base Hours'!$AA16)</f>
        <v>-</v>
      </c>
      <c r="O16" s="415" t="str">
        <f aca="false">IF($A$1="Peak","-",'Base Hours'!O16*BaseLoad!U15*'Base Hours'!$AA16)</f>
        <v>-</v>
      </c>
      <c r="P16" s="415" t="str">
        <f aca="false">IF($A$1="Peak","-",'Base Hours'!P16*BaseLoad!V15*'Base Hours'!$AA16)</f>
        <v>-</v>
      </c>
      <c r="Q16" s="415" t="str">
        <f aca="false">IF($A$1="Peak","-",'Base Hours'!Q16*BaseLoad!W15*'Base Hours'!$AA16)</f>
        <v>-</v>
      </c>
      <c r="R16" s="415" t="str">
        <f aca="false">IF($A$1="Peak","-",'Base Hours'!R16*BaseLoad!X15*'Base Hours'!$AA16)</f>
        <v>-</v>
      </c>
      <c r="S16" s="415" t="str">
        <f aca="false">IF($A$1="Peak","-",'Base Hours'!S16*BaseLoad!Y15*'Base Hours'!$AA16)</f>
        <v>-</v>
      </c>
      <c r="T16" s="415" t="str">
        <f aca="false">IF($A$1="Peak","-",'Base Hours'!T16*BaseLoad!Z15*'Base Hours'!$AA16)</f>
        <v>-</v>
      </c>
      <c r="U16" s="415" t="str">
        <f aca="false">IF($A$1="Peak","-",'Base Hours'!U16*BaseLoad!AA15*'Base Hours'!$AA16)</f>
        <v>-</v>
      </c>
      <c r="V16" s="415" t="n">
        <f aca="false">SUM(B16:U16)</f>
        <v>0</v>
      </c>
      <c r="W16" s="415"/>
      <c r="X16" s="415"/>
      <c r="Y16" s="416"/>
      <c r="Z16" s="416" t="n">
        <f aca="false">(BaseLoad!C15*'Base Hours'!X16*'Base Hours'!$AA16)*-1</f>
        <v>-0</v>
      </c>
      <c r="AA16" s="416"/>
      <c r="AB16" s="416" t="n">
        <f aca="false">(BaseLoad!D15*'Base Hours'!X16*'Base Hours'!$AA16)*-1</f>
        <v>-0</v>
      </c>
      <c r="AC16" s="416"/>
      <c r="AD16" s="416" t="n">
        <f aca="false">(BaseLoad!E15*'Base Hours'!X16*'Base Hours'!$AA16)*-1</f>
        <v>-0</v>
      </c>
      <c r="AE16" s="416"/>
      <c r="AF16" s="416" t="n">
        <f aca="false">(BaseLoad!F15*'Base Hours'!X16*'Base Hours'!$AA16)*-1</f>
        <v>-0</v>
      </c>
      <c r="AG16" s="416"/>
    </row>
    <row r="17" customFormat="false" ht="12.75" hidden="false" customHeight="false" outlineLevel="0" collapsed="false">
      <c r="A17" s="400" t="n">
        <f aca="false">A16+30.417</f>
        <v>36752.919</v>
      </c>
      <c r="B17" s="415" t="str">
        <f aca="false">IF($A$1="Peak","-",'Base Hours'!B17*BaseLoad!H16*'Base Hours'!$AA17)</f>
        <v>-</v>
      </c>
      <c r="C17" s="415" t="str">
        <f aca="false">IF($A$1="Peak","-",'Base Hours'!C17*BaseLoad!I16*'Base Hours'!$AA17)</f>
        <v>-</v>
      </c>
      <c r="D17" s="415" t="str">
        <f aca="false">IF($A$1="Peak","-",'Base Hours'!D17*BaseLoad!J16*'Base Hours'!$AA17)</f>
        <v>-</v>
      </c>
      <c r="E17" s="415" t="str">
        <f aca="false">IF($A$1="Peak","-",'Base Hours'!E17*BaseLoad!K16*'Base Hours'!$AA17)</f>
        <v>-</v>
      </c>
      <c r="F17" s="415" t="str">
        <f aca="false">IF($A$1="Peak","-",'Base Hours'!F17*BaseLoad!L16*'Base Hours'!$AA17)</f>
        <v>-</v>
      </c>
      <c r="G17" s="415" t="str">
        <f aca="false">IF($A$1="Peak","-",'Base Hours'!G17*BaseLoad!M16*'Base Hours'!$AA17)</f>
        <v>-</v>
      </c>
      <c r="H17" s="415" t="str">
        <f aca="false">IF($A$1="Peak","-",'Base Hours'!H17*BaseLoad!N16*'Base Hours'!$AA17)</f>
        <v>-</v>
      </c>
      <c r="I17" s="415" t="str">
        <f aca="false">IF($A$1="Peak","-",'Base Hours'!I17*BaseLoad!O16*'Base Hours'!$AA17)</f>
        <v>-</v>
      </c>
      <c r="J17" s="415" t="str">
        <f aca="false">IF($A$1="Peak","-",'Base Hours'!J17*BaseLoad!P16*'Base Hours'!$AA17)</f>
        <v>-</v>
      </c>
      <c r="K17" s="415" t="str">
        <f aca="false">IF($A$1="Peak","-",'Base Hours'!K17*BaseLoad!Q16*'Base Hours'!$AA17)</f>
        <v>-</v>
      </c>
      <c r="L17" s="415" t="str">
        <f aca="false">IF($A$1="Peak","-",'Base Hours'!L17*BaseLoad!R16*'Base Hours'!$AA17)</f>
        <v>-</v>
      </c>
      <c r="M17" s="415" t="str">
        <f aca="false">IF($A$1="Peak","-",'Base Hours'!M17*BaseLoad!S16*'Base Hours'!$AA17)</f>
        <v>-</v>
      </c>
      <c r="N17" s="415" t="str">
        <f aca="false">IF($A$1="Peak","-",'Base Hours'!N17*BaseLoad!T16*'Base Hours'!$AA17)</f>
        <v>-</v>
      </c>
      <c r="O17" s="415" t="str">
        <f aca="false">IF($A$1="Peak","-",'Base Hours'!O17*BaseLoad!U16*'Base Hours'!$AA17)</f>
        <v>-</v>
      </c>
      <c r="P17" s="415" t="str">
        <f aca="false">IF($A$1="Peak","-",'Base Hours'!P17*BaseLoad!V16*'Base Hours'!$AA17)</f>
        <v>-</v>
      </c>
      <c r="Q17" s="415" t="str">
        <f aca="false">IF($A$1="Peak","-",'Base Hours'!Q17*BaseLoad!W16*'Base Hours'!$AA17)</f>
        <v>-</v>
      </c>
      <c r="R17" s="415" t="str">
        <f aca="false">IF($A$1="Peak","-",'Base Hours'!R17*BaseLoad!X16*'Base Hours'!$AA17)</f>
        <v>-</v>
      </c>
      <c r="S17" s="415" t="str">
        <f aca="false">IF($A$1="Peak","-",'Base Hours'!S17*BaseLoad!Y16*'Base Hours'!$AA17)</f>
        <v>-</v>
      </c>
      <c r="T17" s="415" t="str">
        <f aca="false">IF($A$1="Peak","-",'Base Hours'!T17*BaseLoad!Z16*'Base Hours'!$AA17)</f>
        <v>-</v>
      </c>
      <c r="U17" s="415" t="str">
        <f aca="false">IF($A$1="Peak","-",'Base Hours'!U17*BaseLoad!AA16*'Base Hours'!$AA17)</f>
        <v>-</v>
      </c>
      <c r="V17" s="415" t="n">
        <f aca="false">SUM(B17:U17)</f>
        <v>0</v>
      </c>
      <c r="W17" s="415"/>
      <c r="X17" s="415"/>
      <c r="Y17" s="416"/>
      <c r="Z17" s="416" t="n">
        <f aca="false">(BaseLoad!C16*'Base Hours'!X17*'Base Hours'!$AA17)*-1</f>
        <v>-0</v>
      </c>
      <c r="AA17" s="416"/>
      <c r="AB17" s="416" t="n">
        <f aca="false">(BaseLoad!D16*'Base Hours'!X17*'Base Hours'!$AA17)*-1</f>
        <v>-0</v>
      </c>
      <c r="AC17" s="416"/>
      <c r="AD17" s="416" t="n">
        <f aca="false">(BaseLoad!E16*'Base Hours'!X17*'Base Hours'!$AA17)*-1</f>
        <v>-0</v>
      </c>
      <c r="AE17" s="416"/>
      <c r="AF17" s="416" t="n">
        <f aca="false">(BaseLoad!F16*'Base Hours'!X17*'Base Hours'!$AA17)*-1</f>
        <v>-0</v>
      </c>
      <c r="AG17" s="416"/>
    </row>
    <row r="18" customFormat="false" ht="12.75" hidden="false" customHeight="false" outlineLevel="0" collapsed="false">
      <c r="A18" s="400" t="n">
        <f aca="false">A17+30.417</f>
        <v>36783.336</v>
      </c>
      <c r="B18" s="415" t="str">
        <f aca="false">IF($A$1="Peak","-",'Base Hours'!B18*BaseLoad!H17*'Base Hours'!$AA18)</f>
        <v>-</v>
      </c>
      <c r="C18" s="415" t="str">
        <f aca="false">IF($A$1="Peak","-",'Base Hours'!C18*BaseLoad!I17*'Base Hours'!$AA18)</f>
        <v>-</v>
      </c>
      <c r="D18" s="415" t="str">
        <f aca="false">IF($A$1="Peak","-",'Base Hours'!D18*BaseLoad!J17*'Base Hours'!$AA18)</f>
        <v>-</v>
      </c>
      <c r="E18" s="415" t="str">
        <f aca="false">IF($A$1="Peak","-",'Base Hours'!E18*BaseLoad!K17*'Base Hours'!$AA18)</f>
        <v>-</v>
      </c>
      <c r="F18" s="415" t="str">
        <f aca="false">IF($A$1="Peak","-",'Base Hours'!F18*BaseLoad!L17*'Base Hours'!$AA18)</f>
        <v>-</v>
      </c>
      <c r="G18" s="415" t="str">
        <f aca="false">IF($A$1="Peak","-",'Base Hours'!G18*BaseLoad!M17*'Base Hours'!$AA18)</f>
        <v>-</v>
      </c>
      <c r="H18" s="415" t="str">
        <f aca="false">IF($A$1="Peak","-",'Base Hours'!H18*BaseLoad!N17*'Base Hours'!$AA18)</f>
        <v>-</v>
      </c>
      <c r="I18" s="415" t="str">
        <f aca="false">IF($A$1="Peak","-",'Base Hours'!I18*BaseLoad!O17*'Base Hours'!$AA18)</f>
        <v>-</v>
      </c>
      <c r="J18" s="415" t="str">
        <f aca="false">IF($A$1="Peak","-",'Base Hours'!J18*BaseLoad!P17*'Base Hours'!$AA18)</f>
        <v>-</v>
      </c>
      <c r="K18" s="415" t="str">
        <f aca="false">IF($A$1="Peak","-",'Base Hours'!K18*BaseLoad!Q17*'Base Hours'!$AA18)</f>
        <v>-</v>
      </c>
      <c r="L18" s="415" t="str">
        <f aca="false">IF($A$1="Peak","-",'Base Hours'!L18*BaseLoad!R17*'Base Hours'!$AA18)</f>
        <v>-</v>
      </c>
      <c r="M18" s="415" t="str">
        <f aca="false">IF($A$1="Peak","-",'Base Hours'!M18*BaseLoad!S17*'Base Hours'!$AA18)</f>
        <v>-</v>
      </c>
      <c r="N18" s="415" t="str">
        <f aca="false">IF($A$1="Peak","-",'Base Hours'!N18*BaseLoad!T17*'Base Hours'!$AA18)</f>
        <v>-</v>
      </c>
      <c r="O18" s="415" t="str">
        <f aca="false">IF($A$1="Peak","-",'Base Hours'!O18*BaseLoad!U17*'Base Hours'!$AA18)</f>
        <v>-</v>
      </c>
      <c r="P18" s="415" t="str">
        <f aca="false">IF($A$1="Peak","-",'Base Hours'!P18*BaseLoad!V17*'Base Hours'!$AA18)</f>
        <v>-</v>
      </c>
      <c r="Q18" s="415" t="str">
        <f aca="false">IF($A$1="Peak","-",'Base Hours'!Q18*BaseLoad!W17*'Base Hours'!$AA18)</f>
        <v>-</v>
      </c>
      <c r="R18" s="415" t="str">
        <f aca="false">IF($A$1="Peak","-",'Base Hours'!R18*BaseLoad!X17*'Base Hours'!$AA18)</f>
        <v>-</v>
      </c>
      <c r="S18" s="415" t="str">
        <f aca="false">IF($A$1="Peak","-",'Base Hours'!S18*BaseLoad!Y17*'Base Hours'!$AA18)</f>
        <v>-</v>
      </c>
      <c r="T18" s="415" t="str">
        <f aca="false">IF($A$1="Peak","-",'Base Hours'!T18*BaseLoad!Z17*'Base Hours'!$AA18)</f>
        <v>-</v>
      </c>
      <c r="U18" s="415" t="str">
        <f aca="false">IF($A$1="Peak","-",'Base Hours'!U18*BaseLoad!AA17*'Base Hours'!$AA18)</f>
        <v>-</v>
      </c>
      <c r="V18" s="415" t="n">
        <f aca="false">SUM(B18:U18)</f>
        <v>0</v>
      </c>
      <c r="W18" s="415"/>
      <c r="X18" s="415"/>
      <c r="Y18" s="416"/>
      <c r="Z18" s="416" t="n">
        <f aca="false">(BaseLoad!C17*'Base Hours'!X18*'Base Hours'!$AA18)*-1</f>
        <v>-0</v>
      </c>
      <c r="AA18" s="416"/>
      <c r="AB18" s="416" t="n">
        <f aca="false">(BaseLoad!D17*'Base Hours'!X18*'Base Hours'!$AA18)*-1</f>
        <v>-0</v>
      </c>
      <c r="AC18" s="416"/>
      <c r="AD18" s="416" t="n">
        <f aca="false">(BaseLoad!E17*'Base Hours'!X18*'Base Hours'!$AA18)*-1</f>
        <v>-0</v>
      </c>
      <c r="AE18" s="416"/>
      <c r="AF18" s="416" t="n">
        <f aca="false">(BaseLoad!F17*'Base Hours'!X18*'Base Hours'!$AA18)*-1</f>
        <v>-0</v>
      </c>
      <c r="AG18" s="416"/>
    </row>
    <row r="19" customFormat="false" ht="12.75" hidden="false" customHeight="false" outlineLevel="0" collapsed="false">
      <c r="A19" s="400" t="n">
        <f aca="false">A18+30.417</f>
        <v>36813.753</v>
      </c>
      <c r="B19" s="415" t="str">
        <f aca="false">IF($A$1="Peak","-",'Base Hours'!B19*BaseLoad!H18*'Base Hours'!$AA19)</f>
        <v>-</v>
      </c>
      <c r="C19" s="415" t="str">
        <f aca="false">IF($A$1="Peak","-",'Base Hours'!C19*BaseLoad!I18*'Base Hours'!$AA19)</f>
        <v>-</v>
      </c>
      <c r="D19" s="415" t="str">
        <f aca="false">IF($A$1="Peak","-",'Base Hours'!D19*BaseLoad!J18*'Base Hours'!$AA19)</f>
        <v>-</v>
      </c>
      <c r="E19" s="415" t="str">
        <f aca="false">IF($A$1="Peak","-",'Base Hours'!E19*BaseLoad!K18*'Base Hours'!$AA19)</f>
        <v>-</v>
      </c>
      <c r="F19" s="415" t="str">
        <f aca="false">IF($A$1="Peak","-",'Base Hours'!F19*BaseLoad!L18*'Base Hours'!$AA19)</f>
        <v>-</v>
      </c>
      <c r="G19" s="415" t="str">
        <f aca="false">IF($A$1="Peak","-",'Base Hours'!G19*BaseLoad!M18*'Base Hours'!$AA19)</f>
        <v>-</v>
      </c>
      <c r="H19" s="415" t="str">
        <f aca="false">IF($A$1="Peak","-",'Base Hours'!H19*BaseLoad!N18*'Base Hours'!$AA19)</f>
        <v>-</v>
      </c>
      <c r="I19" s="415" t="str">
        <f aca="false">IF($A$1="Peak","-",'Base Hours'!I19*BaseLoad!O18*'Base Hours'!$AA19)</f>
        <v>-</v>
      </c>
      <c r="J19" s="415" t="str">
        <f aca="false">IF($A$1="Peak","-",'Base Hours'!J19*BaseLoad!P18*'Base Hours'!$AA19)</f>
        <v>-</v>
      </c>
      <c r="K19" s="415" t="str">
        <f aca="false">IF($A$1="Peak","-",'Base Hours'!K19*BaseLoad!Q18*'Base Hours'!$AA19)</f>
        <v>-</v>
      </c>
      <c r="L19" s="415" t="str">
        <f aca="false">IF($A$1="Peak","-",'Base Hours'!L19*BaseLoad!R18*'Base Hours'!$AA19)</f>
        <v>-</v>
      </c>
      <c r="M19" s="415" t="str">
        <f aca="false">IF($A$1="Peak","-",'Base Hours'!M19*BaseLoad!S18*'Base Hours'!$AA19)</f>
        <v>-</v>
      </c>
      <c r="N19" s="415" t="str">
        <f aca="false">IF($A$1="Peak","-",'Base Hours'!N19*BaseLoad!T18*'Base Hours'!$AA19)</f>
        <v>-</v>
      </c>
      <c r="O19" s="415" t="str">
        <f aca="false">IF($A$1="Peak","-",'Base Hours'!O19*BaseLoad!U18*'Base Hours'!$AA19)</f>
        <v>-</v>
      </c>
      <c r="P19" s="415" t="str">
        <f aca="false">IF($A$1="Peak","-",'Base Hours'!P19*BaseLoad!V18*'Base Hours'!$AA19)</f>
        <v>-</v>
      </c>
      <c r="Q19" s="415" t="str">
        <f aca="false">IF($A$1="Peak","-",'Base Hours'!Q19*BaseLoad!W18*'Base Hours'!$AA19)</f>
        <v>-</v>
      </c>
      <c r="R19" s="415" t="str">
        <f aca="false">IF($A$1="Peak","-",'Base Hours'!R19*BaseLoad!X18*'Base Hours'!$AA19)</f>
        <v>-</v>
      </c>
      <c r="S19" s="415" t="str">
        <f aca="false">IF($A$1="Peak","-",'Base Hours'!S19*BaseLoad!Y18*'Base Hours'!$AA19)</f>
        <v>-</v>
      </c>
      <c r="T19" s="415" t="str">
        <f aca="false">IF($A$1="Peak","-",'Base Hours'!T19*BaseLoad!Z18*'Base Hours'!$AA19)</f>
        <v>-</v>
      </c>
      <c r="U19" s="415" t="str">
        <f aca="false">IF($A$1="Peak","-",'Base Hours'!U19*BaseLoad!AA18*'Base Hours'!$AA19)</f>
        <v>-</v>
      </c>
      <c r="V19" s="415" t="n">
        <f aca="false">SUM(B19:U19)</f>
        <v>0</v>
      </c>
      <c r="W19" s="415"/>
      <c r="X19" s="415"/>
      <c r="Y19" s="416"/>
      <c r="Z19" s="416" t="n">
        <f aca="false">(BaseLoad!C18*'Base Hours'!X19*'Base Hours'!$AA19)*-1</f>
        <v>-0</v>
      </c>
      <c r="AA19" s="416"/>
      <c r="AB19" s="416" t="n">
        <f aca="false">(BaseLoad!D18*'Base Hours'!X19*'Base Hours'!$AA19)*-1</f>
        <v>-0</v>
      </c>
      <c r="AC19" s="416"/>
      <c r="AD19" s="416" t="n">
        <f aca="false">(BaseLoad!E18*'Base Hours'!X19*'Base Hours'!$AA19)*-1</f>
        <v>-0</v>
      </c>
      <c r="AE19" s="416"/>
      <c r="AF19" s="416" t="n">
        <f aca="false">(BaseLoad!F18*'Base Hours'!X19*'Base Hours'!$AA19)*-1</f>
        <v>-0</v>
      </c>
      <c r="AG19" s="416"/>
    </row>
    <row r="20" customFormat="false" ht="12.75" hidden="false" customHeight="false" outlineLevel="0" collapsed="false">
      <c r="A20" s="400" t="n">
        <f aca="false">A19+30.417</f>
        <v>36844.17</v>
      </c>
      <c r="B20" s="415" t="str">
        <f aca="false">IF($A$1="Peak","-",'Base Hours'!B20*BaseLoad!H19*'Base Hours'!$AA20)</f>
        <v>-</v>
      </c>
      <c r="C20" s="415" t="str">
        <f aca="false">IF($A$1="Peak","-",'Base Hours'!C20*BaseLoad!I19*'Base Hours'!$AA20)</f>
        <v>-</v>
      </c>
      <c r="D20" s="415" t="str">
        <f aca="false">IF($A$1="Peak","-",'Base Hours'!D20*BaseLoad!J19*'Base Hours'!$AA20)</f>
        <v>-</v>
      </c>
      <c r="E20" s="415" t="str">
        <f aca="false">IF($A$1="Peak","-",'Base Hours'!E20*BaseLoad!K19*'Base Hours'!$AA20)</f>
        <v>-</v>
      </c>
      <c r="F20" s="415" t="str">
        <f aca="false">IF($A$1="Peak","-",'Base Hours'!F20*BaseLoad!L19*'Base Hours'!$AA20)</f>
        <v>-</v>
      </c>
      <c r="G20" s="415" t="str">
        <f aca="false">IF($A$1="Peak","-",'Base Hours'!G20*BaseLoad!M19*'Base Hours'!$AA20)</f>
        <v>-</v>
      </c>
      <c r="H20" s="415" t="str">
        <f aca="false">IF($A$1="Peak","-",'Base Hours'!H20*BaseLoad!N19*'Base Hours'!$AA20)</f>
        <v>-</v>
      </c>
      <c r="I20" s="415" t="str">
        <f aca="false">IF($A$1="Peak","-",'Base Hours'!I20*BaseLoad!O19*'Base Hours'!$AA20)</f>
        <v>-</v>
      </c>
      <c r="J20" s="415" t="str">
        <f aca="false">IF($A$1="Peak","-",'Base Hours'!J20*BaseLoad!P19*'Base Hours'!$AA20)</f>
        <v>-</v>
      </c>
      <c r="K20" s="415" t="str">
        <f aca="false">IF($A$1="Peak","-",'Base Hours'!K20*BaseLoad!Q19*'Base Hours'!$AA20)</f>
        <v>-</v>
      </c>
      <c r="L20" s="415" t="str">
        <f aca="false">IF($A$1="Peak","-",'Base Hours'!L20*BaseLoad!R19*'Base Hours'!$AA20)</f>
        <v>-</v>
      </c>
      <c r="M20" s="415" t="str">
        <f aca="false">IF($A$1="Peak","-",'Base Hours'!M20*BaseLoad!S19*'Base Hours'!$AA20)</f>
        <v>-</v>
      </c>
      <c r="N20" s="415" t="str">
        <f aca="false">IF($A$1="Peak","-",'Base Hours'!N20*BaseLoad!T19*'Base Hours'!$AA20)</f>
        <v>-</v>
      </c>
      <c r="O20" s="415" t="str">
        <f aca="false">IF($A$1="Peak","-",'Base Hours'!O20*BaseLoad!U19*'Base Hours'!$AA20)</f>
        <v>-</v>
      </c>
      <c r="P20" s="415" t="str">
        <f aca="false">IF($A$1="Peak","-",'Base Hours'!P20*BaseLoad!V19*'Base Hours'!$AA20)</f>
        <v>-</v>
      </c>
      <c r="Q20" s="415" t="str">
        <f aca="false">IF($A$1="Peak","-",'Base Hours'!Q20*BaseLoad!W19*'Base Hours'!$AA20)</f>
        <v>-</v>
      </c>
      <c r="R20" s="415" t="str">
        <f aca="false">IF($A$1="Peak","-",'Base Hours'!R20*BaseLoad!X19*'Base Hours'!$AA20)</f>
        <v>-</v>
      </c>
      <c r="S20" s="415" t="str">
        <f aca="false">IF($A$1="Peak","-",'Base Hours'!S20*BaseLoad!Y19*'Base Hours'!$AA20)</f>
        <v>-</v>
      </c>
      <c r="T20" s="415" t="str">
        <f aca="false">IF($A$1="Peak","-",'Base Hours'!T20*BaseLoad!Z19*'Base Hours'!$AA20)</f>
        <v>-</v>
      </c>
      <c r="U20" s="415" t="str">
        <f aca="false">IF($A$1="Peak","-",'Base Hours'!U20*BaseLoad!AA19*'Base Hours'!$AA20)</f>
        <v>-</v>
      </c>
      <c r="V20" s="415" t="n">
        <f aca="false">SUM(B20:U20)</f>
        <v>0</v>
      </c>
      <c r="W20" s="415"/>
      <c r="X20" s="415"/>
      <c r="Y20" s="416"/>
      <c r="Z20" s="416" t="n">
        <f aca="false">(BaseLoad!C19*'Base Hours'!X20*'Base Hours'!$AA20)*-1</f>
        <v>-0</v>
      </c>
      <c r="AA20" s="416"/>
      <c r="AB20" s="416" t="n">
        <f aca="false">(BaseLoad!D19*'Base Hours'!X20*'Base Hours'!$AA20)*-1</f>
        <v>-0</v>
      </c>
      <c r="AC20" s="416"/>
      <c r="AD20" s="416" t="n">
        <f aca="false">(BaseLoad!E19*'Base Hours'!X20*'Base Hours'!$AA20)*-1</f>
        <v>-0</v>
      </c>
      <c r="AE20" s="416"/>
      <c r="AF20" s="416" t="n">
        <f aca="false">(BaseLoad!F19*'Base Hours'!X20*'Base Hours'!$AA20)*-1</f>
        <v>-0</v>
      </c>
      <c r="AG20" s="416"/>
    </row>
    <row r="21" customFormat="false" ht="12.75" hidden="false" customHeight="false" outlineLevel="0" collapsed="false">
      <c r="A21" s="400" t="n">
        <f aca="false">A20+30.417</f>
        <v>36874.587</v>
      </c>
      <c r="B21" s="415" t="str">
        <f aca="false">IF($A$1="Peak","-",'Base Hours'!B21*BaseLoad!H20*'Base Hours'!$AA21)</f>
        <v>-</v>
      </c>
      <c r="C21" s="415" t="str">
        <f aca="false">IF($A$1="Peak","-",'Base Hours'!C21*BaseLoad!I20*'Base Hours'!$AA21)</f>
        <v>-</v>
      </c>
      <c r="D21" s="415" t="str">
        <f aca="false">IF($A$1="Peak","-",'Base Hours'!D21*BaseLoad!J20*'Base Hours'!$AA21)</f>
        <v>-</v>
      </c>
      <c r="E21" s="415" t="str">
        <f aca="false">IF($A$1="Peak","-",'Base Hours'!E21*BaseLoad!K20*'Base Hours'!$AA21)</f>
        <v>-</v>
      </c>
      <c r="F21" s="415" t="str">
        <f aca="false">IF($A$1="Peak","-",'Base Hours'!F21*BaseLoad!L20*'Base Hours'!$AA21)</f>
        <v>-</v>
      </c>
      <c r="G21" s="415" t="str">
        <f aca="false">IF($A$1="Peak","-",'Base Hours'!G21*BaseLoad!M20*'Base Hours'!$AA21)</f>
        <v>-</v>
      </c>
      <c r="H21" s="415" t="str">
        <f aca="false">IF($A$1="Peak","-",'Base Hours'!H21*BaseLoad!N20*'Base Hours'!$AA21)</f>
        <v>-</v>
      </c>
      <c r="I21" s="415" t="str">
        <f aca="false">IF($A$1="Peak","-",'Base Hours'!I21*BaseLoad!O20*'Base Hours'!$AA21)</f>
        <v>-</v>
      </c>
      <c r="J21" s="415" t="str">
        <f aca="false">IF($A$1="Peak","-",'Base Hours'!J21*BaseLoad!P20*'Base Hours'!$AA21)</f>
        <v>-</v>
      </c>
      <c r="K21" s="415" t="str">
        <f aca="false">IF($A$1="Peak","-",'Base Hours'!K21*BaseLoad!Q20*'Base Hours'!$AA21)</f>
        <v>-</v>
      </c>
      <c r="L21" s="415" t="str">
        <f aca="false">IF($A$1="Peak","-",'Base Hours'!L21*BaseLoad!R20*'Base Hours'!$AA21)</f>
        <v>-</v>
      </c>
      <c r="M21" s="415" t="str">
        <f aca="false">IF($A$1="Peak","-",'Base Hours'!M21*BaseLoad!S20*'Base Hours'!$AA21)</f>
        <v>-</v>
      </c>
      <c r="N21" s="415" t="str">
        <f aca="false">IF($A$1="Peak","-",'Base Hours'!N21*BaseLoad!T20*'Base Hours'!$AA21)</f>
        <v>-</v>
      </c>
      <c r="O21" s="415" t="str">
        <f aca="false">IF($A$1="Peak","-",'Base Hours'!O21*BaseLoad!U20*'Base Hours'!$AA21)</f>
        <v>-</v>
      </c>
      <c r="P21" s="415" t="str">
        <f aca="false">IF($A$1="Peak","-",'Base Hours'!P21*BaseLoad!V20*'Base Hours'!$AA21)</f>
        <v>-</v>
      </c>
      <c r="Q21" s="415" t="str">
        <f aca="false">IF($A$1="Peak","-",'Base Hours'!Q21*BaseLoad!W20*'Base Hours'!$AA21)</f>
        <v>-</v>
      </c>
      <c r="R21" s="415" t="str">
        <f aca="false">IF($A$1="Peak","-",'Base Hours'!R21*BaseLoad!X20*'Base Hours'!$AA21)</f>
        <v>-</v>
      </c>
      <c r="S21" s="415" t="str">
        <f aca="false">IF($A$1="Peak","-",'Base Hours'!S21*BaseLoad!Y20*'Base Hours'!$AA21)</f>
        <v>-</v>
      </c>
      <c r="T21" s="415" t="str">
        <f aca="false">IF($A$1="Peak","-",'Base Hours'!T21*BaseLoad!Z20*'Base Hours'!$AA21)</f>
        <v>-</v>
      </c>
      <c r="U21" s="415" t="str">
        <f aca="false">IF($A$1="Peak","-",'Base Hours'!U21*BaseLoad!AA20*'Base Hours'!$AA21)</f>
        <v>-</v>
      </c>
      <c r="V21" s="415" t="n">
        <f aca="false">SUM(B21:U21)</f>
        <v>0</v>
      </c>
      <c r="W21" s="415" t="n">
        <f aca="false">IF($A$1="BL",(SUM(V10:V21)),0)</f>
        <v>0</v>
      </c>
      <c r="X21" s="415" t="n">
        <f aca="false">IF(AND($A$1="BL",W21&gt;0),(PPA!$B$5*8760*BaseLoad!$AP$15*PPA!$G$4*BaseLoad!$AP$9),0)</f>
        <v>0</v>
      </c>
      <c r="Y21" s="416" t="n">
        <f aca="false">X21+W21</f>
        <v>0</v>
      </c>
      <c r="Z21" s="416" t="n">
        <f aca="false">(BaseLoad!C20*'Base Hours'!X21*'Base Hours'!$AA21)*-1</f>
        <v>-0</v>
      </c>
      <c r="AA21" s="416" t="n">
        <f aca="false">SUM(Z10:Z21)</f>
        <v>0</v>
      </c>
      <c r="AB21" s="416" t="n">
        <f aca="false">(BaseLoad!D20*'Base Hours'!X21*'Base Hours'!$AA21)*-1</f>
        <v>-0</v>
      </c>
      <c r="AC21" s="416" t="n">
        <f aca="false">SUM(AB10:AB21)</f>
        <v>0</v>
      </c>
      <c r="AD21" s="416" t="n">
        <f aca="false">(BaseLoad!E20*'Base Hours'!X21*'Base Hours'!$AA21)*-1</f>
        <v>-0</v>
      </c>
      <c r="AE21" s="416" t="n">
        <f aca="false">SUM(AD10:AD21)</f>
        <v>0</v>
      </c>
      <c r="AF21" s="416" t="n">
        <f aca="false">(BaseLoad!F20*'Base Hours'!X21*'Base Hours'!$AA21)*-1</f>
        <v>-0</v>
      </c>
      <c r="AG21" s="416" t="n">
        <f aca="false">SUM(AF10:AF21)</f>
        <v>0</v>
      </c>
    </row>
    <row r="22" customFormat="false" ht="12.75" hidden="false" customHeight="false" outlineLevel="0" collapsed="false">
      <c r="A22" s="400" t="n">
        <f aca="false">A21+30.417</f>
        <v>36905.004</v>
      </c>
      <c r="B22" s="415" t="str">
        <f aca="false">IF($A$1="Peak","-",'Base Hours'!B22*BaseLoad!H21*'Base Hours'!$AA22)</f>
        <v>-</v>
      </c>
      <c r="C22" s="415" t="str">
        <f aca="false">IF($A$1="Peak","-",'Base Hours'!C22*BaseLoad!I21*'Base Hours'!$AA22)</f>
        <v>-</v>
      </c>
      <c r="D22" s="415" t="str">
        <f aca="false">IF($A$1="Peak","-",'Base Hours'!D22*BaseLoad!J21*'Base Hours'!$AA22)</f>
        <v>-</v>
      </c>
      <c r="E22" s="415" t="str">
        <f aca="false">IF($A$1="Peak","-",'Base Hours'!E22*BaseLoad!K21*'Base Hours'!$AA22)</f>
        <v>-</v>
      </c>
      <c r="F22" s="415" t="str">
        <f aca="false">IF($A$1="Peak","-",'Base Hours'!F22*BaseLoad!L21*'Base Hours'!$AA22)</f>
        <v>-</v>
      </c>
      <c r="G22" s="415" t="str">
        <f aca="false">IF($A$1="Peak","-",'Base Hours'!G22*BaseLoad!M21*'Base Hours'!$AA22)</f>
        <v>-</v>
      </c>
      <c r="H22" s="415" t="str">
        <f aca="false">IF($A$1="Peak","-",'Base Hours'!H22*BaseLoad!N21*'Base Hours'!$AA22)</f>
        <v>-</v>
      </c>
      <c r="I22" s="415" t="str">
        <f aca="false">IF($A$1="Peak","-",'Base Hours'!I22*BaseLoad!O21*'Base Hours'!$AA22)</f>
        <v>-</v>
      </c>
      <c r="J22" s="415" t="str">
        <f aca="false">IF($A$1="Peak","-",'Base Hours'!J22*BaseLoad!P21*'Base Hours'!$AA22)</f>
        <v>-</v>
      </c>
      <c r="K22" s="415" t="str">
        <f aca="false">IF($A$1="Peak","-",'Base Hours'!K22*BaseLoad!Q21*'Base Hours'!$AA22)</f>
        <v>-</v>
      </c>
      <c r="L22" s="415" t="str">
        <f aca="false">IF($A$1="Peak","-",'Base Hours'!L22*BaseLoad!R21*'Base Hours'!$AA22)</f>
        <v>-</v>
      </c>
      <c r="M22" s="415" t="str">
        <f aca="false">IF($A$1="Peak","-",'Base Hours'!M22*BaseLoad!S21*'Base Hours'!$AA22)</f>
        <v>-</v>
      </c>
      <c r="N22" s="415" t="str">
        <f aca="false">IF($A$1="Peak","-",'Base Hours'!N22*BaseLoad!T21*'Base Hours'!$AA22)</f>
        <v>-</v>
      </c>
      <c r="O22" s="415" t="str">
        <f aca="false">IF($A$1="Peak","-",'Base Hours'!O22*BaseLoad!U21*'Base Hours'!$AA22)</f>
        <v>-</v>
      </c>
      <c r="P22" s="415" t="str">
        <f aca="false">IF($A$1="Peak","-",'Base Hours'!P22*BaseLoad!V21*'Base Hours'!$AA22)</f>
        <v>-</v>
      </c>
      <c r="Q22" s="415" t="str">
        <f aca="false">IF($A$1="Peak","-",'Base Hours'!Q22*BaseLoad!W21*'Base Hours'!$AA22)</f>
        <v>-</v>
      </c>
      <c r="R22" s="415" t="str">
        <f aca="false">IF($A$1="Peak","-",'Base Hours'!R22*BaseLoad!X21*'Base Hours'!$AA22)</f>
        <v>-</v>
      </c>
      <c r="S22" s="415" t="str">
        <f aca="false">IF($A$1="Peak","-",'Base Hours'!S22*BaseLoad!Y21*'Base Hours'!$AA22)</f>
        <v>-</v>
      </c>
      <c r="T22" s="415" t="str">
        <f aca="false">IF($A$1="Peak","-",'Base Hours'!T22*BaseLoad!Z21*'Base Hours'!$AA22)</f>
        <v>-</v>
      </c>
      <c r="U22" s="415" t="str">
        <f aca="false">IF($A$1="Peak","-",'Base Hours'!U22*BaseLoad!AA21*'Base Hours'!$AA22)</f>
        <v>-</v>
      </c>
      <c r="V22" s="415" t="n">
        <f aca="false">SUM(B22:U22)</f>
        <v>0</v>
      </c>
      <c r="W22" s="415"/>
      <c r="X22" s="415"/>
      <c r="Y22" s="416"/>
      <c r="Z22" s="416" t="n">
        <f aca="false">(BaseLoad!C21*'Base Hours'!X22*'Base Hours'!$AA22)*-1</f>
        <v>-0</v>
      </c>
      <c r="AA22" s="416"/>
      <c r="AB22" s="416" t="n">
        <f aca="false">(BaseLoad!D21*'Base Hours'!X22*'Base Hours'!$AA22)*-1</f>
        <v>-0</v>
      </c>
      <c r="AC22" s="416"/>
      <c r="AD22" s="416" t="n">
        <f aca="false">(BaseLoad!E21*'Base Hours'!X22*'Base Hours'!$AA22)*-1</f>
        <v>-0</v>
      </c>
      <c r="AE22" s="416"/>
      <c r="AF22" s="416" t="n">
        <f aca="false">(BaseLoad!F21*'Base Hours'!X22*'Base Hours'!$AA22)*-1</f>
        <v>-0</v>
      </c>
      <c r="AG22" s="416"/>
    </row>
    <row r="23" customFormat="false" ht="12.75" hidden="false" customHeight="false" outlineLevel="0" collapsed="false">
      <c r="A23" s="400" t="n">
        <f aca="false">A22+30.417</f>
        <v>36935.421</v>
      </c>
      <c r="B23" s="415" t="str">
        <f aca="false">IF($A$1="Peak","-",'Base Hours'!B23*BaseLoad!H22*'Base Hours'!$AA23)</f>
        <v>-</v>
      </c>
      <c r="C23" s="415" t="str">
        <f aca="false">IF($A$1="Peak","-",'Base Hours'!C23*BaseLoad!I22*'Base Hours'!$AA23)</f>
        <v>-</v>
      </c>
      <c r="D23" s="415" t="str">
        <f aca="false">IF($A$1="Peak","-",'Base Hours'!D23*BaseLoad!J22*'Base Hours'!$AA23)</f>
        <v>-</v>
      </c>
      <c r="E23" s="415" t="str">
        <f aca="false">IF($A$1="Peak","-",'Base Hours'!E23*BaseLoad!K22*'Base Hours'!$AA23)</f>
        <v>-</v>
      </c>
      <c r="F23" s="415" t="str">
        <f aca="false">IF($A$1="Peak","-",'Base Hours'!F23*BaseLoad!L22*'Base Hours'!$AA23)</f>
        <v>-</v>
      </c>
      <c r="G23" s="415" t="str">
        <f aca="false">IF($A$1="Peak","-",'Base Hours'!G23*BaseLoad!M22*'Base Hours'!$AA23)</f>
        <v>-</v>
      </c>
      <c r="H23" s="415" t="str">
        <f aca="false">IF($A$1="Peak","-",'Base Hours'!H23*BaseLoad!N22*'Base Hours'!$AA23)</f>
        <v>-</v>
      </c>
      <c r="I23" s="415" t="str">
        <f aca="false">IF($A$1="Peak","-",'Base Hours'!I23*BaseLoad!O22*'Base Hours'!$AA23)</f>
        <v>-</v>
      </c>
      <c r="J23" s="415" t="str">
        <f aca="false">IF($A$1="Peak","-",'Base Hours'!J23*BaseLoad!P22*'Base Hours'!$AA23)</f>
        <v>-</v>
      </c>
      <c r="K23" s="415" t="str">
        <f aca="false">IF($A$1="Peak","-",'Base Hours'!K23*BaseLoad!Q22*'Base Hours'!$AA23)</f>
        <v>-</v>
      </c>
      <c r="L23" s="415" t="str">
        <f aca="false">IF($A$1="Peak","-",'Base Hours'!L23*BaseLoad!R22*'Base Hours'!$AA23)</f>
        <v>-</v>
      </c>
      <c r="M23" s="415" t="str">
        <f aca="false">IF($A$1="Peak","-",'Base Hours'!M23*BaseLoad!S22*'Base Hours'!$AA23)</f>
        <v>-</v>
      </c>
      <c r="N23" s="415" t="str">
        <f aca="false">IF($A$1="Peak","-",'Base Hours'!N23*BaseLoad!T22*'Base Hours'!$AA23)</f>
        <v>-</v>
      </c>
      <c r="O23" s="415" t="str">
        <f aca="false">IF($A$1="Peak","-",'Base Hours'!O23*BaseLoad!U22*'Base Hours'!$AA23)</f>
        <v>-</v>
      </c>
      <c r="P23" s="415" t="str">
        <f aca="false">IF($A$1="Peak","-",'Base Hours'!P23*BaseLoad!V22*'Base Hours'!$AA23)</f>
        <v>-</v>
      </c>
      <c r="Q23" s="415" t="str">
        <f aca="false">IF($A$1="Peak","-",'Base Hours'!Q23*BaseLoad!W22*'Base Hours'!$AA23)</f>
        <v>-</v>
      </c>
      <c r="R23" s="415" t="str">
        <f aca="false">IF($A$1="Peak","-",'Base Hours'!R23*BaseLoad!X22*'Base Hours'!$AA23)</f>
        <v>-</v>
      </c>
      <c r="S23" s="415" t="str">
        <f aca="false">IF($A$1="Peak","-",'Base Hours'!S23*BaseLoad!Y22*'Base Hours'!$AA23)</f>
        <v>-</v>
      </c>
      <c r="T23" s="415" t="str">
        <f aca="false">IF($A$1="Peak","-",'Base Hours'!T23*BaseLoad!Z22*'Base Hours'!$AA23)</f>
        <v>-</v>
      </c>
      <c r="U23" s="415" t="str">
        <f aca="false">IF($A$1="Peak","-",'Base Hours'!U23*BaseLoad!AA22*'Base Hours'!$AA23)</f>
        <v>-</v>
      </c>
      <c r="V23" s="415" t="n">
        <f aca="false">SUM(B23:U23)</f>
        <v>0</v>
      </c>
      <c r="W23" s="415"/>
      <c r="X23" s="415"/>
      <c r="Y23" s="416"/>
      <c r="Z23" s="416" t="n">
        <f aca="false">(BaseLoad!C22*'Base Hours'!X23*'Base Hours'!$AA23)*-1</f>
        <v>-0</v>
      </c>
      <c r="AA23" s="416"/>
      <c r="AB23" s="416" t="n">
        <f aca="false">(BaseLoad!D22*'Base Hours'!X23*'Base Hours'!$AA23)*-1</f>
        <v>-0</v>
      </c>
      <c r="AC23" s="416"/>
      <c r="AD23" s="416" t="n">
        <f aca="false">(BaseLoad!E22*'Base Hours'!X23*'Base Hours'!$AA23)*-1</f>
        <v>-0</v>
      </c>
      <c r="AE23" s="416"/>
      <c r="AF23" s="416" t="n">
        <f aca="false">(BaseLoad!F22*'Base Hours'!X23*'Base Hours'!$AA23)*-1</f>
        <v>-0</v>
      </c>
      <c r="AG23" s="416"/>
    </row>
    <row r="24" customFormat="false" ht="12.75" hidden="false" customHeight="false" outlineLevel="0" collapsed="false">
      <c r="A24" s="400" t="n">
        <f aca="false">A23+30.417</f>
        <v>36965.838</v>
      </c>
      <c r="B24" s="415" t="str">
        <f aca="false">IF($A$1="Peak","-",'Base Hours'!B24*BaseLoad!H23*'Base Hours'!$AA24)</f>
        <v>-</v>
      </c>
      <c r="C24" s="415" t="str">
        <f aca="false">IF($A$1="Peak","-",'Base Hours'!C24*BaseLoad!I23*'Base Hours'!$AA24)</f>
        <v>-</v>
      </c>
      <c r="D24" s="415" t="str">
        <f aca="false">IF($A$1="Peak","-",'Base Hours'!D24*BaseLoad!J23*'Base Hours'!$AA24)</f>
        <v>-</v>
      </c>
      <c r="E24" s="415" t="str">
        <f aca="false">IF($A$1="Peak","-",'Base Hours'!E24*BaseLoad!K23*'Base Hours'!$AA24)</f>
        <v>-</v>
      </c>
      <c r="F24" s="415" t="str">
        <f aca="false">IF($A$1="Peak","-",'Base Hours'!F24*BaseLoad!L23*'Base Hours'!$AA24)</f>
        <v>-</v>
      </c>
      <c r="G24" s="415" t="str">
        <f aca="false">IF($A$1="Peak","-",'Base Hours'!G24*BaseLoad!M23*'Base Hours'!$AA24)</f>
        <v>-</v>
      </c>
      <c r="H24" s="415" t="str">
        <f aca="false">IF($A$1="Peak","-",'Base Hours'!H24*BaseLoad!N23*'Base Hours'!$AA24)</f>
        <v>-</v>
      </c>
      <c r="I24" s="415" t="str">
        <f aca="false">IF($A$1="Peak","-",'Base Hours'!I24*BaseLoad!O23*'Base Hours'!$AA24)</f>
        <v>-</v>
      </c>
      <c r="J24" s="415" t="str">
        <f aca="false">IF($A$1="Peak","-",'Base Hours'!J24*BaseLoad!P23*'Base Hours'!$AA24)</f>
        <v>-</v>
      </c>
      <c r="K24" s="415" t="str">
        <f aca="false">IF($A$1="Peak","-",'Base Hours'!K24*BaseLoad!Q23*'Base Hours'!$AA24)</f>
        <v>-</v>
      </c>
      <c r="L24" s="415" t="str">
        <f aca="false">IF($A$1="Peak","-",'Base Hours'!L24*BaseLoad!R23*'Base Hours'!$AA24)</f>
        <v>-</v>
      </c>
      <c r="M24" s="415" t="str">
        <f aca="false">IF($A$1="Peak","-",'Base Hours'!M24*BaseLoad!S23*'Base Hours'!$AA24)</f>
        <v>-</v>
      </c>
      <c r="N24" s="415" t="str">
        <f aca="false">IF($A$1="Peak","-",'Base Hours'!N24*BaseLoad!T23*'Base Hours'!$AA24)</f>
        <v>-</v>
      </c>
      <c r="O24" s="415" t="str">
        <f aca="false">IF($A$1="Peak","-",'Base Hours'!O24*BaseLoad!U23*'Base Hours'!$AA24)</f>
        <v>-</v>
      </c>
      <c r="P24" s="415" t="str">
        <f aca="false">IF($A$1="Peak","-",'Base Hours'!P24*BaseLoad!V23*'Base Hours'!$AA24)</f>
        <v>-</v>
      </c>
      <c r="Q24" s="415" t="str">
        <f aca="false">IF($A$1="Peak","-",'Base Hours'!Q24*BaseLoad!W23*'Base Hours'!$AA24)</f>
        <v>-</v>
      </c>
      <c r="R24" s="415" t="str">
        <f aca="false">IF($A$1="Peak","-",'Base Hours'!R24*BaseLoad!X23*'Base Hours'!$AA24)</f>
        <v>-</v>
      </c>
      <c r="S24" s="415" t="str">
        <f aca="false">IF($A$1="Peak","-",'Base Hours'!S24*BaseLoad!Y23*'Base Hours'!$AA24)</f>
        <v>-</v>
      </c>
      <c r="T24" s="415" t="str">
        <f aca="false">IF($A$1="Peak","-",'Base Hours'!T24*BaseLoad!Z23*'Base Hours'!$AA24)</f>
        <v>-</v>
      </c>
      <c r="U24" s="415" t="str">
        <f aca="false">IF($A$1="Peak","-",'Base Hours'!U24*BaseLoad!AA23*'Base Hours'!$AA24)</f>
        <v>-</v>
      </c>
      <c r="V24" s="415" t="n">
        <f aca="false">SUM(B24:U24)</f>
        <v>0</v>
      </c>
      <c r="W24" s="415"/>
      <c r="X24" s="415"/>
      <c r="Y24" s="416"/>
      <c r="Z24" s="416" t="n">
        <f aca="false">(BaseLoad!C23*'Base Hours'!X24*'Base Hours'!$AA24)*-1</f>
        <v>-0</v>
      </c>
      <c r="AA24" s="416"/>
      <c r="AB24" s="416" t="n">
        <f aca="false">(BaseLoad!D23*'Base Hours'!X24*'Base Hours'!$AA24)*-1</f>
        <v>-0</v>
      </c>
      <c r="AC24" s="416"/>
      <c r="AD24" s="416" t="n">
        <f aca="false">(BaseLoad!E23*'Base Hours'!X24*'Base Hours'!$AA24)*-1</f>
        <v>-0</v>
      </c>
      <c r="AE24" s="416"/>
      <c r="AF24" s="416" t="n">
        <f aca="false">(BaseLoad!F23*'Base Hours'!X24*'Base Hours'!$AA24)*-1</f>
        <v>-0</v>
      </c>
      <c r="AG24" s="416"/>
    </row>
    <row r="25" customFormat="false" ht="12.75" hidden="false" customHeight="false" outlineLevel="0" collapsed="false">
      <c r="A25" s="400" t="n">
        <f aca="false">A24+30.417</f>
        <v>36996.255</v>
      </c>
      <c r="B25" s="415" t="str">
        <f aca="false">IF($A$1="Peak","-",'Base Hours'!B25*BaseLoad!H24*'Base Hours'!$AA25)</f>
        <v>-</v>
      </c>
      <c r="C25" s="415" t="str">
        <f aca="false">IF($A$1="Peak","-",'Base Hours'!C25*BaseLoad!I24*'Base Hours'!$AA25)</f>
        <v>-</v>
      </c>
      <c r="D25" s="415" t="str">
        <f aca="false">IF($A$1="Peak","-",'Base Hours'!D25*BaseLoad!J24*'Base Hours'!$AA25)</f>
        <v>-</v>
      </c>
      <c r="E25" s="415" t="str">
        <f aca="false">IF($A$1="Peak","-",'Base Hours'!E25*BaseLoad!K24*'Base Hours'!$AA25)</f>
        <v>-</v>
      </c>
      <c r="F25" s="415" t="str">
        <f aca="false">IF($A$1="Peak","-",'Base Hours'!F25*BaseLoad!L24*'Base Hours'!$AA25)</f>
        <v>-</v>
      </c>
      <c r="G25" s="415" t="str">
        <f aca="false">IF($A$1="Peak","-",'Base Hours'!G25*BaseLoad!M24*'Base Hours'!$AA25)</f>
        <v>-</v>
      </c>
      <c r="H25" s="415" t="str">
        <f aca="false">IF($A$1="Peak","-",'Base Hours'!H25*BaseLoad!N24*'Base Hours'!$AA25)</f>
        <v>-</v>
      </c>
      <c r="I25" s="415" t="str">
        <f aca="false">IF($A$1="Peak","-",'Base Hours'!I25*BaseLoad!O24*'Base Hours'!$AA25)</f>
        <v>-</v>
      </c>
      <c r="J25" s="415" t="str">
        <f aca="false">IF($A$1="Peak","-",'Base Hours'!J25*BaseLoad!P24*'Base Hours'!$AA25)</f>
        <v>-</v>
      </c>
      <c r="K25" s="415" t="str">
        <f aca="false">IF($A$1="Peak","-",'Base Hours'!K25*BaseLoad!Q24*'Base Hours'!$AA25)</f>
        <v>-</v>
      </c>
      <c r="L25" s="415" t="str">
        <f aca="false">IF($A$1="Peak","-",'Base Hours'!L25*BaseLoad!R24*'Base Hours'!$AA25)</f>
        <v>-</v>
      </c>
      <c r="M25" s="415" t="str">
        <f aca="false">IF($A$1="Peak","-",'Base Hours'!M25*BaseLoad!S24*'Base Hours'!$AA25)</f>
        <v>-</v>
      </c>
      <c r="N25" s="415" t="str">
        <f aca="false">IF($A$1="Peak","-",'Base Hours'!N25*BaseLoad!T24*'Base Hours'!$AA25)</f>
        <v>-</v>
      </c>
      <c r="O25" s="415" t="str">
        <f aca="false">IF($A$1="Peak","-",'Base Hours'!O25*BaseLoad!U24*'Base Hours'!$AA25)</f>
        <v>-</v>
      </c>
      <c r="P25" s="415" t="str">
        <f aca="false">IF($A$1="Peak","-",'Base Hours'!P25*BaseLoad!V24*'Base Hours'!$AA25)</f>
        <v>-</v>
      </c>
      <c r="Q25" s="415" t="str">
        <f aca="false">IF($A$1="Peak","-",'Base Hours'!Q25*BaseLoad!W24*'Base Hours'!$AA25)</f>
        <v>-</v>
      </c>
      <c r="R25" s="415" t="str">
        <f aca="false">IF($A$1="Peak","-",'Base Hours'!R25*BaseLoad!X24*'Base Hours'!$AA25)</f>
        <v>-</v>
      </c>
      <c r="S25" s="415" t="str">
        <f aca="false">IF($A$1="Peak","-",'Base Hours'!S25*BaseLoad!Y24*'Base Hours'!$AA25)</f>
        <v>-</v>
      </c>
      <c r="T25" s="415" t="str">
        <f aca="false">IF($A$1="Peak","-",'Base Hours'!T25*BaseLoad!Z24*'Base Hours'!$AA25)</f>
        <v>-</v>
      </c>
      <c r="U25" s="415" t="str">
        <f aca="false">IF($A$1="Peak","-",'Base Hours'!U25*BaseLoad!AA24*'Base Hours'!$AA25)</f>
        <v>-</v>
      </c>
      <c r="V25" s="415" t="n">
        <f aca="false">SUM(B25:U25)</f>
        <v>0</v>
      </c>
      <c r="W25" s="415"/>
      <c r="X25" s="415"/>
      <c r="Y25" s="416"/>
      <c r="Z25" s="416" t="n">
        <f aca="false">(BaseLoad!C24*'Base Hours'!X25*'Base Hours'!$AA25)*-1</f>
        <v>-0</v>
      </c>
      <c r="AA25" s="416"/>
      <c r="AB25" s="416" t="n">
        <f aca="false">(BaseLoad!D24*'Base Hours'!X25*'Base Hours'!$AA25)*-1</f>
        <v>-0</v>
      </c>
      <c r="AC25" s="416"/>
      <c r="AD25" s="416" t="n">
        <f aca="false">(BaseLoad!E24*'Base Hours'!X25*'Base Hours'!$AA25)*-1</f>
        <v>-0</v>
      </c>
      <c r="AE25" s="416"/>
      <c r="AF25" s="416" t="n">
        <f aca="false">(BaseLoad!F24*'Base Hours'!X25*'Base Hours'!$AA25)*-1</f>
        <v>-0</v>
      </c>
      <c r="AG25" s="416"/>
    </row>
    <row r="26" customFormat="false" ht="12.75" hidden="false" customHeight="false" outlineLevel="0" collapsed="false">
      <c r="A26" s="400" t="n">
        <f aca="false">A25+30.417</f>
        <v>37026.672</v>
      </c>
      <c r="B26" s="415" t="str">
        <f aca="false">IF($A$1="Peak","-",'Base Hours'!B26*BaseLoad!H25*'Base Hours'!$AA26)</f>
        <v>-</v>
      </c>
      <c r="C26" s="415" t="str">
        <f aca="false">IF($A$1="Peak","-",'Base Hours'!C26*BaseLoad!I25*'Base Hours'!$AA26)</f>
        <v>-</v>
      </c>
      <c r="D26" s="415" t="str">
        <f aca="false">IF($A$1="Peak","-",'Base Hours'!D26*BaseLoad!J25*'Base Hours'!$AA26)</f>
        <v>-</v>
      </c>
      <c r="E26" s="415" t="str">
        <f aca="false">IF($A$1="Peak","-",'Base Hours'!E26*BaseLoad!K25*'Base Hours'!$AA26)</f>
        <v>-</v>
      </c>
      <c r="F26" s="415" t="str">
        <f aca="false">IF($A$1="Peak","-",'Base Hours'!F26*BaseLoad!L25*'Base Hours'!$AA26)</f>
        <v>-</v>
      </c>
      <c r="G26" s="415" t="str">
        <f aca="false">IF($A$1="Peak","-",'Base Hours'!G26*BaseLoad!M25*'Base Hours'!$AA26)</f>
        <v>-</v>
      </c>
      <c r="H26" s="415" t="str">
        <f aca="false">IF($A$1="Peak","-",'Base Hours'!H26*BaseLoad!N25*'Base Hours'!$AA26)</f>
        <v>-</v>
      </c>
      <c r="I26" s="415" t="str">
        <f aca="false">IF($A$1="Peak","-",'Base Hours'!I26*BaseLoad!O25*'Base Hours'!$AA26)</f>
        <v>-</v>
      </c>
      <c r="J26" s="415" t="str">
        <f aca="false">IF($A$1="Peak","-",'Base Hours'!J26*BaseLoad!P25*'Base Hours'!$AA26)</f>
        <v>-</v>
      </c>
      <c r="K26" s="415" t="str">
        <f aca="false">IF($A$1="Peak","-",'Base Hours'!K26*BaseLoad!Q25*'Base Hours'!$AA26)</f>
        <v>-</v>
      </c>
      <c r="L26" s="415" t="str">
        <f aca="false">IF($A$1="Peak","-",'Base Hours'!L26*BaseLoad!R25*'Base Hours'!$AA26)</f>
        <v>-</v>
      </c>
      <c r="M26" s="415" t="str">
        <f aca="false">IF($A$1="Peak","-",'Base Hours'!M26*BaseLoad!S25*'Base Hours'!$AA26)</f>
        <v>-</v>
      </c>
      <c r="N26" s="415" t="str">
        <f aca="false">IF($A$1="Peak","-",'Base Hours'!N26*BaseLoad!T25*'Base Hours'!$AA26)</f>
        <v>-</v>
      </c>
      <c r="O26" s="415" t="str">
        <f aca="false">IF($A$1="Peak","-",'Base Hours'!O26*BaseLoad!U25*'Base Hours'!$AA26)</f>
        <v>-</v>
      </c>
      <c r="P26" s="415" t="str">
        <f aca="false">IF($A$1="Peak","-",'Base Hours'!P26*BaseLoad!V25*'Base Hours'!$AA26)</f>
        <v>-</v>
      </c>
      <c r="Q26" s="415" t="str">
        <f aca="false">IF($A$1="Peak","-",'Base Hours'!Q26*BaseLoad!W25*'Base Hours'!$AA26)</f>
        <v>-</v>
      </c>
      <c r="R26" s="415" t="str">
        <f aca="false">IF($A$1="Peak","-",'Base Hours'!R26*BaseLoad!X25*'Base Hours'!$AA26)</f>
        <v>-</v>
      </c>
      <c r="S26" s="415" t="str">
        <f aca="false">IF($A$1="Peak","-",'Base Hours'!S26*BaseLoad!Y25*'Base Hours'!$AA26)</f>
        <v>-</v>
      </c>
      <c r="T26" s="415" t="str">
        <f aca="false">IF($A$1="Peak","-",'Base Hours'!T26*BaseLoad!Z25*'Base Hours'!$AA26)</f>
        <v>-</v>
      </c>
      <c r="U26" s="415" t="str">
        <f aca="false">IF($A$1="Peak","-",'Base Hours'!U26*BaseLoad!AA25*'Base Hours'!$AA26)</f>
        <v>-</v>
      </c>
      <c r="V26" s="415" t="n">
        <f aca="false">SUM(B26:U26)</f>
        <v>0</v>
      </c>
      <c r="W26" s="415"/>
      <c r="X26" s="415"/>
      <c r="Y26" s="416"/>
      <c r="Z26" s="416" t="n">
        <f aca="false">(BaseLoad!C25*'Base Hours'!X26*'Base Hours'!$AA26)*-1</f>
        <v>-0</v>
      </c>
      <c r="AA26" s="416"/>
      <c r="AB26" s="416" t="n">
        <f aca="false">(BaseLoad!D25*'Base Hours'!X26*'Base Hours'!$AA26)*-1</f>
        <v>-0</v>
      </c>
      <c r="AC26" s="416"/>
      <c r="AD26" s="416" t="n">
        <f aca="false">(BaseLoad!E25*'Base Hours'!X26*'Base Hours'!$AA26)*-1</f>
        <v>-0</v>
      </c>
      <c r="AE26" s="416"/>
      <c r="AF26" s="416" t="n">
        <f aca="false">(BaseLoad!F25*'Base Hours'!X26*'Base Hours'!$AA26)*-1</f>
        <v>-0</v>
      </c>
      <c r="AG26" s="416"/>
    </row>
    <row r="27" customFormat="false" ht="12.75" hidden="false" customHeight="false" outlineLevel="0" collapsed="false">
      <c r="A27" s="400" t="n">
        <f aca="false">A26+30.417</f>
        <v>37057.089</v>
      </c>
      <c r="B27" s="415" t="str">
        <f aca="false">IF($A$1="Peak","-",'Base Hours'!B27*BaseLoad!H26*'Base Hours'!$AA27)</f>
        <v>-</v>
      </c>
      <c r="C27" s="415" t="str">
        <f aca="false">IF($A$1="Peak","-",'Base Hours'!C27*BaseLoad!I26*'Base Hours'!$AA27)</f>
        <v>-</v>
      </c>
      <c r="D27" s="415" t="str">
        <f aca="false">IF($A$1="Peak","-",'Base Hours'!D27*BaseLoad!J26*'Base Hours'!$AA27)</f>
        <v>-</v>
      </c>
      <c r="E27" s="415" t="str">
        <f aca="false">IF($A$1="Peak","-",'Base Hours'!E27*BaseLoad!K26*'Base Hours'!$AA27)</f>
        <v>-</v>
      </c>
      <c r="F27" s="415" t="str">
        <f aca="false">IF($A$1="Peak","-",'Base Hours'!F27*BaseLoad!L26*'Base Hours'!$AA27)</f>
        <v>-</v>
      </c>
      <c r="G27" s="415" t="str">
        <f aca="false">IF($A$1="Peak","-",'Base Hours'!G27*BaseLoad!M26*'Base Hours'!$AA27)</f>
        <v>-</v>
      </c>
      <c r="H27" s="415" t="str">
        <f aca="false">IF($A$1="Peak","-",'Base Hours'!H27*BaseLoad!N26*'Base Hours'!$AA27)</f>
        <v>-</v>
      </c>
      <c r="I27" s="415" t="str">
        <f aca="false">IF($A$1="Peak","-",'Base Hours'!I27*BaseLoad!O26*'Base Hours'!$AA27)</f>
        <v>-</v>
      </c>
      <c r="J27" s="415" t="str">
        <f aca="false">IF($A$1="Peak","-",'Base Hours'!J27*BaseLoad!P26*'Base Hours'!$AA27)</f>
        <v>-</v>
      </c>
      <c r="K27" s="415" t="str">
        <f aca="false">IF($A$1="Peak","-",'Base Hours'!K27*BaseLoad!Q26*'Base Hours'!$AA27)</f>
        <v>-</v>
      </c>
      <c r="L27" s="415" t="str">
        <f aca="false">IF($A$1="Peak","-",'Base Hours'!L27*BaseLoad!R26*'Base Hours'!$AA27)</f>
        <v>-</v>
      </c>
      <c r="M27" s="415" t="str">
        <f aca="false">IF($A$1="Peak","-",'Base Hours'!M27*BaseLoad!S26*'Base Hours'!$AA27)</f>
        <v>-</v>
      </c>
      <c r="N27" s="415" t="str">
        <f aca="false">IF($A$1="Peak","-",'Base Hours'!N27*BaseLoad!T26*'Base Hours'!$AA27)</f>
        <v>-</v>
      </c>
      <c r="O27" s="415" t="str">
        <f aca="false">IF($A$1="Peak","-",'Base Hours'!O27*BaseLoad!U26*'Base Hours'!$AA27)</f>
        <v>-</v>
      </c>
      <c r="P27" s="415" t="str">
        <f aca="false">IF($A$1="Peak","-",'Base Hours'!P27*BaseLoad!V26*'Base Hours'!$AA27)</f>
        <v>-</v>
      </c>
      <c r="Q27" s="415" t="str">
        <f aca="false">IF($A$1="Peak","-",'Base Hours'!Q27*BaseLoad!W26*'Base Hours'!$AA27)</f>
        <v>-</v>
      </c>
      <c r="R27" s="415" t="str">
        <f aca="false">IF($A$1="Peak","-",'Base Hours'!R27*BaseLoad!X26*'Base Hours'!$AA27)</f>
        <v>-</v>
      </c>
      <c r="S27" s="415" t="str">
        <f aca="false">IF($A$1="Peak","-",'Base Hours'!S27*BaseLoad!Y26*'Base Hours'!$AA27)</f>
        <v>-</v>
      </c>
      <c r="T27" s="415" t="str">
        <f aca="false">IF($A$1="Peak","-",'Base Hours'!T27*BaseLoad!Z26*'Base Hours'!$AA27)</f>
        <v>-</v>
      </c>
      <c r="U27" s="415" t="str">
        <f aca="false">IF($A$1="Peak","-",'Base Hours'!U27*BaseLoad!AA26*'Base Hours'!$AA27)</f>
        <v>-</v>
      </c>
      <c r="V27" s="415" t="n">
        <f aca="false">SUM(B27:U27)</f>
        <v>0</v>
      </c>
      <c r="W27" s="415"/>
      <c r="X27" s="415"/>
      <c r="Y27" s="416"/>
      <c r="Z27" s="416" t="n">
        <f aca="false">(BaseLoad!C26*'Base Hours'!X27*'Base Hours'!$AA27)*-1</f>
        <v>-0</v>
      </c>
      <c r="AA27" s="416"/>
      <c r="AB27" s="416" t="n">
        <f aca="false">(BaseLoad!D26*'Base Hours'!X27*'Base Hours'!$AA27)*-1</f>
        <v>-0</v>
      </c>
      <c r="AC27" s="416"/>
      <c r="AD27" s="416" t="n">
        <f aca="false">(BaseLoad!E26*'Base Hours'!X27*'Base Hours'!$AA27)*-1</f>
        <v>-0</v>
      </c>
      <c r="AE27" s="416"/>
      <c r="AF27" s="416" t="n">
        <f aca="false">(BaseLoad!F26*'Base Hours'!X27*'Base Hours'!$AA27)*-1</f>
        <v>-0</v>
      </c>
      <c r="AG27" s="416"/>
    </row>
    <row r="28" customFormat="false" ht="12.75" hidden="false" customHeight="false" outlineLevel="0" collapsed="false">
      <c r="A28" s="400" t="n">
        <f aca="false">A27+30.417</f>
        <v>37087.506</v>
      </c>
      <c r="B28" s="415" t="str">
        <f aca="false">IF($A$1="Peak","-",'Base Hours'!B28*BaseLoad!H27*'Base Hours'!$AA28)</f>
        <v>-</v>
      </c>
      <c r="C28" s="415" t="str">
        <f aca="false">IF($A$1="Peak","-",'Base Hours'!C28*BaseLoad!I27*'Base Hours'!$AA28)</f>
        <v>-</v>
      </c>
      <c r="D28" s="415" t="str">
        <f aca="false">IF($A$1="Peak","-",'Base Hours'!D28*BaseLoad!J27*'Base Hours'!$AA28)</f>
        <v>-</v>
      </c>
      <c r="E28" s="415" t="str">
        <f aca="false">IF($A$1="Peak","-",'Base Hours'!E28*BaseLoad!K27*'Base Hours'!$AA28)</f>
        <v>-</v>
      </c>
      <c r="F28" s="415" t="str">
        <f aca="false">IF($A$1="Peak","-",'Base Hours'!F28*BaseLoad!L27*'Base Hours'!$AA28)</f>
        <v>-</v>
      </c>
      <c r="G28" s="415" t="str">
        <f aca="false">IF($A$1="Peak","-",'Base Hours'!G28*BaseLoad!M27*'Base Hours'!$AA28)</f>
        <v>-</v>
      </c>
      <c r="H28" s="415" t="str">
        <f aca="false">IF($A$1="Peak","-",'Base Hours'!H28*BaseLoad!N27*'Base Hours'!$AA28)</f>
        <v>-</v>
      </c>
      <c r="I28" s="415" t="str">
        <f aca="false">IF($A$1="Peak","-",'Base Hours'!I28*BaseLoad!O27*'Base Hours'!$AA28)</f>
        <v>-</v>
      </c>
      <c r="J28" s="415" t="str">
        <f aca="false">IF($A$1="Peak","-",'Base Hours'!J28*BaseLoad!P27*'Base Hours'!$AA28)</f>
        <v>-</v>
      </c>
      <c r="K28" s="415" t="str">
        <f aca="false">IF($A$1="Peak","-",'Base Hours'!K28*BaseLoad!Q27*'Base Hours'!$AA28)</f>
        <v>-</v>
      </c>
      <c r="L28" s="415" t="str">
        <f aca="false">IF($A$1="Peak","-",'Base Hours'!L28*BaseLoad!R27*'Base Hours'!$AA28)</f>
        <v>-</v>
      </c>
      <c r="M28" s="415" t="str">
        <f aca="false">IF($A$1="Peak","-",'Base Hours'!M28*BaseLoad!S27*'Base Hours'!$AA28)</f>
        <v>-</v>
      </c>
      <c r="N28" s="415" t="str">
        <f aca="false">IF($A$1="Peak","-",'Base Hours'!N28*BaseLoad!T27*'Base Hours'!$AA28)</f>
        <v>-</v>
      </c>
      <c r="O28" s="415" t="str">
        <f aca="false">IF($A$1="Peak","-",'Base Hours'!O28*BaseLoad!U27*'Base Hours'!$AA28)</f>
        <v>-</v>
      </c>
      <c r="P28" s="415" t="str">
        <f aca="false">IF($A$1="Peak","-",'Base Hours'!P28*BaseLoad!V27*'Base Hours'!$AA28)</f>
        <v>-</v>
      </c>
      <c r="Q28" s="415" t="str">
        <f aca="false">IF($A$1="Peak","-",'Base Hours'!Q28*BaseLoad!W27*'Base Hours'!$AA28)</f>
        <v>-</v>
      </c>
      <c r="R28" s="415" t="str">
        <f aca="false">IF($A$1="Peak","-",'Base Hours'!R28*BaseLoad!X27*'Base Hours'!$AA28)</f>
        <v>-</v>
      </c>
      <c r="S28" s="415" t="str">
        <f aca="false">IF($A$1="Peak","-",'Base Hours'!S28*BaseLoad!Y27*'Base Hours'!$AA28)</f>
        <v>-</v>
      </c>
      <c r="T28" s="415" t="str">
        <f aca="false">IF($A$1="Peak","-",'Base Hours'!T28*BaseLoad!Z27*'Base Hours'!$AA28)</f>
        <v>-</v>
      </c>
      <c r="U28" s="415" t="str">
        <f aca="false">IF($A$1="Peak","-",'Base Hours'!U28*BaseLoad!AA27*'Base Hours'!$AA28)</f>
        <v>-</v>
      </c>
      <c r="V28" s="415" t="n">
        <f aca="false">SUM(B28:U28)</f>
        <v>0</v>
      </c>
      <c r="W28" s="415"/>
      <c r="X28" s="415"/>
      <c r="Y28" s="416"/>
      <c r="Z28" s="416" t="n">
        <f aca="false">(BaseLoad!C27*'Base Hours'!X28*'Base Hours'!$AA28)*-1</f>
        <v>-0</v>
      </c>
      <c r="AA28" s="416"/>
      <c r="AB28" s="416" t="n">
        <f aca="false">(BaseLoad!D27*'Base Hours'!X28*'Base Hours'!$AA28)*-1</f>
        <v>-0</v>
      </c>
      <c r="AC28" s="416"/>
      <c r="AD28" s="416" t="n">
        <f aca="false">(BaseLoad!E27*'Base Hours'!X28*'Base Hours'!$AA28)*-1</f>
        <v>-0</v>
      </c>
      <c r="AE28" s="416"/>
      <c r="AF28" s="416" t="n">
        <f aca="false">(BaseLoad!F27*'Base Hours'!X28*'Base Hours'!$AA28)*-1</f>
        <v>-0</v>
      </c>
      <c r="AG28" s="416"/>
    </row>
    <row r="29" customFormat="false" ht="12.75" hidden="false" customHeight="false" outlineLevel="0" collapsed="false">
      <c r="A29" s="400" t="n">
        <f aca="false">A28+30.417</f>
        <v>37117.923</v>
      </c>
      <c r="B29" s="415" t="str">
        <f aca="false">IF($A$1="Peak","-",'Base Hours'!B29*BaseLoad!H28*'Base Hours'!$AA29)</f>
        <v>-</v>
      </c>
      <c r="C29" s="415" t="str">
        <f aca="false">IF($A$1="Peak","-",'Base Hours'!C29*BaseLoad!I28*'Base Hours'!$AA29)</f>
        <v>-</v>
      </c>
      <c r="D29" s="415" t="str">
        <f aca="false">IF($A$1="Peak","-",'Base Hours'!D29*BaseLoad!J28*'Base Hours'!$AA29)</f>
        <v>-</v>
      </c>
      <c r="E29" s="415" t="str">
        <f aca="false">IF($A$1="Peak","-",'Base Hours'!E29*BaseLoad!K28*'Base Hours'!$AA29)</f>
        <v>-</v>
      </c>
      <c r="F29" s="415" t="str">
        <f aca="false">IF($A$1="Peak","-",'Base Hours'!F29*BaseLoad!L28*'Base Hours'!$AA29)</f>
        <v>-</v>
      </c>
      <c r="G29" s="415" t="str">
        <f aca="false">IF($A$1="Peak","-",'Base Hours'!G29*BaseLoad!M28*'Base Hours'!$AA29)</f>
        <v>-</v>
      </c>
      <c r="H29" s="415" t="str">
        <f aca="false">IF($A$1="Peak","-",'Base Hours'!H29*BaseLoad!N28*'Base Hours'!$AA29)</f>
        <v>-</v>
      </c>
      <c r="I29" s="415" t="str">
        <f aca="false">IF($A$1="Peak","-",'Base Hours'!I29*BaseLoad!O28*'Base Hours'!$AA29)</f>
        <v>-</v>
      </c>
      <c r="J29" s="415" t="str">
        <f aca="false">IF($A$1="Peak","-",'Base Hours'!J29*BaseLoad!P28*'Base Hours'!$AA29)</f>
        <v>-</v>
      </c>
      <c r="K29" s="415" t="str">
        <f aca="false">IF($A$1="Peak","-",'Base Hours'!K29*BaseLoad!Q28*'Base Hours'!$AA29)</f>
        <v>-</v>
      </c>
      <c r="L29" s="415" t="str">
        <f aca="false">IF($A$1="Peak","-",'Base Hours'!L29*BaseLoad!R28*'Base Hours'!$AA29)</f>
        <v>-</v>
      </c>
      <c r="M29" s="415" t="str">
        <f aca="false">IF($A$1="Peak","-",'Base Hours'!M29*BaseLoad!S28*'Base Hours'!$AA29)</f>
        <v>-</v>
      </c>
      <c r="N29" s="415" t="str">
        <f aca="false">IF($A$1="Peak","-",'Base Hours'!N29*BaseLoad!T28*'Base Hours'!$AA29)</f>
        <v>-</v>
      </c>
      <c r="O29" s="415" t="str">
        <f aca="false">IF($A$1="Peak","-",'Base Hours'!O29*BaseLoad!U28*'Base Hours'!$AA29)</f>
        <v>-</v>
      </c>
      <c r="P29" s="415" t="str">
        <f aca="false">IF($A$1="Peak","-",'Base Hours'!P29*BaseLoad!V28*'Base Hours'!$AA29)</f>
        <v>-</v>
      </c>
      <c r="Q29" s="415" t="str">
        <f aca="false">IF($A$1="Peak","-",'Base Hours'!Q29*BaseLoad!W28*'Base Hours'!$AA29)</f>
        <v>-</v>
      </c>
      <c r="R29" s="415" t="str">
        <f aca="false">IF($A$1="Peak","-",'Base Hours'!R29*BaseLoad!X28*'Base Hours'!$AA29)</f>
        <v>-</v>
      </c>
      <c r="S29" s="415" t="str">
        <f aca="false">IF($A$1="Peak","-",'Base Hours'!S29*BaseLoad!Y28*'Base Hours'!$AA29)</f>
        <v>-</v>
      </c>
      <c r="T29" s="415" t="str">
        <f aca="false">IF($A$1="Peak","-",'Base Hours'!T29*BaseLoad!Z28*'Base Hours'!$AA29)</f>
        <v>-</v>
      </c>
      <c r="U29" s="415" t="str">
        <f aca="false">IF($A$1="Peak","-",'Base Hours'!U29*BaseLoad!AA28*'Base Hours'!$AA29)</f>
        <v>-</v>
      </c>
      <c r="V29" s="415" t="n">
        <f aca="false">SUM(B29:U29)</f>
        <v>0</v>
      </c>
      <c r="W29" s="415"/>
      <c r="X29" s="415"/>
      <c r="Y29" s="416"/>
      <c r="Z29" s="416" t="n">
        <f aca="false">(BaseLoad!C28*'Base Hours'!X29*'Base Hours'!$AA29)*-1</f>
        <v>-0</v>
      </c>
      <c r="AA29" s="416"/>
      <c r="AB29" s="416" t="n">
        <f aca="false">(BaseLoad!D28*'Base Hours'!X29*'Base Hours'!$AA29)*-1</f>
        <v>-0</v>
      </c>
      <c r="AC29" s="416"/>
      <c r="AD29" s="416" t="n">
        <f aca="false">(BaseLoad!E28*'Base Hours'!X29*'Base Hours'!$AA29)*-1</f>
        <v>-0</v>
      </c>
      <c r="AE29" s="416"/>
      <c r="AF29" s="416" t="n">
        <f aca="false">(BaseLoad!F28*'Base Hours'!X29*'Base Hours'!$AA29)*-1</f>
        <v>-0</v>
      </c>
      <c r="AG29" s="416"/>
    </row>
    <row r="30" customFormat="false" ht="12.75" hidden="false" customHeight="false" outlineLevel="0" collapsed="false">
      <c r="A30" s="400" t="n">
        <f aca="false">A29+30.417</f>
        <v>37148.34</v>
      </c>
      <c r="B30" s="415" t="str">
        <f aca="false">IF($A$1="Peak","-",'Base Hours'!B30*BaseLoad!H29*'Base Hours'!$AA30)</f>
        <v>-</v>
      </c>
      <c r="C30" s="415" t="str">
        <f aca="false">IF($A$1="Peak","-",'Base Hours'!C30*BaseLoad!I29*'Base Hours'!$AA30)</f>
        <v>-</v>
      </c>
      <c r="D30" s="415" t="str">
        <f aca="false">IF($A$1="Peak","-",'Base Hours'!D30*BaseLoad!J29*'Base Hours'!$AA30)</f>
        <v>-</v>
      </c>
      <c r="E30" s="415" t="str">
        <f aca="false">IF($A$1="Peak","-",'Base Hours'!E30*BaseLoad!K29*'Base Hours'!$AA30)</f>
        <v>-</v>
      </c>
      <c r="F30" s="415" t="str">
        <f aca="false">IF($A$1="Peak","-",'Base Hours'!F30*BaseLoad!L29*'Base Hours'!$AA30)</f>
        <v>-</v>
      </c>
      <c r="G30" s="415" t="str">
        <f aca="false">IF($A$1="Peak","-",'Base Hours'!G30*BaseLoad!M29*'Base Hours'!$AA30)</f>
        <v>-</v>
      </c>
      <c r="H30" s="415" t="str">
        <f aca="false">IF($A$1="Peak","-",'Base Hours'!H30*BaseLoad!N29*'Base Hours'!$AA30)</f>
        <v>-</v>
      </c>
      <c r="I30" s="415" t="str">
        <f aca="false">IF($A$1="Peak","-",'Base Hours'!I30*BaseLoad!O29*'Base Hours'!$AA30)</f>
        <v>-</v>
      </c>
      <c r="J30" s="415" t="str">
        <f aca="false">IF($A$1="Peak","-",'Base Hours'!J30*BaseLoad!P29*'Base Hours'!$AA30)</f>
        <v>-</v>
      </c>
      <c r="K30" s="415" t="str">
        <f aca="false">IF($A$1="Peak","-",'Base Hours'!K30*BaseLoad!Q29*'Base Hours'!$AA30)</f>
        <v>-</v>
      </c>
      <c r="L30" s="415" t="str">
        <f aca="false">IF($A$1="Peak","-",'Base Hours'!L30*BaseLoad!R29*'Base Hours'!$AA30)</f>
        <v>-</v>
      </c>
      <c r="M30" s="415" t="str">
        <f aca="false">IF($A$1="Peak","-",'Base Hours'!M30*BaseLoad!S29*'Base Hours'!$AA30)</f>
        <v>-</v>
      </c>
      <c r="N30" s="415" t="str">
        <f aca="false">IF($A$1="Peak","-",'Base Hours'!N30*BaseLoad!T29*'Base Hours'!$AA30)</f>
        <v>-</v>
      </c>
      <c r="O30" s="415" t="str">
        <f aca="false">IF($A$1="Peak","-",'Base Hours'!O30*BaseLoad!U29*'Base Hours'!$AA30)</f>
        <v>-</v>
      </c>
      <c r="P30" s="415" t="str">
        <f aca="false">IF($A$1="Peak","-",'Base Hours'!P30*BaseLoad!V29*'Base Hours'!$AA30)</f>
        <v>-</v>
      </c>
      <c r="Q30" s="415" t="str">
        <f aca="false">IF($A$1="Peak","-",'Base Hours'!Q30*BaseLoad!W29*'Base Hours'!$AA30)</f>
        <v>-</v>
      </c>
      <c r="R30" s="415" t="str">
        <f aca="false">IF($A$1="Peak","-",'Base Hours'!R30*BaseLoad!X29*'Base Hours'!$AA30)</f>
        <v>-</v>
      </c>
      <c r="S30" s="415" t="str">
        <f aca="false">IF($A$1="Peak","-",'Base Hours'!S30*BaseLoad!Y29*'Base Hours'!$AA30)</f>
        <v>-</v>
      </c>
      <c r="T30" s="415" t="str">
        <f aca="false">IF($A$1="Peak","-",'Base Hours'!T30*BaseLoad!Z29*'Base Hours'!$AA30)</f>
        <v>-</v>
      </c>
      <c r="U30" s="415" t="str">
        <f aca="false">IF($A$1="Peak","-",'Base Hours'!U30*BaseLoad!AA29*'Base Hours'!$AA30)</f>
        <v>-</v>
      </c>
      <c r="V30" s="415" t="n">
        <f aca="false">SUM(B30:U30)</f>
        <v>0</v>
      </c>
      <c r="W30" s="415"/>
      <c r="X30" s="415"/>
      <c r="Y30" s="416"/>
      <c r="Z30" s="416" t="n">
        <f aca="false">(BaseLoad!C29*'Base Hours'!X30*'Base Hours'!$AA30)*-1</f>
        <v>-0</v>
      </c>
      <c r="AA30" s="416"/>
      <c r="AB30" s="416" t="n">
        <f aca="false">(BaseLoad!D29*'Base Hours'!X30*'Base Hours'!$AA30)*-1</f>
        <v>-0</v>
      </c>
      <c r="AC30" s="416"/>
      <c r="AD30" s="416" t="n">
        <f aca="false">(BaseLoad!E29*'Base Hours'!X30*'Base Hours'!$AA30)*-1</f>
        <v>-0</v>
      </c>
      <c r="AE30" s="416"/>
      <c r="AF30" s="416" t="n">
        <f aca="false">(BaseLoad!F29*'Base Hours'!X30*'Base Hours'!$AA30)*-1</f>
        <v>-0</v>
      </c>
      <c r="AG30" s="416"/>
    </row>
    <row r="31" customFormat="false" ht="12.75" hidden="false" customHeight="false" outlineLevel="0" collapsed="false">
      <c r="A31" s="400" t="n">
        <f aca="false">A30+30.417</f>
        <v>37178.757</v>
      </c>
      <c r="B31" s="415" t="str">
        <f aca="false">IF($A$1="Peak","-",'Base Hours'!B31*BaseLoad!H30*'Base Hours'!$AA31)</f>
        <v>-</v>
      </c>
      <c r="C31" s="415" t="str">
        <f aca="false">IF($A$1="Peak","-",'Base Hours'!C31*BaseLoad!I30*'Base Hours'!$AA31)</f>
        <v>-</v>
      </c>
      <c r="D31" s="415" t="str">
        <f aca="false">IF($A$1="Peak","-",'Base Hours'!D31*BaseLoad!J30*'Base Hours'!$AA31)</f>
        <v>-</v>
      </c>
      <c r="E31" s="415" t="str">
        <f aca="false">IF($A$1="Peak","-",'Base Hours'!E31*BaseLoad!K30*'Base Hours'!$AA31)</f>
        <v>-</v>
      </c>
      <c r="F31" s="415" t="str">
        <f aca="false">IF($A$1="Peak","-",'Base Hours'!F31*BaseLoad!L30*'Base Hours'!$AA31)</f>
        <v>-</v>
      </c>
      <c r="G31" s="415" t="str">
        <f aca="false">IF($A$1="Peak","-",'Base Hours'!G31*BaseLoad!M30*'Base Hours'!$AA31)</f>
        <v>-</v>
      </c>
      <c r="H31" s="415" t="str">
        <f aca="false">IF($A$1="Peak","-",'Base Hours'!H31*BaseLoad!N30*'Base Hours'!$AA31)</f>
        <v>-</v>
      </c>
      <c r="I31" s="415" t="str">
        <f aca="false">IF($A$1="Peak","-",'Base Hours'!I31*BaseLoad!O30*'Base Hours'!$AA31)</f>
        <v>-</v>
      </c>
      <c r="J31" s="415" t="str">
        <f aca="false">IF($A$1="Peak","-",'Base Hours'!J31*BaseLoad!P30*'Base Hours'!$AA31)</f>
        <v>-</v>
      </c>
      <c r="K31" s="415" t="str">
        <f aca="false">IF($A$1="Peak","-",'Base Hours'!K31*BaseLoad!Q30*'Base Hours'!$AA31)</f>
        <v>-</v>
      </c>
      <c r="L31" s="415" t="str">
        <f aca="false">IF($A$1="Peak","-",'Base Hours'!L31*BaseLoad!R30*'Base Hours'!$AA31)</f>
        <v>-</v>
      </c>
      <c r="M31" s="415" t="str">
        <f aca="false">IF($A$1="Peak","-",'Base Hours'!M31*BaseLoad!S30*'Base Hours'!$AA31)</f>
        <v>-</v>
      </c>
      <c r="N31" s="415" t="str">
        <f aca="false">IF($A$1="Peak","-",'Base Hours'!N31*BaseLoad!T30*'Base Hours'!$AA31)</f>
        <v>-</v>
      </c>
      <c r="O31" s="415" t="str">
        <f aca="false">IF($A$1="Peak","-",'Base Hours'!O31*BaseLoad!U30*'Base Hours'!$AA31)</f>
        <v>-</v>
      </c>
      <c r="P31" s="415" t="str">
        <f aca="false">IF($A$1="Peak","-",'Base Hours'!P31*BaseLoad!V30*'Base Hours'!$AA31)</f>
        <v>-</v>
      </c>
      <c r="Q31" s="415" t="str">
        <f aca="false">IF($A$1="Peak","-",'Base Hours'!Q31*BaseLoad!W30*'Base Hours'!$AA31)</f>
        <v>-</v>
      </c>
      <c r="R31" s="415" t="str">
        <f aca="false">IF($A$1="Peak","-",'Base Hours'!R31*BaseLoad!X30*'Base Hours'!$AA31)</f>
        <v>-</v>
      </c>
      <c r="S31" s="415" t="str">
        <f aca="false">IF($A$1="Peak","-",'Base Hours'!S31*BaseLoad!Y30*'Base Hours'!$AA31)</f>
        <v>-</v>
      </c>
      <c r="T31" s="415" t="str">
        <f aca="false">IF($A$1="Peak","-",'Base Hours'!T31*BaseLoad!Z30*'Base Hours'!$AA31)</f>
        <v>-</v>
      </c>
      <c r="U31" s="415" t="str">
        <f aca="false">IF($A$1="Peak","-",'Base Hours'!U31*BaseLoad!AA30*'Base Hours'!$AA31)</f>
        <v>-</v>
      </c>
      <c r="V31" s="415" t="n">
        <f aca="false">SUM(B31:U31)</f>
        <v>0</v>
      </c>
      <c r="W31" s="415"/>
      <c r="X31" s="415"/>
      <c r="Y31" s="416"/>
      <c r="Z31" s="416" t="n">
        <f aca="false">(BaseLoad!C30*'Base Hours'!X31*'Base Hours'!$AA31)*-1</f>
        <v>-0</v>
      </c>
      <c r="AA31" s="416"/>
      <c r="AB31" s="416" t="n">
        <f aca="false">(BaseLoad!D30*'Base Hours'!X31*'Base Hours'!$AA31)*-1</f>
        <v>-0</v>
      </c>
      <c r="AC31" s="416"/>
      <c r="AD31" s="416" t="n">
        <f aca="false">(BaseLoad!E30*'Base Hours'!X31*'Base Hours'!$AA31)*-1</f>
        <v>-0</v>
      </c>
      <c r="AE31" s="416"/>
      <c r="AF31" s="416" t="n">
        <f aca="false">(BaseLoad!F30*'Base Hours'!X31*'Base Hours'!$AA31)*-1</f>
        <v>-0</v>
      </c>
      <c r="AG31" s="416"/>
    </row>
    <row r="32" customFormat="false" ht="12.75" hidden="false" customHeight="false" outlineLevel="0" collapsed="false">
      <c r="A32" s="400" t="n">
        <f aca="false">A31+30.417</f>
        <v>37209.174</v>
      </c>
      <c r="B32" s="415" t="str">
        <f aca="false">IF($A$1="Peak","-",'Base Hours'!B32*BaseLoad!H31*'Base Hours'!$AA32)</f>
        <v>-</v>
      </c>
      <c r="C32" s="415" t="str">
        <f aca="false">IF($A$1="Peak","-",'Base Hours'!C32*BaseLoad!I31*'Base Hours'!$AA32)</f>
        <v>-</v>
      </c>
      <c r="D32" s="415" t="str">
        <f aca="false">IF($A$1="Peak","-",'Base Hours'!D32*BaseLoad!J31*'Base Hours'!$AA32)</f>
        <v>-</v>
      </c>
      <c r="E32" s="415" t="str">
        <f aca="false">IF($A$1="Peak","-",'Base Hours'!E32*BaseLoad!K31*'Base Hours'!$AA32)</f>
        <v>-</v>
      </c>
      <c r="F32" s="415" t="str">
        <f aca="false">IF($A$1="Peak","-",'Base Hours'!F32*BaseLoad!L31*'Base Hours'!$AA32)</f>
        <v>-</v>
      </c>
      <c r="G32" s="415" t="str">
        <f aca="false">IF($A$1="Peak","-",'Base Hours'!G32*BaseLoad!M31*'Base Hours'!$AA32)</f>
        <v>-</v>
      </c>
      <c r="H32" s="415" t="str">
        <f aca="false">IF($A$1="Peak","-",'Base Hours'!H32*BaseLoad!N31*'Base Hours'!$AA32)</f>
        <v>-</v>
      </c>
      <c r="I32" s="415" t="str">
        <f aca="false">IF($A$1="Peak","-",'Base Hours'!I32*BaseLoad!O31*'Base Hours'!$AA32)</f>
        <v>-</v>
      </c>
      <c r="J32" s="415" t="str">
        <f aca="false">IF($A$1="Peak","-",'Base Hours'!J32*BaseLoad!P31*'Base Hours'!$AA32)</f>
        <v>-</v>
      </c>
      <c r="K32" s="415" t="str">
        <f aca="false">IF($A$1="Peak","-",'Base Hours'!K32*BaseLoad!Q31*'Base Hours'!$AA32)</f>
        <v>-</v>
      </c>
      <c r="L32" s="415" t="str">
        <f aca="false">IF($A$1="Peak","-",'Base Hours'!L32*BaseLoad!R31*'Base Hours'!$AA32)</f>
        <v>-</v>
      </c>
      <c r="M32" s="415" t="str">
        <f aca="false">IF($A$1="Peak","-",'Base Hours'!M32*BaseLoad!S31*'Base Hours'!$AA32)</f>
        <v>-</v>
      </c>
      <c r="N32" s="415" t="str">
        <f aca="false">IF($A$1="Peak","-",'Base Hours'!N32*BaseLoad!T31*'Base Hours'!$AA32)</f>
        <v>-</v>
      </c>
      <c r="O32" s="415" t="str">
        <f aca="false">IF($A$1="Peak","-",'Base Hours'!O32*BaseLoad!U31*'Base Hours'!$AA32)</f>
        <v>-</v>
      </c>
      <c r="P32" s="415" t="str">
        <f aca="false">IF($A$1="Peak","-",'Base Hours'!P32*BaseLoad!V31*'Base Hours'!$AA32)</f>
        <v>-</v>
      </c>
      <c r="Q32" s="415" t="str">
        <f aca="false">IF($A$1="Peak","-",'Base Hours'!Q32*BaseLoad!W31*'Base Hours'!$AA32)</f>
        <v>-</v>
      </c>
      <c r="R32" s="415" t="str">
        <f aca="false">IF($A$1="Peak","-",'Base Hours'!R32*BaseLoad!X31*'Base Hours'!$AA32)</f>
        <v>-</v>
      </c>
      <c r="S32" s="415" t="str">
        <f aca="false">IF($A$1="Peak","-",'Base Hours'!S32*BaseLoad!Y31*'Base Hours'!$AA32)</f>
        <v>-</v>
      </c>
      <c r="T32" s="415" t="str">
        <f aca="false">IF($A$1="Peak","-",'Base Hours'!T32*BaseLoad!Z31*'Base Hours'!$AA32)</f>
        <v>-</v>
      </c>
      <c r="U32" s="415" t="str">
        <f aca="false">IF($A$1="Peak","-",'Base Hours'!U32*BaseLoad!AA31*'Base Hours'!$AA32)</f>
        <v>-</v>
      </c>
      <c r="V32" s="415" t="n">
        <f aca="false">SUM(B32:U32)</f>
        <v>0</v>
      </c>
      <c r="W32" s="415"/>
      <c r="X32" s="415"/>
      <c r="Y32" s="416"/>
      <c r="Z32" s="416" t="n">
        <f aca="false">(BaseLoad!C31*'Base Hours'!X32*'Base Hours'!$AA32)*-1</f>
        <v>-0</v>
      </c>
      <c r="AA32" s="416"/>
      <c r="AB32" s="416" t="n">
        <f aca="false">(BaseLoad!D31*'Base Hours'!X32*'Base Hours'!$AA32)*-1</f>
        <v>-0</v>
      </c>
      <c r="AC32" s="416"/>
      <c r="AD32" s="416" t="n">
        <f aca="false">(BaseLoad!E31*'Base Hours'!X32*'Base Hours'!$AA32)*-1</f>
        <v>-0</v>
      </c>
      <c r="AE32" s="416"/>
      <c r="AF32" s="416" t="n">
        <f aca="false">(BaseLoad!F31*'Base Hours'!X32*'Base Hours'!$AA32)*-1</f>
        <v>-0</v>
      </c>
      <c r="AG32" s="416"/>
    </row>
    <row r="33" customFormat="false" ht="12.75" hidden="false" customHeight="false" outlineLevel="0" collapsed="false">
      <c r="A33" s="400" t="n">
        <f aca="false">A32+30.417</f>
        <v>37239.591</v>
      </c>
      <c r="B33" s="415" t="str">
        <f aca="false">IF($A$1="Peak","-",'Base Hours'!B33*BaseLoad!H32*'Base Hours'!$AA33)</f>
        <v>-</v>
      </c>
      <c r="C33" s="415" t="str">
        <f aca="false">IF($A$1="Peak","-",'Base Hours'!C33*BaseLoad!I32*'Base Hours'!$AA33)</f>
        <v>-</v>
      </c>
      <c r="D33" s="415" t="str">
        <f aca="false">IF($A$1="Peak","-",'Base Hours'!D33*BaseLoad!J32*'Base Hours'!$AA33)</f>
        <v>-</v>
      </c>
      <c r="E33" s="415" t="str">
        <f aca="false">IF($A$1="Peak","-",'Base Hours'!E33*BaseLoad!K32*'Base Hours'!$AA33)</f>
        <v>-</v>
      </c>
      <c r="F33" s="415" t="str">
        <f aca="false">IF($A$1="Peak","-",'Base Hours'!F33*BaseLoad!L32*'Base Hours'!$AA33)</f>
        <v>-</v>
      </c>
      <c r="G33" s="415" t="str">
        <f aca="false">IF($A$1="Peak","-",'Base Hours'!G33*BaseLoad!M32*'Base Hours'!$AA33)</f>
        <v>-</v>
      </c>
      <c r="H33" s="415" t="str">
        <f aca="false">IF($A$1="Peak","-",'Base Hours'!H33*BaseLoad!N32*'Base Hours'!$AA33)</f>
        <v>-</v>
      </c>
      <c r="I33" s="415" t="str">
        <f aca="false">IF($A$1="Peak","-",'Base Hours'!I33*BaseLoad!O32*'Base Hours'!$AA33)</f>
        <v>-</v>
      </c>
      <c r="J33" s="415" t="str">
        <f aca="false">IF($A$1="Peak","-",'Base Hours'!J33*BaseLoad!P32*'Base Hours'!$AA33)</f>
        <v>-</v>
      </c>
      <c r="K33" s="415" t="str">
        <f aca="false">IF($A$1="Peak","-",'Base Hours'!K33*BaseLoad!Q32*'Base Hours'!$AA33)</f>
        <v>-</v>
      </c>
      <c r="L33" s="415" t="str">
        <f aca="false">IF($A$1="Peak","-",'Base Hours'!L33*BaseLoad!R32*'Base Hours'!$AA33)</f>
        <v>-</v>
      </c>
      <c r="M33" s="415" t="str">
        <f aca="false">IF($A$1="Peak","-",'Base Hours'!M33*BaseLoad!S32*'Base Hours'!$AA33)</f>
        <v>-</v>
      </c>
      <c r="N33" s="415" t="str">
        <f aca="false">IF($A$1="Peak","-",'Base Hours'!N33*BaseLoad!T32*'Base Hours'!$AA33)</f>
        <v>-</v>
      </c>
      <c r="O33" s="415" t="str">
        <f aca="false">IF($A$1="Peak","-",'Base Hours'!O33*BaseLoad!U32*'Base Hours'!$AA33)</f>
        <v>-</v>
      </c>
      <c r="P33" s="415" t="str">
        <f aca="false">IF($A$1="Peak","-",'Base Hours'!P33*BaseLoad!V32*'Base Hours'!$AA33)</f>
        <v>-</v>
      </c>
      <c r="Q33" s="415" t="str">
        <f aca="false">IF($A$1="Peak","-",'Base Hours'!Q33*BaseLoad!W32*'Base Hours'!$AA33)</f>
        <v>-</v>
      </c>
      <c r="R33" s="415" t="str">
        <f aca="false">IF($A$1="Peak","-",'Base Hours'!R33*BaseLoad!X32*'Base Hours'!$AA33)</f>
        <v>-</v>
      </c>
      <c r="S33" s="415" t="str">
        <f aca="false">IF($A$1="Peak","-",'Base Hours'!S33*BaseLoad!Y32*'Base Hours'!$AA33)</f>
        <v>-</v>
      </c>
      <c r="T33" s="415" t="str">
        <f aca="false">IF($A$1="Peak","-",'Base Hours'!T33*BaseLoad!Z32*'Base Hours'!$AA33)</f>
        <v>-</v>
      </c>
      <c r="U33" s="415" t="str">
        <f aca="false">IF($A$1="Peak","-",'Base Hours'!U33*BaseLoad!AA32*'Base Hours'!$AA33)</f>
        <v>-</v>
      </c>
      <c r="V33" s="415" t="n">
        <f aca="false">SUM(B33:U33)</f>
        <v>0</v>
      </c>
      <c r="W33" s="415" t="n">
        <f aca="false">IF($A$1="BL",(SUM(V22:V33)),0)</f>
        <v>0</v>
      </c>
      <c r="X33" s="415" t="n">
        <f aca="false">IF(AND($A$1="BL",W33&gt;0),(PPA!$B$5*8760*BaseLoad!$AP$15*PPA!$G$4*BaseLoad!$AP$9),0)</f>
        <v>0</v>
      </c>
      <c r="Y33" s="416" t="n">
        <f aca="false">X33+W33</f>
        <v>0</v>
      </c>
      <c r="Z33" s="416" t="n">
        <f aca="false">(BaseLoad!C32*'Base Hours'!X33*'Base Hours'!$AA33)*-1</f>
        <v>-0</v>
      </c>
      <c r="AA33" s="416" t="n">
        <f aca="false">SUM(Z22:Z33)</f>
        <v>0</v>
      </c>
      <c r="AB33" s="416" t="n">
        <f aca="false">(BaseLoad!D32*'Base Hours'!X33*'Base Hours'!$AA33)*-1</f>
        <v>-0</v>
      </c>
      <c r="AC33" s="416" t="n">
        <f aca="false">SUM(AB22:AB33)</f>
        <v>0</v>
      </c>
      <c r="AD33" s="416" t="n">
        <f aca="false">(BaseLoad!E32*'Base Hours'!X33*'Base Hours'!$AA33)*-1</f>
        <v>-0</v>
      </c>
      <c r="AE33" s="416" t="n">
        <f aca="false">SUM(AD22:AD33)</f>
        <v>0</v>
      </c>
      <c r="AF33" s="416" t="n">
        <f aca="false">(BaseLoad!F32*'Base Hours'!X33*'Base Hours'!$AA33)*-1</f>
        <v>-0</v>
      </c>
      <c r="AG33" s="416" t="n">
        <f aca="false">SUM(AF22:AF33)</f>
        <v>0</v>
      </c>
    </row>
    <row r="34" customFormat="false" ht="12.75" hidden="false" customHeight="false" outlineLevel="0" collapsed="false">
      <c r="A34" s="400" t="n">
        <f aca="false">A33+30.417</f>
        <v>37270.008</v>
      </c>
      <c r="B34" s="415" t="str">
        <f aca="false">IF($A$1="Peak","-",'Base Hours'!B34*BaseLoad!H33*'Base Hours'!$AA34)</f>
        <v>-</v>
      </c>
      <c r="C34" s="415" t="str">
        <f aca="false">IF($A$1="Peak","-",'Base Hours'!C34*BaseLoad!I33*'Base Hours'!$AA34)</f>
        <v>-</v>
      </c>
      <c r="D34" s="415" t="str">
        <f aca="false">IF($A$1="Peak","-",'Base Hours'!D34*BaseLoad!J33*'Base Hours'!$AA34)</f>
        <v>-</v>
      </c>
      <c r="E34" s="415" t="str">
        <f aca="false">IF($A$1="Peak","-",'Base Hours'!E34*BaseLoad!K33*'Base Hours'!$AA34)</f>
        <v>-</v>
      </c>
      <c r="F34" s="415" t="str">
        <f aca="false">IF($A$1="Peak","-",'Base Hours'!F34*BaseLoad!L33*'Base Hours'!$AA34)</f>
        <v>-</v>
      </c>
      <c r="G34" s="415" t="str">
        <f aca="false">IF($A$1="Peak","-",'Base Hours'!G34*BaseLoad!M33*'Base Hours'!$AA34)</f>
        <v>-</v>
      </c>
      <c r="H34" s="415" t="str">
        <f aca="false">IF($A$1="Peak","-",'Base Hours'!H34*BaseLoad!N33*'Base Hours'!$AA34)</f>
        <v>-</v>
      </c>
      <c r="I34" s="415" t="str">
        <f aca="false">IF($A$1="Peak","-",'Base Hours'!I34*BaseLoad!O33*'Base Hours'!$AA34)</f>
        <v>-</v>
      </c>
      <c r="J34" s="415" t="str">
        <f aca="false">IF($A$1="Peak","-",'Base Hours'!J34*BaseLoad!P33*'Base Hours'!$AA34)</f>
        <v>-</v>
      </c>
      <c r="K34" s="415" t="str">
        <f aca="false">IF($A$1="Peak","-",'Base Hours'!K34*BaseLoad!Q33*'Base Hours'!$AA34)</f>
        <v>-</v>
      </c>
      <c r="L34" s="415" t="str">
        <f aca="false">IF($A$1="Peak","-",'Base Hours'!L34*BaseLoad!R33*'Base Hours'!$AA34)</f>
        <v>-</v>
      </c>
      <c r="M34" s="415" t="str">
        <f aca="false">IF($A$1="Peak","-",'Base Hours'!M34*BaseLoad!S33*'Base Hours'!$AA34)</f>
        <v>-</v>
      </c>
      <c r="N34" s="415" t="str">
        <f aca="false">IF($A$1="Peak","-",'Base Hours'!N34*BaseLoad!T33*'Base Hours'!$AA34)</f>
        <v>-</v>
      </c>
      <c r="O34" s="415" t="str">
        <f aca="false">IF($A$1="Peak","-",'Base Hours'!O34*BaseLoad!U33*'Base Hours'!$AA34)</f>
        <v>-</v>
      </c>
      <c r="P34" s="415" t="str">
        <f aca="false">IF($A$1="Peak","-",'Base Hours'!P34*BaseLoad!V33*'Base Hours'!$AA34)</f>
        <v>-</v>
      </c>
      <c r="Q34" s="415" t="str">
        <f aca="false">IF($A$1="Peak","-",'Base Hours'!Q34*BaseLoad!W33*'Base Hours'!$AA34)</f>
        <v>-</v>
      </c>
      <c r="R34" s="415" t="str">
        <f aca="false">IF($A$1="Peak","-",'Base Hours'!R34*BaseLoad!X33*'Base Hours'!$AA34)</f>
        <v>-</v>
      </c>
      <c r="S34" s="415" t="str">
        <f aca="false">IF($A$1="Peak","-",'Base Hours'!S34*BaseLoad!Y33*'Base Hours'!$AA34)</f>
        <v>-</v>
      </c>
      <c r="T34" s="415" t="str">
        <f aca="false">IF($A$1="Peak","-",'Base Hours'!T34*BaseLoad!Z33*'Base Hours'!$AA34)</f>
        <v>-</v>
      </c>
      <c r="U34" s="415" t="str">
        <f aca="false">IF($A$1="Peak","-",'Base Hours'!U34*BaseLoad!AA33*'Base Hours'!$AA34)</f>
        <v>-</v>
      </c>
      <c r="V34" s="415" t="n">
        <f aca="false">SUM(B34:U34)</f>
        <v>0</v>
      </c>
      <c r="W34" s="415"/>
      <c r="X34" s="415"/>
      <c r="Y34" s="416"/>
      <c r="Z34" s="416" t="n">
        <f aca="false">(BaseLoad!C33*'Base Hours'!X34*'Base Hours'!$AA34)*-1</f>
        <v>-0</v>
      </c>
      <c r="AA34" s="416"/>
      <c r="AB34" s="416" t="n">
        <f aca="false">(BaseLoad!D33*'Base Hours'!X34*'Base Hours'!$AA34)*-1</f>
        <v>-0</v>
      </c>
      <c r="AC34" s="416"/>
      <c r="AD34" s="416" t="n">
        <f aca="false">(BaseLoad!E33*'Base Hours'!X34*'Base Hours'!$AA34)*-1</f>
        <v>-0</v>
      </c>
      <c r="AE34" s="416"/>
      <c r="AF34" s="416" t="n">
        <f aca="false">(BaseLoad!F33*'Base Hours'!X34*'Base Hours'!$AA34)*-1</f>
        <v>-0</v>
      </c>
      <c r="AG34" s="416"/>
    </row>
    <row r="35" customFormat="false" ht="12.75" hidden="false" customHeight="false" outlineLevel="0" collapsed="false">
      <c r="A35" s="400" t="n">
        <f aca="false">A34+30.417</f>
        <v>37300.425</v>
      </c>
      <c r="B35" s="415" t="str">
        <f aca="false">IF($A$1="Peak","-",'Base Hours'!B35*BaseLoad!H34*'Base Hours'!$AA35)</f>
        <v>-</v>
      </c>
      <c r="C35" s="415" t="str">
        <f aca="false">IF($A$1="Peak","-",'Base Hours'!C35*BaseLoad!I34*'Base Hours'!$AA35)</f>
        <v>-</v>
      </c>
      <c r="D35" s="415" t="str">
        <f aca="false">IF($A$1="Peak","-",'Base Hours'!D35*BaseLoad!J34*'Base Hours'!$AA35)</f>
        <v>-</v>
      </c>
      <c r="E35" s="415" t="str">
        <f aca="false">IF($A$1="Peak","-",'Base Hours'!E35*BaseLoad!K34*'Base Hours'!$AA35)</f>
        <v>-</v>
      </c>
      <c r="F35" s="415" t="str">
        <f aca="false">IF($A$1="Peak","-",'Base Hours'!F35*BaseLoad!L34*'Base Hours'!$AA35)</f>
        <v>-</v>
      </c>
      <c r="G35" s="415" t="str">
        <f aca="false">IF($A$1="Peak","-",'Base Hours'!G35*BaseLoad!M34*'Base Hours'!$AA35)</f>
        <v>-</v>
      </c>
      <c r="H35" s="415" t="str">
        <f aca="false">IF($A$1="Peak","-",'Base Hours'!H35*BaseLoad!N34*'Base Hours'!$AA35)</f>
        <v>-</v>
      </c>
      <c r="I35" s="415" t="str">
        <f aca="false">IF($A$1="Peak","-",'Base Hours'!I35*BaseLoad!O34*'Base Hours'!$AA35)</f>
        <v>-</v>
      </c>
      <c r="J35" s="415" t="str">
        <f aca="false">IF($A$1="Peak","-",'Base Hours'!J35*BaseLoad!P34*'Base Hours'!$AA35)</f>
        <v>-</v>
      </c>
      <c r="K35" s="415" t="str">
        <f aca="false">IF($A$1="Peak","-",'Base Hours'!K35*BaseLoad!Q34*'Base Hours'!$AA35)</f>
        <v>-</v>
      </c>
      <c r="L35" s="415" t="str">
        <f aca="false">IF($A$1="Peak","-",'Base Hours'!L35*BaseLoad!R34*'Base Hours'!$AA35)</f>
        <v>-</v>
      </c>
      <c r="M35" s="415" t="str">
        <f aca="false">IF($A$1="Peak","-",'Base Hours'!M35*BaseLoad!S34*'Base Hours'!$AA35)</f>
        <v>-</v>
      </c>
      <c r="N35" s="415" t="str">
        <f aca="false">IF($A$1="Peak","-",'Base Hours'!N35*BaseLoad!T34*'Base Hours'!$AA35)</f>
        <v>-</v>
      </c>
      <c r="O35" s="415" t="str">
        <f aca="false">IF($A$1="Peak","-",'Base Hours'!O35*BaseLoad!U34*'Base Hours'!$AA35)</f>
        <v>-</v>
      </c>
      <c r="P35" s="415" t="str">
        <f aca="false">IF($A$1="Peak","-",'Base Hours'!P35*BaseLoad!V34*'Base Hours'!$AA35)</f>
        <v>-</v>
      </c>
      <c r="Q35" s="415" t="str">
        <f aca="false">IF($A$1="Peak","-",'Base Hours'!Q35*BaseLoad!W34*'Base Hours'!$AA35)</f>
        <v>-</v>
      </c>
      <c r="R35" s="415" t="str">
        <f aca="false">IF($A$1="Peak","-",'Base Hours'!R35*BaseLoad!X34*'Base Hours'!$AA35)</f>
        <v>-</v>
      </c>
      <c r="S35" s="415" t="str">
        <f aca="false">IF($A$1="Peak","-",'Base Hours'!S35*BaseLoad!Y34*'Base Hours'!$AA35)</f>
        <v>-</v>
      </c>
      <c r="T35" s="415" t="str">
        <f aca="false">IF($A$1="Peak","-",'Base Hours'!T35*BaseLoad!Z34*'Base Hours'!$AA35)</f>
        <v>-</v>
      </c>
      <c r="U35" s="415" t="str">
        <f aca="false">IF($A$1="Peak","-",'Base Hours'!U35*BaseLoad!AA34*'Base Hours'!$AA35)</f>
        <v>-</v>
      </c>
      <c r="V35" s="415" t="n">
        <f aca="false">SUM(B35:U35)</f>
        <v>0</v>
      </c>
      <c r="W35" s="415"/>
      <c r="X35" s="415"/>
      <c r="Y35" s="416"/>
      <c r="Z35" s="416" t="n">
        <f aca="false">(BaseLoad!C34*'Base Hours'!X35*'Base Hours'!$AA35)*-1</f>
        <v>-0</v>
      </c>
      <c r="AA35" s="416"/>
      <c r="AB35" s="416" t="n">
        <f aca="false">(BaseLoad!D34*'Base Hours'!X35*'Base Hours'!$AA35)*-1</f>
        <v>-0</v>
      </c>
      <c r="AC35" s="416"/>
      <c r="AD35" s="416" t="n">
        <f aca="false">(BaseLoad!E34*'Base Hours'!X35*'Base Hours'!$AA35)*-1</f>
        <v>-0</v>
      </c>
      <c r="AE35" s="416"/>
      <c r="AF35" s="416" t="n">
        <f aca="false">(BaseLoad!F34*'Base Hours'!X35*'Base Hours'!$AA35)*-1</f>
        <v>-0</v>
      </c>
      <c r="AG35" s="416"/>
    </row>
    <row r="36" customFormat="false" ht="12.75" hidden="false" customHeight="false" outlineLevel="0" collapsed="false">
      <c r="A36" s="400" t="n">
        <f aca="false">A35+30.417</f>
        <v>37330.842</v>
      </c>
      <c r="B36" s="415" t="str">
        <f aca="false">IF($A$1="Peak","-",'Base Hours'!B36*BaseLoad!H35*'Base Hours'!$AA36)</f>
        <v>-</v>
      </c>
      <c r="C36" s="415" t="str">
        <f aca="false">IF($A$1="Peak","-",'Base Hours'!C36*BaseLoad!I35*'Base Hours'!$AA36)</f>
        <v>-</v>
      </c>
      <c r="D36" s="415" t="str">
        <f aca="false">IF($A$1="Peak","-",'Base Hours'!D36*BaseLoad!J35*'Base Hours'!$AA36)</f>
        <v>-</v>
      </c>
      <c r="E36" s="415" t="str">
        <f aca="false">IF($A$1="Peak","-",'Base Hours'!E36*BaseLoad!K35*'Base Hours'!$AA36)</f>
        <v>-</v>
      </c>
      <c r="F36" s="415" t="str">
        <f aca="false">IF($A$1="Peak","-",'Base Hours'!F36*BaseLoad!L35*'Base Hours'!$AA36)</f>
        <v>-</v>
      </c>
      <c r="G36" s="415" t="str">
        <f aca="false">IF($A$1="Peak","-",'Base Hours'!G36*BaseLoad!M35*'Base Hours'!$AA36)</f>
        <v>-</v>
      </c>
      <c r="H36" s="415" t="str">
        <f aca="false">IF($A$1="Peak","-",'Base Hours'!H36*BaseLoad!N35*'Base Hours'!$AA36)</f>
        <v>-</v>
      </c>
      <c r="I36" s="415" t="str">
        <f aca="false">IF($A$1="Peak","-",'Base Hours'!I36*BaseLoad!O35*'Base Hours'!$AA36)</f>
        <v>-</v>
      </c>
      <c r="J36" s="415" t="str">
        <f aca="false">IF($A$1="Peak","-",'Base Hours'!J36*BaseLoad!P35*'Base Hours'!$AA36)</f>
        <v>-</v>
      </c>
      <c r="K36" s="415" t="str">
        <f aca="false">IF($A$1="Peak","-",'Base Hours'!K36*BaseLoad!Q35*'Base Hours'!$AA36)</f>
        <v>-</v>
      </c>
      <c r="L36" s="415" t="str">
        <f aca="false">IF($A$1="Peak","-",'Base Hours'!L36*BaseLoad!R35*'Base Hours'!$AA36)</f>
        <v>-</v>
      </c>
      <c r="M36" s="415" t="str">
        <f aca="false">IF($A$1="Peak","-",'Base Hours'!M36*BaseLoad!S35*'Base Hours'!$AA36)</f>
        <v>-</v>
      </c>
      <c r="N36" s="415" t="str">
        <f aca="false">IF($A$1="Peak","-",'Base Hours'!N36*BaseLoad!T35*'Base Hours'!$AA36)</f>
        <v>-</v>
      </c>
      <c r="O36" s="415" t="str">
        <f aca="false">IF($A$1="Peak","-",'Base Hours'!O36*BaseLoad!U35*'Base Hours'!$AA36)</f>
        <v>-</v>
      </c>
      <c r="P36" s="415" t="str">
        <f aca="false">IF($A$1="Peak","-",'Base Hours'!P36*BaseLoad!V35*'Base Hours'!$AA36)</f>
        <v>-</v>
      </c>
      <c r="Q36" s="415" t="str">
        <f aca="false">IF($A$1="Peak","-",'Base Hours'!Q36*BaseLoad!W35*'Base Hours'!$AA36)</f>
        <v>-</v>
      </c>
      <c r="R36" s="415" t="str">
        <f aca="false">IF($A$1="Peak","-",'Base Hours'!R36*BaseLoad!X35*'Base Hours'!$AA36)</f>
        <v>-</v>
      </c>
      <c r="S36" s="415" t="str">
        <f aca="false">IF($A$1="Peak","-",'Base Hours'!S36*BaseLoad!Y35*'Base Hours'!$AA36)</f>
        <v>-</v>
      </c>
      <c r="T36" s="415" t="str">
        <f aca="false">IF($A$1="Peak","-",'Base Hours'!T36*BaseLoad!Z35*'Base Hours'!$AA36)</f>
        <v>-</v>
      </c>
      <c r="U36" s="415" t="str">
        <f aca="false">IF($A$1="Peak","-",'Base Hours'!U36*BaseLoad!AA35*'Base Hours'!$AA36)</f>
        <v>-</v>
      </c>
      <c r="V36" s="415" t="n">
        <f aca="false">SUM(B36:U36)</f>
        <v>0</v>
      </c>
      <c r="W36" s="415"/>
      <c r="X36" s="415"/>
      <c r="Y36" s="416"/>
      <c r="Z36" s="416" t="n">
        <f aca="false">(BaseLoad!C35*'Base Hours'!X36*'Base Hours'!$AA36)*-1</f>
        <v>-0</v>
      </c>
      <c r="AA36" s="416"/>
      <c r="AB36" s="416" t="n">
        <f aca="false">(BaseLoad!D35*'Base Hours'!X36*'Base Hours'!$AA36)*-1</f>
        <v>-0</v>
      </c>
      <c r="AC36" s="416"/>
      <c r="AD36" s="416" t="n">
        <f aca="false">(BaseLoad!E35*'Base Hours'!X36*'Base Hours'!$AA36)*-1</f>
        <v>-0</v>
      </c>
      <c r="AE36" s="416"/>
      <c r="AF36" s="416" t="n">
        <f aca="false">(BaseLoad!F35*'Base Hours'!X36*'Base Hours'!$AA36)*-1</f>
        <v>-0</v>
      </c>
      <c r="AG36" s="416"/>
    </row>
    <row r="37" customFormat="false" ht="12.75" hidden="false" customHeight="false" outlineLevel="0" collapsed="false">
      <c r="A37" s="400" t="n">
        <f aca="false">A36+30.417</f>
        <v>37361.259</v>
      </c>
      <c r="B37" s="415" t="str">
        <f aca="false">IF($A$1="Peak","-",'Base Hours'!B37*BaseLoad!H36*'Base Hours'!$AA37)</f>
        <v>-</v>
      </c>
      <c r="C37" s="415" t="str">
        <f aca="false">IF($A$1="Peak","-",'Base Hours'!C37*BaseLoad!I36*'Base Hours'!$AA37)</f>
        <v>-</v>
      </c>
      <c r="D37" s="415" t="str">
        <f aca="false">IF($A$1="Peak","-",'Base Hours'!D37*BaseLoad!J36*'Base Hours'!$AA37)</f>
        <v>-</v>
      </c>
      <c r="E37" s="415" t="str">
        <f aca="false">IF($A$1="Peak","-",'Base Hours'!E37*BaseLoad!K36*'Base Hours'!$AA37)</f>
        <v>-</v>
      </c>
      <c r="F37" s="415" t="str">
        <f aca="false">IF($A$1="Peak","-",'Base Hours'!F37*BaseLoad!L36*'Base Hours'!$AA37)</f>
        <v>-</v>
      </c>
      <c r="G37" s="415" t="str">
        <f aca="false">IF($A$1="Peak","-",'Base Hours'!G37*BaseLoad!M36*'Base Hours'!$AA37)</f>
        <v>-</v>
      </c>
      <c r="H37" s="415" t="str">
        <f aca="false">IF($A$1="Peak","-",'Base Hours'!H37*BaseLoad!N36*'Base Hours'!$AA37)</f>
        <v>-</v>
      </c>
      <c r="I37" s="415" t="str">
        <f aca="false">IF($A$1="Peak","-",'Base Hours'!I37*BaseLoad!O36*'Base Hours'!$AA37)</f>
        <v>-</v>
      </c>
      <c r="J37" s="415" t="str">
        <f aca="false">IF($A$1="Peak","-",'Base Hours'!J37*BaseLoad!P36*'Base Hours'!$AA37)</f>
        <v>-</v>
      </c>
      <c r="K37" s="415" t="str">
        <f aca="false">IF($A$1="Peak","-",'Base Hours'!K37*BaseLoad!Q36*'Base Hours'!$AA37)</f>
        <v>-</v>
      </c>
      <c r="L37" s="415" t="str">
        <f aca="false">IF($A$1="Peak","-",'Base Hours'!L37*BaseLoad!R36*'Base Hours'!$AA37)</f>
        <v>-</v>
      </c>
      <c r="M37" s="415" t="str">
        <f aca="false">IF($A$1="Peak","-",'Base Hours'!M37*BaseLoad!S36*'Base Hours'!$AA37)</f>
        <v>-</v>
      </c>
      <c r="N37" s="415" t="str">
        <f aca="false">IF($A$1="Peak","-",'Base Hours'!N37*BaseLoad!T36*'Base Hours'!$AA37)</f>
        <v>-</v>
      </c>
      <c r="O37" s="415" t="str">
        <f aca="false">IF($A$1="Peak","-",'Base Hours'!O37*BaseLoad!U36*'Base Hours'!$AA37)</f>
        <v>-</v>
      </c>
      <c r="P37" s="415" t="str">
        <f aca="false">IF($A$1="Peak","-",'Base Hours'!P37*BaseLoad!V36*'Base Hours'!$AA37)</f>
        <v>-</v>
      </c>
      <c r="Q37" s="415" t="str">
        <f aca="false">IF($A$1="Peak","-",'Base Hours'!Q37*BaseLoad!W36*'Base Hours'!$AA37)</f>
        <v>-</v>
      </c>
      <c r="R37" s="415" t="str">
        <f aca="false">IF($A$1="Peak","-",'Base Hours'!R37*BaseLoad!X36*'Base Hours'!$AA37)</f>
        <v>-</v>
      </c>
      <c r="S37" s="415" t="str">
        <f aca="false">IF($A$1="Peak","-",'Base Hours'!S37*BaseLoad!Y36*'Base Hours'!$AA37)</f>
        <v>-</v>
      </c>
      <c r="T37" s="415" t="str">
        <f aca="false">IF($A$1="Peak","-",'Base Hours'!T37*BaseLoad!Z36*'Base Hours'!$AA37)</f>
        <v>-</v>
      </c>
      <c r="U37" s="415" t="str">
        <f aca="false">IF($A$1="Peak","-",'Base Hours'!U37*BaseLoad!AA36*'Base Hours'!$AA37)</f>
        <v>-</v>
      </c>
      <c r="V37" s="415" t="n">
        <f aca="false">SUM(B37:U37)</f>
        <v>0</v>
      </c>
      <c r="W37" s="415"/>
      <c r="X37" s="415"/>
      <c r="Y37" s="416"/>
      <c r="Z37" s="416" t="n">
        <f aca="false">(BaseLoad!C36*'Base Hours'!X37*'Base Hours'!$AA37)*-1</f>
        <v>-0</v>
      </c>
      <c r="AA37" s="416"/>
      <c r="AB37" s="416" t="n">
        <f aca="false">(BaseLoad!D36*'Base Hours'!X37*'Base Hours'!$AA37)*-1</f>
        <v>-0</v>
      </c>
      <c r="AC37" s="416"/>
      <c r="AD37" s="416" t="n">
        <f aca="false">(BaseLoad!E36*'Base Hours'!X37*'Base Hours'!$AA37)*-1</f>
        <v>-0</v>
      </c>
      <c r="AE37" s="416"/>
      <c r="AF37" s="416" t="n">
        <f aca="false">(BaseLoad!F36*'Base Hours'!X37*'Base Hours'!$AA37)*-1</f>
        <v>-0</v>
      </c>
      <c r="AG37" s="416"/>
    </row>
    <row r="38" customFormat="false" ht="12.75" hidden="false" customHeight="false" outlineLevel="0" collapsed="false">
      <c r="A38" s="400" t="n">
        <f aca="false">A37+30.417</f>
        <v>37391.676</v>
      </c>
      <c r="B38" s="415" t="str">
        <f aca="false">IF($A$1="Peak","-",'Base Hours'!B38*BaseLoad!H37*'Base Hours'!$AA38)</f>
        <v>-</v>
      </c>
      <c r="C38" s="415" t="str">
        <f aca="false">IF($A$1="Peak","-",'Base Hours'!C38*BaseLoad!I37*'Base Hours'!$AA38)</f>
        <v>-</v>
      </c>
      <c r="D38" s="415" t="str">
        <f aca="false">IF($A$1="Peak","-",'Base Hours'!D38*BaseLoad!J37*'Base Hours'!$AA38)</f>
        <v>-</v>
      </c>
      <c r="E38" s="415" t="str">
        <f aca="false">IF($A$1="Peak","-",'Base Hours'!E38*BaseLoad!K37*'Base Hours'!$AA38)</f>
        <v>-</v>
      </c>
      <c r="F38" s="415" t="str">
        <f aca="false">IF($A$1="Peak","-",'Base Hours'!F38*BaseLoad!L37*'Base Hours'!$AA38)</f>
        <v>-</v>
      </c>
      <c r="G38" s="415" t="str">
        <f aca="false">IF($A$1="Peak","-",'Base Hours'!G38*BaseLoad!M37*'Base Hours'!$AA38)</f>
        <v>-</v>
      </c>
      <c r="H38" s="415" t="str">
        <f aca="false">IF($A$1="Peak","-",'Base Hours'!H38*BaseLoad!N37*'Base Hours'!$AA38)</f>
        <v>-</v>
      </c>
      <c r="I38" s="415" t="str">
        <f aca="false">IF($A$1="Peak","-",'Base Hours'!I38*BaseLoad!O37*'Base Hours'!$AA38)</f>
        <v>-</v>
      </c>
      <c r="J38" s="415" t="str">
        <f aca="false">IF($A$1="Peak","-",'Base Hours'!J38*BaseLoad!P37*'Base Hours'!$AA38)</f>
        <v>-</v>
      </c>
      <c r="K38" s="415" t="str">
        <f aca="false">IF($A$1="Peak","-",'Base Hours'!K38*BaseLoad!Q37*'Base Hours'!$AA38)</f>
        <v>-</v>
      </c>
      <c r="L38" s="415" t="str">
        <f aca="false">IF($A$1="Peak","-",'Base Hours'!L38*BaseLoad!R37*'Base Hours'!$AA38)</f>
        <v>-</v>
      </c>
      <c r="M38" s="415" t="str">
        <f aca="false">IF($A$1="Peak","-",'Base Hours'!M38*BaseLoad!S37*'Base Hours'!$AA38)</f>
        <v>-</v>
      </c>
      <c r="N38" s="415" t="str">
        <f aca="false">IF($A$1="Peak","-",'Base Hours'!N38*BaseLoad!T37*'Base Hours'!$AA38)</f>
        <v>-</v>
      </c>
      <c r="O38" s="415" t="str">
        <f aca="false">IF($A$1="Peak","-",'Base Hours'!O38*BaseLoad!U37*'Base Hours'!$AA38)</f>
        <v>-</v>
      </c>
      <c r="P38" s="415" t="str">
        <f aca="false">IF($A$1="Peak","-",'Base Hours'!P38*BaseLoad!V37*'Base Hours'!$AA38)</f>
        <v>-</v>
      </c>
      <c r="Q38" s="415" t="str">
        <f aca="false">IF($A$1="Peak","-",'Base Hours'!Q38*BaseLoad!W37*'Base Hours'!$AA38)</f>
        <v>-</v>
      </c>
      <c r="R38" s="415" t="str">
        <f aca="false">IF($A$1="Peak","-",'Base Hours'!R38*BaseLoad!X37*'Base Hours'!$AA38)</f>
        <v>-</v>
      </c>
      <c r="S38" s="415" t="str">
        <f aca="false">IF($A$1="Peak","-",'Base Hours'!S38*BaseLoad!Y37*'Base Hours'!$AA38)</f>
        <v>-</v>
      </c>
      <c r="T38" s="415" t="str">
        <f aca="false">IF($A$1="Peak","-",'Base Hours'!T38*BaseLoad!Z37*'Base Hours'!$AA38)</f>
        <v>-</v>
      </c>
      <c r="U38" s="415" t="str">
        <f aca="false">IF($A$1="Peak","-",'Base Hours'!U38*BaseLoad!AA37*'Base Hours'!$AA38)</f>
        <v>-</v>
      </c>
      <c r="V38" s="415" t="n">
        <f aca="false">SUM(B38:U38)</f>
        <v>0</v>
      </c>
      <c r="W38" s="415"/>
      <c r="X38" s="415"/>
      <c r="Y38" s="416"/>
      <c r="Z38" s="416" t="n">
        <f aca="false">(BaseLoad!C37*'Base Hours'!X38*'Base Hours'!$AA38)*-1</f>
        <v>-0</v>
      </c>
      <c r="AA38" s="416"/>
      <c r="AB38" s="416" t="n">
        <f aca="false">(BaseLoad!D37*'Base Hours'!X38*'Base Hours'!$AA38)*-1</f>
        <v>-0</v>
      </c>
      <c r="AC38" s="416"/>
      <c r="AD38" s="416" t="n">
        <f aca="false">(BaseLoad!E37*'Base Hours'!X38*'Base Hours'!$AA38)*-1</f>
        <v>-0</v>
      </c>
      <c r="AE38" s="416"/>
      <c r="AF38" s="416" t="n">
        <f aca="false">(BaseLoad!F37*'Base Hours'!X38*'Base Hours'!$AA38)*-1</f>
        <v>-0</v>
      </c>
      <c r="AG38" s="416"/>
    </row>
    <row r="39" customFormat="false" ht="12.75" hidden="false" customHeight="false" outlineLevel="0" collapsed="false">
      <c r="A39" s="400" t="n">
        <f aca="false">A38+30.417</f>
        <v>37422.093</v>
      </c>
      <c r="B39" s="415" t="str">
        <f aca="false">IF($A$1="Peak","-",'Base Hours'!B39*BaseLoad!H38*'Base Hours'!$AA39)</f>
        <v>-</v>
      </c>
      <c r="C39" s="415" t="str">
        <f aca="false">IF($A$1="Peak","-",'Base Hours'!C39*BaseLoad!I38*'Base Hours'!$AA39)</f>
        <v>-</v>
      </c>
      <c r="D39" s="415" t="str">
        <f aca="false">IF($A$1="Peak","-",'Base Hours'!D39*BaseLoad!J38*'Base Hours'!$AA39)</f>
        <v>-</v>
      </c>
      <c r="E39" s="415" t="str">
        <f aca="false">IF($A$1="Peak","-",'Base Hours'!E39*BaseLoad!K38*'Base Hours'!$AA39)</f>
        <v>-</v>
      </c>
      <c r="F39" s="415" t="str">
        <f aca="false">IF($A$1="Peak","-",'Base Hours'!F39*BaseLoad!L38*'Base Hours'!$AA39)</f>
        <v>-</v>
      </c>
      <c r="G39" s="415" t="str">
        <f aca="false">IF($A$1="Peak","-",'Base Hours'!G39*BaseLoad!M38*'Base Hours'!$AA39)</f>
        <v>-</v>
      </c>
      <c r="H39" s="415" t="str">
        <f aca="false">IF($A$1="Peak","-",'Base Hours'!H39*BaseLoad!N38*'Base Hours'!$AA39)</f>
        <v>-</v>
      </c>
      <c r="I39" s="415" t="str">
        <f aca="false">IF($A$1="Peak","-",'Base Hours'!I39*BaseLoad!O38*'Base Hours'!$AA39)</f>
        <v>-</v>
      </c>
      <c r="J39" s="415" t="str">
        <f aca="false">IF($A$1="Peak","-",'Base Hours'!J39*BaseLoad!P38*'Base Hours'!$AA39)</f>
        <v>-</v>
      </c>
      <c r="K39" s="415" t="str">
        <f aca="false">IF($A$1="Peak","-",'Base Hours'!K39*BaseLoad!Q38*'Base Hours'!$AA39)</f>
        <v>-</v>
      </c>
      <c r="L39" s="415" t="str">
        <f aca="false">IF($A$1="Peak","-",'Base Hours'!L39*BaseLoad!R38*'Base Hours'!$AA39)</f>
        <v>-</v>
      </c>
      <c r="M39" s="415" t="str">
        <f aca="false">IF($A$1="Peak","-",'Base Hours'!M39*BaseLoad!S38*'Base Hours'!$AA39)</f>
        <v>-</v>
      </c>
      <c r="N39" s="415" t="str">
        <f aca="false">IF($A$1="Peak","-",'Base Hours'!N39*BaseLoad!T38*'Base Hours'!$AA39)</f>
        <v>-</v>
      </c>
      <c r="O39" s="415" t="str">
        <f aca="false">IF($A$1="Peak","-",'Base Hours'!O39*BaseLoad!U38*'Base Hours'!$AA39)</f>
        <v>-</v>
      </c>
      <c r="P39" s="415" t="str">
        <f aca="false">IF($A$1="Peak","-",'Base Hours'!P39*BaseLoad!V38*'Base Hours'!$AA39)</f>
        <v>-</v>
      </c>
      <c r="Q39" s="415" t="str">
        <f aca="false">IF($A$1="Peak","-",'Base Hours'!Q39*BaseLoad!W38*'Base Hours'!$AA39)</f>
        <v>-</v>
      </c>
      <c r="R39" s="415" t="str">
        <f aca="false">IF($A$1="Peak","-",'Base Hours'!R39*BaseLoad!X38*'Base Hours'!$AA39)</f>
        <v>-</v>
      </c>
      <c r="S39" s="415" t="str">
        <f aca="false">IF($A$1="Peak","-",'Base Hours'!S39*BaseLoad!Y38*'Base Hours'!$AA39)</f>
        <v>-</v>
      </c>
      <c r="T39" s="415" t="str">
        <f aca="false">IF($A$1="Peak","-",'Base Hours'!T39*BaseLoad!Z38*'Base Hours'!$AA39)</f>
        <v>-</v>
      </c>
      <c r="U39" s="415" t="str">
        <f aca="false">IF($A$1="Peak","-",'Base Hours'!U39*BaseLoad!AA38*'Base Hours'!$AA39)</f>
        <v>-</v>
      </c>
      <c r="V39" s="415" t="n">
        <f aca="false">SUM(B39:U39)</f>
        <v>0</v>
      </c>
      <c r="W39" s="415"/>
      <c r="X39" s="415"/>
      <c r="Y39" s="416"/>
      <c r="Z39" s="416" t="n">
        <f aca="false">(BaseLoad!C38*'Base Hours'!X39*'Base Hours'!$AA39)*-1</f>
        <v>-0</v>
      </c>
      <c r="AA39" s="416"/>
      <c r="AB39" s="416" t="n">
        <f aca="false">(BaseLoad!D38*'Base Hours'!X39*'Base Hours'!$AA39)*-1</f>
        <v>-0</v>
      </c>
      <c r="AC39" s="416"/>
      <c r="AD39" s="416" t="n">
        <f aca="false">(BaseLoad!E38*'Base Hours'!X39*'Base Hours'!$AA39)*-1</f>
        <v>-0</v>
      </c>
      <c r="AE39" s="416"/>
      <c r="AF39" s="416" t="n">
        <f aca="false">(BaseLoad!F38*'Base Hours'!X39*'Base Hours'!$AA39)*-1</f>
        <v>-0</v>
      </c>
      <c r="AG39" s="416"/>
    </row>
    <row r="40" customFormat="false" ht="12.75" hidden="false" customHeight="false" outlineLevel="0" collapsed="false">
      <c r="A40" s="400" t="n">
        <f aca="false">A39+30.417</f>
        <v>37452.51</v>
      </c>
      <c r="B40" s="415" t="str">
        <f aca="false">IF($A$1="Peak","-",'Base Hours'!B40*BaseLoad!H39*'Base Hours'!$AA40)</f>
        <v>-</v>
      </c>
      <c r="C40" s="415" t="str">
        <f aca="false">IF($A$1="Peak","-",'Base Hours'!C40*BaseLoad!I39*'Base Hours'!$AA40)</f>
        <v>-</v>
      </c>
      <c r="D40" s="415" t="str">
        <f aca="false">IF($A$1="Peak","-",'Base Hours'!D40*BaseLoad!J39*'Base Hours'!$AA40)</f>
        <v>-</v>
      </c>
      <c r="E40" s="415" t="str">
        <f aca="false">IF($A$1="Peak","-",'Base Hours'!E40*BaseLoad!K39*'Base Hours'!$AA40)</f>
        <v>-</v>
      </c>
      <c r="F40" s="415" t="str">
        <f aca="false">IF($A$1="Peak","-",'Base Hours'!F40*BaseLoad!L39*'Base Hours'!$AA40)</f>
        <v>-</v>
      </c>
      <c r="G40" s="415" t="str">
        <f aca="false">IF($A$1="Peak","-",'Base Hours'!G40*BaseLoad!M39*'Base Hours'!$AA40)</f>
        <v>-</v>
      </c>
      <c r="H40" s="415" t="str">
        <f aca="false">IF($A$1="Peak","-",'Base Hours'!H40*BaseLoad!N39*'Base Hours'!$AA40)</f>
        <v>-</v>
      </c>
      <c r="I40" s="415" t="str">
        <f aca="false">IF($A$1="Peak","-",'Base Hours'!I40*BaseLoad!O39*'Base Hours'!$AA40)</f>
        <v>-</v>
      </c>
      <c r="J40" s="415" t="str">
        <f aca="false">IF($A$1="Peak","-",'Base Hours'!J40*BaseLoad!P39*'Base Hours'!$AA40)</f>
        <v>-</v>
      </c>
      <c r="K40" s="415" t="str">
        <f aca="false">IF($A$1="Peak","-",'Base Hours'!K40*BaseLoad!Q39*'Base Hours'!$AA40)</f>
        <v>-</v>
      </c>
      <c r="L40" s="415" t="str">
        <f aca="false">IF($A$1="Peak","-",'Base Hours'!L40*BaseLoad!R39*'Base Hours'!$AA40)</f>
        <v>-</v>
      </c>
      <c r="M40" s="415" t="str">
        <f aca="false">IF($A$1="Peak","-",'Base Hours'!M40*BaseLoad!S39*'Base Hours'!$AA40)</f>
        <v>-</v>
      </c>
      <c r="N40" s="415" t="str">
        <f aca="false">IF($A$1="Peak","-",'Base Hours'!N40*BaseLoad!T39*'Base Hours'!$AA40)</f>
        <v>-</v>
      </c>
      <c r="O40" s="415" t="str">
        <f aca="false">IF($A$1="Peak","-",'Base Hours'!O40*BaseLoad!U39*'Base Hours'!$AA40)</f>
        <v>-</v>
      </c>
      <c r="P40" s="415" t="str">
        <f aca="false">IF($A$1="Peak","-",'Base Hours'!P40*BaseLoad!V39*'Base Hours'!$AA40)</f>
        <v>-</v>
      </c>
      <c r="Q40" s="415" t="str">
        <f aca="false">IF($A$1="Peak","-",'Base Hours'!Q40*BaseLoad!W39*'Base Hours'!$AA40)</f>
        <v>-</v>
      </c>
      <c r="R40" s="415" t="str">
        <f aca="false">IF($A$1="Peak","-",'Base Hours'!R40*BaseLoad!X39*'Base Hours'!$AA40)</f>
        <v>-</v>
      </c>
      <c r="S40" s="415" t="str">
        <f aca="false">IF($A$1="Peak","-",'Base Hours'!S40*BaseLoad!Y39*'Base Hours'!$AA40)</f>
        <v>-</v>
      </c>
      <c r="T40" s="415" t="str">
        <f aca="false">IF($A$1="Peak","-",'Base Hours'!T40*BaseLoad!Z39*'Base Hours'!$AA40)</f>
        <v>-</v>
      </c>
      <c r="U40" s="415" t="str">
        <f aca="false">IF($A$1="Peak","-",'Base Hours'!U40*BaseLoad!AA39*'Base Hours'!$AA40)</f>
        <v>-</v>
      </c>
      <c r="V40" s="415" t="n">
        <f aca="false">SUM(B40:U40)</f>
        <v>0</v>
      </c>
      <c r="W40" s="415"/>
      <c r="X40" s="415"/>
      <c r="Y40" s="416"/>
      <c r="Z40" s="416" t="n">
        <f aca="false">(BaseLoad!C39*'Base Hours'!X40*'Base Hours'!$AA40)*-1</f>
        <v>-0</v>
      </c>
      <c r="AA40" s="416"/>
      <c r="AB40" s="416" t="n">
        <f aca="false">(BaseLoad!D39*'Base Hours'!X40*'Base Hours'!$AA40)*-1</f>
        <v>-0</v>
      </c>
      <c r="AC40" s="416"/>
      <c r="AD40" s="416" t="n">
        <f aca="false">(BaseLoad!E39*'Base Hours'!X40*'Base Hours'!$AA40)*-1</f>
        <v>-0</v>
      </c>
      <c r="AE40" s="416"/>
      <c r="AF40" s="416" t="n">
        <f aca="false">(BaseLoad!F39*'Base Hours'!X40*'Base Hours'!$AA40)*-1</f>
        <v>-0</v>
      </c>
      <c r="AG40" s="416"/>
    </row>
    <row r="41" customFormat="false" ht="12.75" hidden="false" customHeight="false" outlineLevel="0" collapsed="false">
      <c r="A41" s="400" t="n">
        <f aca="false">A40+30.417</f>
        <v>37482.927</v>
      </c>
      <c r="B41" s="415" t="str">
        <f aca="false">IF($A$1="Peak","-",'Base Hours'!B41*BaseLoad!H40*'Base Hours'!$AA41)</f>
        <v>-</v>
      </c>
      <c r="C41" s="415" t="str">
        <f aca="false">IF($A$1="Peak","-",'Base Hours'!C41*BaseLoad!I40*'Base Hours'!$AA41)</f>
        <v>-</v>
      </c>
      <c r="D41" s="415" t="str">
        <f aca="false">IF($A$1="Peak","-",'Base Hours'!D41*BaseLoad!J40*'Base Hours'!$AA41)</f>
        <v>-</v>
      </c>
      <c r="E41" s="415" t="str">
        <f aca="false">IF($A$1="Peak","-",'Base Hours'!E41*BaseLoad!K40*'Base Hours'!$AA41)</f>
        <v>-</v>
      </c>
      <c r="F41" s="415" t="str">
        <f aca="false">IF($A$1="Peak","-",'Base Hours'!F41*BaseLoad!L40*'Base Hours'!$AA41)</f>
        <v>-</v>
      </c>
      <c r="G41" s="415" t="str">
        <f aca="false">IF($A$1="Peak","-",'Base Hours'!G41*BaseLoad!M40*'Base Hours'!$AA41)</f>
        <v>-</v>
      </c>
      <c r="H41" s="415" t="str">
        <f aca="false">IF($A$1="Peak","-",'Base Hours'!H41*BaseLoad!N40*'Base Hours'!$AA41)</f>
        <v>-</v>
      </c>
      <c r="I41" s="415" t="str">
        <f aca="false">IF($A$1="Peak","-",'Base Hours'!I41*BaseLoad!O40*'Base Hours'!$AA41)</f>
        <v>-</v>
      </c>
      <c r="J41" s="415" t="str">
        <f aca="false">IF($A$1="Peak","-",'Base Hours'!J41*BaseLoad!P40*'Base Hours'!$AA41)</f>
        <v>-</v>
      </c>
      <c r="K41" s="415" t="str">
        <f aca="false">IF($A$1="Peak","-",'Base Hours'!K41*BaseLoad!Q40*'Base Hours'!$AA41)</f>
        <v>-</v>
      </c>
      <c r="L41" s="415" t="str">
        <f aca="false">IF($A$1="Peak","-",'Base Hours'!L41*BaseLoad!R40*'Base Hours'!$AA41)</f>
        <v>-</v>
      </c>
      <c r="M41" s="415" t="str">
        <f aca="false">IF($A$1="Peak","-",'Base Hours'!M41*BaseLoad!S40*'Base Hours'!$AA41)</f>
        <v>-</v>
      </c>
      <c r="N41" s="415" t="str">
        <f aca="false">IF($A$1="Peak","-",'Base Hours'!N41*BaseLoad!T40*'Base Hours'!$AA41)</f>
        <v>-</v>
      </c>
      <c r="O41" s="415" t="str">
        <f aca="false">IF($A$1="Peak","-",'Base Hours'!O41*BaseLoad!U40*'Base Hours'!$AA41)</f>
        <v>-</v>
      </c>
      <c r="P41" s="415" t="str">
        <f aca="false">IF($A$1="Peak","-",'Base Hours'!P41*BaseLoad!V40*'Base Hours'!$AA41)</f>
        <v>-</v>
      </c>
      <c r="Q41" s="415" t="str">
        <f aca="false">IF($A$1="Peak","-",'Base Hours'!Q41*BaseLoad!W40*'Base Hours'!$AA41)</f>
        <v>-</v>
      </c>
      <c r="R41" s="415" t="str">
        <f aca="false">IF($A$1="Peak","-",'Base Hours'!R41*BaseLoad!X40*'Base Hours'!$AA41)</f>
        <v>-</v>
      </c>
      <c r="S41" s="415" t="str">
        <f aca="false">IF($A$1="Peak","-",'Base Hours'!S41*BaseLoad!Y40*'Base Hours'!$AA41)</f>
        <v>-</v>
      </c>
      <c r="T41" s="415" t="str">
        <f aca="false">IF($A$1="Peak","-",'Base Hours'!T41*BaseLoad!Z40*'Base Hours'!$AA41)</f>
        <v>-</v>
      </c>
      <c r="U41" s="415" t="str">
        <f aca="false">IF($A$1="Peak","-",'Base Hours'!U41*BaseLoad!AA40*'Base Hours'!$AA41)</f>
        <v>-</v>
      </c>
      <c r="V41" s="415" t="n">
        <f aca="false">SUM(B41:U41)</f>
        <v>0</v>
      </c>
      <c r="W41" s="415"/>
      <c r="X41" s="415"/>
      <c r="Y41" s="416"/>
      <c r="Z41" s="416" t="n">
        <f aca="false">(BaseLoad!C40*'Base Hours'!X41*'Base Hours'!$AA41)*-1</f>
        <v>-0</v>
      </c>
      <c r="AA41" s="416"/>
      <c r="AB41" s="416" t="n">
        <f aca="false">(BaseLoad!D40*'Base Hours'!X41*'Base Hours'!$AA41)*-1</f>
        <v>-0</v>
      </c>
      <c r="AC41" s="416"/>
      <c r="AD41" s="416" t="n">
        <f aca="false">(BaseLoad!E40*'Base Hours'!X41*'Base Hours'!$AA41)*-1</f>
        <v>-0</v>
      </c>
      <c r="AE41" s="416"/>
      <c r="AF41" s="416" t="n">
        <f aca="false">(BaseLoad!F40*'Base Hours'!X41*'Base Hours'!$AA41)*-1</f>
        <v>-0</v>
      </c>
      <c r="AG41" s="416"/>
    </row>
    <row r="42" customFormat="false" ht="12.75" hidden="false" customHeight="false" outlineLevel="0" collapsed="false">
      <c r="A42" s="400" t="n">
        <f aca="false">A41+30.417</f>
        <v>37513.344</v>
      </c>
      <c r="B42" s="415" t="str">
        <f aca="false">IF($A$1="Peak","-",'Base Hours'!B42*BaseLoad!H41*'Base Hours'!$AA42)</f>
        <v>-</v>
      </c>
      <c r="C42" s="415" t="str">
        <f aca="false">IF($A$1="Peak","-",'Base Hours'!C42*BaseLoad!I41*'Base Hours'!$AA42)</f>
        <v>-</v>
      </c>
      <c r="D42" s="415" t="str">
        <f aca="false">IF($A$1="Peak","-",'Base Hours'!D42*BaseLoad!J41*'Base Hours'!$AA42)</f>
        <v>-</v>
      </c>
      <c r="E42" s="415" t="str">
        <f aca="false">IF($A$1="Peak","-",'Base Hours'!E42*BaseLoad!K41*'Base Hours'!$AA42)</f>
        <v>-</v>
      </c>
      <c r="F42" s="415" t="str">
        <f aca="false">IF($A$1="Peak","-",'Base Hours'!F42*BaseLoad!L41*'Base Hours'!$AA42)</f>
        <v>-</v>
      </c>
      <c r="G42" s="415" t="str">
        <f aca="false">IF($A$1="Peak","-",'Base Hours'!G42*BaseLoad!M41*'Base Hours'!$AA42)</f>
        <v>-</v>
      </c>
      <c r="H42" s="415" t="str">
        <f aca="false">IF($A$1="Peak","-",'Base Hours'!H42*BaseLoad!N41*'Base Hours'!$AA42)</f>
        <v>-</v>
      </c>
      <c r="I42" s="415" t="str">
        <f aca="false">IF($A$1="Peak","-",'Base Hours'!I42*BaseLoad!O41*'Base Hours'!$AA42)</f>
        <v>-</v>
      </c>
      <c r="J42" s="415" t="str">
        <f aca="false">IF($A$1="Peak","-",'Base Hours'!J42*BaseLoad!P41*'Base Hours'!$AA42)</f>
        <v>-</v>
      </c>
      <c r="K42" s="415" t="str">
        <f aca="false">IF($A$1="Peak","-",'Base Hours'!K42*BaseLoad!Q41*'Base Hours'!$AA42)</f>
        <v>-</v>
      </c>
      <c r="L42" s="415" t="str">
        <f aca="false">IF($A$1="Peak","-",'Base Hours'!L42*BaseLoad!R41*'Base Hours'!$AA42)</f>
        <v>-</v>
      </c>
      <c r="M42" s="415" t="str">
        <f aca="false">IF($A$1="Peak","-",'Base Hours'!M42*BaseLoad!S41*'Base Hours'!$AA42)</f>
        <v>-</v>
      </c>
      <c r="N42" s="415" t="str">
        <f aca="false">IF($A$1="Peak","-",'Base Hours'!N42*BaseLoad!T41*'Base Hours'!$AA42)</f>
        <v>-</v>
      </c>
      <c r="O42" s="415" t="str">
        <f aca="false">IF($A$1="Peak","-",'Base Hours'!O42*BaseLoad!U41*'Base Hours'!$AA42)</f>
        <v>-</v>
      </c>
      <c r="P42" s="415" t="str">
        <f aca="false">IF($A$1="Peak","-",'Base Hours'!P42*BaseLoad!V41*'Base Hours'!$AA42)</f>
        <v>-</v>
      </c>
      <c r="Q42" s="415" t="str">
        <f aca="false">IF($A$1="Peak","-",'Base Hours'!Q42*BaseLoad!W41*'Base Hours'!$AA42)</f>
        <v>-</v>
      </c>
      <c r="R42" s="415" t="str">
        <f aca="false">IF($A$1="Peak","-",'Base Hours'!R42*BaseLoad!X41*'Base Hours'!$AA42)</f>
        <v>-</v>
      </c>
      <c r="S42" s="415" t="str">
        <f aca="false">IF($A$1="Peak","-",'Base Hours'!S42*BaseLoad!Y41*'Base Hours'!$AA42)</f>
        <v>-</v>
      </c>
      <c r="T42" s="415" t="str">
        <f aca="false">IF($A$1="Peak","-",'Base Hours'!T42*BaseLoad!Z41*'Base Hours'!$AA42)</f>
        <v>-</v>
      </c>
      <c r="U42" s="415" t="str">
        <f aca="false">IF($A$1="Peak","-",'Base Hours'!U42*BaseLoad!AA41*'Base Hours'!$AA42)</f>
        <v>-</v>
      </c>
      <c r="V42" s="415" t="n">
        <f aca="false">SUM(B42:U42)</f>
        <v>0</v>
      </c>
      <c r="W42" s="415"/>
      <c r="X42" s="415"/>
      <c r="Y42" s="416"/>
      <c r="Z42" s="416" t="n">
        <f aca="false">(BaseLoad!C41*'Base Hours'!X42*'Base Hours'!$AA42)*-1</f>
        <v>-0</v>
      </c>
      <c r="AA42" s="416"/>
      <c r="AB42" s="416" t="n">
        <f aca="false">(BaseLoad!D41*'Base Hours'!X42*'Base Hours'!$AA42)*-1</f>
        <v>-0</v>
      </c>
      <c r="AC42" s="416"/>
      <c r="AD42" s="416" t="n">
        <f aca="false">(BaseLoad!E41*'Base Hours'!X42*'Base Hours'!$AA42)*-1</f>
        <v>-0</v>
      </c>
      <c r="AE42" s="416"/>
      <c r="AF42" s="416" t="n">
        <f aca="false">(BaseLoad!F41*'Base Hours'!X42*'Base Hours'!$AA42)*-1</f>
        <v>-0</v>
      </c>
      <c r="AG42" s="416"/>
    </row>
    <row r="43" customFormat="false" ht="12.75" hidden="false" customHeight="false" outlineLevel="0" collapsed="false">
      <c r="A43" s="400" t="n">
        <f aca="false">A42+30.417</f>
        <v>37543.761</v>
      </c>
      <c r="B43" s="415" t="str">
        <f aca="false">IF($A$1="Peak","-",'Base Hours'!B43*BaseLoad!H42*'Base Hours'!$AA43)</f>
        <v>-</v>
      </c>
      <c r="C43" s="415" t="str">
        <f aca="false">IF($A$1="Peak","-",'Base Hours'!C43*BaseLoad!I42*'Base Hours'!$AA43)</f>
        <v>-</v>
      </c>
      <c r="D43" s="415" t="str">
        <f aca="false">IF($A$1="Peak","-",'Base Hours'!D43*BaseLoad!J42*'Base Hours'!$AA43)</f>
        <v>-</v>
      </c>
      <c r="E43" s="415" t="str">
        <f aca="false">IF($A$1="Peak","-",'Base Hours'!E43*BaseLoad!K42*'Base Hours'!$AA43)</f>
        <v>-</v>
      </c>
      <c r="F43" s="415" t="str">
        <f aca="false">IF($A$1="Peak","-",'Base Hours'!F43*BaseLoad!L42*'Base Hours'!$AA43)</f>
        <v>-</v>
      </c>
      <c r="G43" s="415" t="str">
        <f aca="false">IF($A$1="Peak","-",'Base Hours'!G43*BaseLoad!M42*'Base Hours'!$AA43)</f>
        <v>-</v>
      </c>
      <c r="H43" s="415" t="str">
        <f aca="false">IF($A$1="Peak","-",'Base Hours'!H43*BaseLoad!N42*'Base Hours'!$AA43)</f>
        <v>-</v>
      </c>
      <c r="I43" s="415" t="str">
        <f aca="false">IF($A$1="Peak","-",'Base Hours'!I43*BaseLoad!O42*'Base Hours'!$AA43)</f>
        <v>-</v>
      </c>
      <c r="J43" s="415" t="str">
        <f aca="false">IF($A$1="Peak","-",'Base Hours'!J43*BaseLoad!P42*'Base Hours'!$AA43)</f>
        <v>-</v>
      </c>
      <c r="K43" s="415" t="str">
        <f aca="false">IF($A$1="Peak","-",'Base Hours'!K43*BaseLoad!Q42*'Base Hours'!$AA43)</f>
        <v>-</v>
      </c>
      <c r="L43" s="415" t="str">
        <f aca="false">IF($A$1="Peak","-",'Base Hours'!L43*BaseLoad!R42*'Base Hours'!$AA43)</f>
        <v>-</v>
      </c>
      <c r="M43" s="415" t="str">
        <f aca="false">IF($A$1="Peak","-",'Base Hours'!M43*BaseLoad!S42*'Base Hours'!$AA43)</f>
        <v>-</v>
      </c>
      <c r="N43" s="415" t="str">
        <f aca="false">IF($A$1="Peak","-",'Base Hours'!N43*BaseLoad!T42*'Base Hours'!$AA43)</f>
        <v>-</v>
      </c>
      <c r="O43" s="415" t="str">
        <f aca="false">IF($A$1="Peak","-",'Base Hours'!O43*BaseLoad!U42*'Base Hours'!$AA43)</f>
        <v>-</v>
      </c>
      <c r="P43" s="415" t="str">
        <f aca="false">IF($A$1="Peak","-",'Base Hours'!P43*BaseLoad!V42*'Base Hours'!$AA43)</f>
        <v>-</v>
      </c>
      <c r="Q43" s="415" t="str">
        <f aca="false">IF($A$1="Peak","-",'Base Hours'!Q43*BaseLoad!W42*'Base Hours'!$AA43)</f>
        <v>-</v>
      </c>
      <c r="R43" s="415" t="str">
        <f aca="false">IF($A$1="Peak","-",'Base Hours'!R43*BaseLoad!X42*'Base Hours'!$AA43)</f>
        <v>-</v>
      </c>
      <c r="S43" s="415" t="str">
        <f aca="false">IF($A$1="Peak","-",'Base Hours'!S43*BaseLoad!Y42*'Base Hours'!$AA43)</f>
        <v>-</v>
      </c>
      <c r="T43" s="415" t="str">
        <f aca="false">IF($A$1="Peak","-",'Base Hours'!T43*BaseLoad!Z42*'Base Hours'!$AA43)</f>
        <v>-</v>
      </c>
      <c r="U43" s="415" t="str">
        <f aca="false">IF($A$1="Peak","-",'Base Hours'!U43*BaseLoad!AA42*'Base Hours'!$AA43)</f>
        <v>-</v>
      </c>
      <c r="V43" s="415" t="n">
        <f aca="false">SUM(B43:U43)</f>
        <v>0</v>
      </c>
      <c r="W43" s="415"/>
      <c r="X43" s="415"/>
      <c r="Y43" s="416"/>
      <c r="Z43" s="416" t="n">
        <f aca="false">(BaseLoad!C42*'Base Hours'!X43*'Base Hours'!$AA43)*-1</f>
        <v>-0</v>
      </c>
      <c r="AA43" s="416"/>
      <c r="AB43" s="416" t="n">
        <f aca="false">(BaseLoad!D42*'Base Hours'!X43*'Base Hours'!$AA43)*-1</f>
        <v>-0</v>
      </c>
      <c r="AC43" s="416"/>
      <c r="AD43" s="416" t="n">
        <f aca="false">(BaseLoad!E42*'Base Hours'!X43*'Base Hours'!$AA43)*-1</f>
        <v>-0</v>
      </c>
      <c r="AE43" s="416"/>
      <c r="AF43" s="416" t="n">
        <f aca="false">(BaseLoad!F42*'Base Hours'!X43*'Base Hours'!$AA43)*-1</f>
        <v>-0</v>
      </c>
      <c r="AG43" s="416"/>
    </row>
    <row r="44" customFormat="false" ht="12.75" hidden="false" customHeight="false" outlineLevel="0" collapsed="false">
      <c r="A44" s="400" t="n">
        <f aca="false">A43+30.417</f>
        <v>37574.178</v>
      </c>
      <c r="B44" s="415" t="str">
        <f aca="false">IF($A$1="Peak","-",'Base Hours'!B44*BaseLoad!H43*'Base Hours'!$AA44)</f>
        <v>-</v>
      </c>
      <c r="C44" s="415" t="str">
        <f aca="false">IF($A$1="Peak","-",'Base Hours'!C44*BaseLoad!I43*'Base Hours'!$AA44)</f>
        <v>-</v>
      </c>
      <c r="D44" s="415" t="str">
        <f aca="false">IF($A$1="Peak","-",'Base Hours'!D44*BaseLoad!J43*'Base Hours'!$AA44)</f>
        <v>-</v>
      </c>
      <c r="E44" s="415" t="str">
        <f aca="false">IF($A$1="Peak","-",'Base Hours'!E44*BaseLoad!K43*'Base Hours'!$AA44)</f>
        <v>-</v>
      </c>
      <c r="F44" s="415" t="str">
        <f aca="false">IF($A$1="Peak","-",'Base Hours'!F44*BaseLoad!L43*'Base Hours'!$AA44)</f>
        <v>-</v>
      </c>
      <c r="G44" s="415" t="str">
        <f aca="false">IF($A$1="Peak","-",'Base Hours'!G44*BaseLoad!M43*'Base Hours'!$AA44)</f>
        <v>-</v>
      </c>
      <c r="H44" s="415" t="str">
        <f aca="false">IF($A$1="Peak","-",'Base Hours'!H44*BaseLoad!N43*'Base Hours'!$AA44)</f>
        <v>-</v>
      </c>
      <c r="I44" s="415" t="str">
        <f aca="false">IF($A$1="Peak","-",'Base Hours'!I44*BaseLoad!O43*'Base Hours'!$AA44)</f>
        <v>-</v>
      </c>
      <c r="J44" s="415" t="str">
        <f aca="false">IF($A$1="Peak","-",'Base Hours'!J44*BaseLoad!P43*'Base Hours'!$AA44)</f>
        <v>-</v>
      </c>
      <c r="K44" s="415" t="str">
        <f aca="false">IF($A$1="Peak","-",'Base Hours'!K44*BaseLoad!Q43*'Base Hours'!$AA44)</f>
        <v>-</v>
      </c>
      <c r="L44" s="415" t="str">
        <f aca="false">IF($A$1="Peak","-",'Base Hours'!L44*BaseLoad!R43*'Base Hours'!$AA44)</f>
        <v>-</v>
      </c>
      <c r="M44" s="415" t="str">
        <f aca="false">IF($A$1="Peak","-",'Base Hours'!M44*BaseLoad!S43*'Base Hours'!$AA44)</f>
        <v>-</v>
      </c>
      <c r="N44" s="415" t="str">
        <f aca="false">IF($A$1="Peak","-",'Base Hours'!N44*BaseLoad!T43*'Base Hours'!$AA44)</f>
        <v>-</v>
      </c>
      <c r="O44" s="415" t="str">
        <f aca="false">IF($A$1="Peak","-",'Base Hours'!O44*BaseLoad!U43*'Base Hours'!$AA44)</f>
        <v>-</v>
      </c>
      <c r="P44" s="415" t="str">
        <f aca="false">IF($A$1="Peak","-",'Base Hours'!P44*BaseLoad!V43*'Base Hours'!$AA44)</f>
        <v>-</v>
      </c>
      <c r="Q44" s="415" t="str">
        <f aca="false">IF($A$1="Peak","-",'Base Hours'!Q44*BaseLoad!W43*'Base Hours'!$AA44)</f>
        <v>-</v>
      </c>
      <c r="R44" s="415" t="str">
        <f aca="false">IF($A$1="Peak","-",'Base Hours'!R44*BaseLoad!X43*'Base Hours'!$AA44)</f>
        <v>-</v>
      </c>
      <c r="S44" s="415" t="str">
        <f aca="false">IF($A$1="Peak","-",'Base Hours'!S44*BaseLoad!Y43*'Base Hours'!$AA44)</f>
        <v>-</v>
      </c>
      <c r="T44" s="415" t="str">
        <f aca="false">IF($A$1="Peak","-",'Base Hours'!T44*BaseLoad!Z43*'Base Hours'!$AA44)</f>
        <v>-</v>
      </c>
      <c r="U44" s="415" t="str">
        <f aca="false">IF($A$1="Peak","-",'Base Hours'!U44*BaseLoad!AA43*'Base Hours'!$AA44)</f>
        <v>-</v>
      </c>
      <c r="V44" s="415" t="n">
        <f aca="false">SUM(B44:U44)</f>
        <v>0</v>
      </c>
      <c r="W44" s="415"/>
      <c r="X44" s="415"/>
      <c r="Y44" s="416"/>
      <c r="Z44" s="416" t="n">
        <f aca="false">(BaseLoad!C43*'Base Hours'!X44*'Base Hours'!$AA44)*-1</f>
        <v>-0</v>
      </c>
      <c r="AA44" s="416"/>
      <c r="AB44" s="416" t="n">
        <f aca="false">(BaseLoad!D43*'Base Hours'!X44*'Base Hours'!$AA44)*-1</f>
        <v>-0</v>
      </c>
      <c r="AC44" s="416"/>
      <c r="AD44" s="416" t="n">
        <f aca="false">(BaseLoad!E43*'Base Hours'!X44*'Base Hours'!$AA44)*-1</f>
        <v>-0</v>
      </c>
      <c r="AE44" s="416"/>
      <c r="AF44" s="416" t="n">
        <f aca="false">(BaseLoad!F43*'Base Hours'!X44*'Base Hours'!$AA44)*-1</f>
        <v>-0</v>
      </c>
      <c r="AG44" s="416"/>
    </row>
    <row r="45" customFormat="false" ht="12.75" hidden="false" customHeight="false" outlineLevel="0" collapsed="false">
      <c r="A45" s="400" t="n">
        <f aca="false">A44+30.417</f>
        <v>37604.595</v>
      </c>
      <c r="B45" s="415" t="str">
        <f aca="false">IF($A$1="Peak","-",'Base Hours'!B45*BaseLoad!H44*'Base Hours'!$AA45)</f>
        <v>-</v>
      </c>
      <c r="C45" s="415" t="str">
        <f aca="false">IF($A$1="Peak","-",'Base Hours'!C45*BaseLoad!I44*'Base Hours'!$AA45)</f>
        <v>-</v>
      </c>
      <c r="D45" s="415" t="str">
        <f aca="false">IF($A$1="Peak","-",'Base Hours'!D45*BaseLoad!J44*'Base Hours'!$AA45)</f>
        <v>-</v>
      </c>
      <c r="E45" s="415" t="str">
        <f aca="false">IF($A$1="Peak","-",'Base Hours'!E45*BaseLoad!K44*'Base Hours'!$AA45)</f>
        <v>-</v>
      </c>
      <c r="F45" s="415" t="str">
        <f aca="false">IF($A$1="Peak","-",'Base Hours'!F45*BaseLoad!L44*'Base Hours'!$AA45)</f>
        <v>-</v>
      </c>
      <c r="G45" s="415" t="str">
        <f aca="false">IF($A$1="Peak","-",'Base Hours'!G45*BaseLoad!M44*'Base Hours'!$AA45)</f>
        <v>-</v>
      </c>
      <c r="H45" s="415" t="str">
        <f aca="false">IF($A$1="Peak","-",'Base Hours'!H45*BaseLoad!N44*'Base Hours'!$AA45)</f>
        <v>-</v>
      </c>
      <c r="I45" s="415" t="str">
        <f aca="false">IF($A$1="Peak","-",'Base Hours'!I45*BaseLoad!O44*'Base Hours'!$AA45)</f>
        <v>-</v>
      </c>
      <c r="J45" s="415" t="str">
        <f aca="false">IF($A$1="Peak","-",'Base Hours'!J45*BaseLoad!P44*'Base Hours'!$AA45)</f>
        <v>-</v>
      </c>
      <c r="K45" s="415" t="str">
        <f aca="false">IF($A$1="Peak","-",'Base Hours'!K45*BaseLoad!Q44*'Base Hours'!$AA45)</f>
        <v>-</v>
      </c>
      <c r="L45" s="415" t="str">
        <f aca="false">IF($A$1="Peak","-",'Base Hours'!L45*BaseLoad!R44*'Base Hours'!$AA45)</f>
        <v>-</v>
      </c>
      <c r="M45" s="415" t="str">
        <f aca="false">IF($A$1="Peak","-",'Base Hours'!M45*BaseLoad!S44*'Base Hours'!$AA45)</f>
        <v>-</v>
      </c>
      <c r="N45" s="415" t="str">
        <f aca="false">IF($A$1="Peak","-",'Base Hours'!N45*BaseLoad!T44*'Base Hours'!$AA45)</f>
        <v>-</v>
      </c>
      <c r="O45" s="415" t="str">
        <f aca="false">IF($A$1="Peak","-",'Base Hours'!O45*BaseLoad!U44*'Base Hours'!$AA45)</f>
        <v>-</v>
      </c>
      <c r="P45" s="415" t="str">
        <f aca="false">IF($A$1="Peak","-",'Base Hours'!P45*BaseLoad!V44*'Base Hours'!$AA45)</f>
        <v>-</v>
      </c>
      <c r="Q45" s="415" t="str">
        <f aca="false">IF($A$1="Peak","-",'Base Hours'!Q45*BaseLoad!W44*'Base Hours'!$AA45)</f>
        <v>-</v>
      </c>
      <c r="R45" s="415" t="str">
        <f aca="false">IF($A$1="Peak","-",'Base Hours'!R45*BaseLoad!X44*'Base Hours'!$AA45)</f>
        <v>-</v>
      </c>
      <c r="S45" s="415" t="str">
        <f aca="false">IF($A$1="Peak","-",'Base Hours'!S45*BaseLoad!Y44*'Base Hours'!$AA45)</f>
        <v>-</v>
      </c>
      <c r="T45" s="415" t="str">
        <f aca="false">IF($A$1="Peak","-",'Base Hours'!T45*BaseLoad!Z44*'Base Hours'!$AA45)</f>
        <v>-</v>
      </c>
      <c r="U45" s="415" t="str">
        <f aca="false">IF($A$1="Peak","-",'Base Hours'!U45*BaseLoad!AA44*'Base Hours'!$AA45)</f>
        <v>-</v>
      </c>
      <c r="V45" s="415" t="n">
        <f aca="false">SUM(B45:U45)</f>
        <v>0</v>
      </c>
      <c r="W45" s="415" t="n">
        <f aca="false">IF($A$1="BL",(SUM(V34:V45)),0)</f>
        <v>0</v>
      </c>
      <c r="X45" s="415" t="n">
        <f aca="false">IF(AND($A$1="BL",W45&gt;0),(PPA!$B$5*8760*BaseLoad!$AP$15*PPA!$G$4*BaseLoad!$AP$9),0)</f>
        <v>0</v>
      </c>
      <c r="Y45" s="416" t="n">
        <f aca="false">X45+W45</f>
        <v>0</v>
      </c>
      <c r="Z45" s="416" t="n">
        <f aca="false">(BaseLoad!C44*'Base Hours'!X45*'Base Hours'!$AA45)*-1</f>
        <v>-0</v>
      </c>
      <c r="AA45" s="416" t="n">
        <f aca="false">SUM(Z34:Z45)</f>
        <v>0</v>
      </c>
      <c r="AB45" s="416" t="n">
        <f aca="false">(BaseLoad!D44*'Base Hours'!X45*'Base Hours'!$AA45)*-1</f>
        <v>-0</v>
      </c>
      <c r="AC45" s="416" t="n">
        <f aca="false">SUM(AB34:AB45)</f>
        <v>0</v>
      </c>
      <c r="AD45" s="416" t="n">
        <f aca="false">(BaseLoad!E44*'Base Hours'!X45*'Base Hours'!$AA45)*-1</f>
        <v>-0</v>
      </c>
      <c r="AE45" s="416" t="n">
        <f aca="false">SUM(AD34:AD45)</f>
        <v>0</v>
      </c>
      <c r="AF45" s="416" t="n">
        <f aca="false">(BaseLoad!F44*'Base Hours'!X45*'Base Hours'!$AA45)*-1</f>
        <v>-0</v>
      </c>
      <c r="AG45" s="416" t="n">
        <f aca="false">SUM(AF34:AF45)</f>
        <v>0</v>
      </c>
    </row>
    <row r="46" customFormat="false" ht="12.75" hidden="false" customHeight="false" outlineLevel="0" collapsed="false">
      <c r="A46" s="400" t="n">
        <f aca="false">A45+30.417</f>
        <v>37635.012</v>
      </c>
      <c r="B46" s="415" t="str">
        <f aca="false">IF($A$1="Peak","-",'Base Hours'!B46*BaseLoad!H45*'Base Hours'!$AA46)</f>
        <v>-</v>
      </c>
      <c r="C46" s="415" t="str">
        <f aca="false">IF($A$1="Peak","-",'Base Hours'!C46*BaseLoad!I45*'Base Hours'!$AA46)</f>
        <v>-</v>
      </c>
      <c r="D46" s="415" t="str">
        <f aca="false">IF($A$1="Peak","-",'Base Hours'!D46*BaseLoad!J45*'Base Hours'!$AA46)</f>
        <v>-</v>
      </c>
      <c r="E46" s="415" t="str">
        <f aca="false">IF($A$1="Peak","-",'Base Hours'!E46*BaseLoad!K45*'Base Hours'!$AA46)</f>
        <v>-</v>
      </c>
      <c r="F46" s="415" t="str">
        <f aca="false">IF($A$1="Peak","-",'Base Hours'!F46*BaseLoad!L45*'Base Hours'!$AA46)</f>
        <v>-</v>
      </c>
      <c r="G46" s="415" t="str">
        <f aca="false">IF($A$1="Peak","-",'Base Hours'!G46*BaseLoad!M45*'Base Hours'!$AA46)</f>
        <v>-</v>
      </c>
      <c r="H46" s="415" t="str">
        <f aca="false">IF($A$1="Peak","-",'Base Hours'!H46*BaseLoad!N45*'Base Hours'!$AA46)</f>
        <v>-</v>
      </c>
      <c r="I46" s="415" t="str">
        <f aca="false">IF($A$1="Peak","-",'Base Hours'!I46*BaseLoad!O45*'Base Hours'!$AA46)</f>
        <v>-</v>
      </c>
      <c r="J46" s="415" t="str">
        <f aca="false">IF($A$1="Peak","-",'Base Hours'!J46*BaseLoad!P45*'Base Hours'!$AA46)</f>
        <v>-</v>
      </c>
      <c r="K46" s="415" t="str">
        <f aca="false">IF($A$1="Peak","-",'Base Hours'!K46*BaseLoad!Q45*'Base Hours'!$AA46)</f>
        <v>-</v>
      </c>
      <c r="L46" s="415" t="str">
        <f aca="false">IF($A$1="Peak","-",'Base Hours'!L46*BaseLoad!R45*'Base Hours'!$AA46)</f>
        <v>-</v>
      </c>
      <c r="M46" s="415" t="str">
        <f aca="false">IF($A$1="Peak","-",'Base Hours'!M46*BaseLoad!S45*'Base Hours'!$AA46)</f>
        <v>-</v>
      </c>
      <c r="N46" s="415" t="str">
        <f aca="false">IF($A$1="Peak","-",'Base Hours'!N46*BaseLoad!T45*'Base Hours'!$AA46)</f>
        <v>-</v>
      </c>
      <c r="O46" s="415" t="str">
        <f aca="false">IF($A$1="Peak","-",'Base Hours'!O46*BaseLoad!U45*'Base Hours'!$AA46)</f>
        <v>-</v>
      </c>
      <c r="P46" s="415" t="str">
        <f aca="false">IF($A$1="Peak","-",'Base Hours'!P46*BaseLoad!V45*'Base Hours'!$AA46)</f>
        <v>-</v>
      </c>
      <c r="Q46" s="415" t="str">
        <f aca="false">IF($A$1="Peak","-",'Base Hours'!Q46*BaseLoad!W45*'Base Hours'!$AA46)</f>
        <v>-</v>
      </c>
      <c r="R46" s="415" t="str">
        <f aca="false">IF($A$1="Peak","-",'Base Hours'!R46*BaseLoad!X45*'Base Hours'!$AA46)</f>
        <v>-</v>
      </c>
      <c r="S46" s="415" t="str">
        <f aca="false">IF($A$1="Peak","-",'Base Hours'!S46*BaseLoad!Y45*'Base Hours'!$AA46)</f>
        <v>-</v>
      </c>
      <c r="T46" s="415" t="str">
        <f aca="false">IF($A$1="Peak","-",'Base Hours'!T46*BaseLoad!Z45*'Base Hours'!$AA46)</f>
        <v>-</v>
      </c>
      <c r="U46" s="415" t="str">
        <f aca="false">IF($A$1="Peak","-",'Base Hours'!U46*BaseLoad!AA45*'Base Hours'!$AA46)</f>
        <v>-</v>
      </c>
      <c r="V46" s="415" t="n">
        <f aca="false">SUM(B46:U46)</f>
        <v>0</v>
      </c>
      <c r="W46" s="415"/>
      <c r="X46" s="415"/>
      <c r="Y46" s="416"/>
      <c r="Z46" s="416" t="n">
        <f aca="false">(BaseLoad!C45*'Base Hours'!X46*'Base Hours'!$AA46)*-1</f>
        <v>-0</v>
      </c>
      <c r="AA46" s="416"/>
      <c r="AB46" s="416" t="n">
        <f aca="false">(BaseLoad!D45*'Base Hours'!X46*'Base Hours'!$AA46)*-1</f>
        <v>-0</v>
      </c>
      <c r="AC46" s="416"/>
      <c r="AD46" s="416" t="n">
        <f aca="false">(BaseLoad!E45*'Base Hours'!X46*'Base Hours'!$AA46)*-1</f>
        <v>-0</v>
      </c>
      <c r="AE46" s="416"/>
      <c r="AF46" s="416" t="n">
        <f aca="false">(BaseLoad!F45*'Base Hours'!X46*'Base Hours'!$AA46)*-1</f>
        <v>-0</v>
      </c>
      <c r="AG46" s="416"/>
    </row>
    <row r="47" customFormat="false" ht="12.75" hidden="false" customHeight="false" outlineLevel="0" collapsed="false">
      <c r="A47" s="400" t="n">
        <f aca="false">A46+30.417</f>
        <v>37665.429</v>
      </c>
      <c r="B47" s="415" t="str">
        <f aca="false">IF($A$1="Peak","-",'Base Hours'!B47*BaseLoad!H46*'Base Hours'!$AA47)</f>
        <v>-</v>
      </c>
      <c r="C47" s="415" t="str">
        <f aca="false">IF($A$1="Peak","-",'Base Hours'!C47*BaseLoad!I46*'Base Hours'!$AA47)</f>
        <v>-</v>
      </c>
      <c r="D47" s="415" t="str">
        <f aca="false">IF($A$1="Peak","-",'Base Hours'!D47*BaseLoad!J46*'Base Hours'!$AA47)</f>
        <v>-</v>
      </c>
      <c r="E47" s="415" t="str">
        <f aca="false">IF($A$1="Peak","-",'Base Hours'!E47*BaseLoad!K46*'Base Hours'!$AA47)</f>
        <v>-</v>
      </c>
      <c r="F47" s="415" t="str">
        <f aca="false">IF($A$1="Peak","-",'Base Hours'!F47*BaseLoad!L46*'Base Hours'!$AA47)</f>
        <v>-</v>
      </c>
      <c r="G47" s="415" t="str">
        <f aca="false">IF($A$1="Peak","-",'Base Hours'!G47*BaseLoad!M46*'Base Hours'!$AA47)</f>
        <v>-</v>
      </c>
      <c r="H47" s="415" t="str">
        <f aca="false">IF($A$1="Peak","-",'Base Hours'!H47*BaseLoad!N46*'Base Hours'!$AA47)</f>
        <v>-</v>
      </c>
      <c r="I47" s="415" t="str">
        <f aca="false">IF($A$1="Peak","-",'Base Hours'!I47*BaseLoad!O46*'Base Hours'!$AA47)</f>
        <v>-</v>
      </c>
      <c r="J47" s="415" t="str">
        <f aca="false">IF($A$1="Peak","-",'Base Hours'!J47*BaseLoad!P46*'Base Hours'!$AA47)</f>
        <v>-</v>
      </c>
      <c r="K47" s="415" t="str">
        <f aca="false">IF($A$1="Peak","-",'Base Hours'!K47*BaseLoad!Q46*'Base Hours'!$AA47)</f>
        <v>-</v>
      </c>
      <c r="L47" s="415" t="str">
        <f aca="false">IF($A$1="Peak","-",'Base Hours'!L47*BaseLoad!R46*'Base Hours'!$AA47)</f>
        <v>-</v>
      </c>
      <c r="M47" s="415" t="str">
        <f aca="false">IF($A$1="Peak","-",'Base Hours'!M47*BaseLoad!S46*'Base Hours'!$AA47)</f>
        <v>-</v>
      </c>
      <c r="N47" s="415" t="str">
        <f aca="false">IF($A$1="Peak","-",'Base Hours'!N47*BaseLoad!T46*'Base Hours'!$AA47)</f>
        <v>-</v>
      </c>
      <c r="O47" s="415" t="str">
        <f aca="false">IF($A$1="Peak","-",'Base Hours'!O47*BaseLoad!U46*'Base Hours'!$AA47)</f>
        <v>-</v>
      </c>
      <c r="P47" s="415" t="str">
        <f aca="false">IF($A$1="Peak","-",'Base Hours'!P47*BaseLoad!V46*'Base Hours'!$AA47)</f>
        <v>-</v>
      </c>
      <c r="Q47" s="415" t="str">
        <f aca="false">IF($A$1="Peak","-",'Base Hours'!Q47*BaseLoad!W46*'Base Hours'!$AA47)</f>
        <v>-</v>
      </c>
      <c r="R47" s="415" t="str">
        <f aca="false">IF($A$1="Peak","-",'Base Hours'!R47*BaseLoad!X46*'Base Hours'!$AA47)</f>
        <v>-</v>
      </c>
      <c r="S47" s="415" t="str">
        <f aca="false">IF($A$1="Peak","-",'Base Hours'!S47*BaseLoad!Y46*'Base Hours'!$AA47)</f>
        <v>-</v>
      </c>
      <c r="T47" s="415" t="str">
        <f aca="false">IF($A$1="Peak","-",'Base Hours'!T47*BaseLoad!Z46*'Base Hours'!$AA47)</f>
        <v>-</v>
      </c>
      <c r="U47" s="415" t="str">
        <f aca="false">IF($A$1="Peak","-",'Base Hours'!U47*BaseLoad!AA46*'Base Hours'!$AA47)</f>
        <v>-</v>
      </c>
      <c r="V47" s="415" t="n">
        <f aca="false">SUM(B47:U47)</f>
        <v>0</v>
      </c>
      <c r="W47" s="415"/>
      <c r="X47" s="415"/>
      <c r="Y47" s="416"/>
      <c r="Z47" s="416" t="n">
        <f aca="false">(BaseLoad!C46*'Base Hours'!X47*'Base Hours'!$AA47)*-1</f>
        <v>-0</v>
      </c>
      <c r="AA47" s="416"/>
      <c r="AB47" s="416" t="n">
        <f aca="false">(BaseLoad!D46*'Base Hours'!X47*'Base Hours'!$AA47)*-1</f>
        <v>-0</v>
      </c>
      <c r="AC47" s="416"/>
      <c r="AD47" s="416" t="n">
        <f aca="false">(BaseLoad!E46*'Base Hours'!X47*'Base Hours'!$AA47)*-1</f>
        <v>-0</v>
      </c>
      <c r="AE47" s="416"/>
      <c r="AF47" s="416" t="n">
        <f aca="false">(BaseLoad!F46*'Base Hours'!X47*'Base Hours'!$AA47)*-1</f>
        <v>-0</v>
      </c>
      <c r="AG47" s="416"/>
    </row>
    <row r="48" customFormat="false" ht="12.75" hidden="false" customHeight="false" outlineLevel="0" collapsed="false">
      <c r="A48" s="400" t="n">
        <f aca="false">A47+30.417</f>
        <v>37695.846</v>
      </c>
      <c r="B48" s="415" t="str">
        <f aca="false">IF($A$1="Peak","-",'Base Hours'!B48*BaseLoad!H47*'Base Hours'!$AA48)</f>
        <v>-</v>
      </c>
      <c r="C48" s="415" t="str">
        <f aca="false">IF($A$1="Peak","-",'Base Hours'!C48*BaseLoad!I47*'Base Hours'!$AA48)</f>
        <v>-</v>
      </c>
      <c r="D48" s="415" t="str">
        <f aca="false">IF($A$1="Peak","-",'Base Hours'!D48*BaseLoad!J47*'Base Hours'!$AA48)</f>
        <v>-</v>
      </c>
      <c r="E48" s="415" t="str">
        <f aca="false">IF($A$1="Peak","-",'Base Hours'!E48*BaseLoad!K47*'Base Hours'!$AA48)</f>
        <v>-</v>
      </c>
      <c r="F48" s="415" t="str">
        <f aca="false">IF($A$1="Peak","-",'Base Hours'!F48*BaseLoad!L47*'Base Hours'!$AA48)</f>
        <v>-</v>
      </c>
      <c r="G48" s="415" t="str">
        <f aca="false">IF($A$1="Peak","-",'Base Hours'!G48*BaseLoad!M47*'Base Hours'!$AA48)</f>
        <v>-</v>
      </c>
      <c r="H48" s="415" t="str">
        <f aca="false">IF($A$1="Peak","-",'Base Hours'!H48*BaseLoad!N47*'Base Hours'!$AA48)</f>
        <v>-</v>
      </c>
      <c r="I48" s="415" t="str">
        <f aca="false">IF($A$1="Peak","-",'Base Hours'!I48*BaseLoad!O47*'Base Hours'!$AA48)</f>
        <v>-</v>
      </c>
      <c r="J48" s="415" t="str">
        <f aca="false">IF($A$1="Peak","-",'Base Hours'!J48*BaseLoad!P47*'Base Hours'!$AA48)</f>
        <v>-</v>
      </c>
      <c r="K48" s="415" t="str">
        <f aca="false">IF($A$1="Peak","-",'Base Hours'!K48*BaseLoad!Q47*'Base Hours'!$AA48)</f>
        <v>-</v>
      </c>
      <c r="L48" s="415" t="str">
        <f aca="false">IF($A$1="Peak","-",'Base Hours'!L48*BaseLoad!R47*'Base Hours'!$AA48)</f>
        <v>-</v>
      </c>
      <c r="M48" s="415" t="str">
        <f aca="false">IF($A$1="Peak","-",'Base Hours'!M48*BaseLoad!S47*'Base Hours'!$AA48)</f>
        <v>-</v>
      </c>
      <c r="N48" s="415" t="str">
        <f aca="false">IF($A$1="Peak","-",'Base Hours'!N48*BaseLoad!T47*'Base Hours'!$AA48)</f>
        <v>-</v>
      </c>
      <c r="O48" s="415" t="str">
        <f aca="false">IF($A$1="Peak","-",'Base Hours'!O48*BaseLoad!U47*'Base Hours'!$AA48)</f>
        <v>-</v>
      </c>
      <c r="P48" s="415" t="str">
        <f aca="false">IF($A$1="Peak","-",'Base Hours'!P48*BaseLoad!V47*'Base Hours'!$AA48)</f>
        <v>-</v>
      </c>
      <c r="Q48" s="415" t="str">
        <f aca="false">IF($A$1="Peak","-",'Base Hours'!Q48*BaseLoad!W47*'Base Hours'!$AA48)</f>
        <v>-</v>
      </c>
      <c r="R48" s="415" t="str">
        <f aca="false">IF($A$1="Peak","-",'Base Hours'!R48*BaseLoad!X47*'Base Hours'!$AA48)</f>
        <v>-</v>
      </c>
      <c r="S48" s="415" t="str">
        <f aca="false">IF($A$1="Peak","-",'Base Hours'!S48*BaseLoad!Y47*'Base Hours'!$AA48)</f>
        <v>-</v>
      </c>
      <c r="T48" s="415" t="str">
        <f aca="false">IF($A$1="Peak","-",'Base Hours'!T48*BaseLoad!Z47*'Base Hours'!$AA48)</f>
        <v>-</v>
      </c>
      <c r="U48" s="415" t="str">
        <f aca="false">IF($A$1="Peak","-",'Base Hours'!U48*BaseLoad!AA47*'Base Hours'!$AA48)</f>
        <v>-</v>
      </c>
      <c r="V48" s="415" t="n">
        <f aca="false">SUM(B48:U48)</f>
        <v>0</v>
      </c>
      <c r="W48" s="415"/>
      <c r="X48" s="415"/>
      <c r="Y48" s="416"/>
      <c r="Z48" s="416" t="n">
        <f aca="false">(BaseLoad!C47*'Base Hours'!X48*'Base Hours'!$AA48)*-1</f>
        <v>-0</v>
      </c>
      <c r="AA48" s="416"/>
      <c r="AB48" s="416" t="n">
        <f aca="false">(BaseLoad!D47*'Base Hours'!X48*'Base Hours'!$AA48)*-1</f>
        <v>-0</v>
      </c>
      <c r="AC48" s="416"/>
      <c r="AD48" s="416" t="n">
        <f aca="false">(BaseLoad!E47*'Base Hours'!X48*'Base Hours'!$AA48)*-1</f>
        <v>-0</v>
      </c>
      <c r="AE48" s="416"/>
      <c r="AF48" s="416" t="n">
        <f aca="false">(BaseLoad!F47*'Base Hours'!X48*'Base Hours'!$AA48)*-1</f>
        <v>-0</v>
      </c>
      <c r="AG48" s="416"/>
    </row>
    <row r="49" customFormat="false" ht="12.75" hidden="false" customHeight="false" outlineLevel="0" collapsed="false">
      <c r="A49" s="400" t="n">
        <f aca="false">A48+30.417</f>
        <v>37726.263</v>
      </c>
      <c r="B49" s="415" t="str">
        <f aca="false">IF($A$1="Peak","-",'Base Hours'!B49*BaseLoad!H48*'Base Hours'!$AA49)</f>
        <v>-</v>
      </c>
      <c r="C49" s="415" t="str">
        <f aca="false">IF($A$1="Peak","-",'Base Hours'!C49*BaseLoad!I48*'Base Hours'!$AA49)</f>
        <v>-</v>
      </c>
      <c r="D49" s="415" t="str">
        <f aca="false">IF($A$1="Peak","-",'Base Hours'!D49*BaseLoad!J48*'Base Hours'!$AA49)</f>
        <v>-</v>
      </c>
      <c r="E49" s="415" t="str">
        <f aca="false">IF($A$1="Peak","-",'Base Hours'!E49*BaseLoad!K48*'Base Hours'!$AA49)</f>
        <v>-</v>
      </c>
      <c r="F49" s="415" t="str">
        <f aca="false">IF($A$1="Peak","-",'Base Hours'!F49*BaseLoad!L48*'Base Hours'!$AA49)</f>
        <v>-</v>
      </c>
      <c r="G49" s="415" t="str">
        <f aca="false">IF($A$1="Peak","-",'Base Hours'!G49*BaseLoad!M48*'Base Hours'!$AA49)</f>
        <v>-</v>
      </c>
      <c r="H49" s="415" t="str">
        <f aca="false">IF($A$1="Peak","-",'Base Hours'!H49*BaseLoad!N48*'Base Hours'!$AA49)</f>
        <v>-</v>
      </c>
      <c r="I49" s="415" t="str">
        <f aca="false">IF($A$1="Peak","-",'Base Hours'!I49*BaseLoad!O48*'Base Hours'!$AA49)</f>
        <v>-</v>
      </c>
      <c r="J49" s="415" t="str">
        <f aca="false">IF($A$1="Peak","-",'Base Hours'!J49*BaseLoad!P48*'Base Hours'!$AA49)</f>
        <v>-</v>
      </c>
      <c r="K49" s="415" t="str">
        <f aca="false">IF($A$1="Peak","-",'Base Hours'!K49*BaseLoad!Q48*'Base Hours'!$AA49)</f>
        <v>-</v>
      </c>
      <c r="L49" s="415" t="str">
        <f aca="false">IF($A$1="Peak","-",'Base Hours'!L49*BaseLoad!R48*'Base Hours'!$AA49)</f>
        <v>-</v>
      </c>
      <c r="M49" s="415" t="str">
        <f aca="false">IF($A$1="Peak","-",'Base Hours'!M49*BaseLoad!S48*'Base Hours'!$AA49)</f>
        <v>-</v>
      </c>
      <c r="N49" s="415" t="str">
        <f aca="false">IF($A$1="Peak","-",'Base Hours'!N49*BaseLoad!T48*'Base Hours'!$AA49)</f>
        <v>-</v>
      </c>
      <c r="O49" s="415" t="str">
        <f aca="false">IF($A$1="Peak","-",'Base Hours'!O49*BaseLoad!U48*'Base Hours'!$AA49)</f>
        <v>-</v>
      </c>
      <c r="P49" s="415" t="str">
        <f aca="false">IF($A$1="Peak","-",'Base Hours'!P49*BaseLoad!V48*'Base Hours'!$AA49)</f>
        <v>-</v>
      </c>
      <c r="Q49" s="415" t="str">
        <f aca="false">IF($A$1="Peak","-",'Base Hours'!Q49*BaseLoad!W48*'Base Hours'!$AA49)</f>
        <v>-</v>
      </c>
      <c r="R49" s="415" t="str">
        <f aca="false">IF($A$1="Peak","-",'Base Hours'!R49*BaseLoad!X48*'Base Hours'!$AA49)</f>
        <v>-</v>
      </c>
      <c r="S49" s="415" t="str">
        <f aca="false">IF($A$1="Peak","-",'Base Hours'!S49*BaseLoad!Y48*'Base Hours'!$AA49)</f>
        <v>-</v>
      </c>
      <c r="T49" s="415" t="str">
        <f aca="false">IF($A$1="Peak","-",'Base Hours'!T49*BaseLoad!Z48*'Base Hours'!$AA49)</f>
        <v>-</v>
      </c>
      <c r="U49" s="415" t="str">
        <f aca="false">IF($A$1="Peak","-",'Base Hours'!U49*BaseLoad!AA48*'Base Hours'!$AA49)</f>
        <v>-</v>
      </c>
      <c r="V49" s="415" t="n">
        <f aca="false">SUM(B49:U49)</f>
        <v>0</v>
      </c>
      <c r="W49" s="415"/>
      <c r="X49" s="415"/>
      <c r="Y49" s="416"/>
      <c r="Z49" s="416" t="n">
        <f aca="false">(BaseLoad!C48*'Base Hours'!X49*'Base Hours'!$AA49)*-1</f>
        <v>-0</v>
      </c>
      <c r="AA49" s="416"/>
      <c r="AB49" s="416" t="n">
        <f aca="false">(BaseLoad!D48*'Base Hours'!X49*'Base Hours'!$AA49)*-1</f>
        <v>-0</v>
      </c>
      <c r="AC49" s="416"/>
      <c r="AD49" s="416" t="n">
        <f aca="false">(BaseLoad!E48*'Base Hours'!X49*'Base Hours'!$AA49)*-1</f>
        <v>-0</v>
      </c>
      <c r="AE49" s="416"/>
      <c r="AF49" s="416" t="n">
        <f aca="false">(BaseLoad!F48*'Base Hours'!X49*'Base Hours'!$AA49)*-1</f>
        <v>-0</v>
      </c>
      <c r="AG49" s="416"/>
    </row>
    <row r="50" customFormat="false" ht="12.75" hidden="false" customHeight="false" outlineLevel="0" collapsed="false">
      <c r="A50" s="400" t="n">
        <f aca="false">A49+30.417</f>
        <v>37756.68</v>
      </c>
      <c r="B50" s="415" t="str">
        <f aca="false">IF($A$1="Peak","-",'Base Hours'!B50*BaseLoad!H49*'Base Hours'!$AA50)</f>
        <v>-</v>
      </c>
      <c r="C50" s="415" t="str">
        <f aca="false">IF($A$1="Peak","-",'Base Hours'!C50*BaseLoad!I49*'Base Hours'!$AA50)</f>
        <v>-</v>
      </c>
      <c r="D50" s="415" t="str">
        <f aca="false">IF($A$1="Peak","-",'Base Hours'!D50*BaseLoad!J49*'Base Hours'!$AA50)</f>
        <v>-</v>
      </c>
      <c r="E50" s="415" t="str">
        <f aca="false">IF($A$1="Peak","-",'Base Hours'!E50*BaseLoad!K49*'Base Hours'!$AA50)</f>
        <v>-</v>
      </c>
      <c r="F50" s="415" t="str">
        <f aca="false">IF($A$1="Peak","-",'Base Hours'!F50*BaseLoad!L49*'Base Hours'!$AA50)</f>
        <v>-</v>
      </c>
      <c r="G50" s="415" t="str">
        <f aca="false">IF($A$1="Peak","-",'Base Hours'!G50*BaseLoad!M49*'Base Hours'!$AA50)</f>
        <v>-</v>
      </c>
      <c r="H50" s="415" t="str">
        <f aca="false">IF($A$1="Peak","-",'Base Hours'!H50*BaseLoad!N49*'Base Hours'!$AA50)</f>
        <v>-</v>
      </c>
      <c r="I50" s="415" t="str">
        <f aca="false">IF($A$1="Peak","-",'Base Hours'!I50*BaseLoad!O49*'Base Hours'!$AA50)</f>
        <v>-</v>
      </c>
      <c r="J50" s="415" t="str">
        <f aca="false">IF($A$1="Peak","-",'Base Hours'!J50*BaseLoad!P49*'Base Hours'!$AA50)</f>
        <v>-</v>
      </c>
      <c r="K50" s="415" t="str">
        <f aca="false">IF($A$1="Peak","-",'Base Hours'!K50*BaseLoad!Q49*'Base Hours'!$AA50)</f>
        <v>-</v>
      </c>
      <c r="L50" s="415" t="str">
        <f aca="false">IF($A$1="Peak","-",'Base Hours'!L50*BaseLoad!R49*'Base Hours'!$AA50)</f>
        <v>-</v>
      </c>
      <c r="M50" s="415" t="str">
        <f aca="false">IF($A$1="Peak","-",'Base Hours'!M50*BaseLoad!S49*'Base Hours'!$AA50)</f>
        <v>-</v>
      </c>
      <c r="N50" s="415" t="str">
        <f aca="false">IF($A$1="Peak","-",'Base Hours'!N50*BaseLoad!T49*'Base Hours'!$AA50)</f>
        <v>-</v>
      </c>
      <c r="O50" s="415" t="str">
        <f aca="false">IF($A$1="Peak","-",'Base Hours'!O50*BaseLoad!U49*'Base Hours'!$AA50)</f>
        <v>-</v>
      </c>
      <c r="P50" s="415" t="str">
        <f aca="false">IF($A$1="Peak","-",'Base Hours'!P50*BaseLoad!V49*'Base Hours'!$AA50)</f>
        <v>-</v>
      </c>
      <c r="Q50" s="415" t="str">
        <f aca="false">IF($A$1="Peak","-",'Base Hours'!Q50*BaseLoad!W49*'Base Hours'!$AA50)</f>
        <v>-</v>
      </c>
      <c r="R50" s="415" t="str">
        <f aca="false">IF($A$1="Peak","-",'Base Hours'!R50*BaseLoad!X49*'Base Hours'!$AA50)</f>
        <v>-</v>
      </c>
      <c r="S50" s="415" t="str">
        <f aca="false">IF($A$1="Peak","-",'Base Hours'!S50*BaseLoad!Y49*'Base Hours'!$AA50)</f>
        <v>-</v>
      </c>
      <c r="T50" s="415" t="str">
        <f aca="false">IF($A$1="Peak","-",'Base Hours'!T50*BaseLoad!Z49*'Base Hours'!$AA50)</f>
        <v>-</v>
      </c>
      <c r="U50" s="415" t="str">
        <f aca="false">IF($A$1="Peak","-",'Base Hours'!U50*BaseLoad!AA49*'Base Hours'!$AA50)</f>
        <v>-</v>
      </c>
      <c r="V50" s="415" t="n">
        <f aca="false">SUM(B50:U50)</f>
        <v>0</v>
      </c>
      <c r="W50" s="415"/>
      <c r="X50" s="415"/>
      <c r="Y50" s="416"/>
      <c r="Z50" s="416" t="n">
        <f aca="false">(BaseLoad!C49*'Base Hours'!X50*'Base Hours'!$AA50)*-1</f>
        <v>-0</v>
      </c>
      <c r="AA50" s="416"/>
      <c r="AB50" s="416" t="n">
        <f aca="false">(BaseLoad!D49*'Base Hours'!X50*'Base Hours'!$AA50)*-1</f>
        <v>-0</v>
      </c>
      <c r="AC50" s="416"/>
      <c r="AD50" s="416" t="n">
        <f aca="false">(BaseLoad!E49*'Base Hours'!X50*'Base Hours'!$AA50)*-1</f>
        <v>-0</v>
      </c>
      <c r="AE50" s="416"/>
      <c r="AF50" s="416" t="n">
        <f aca="false">(BaseLoad!F49*'Base Hours'!X50*'Base Hours'!$AA50)*-1</f>
        <v>-0</v>
      </c>
      <c r="AG50" s="416"/>
    </row>
    <row r="51" customFormat="false" ht="12.75" hidden="false" customHeight="false" outlineLevel="0" collapsed="false">
      <c r="A51" s="400" t="n">
        <f aca="false">A50+30.417</f>
        <v>37787.097</v>
      </c>
      <c r="B51" s="415" t="str">
        <f aca="false">IF($A$1="Peak","-",'Base Hours'!B51*BaseLoad!H50*'Base Hours'!$AA51)</f>
        <v>-</v>
      </c>
      <c r="C51" s="415" t="str">
        <f aca="false">IF($A$1="Peak","-",'Base Hours'!C51*BaseLoad!I50*'Base Hours'!$AA51)</f>
        <v>-</v>
      </c>
      <c r="D51" s="415" t="str">
        <f aca="false">IF($A$1="Peak","-",'Base Hours'!D51*BaseLoad!J50*'Base Hours'!$AA51)</f>
        <v>-</v>
      </c>
      <c r="E51" s="415" t="str">
        <f aca="false">IF($A$1="Peak","-",'Base Hours'!E51*BaseLoad!K50*'Base Hours'!$AA51)</f>
        <v>-</v>
      </c>
      <c r="F51" s="415" t="str">
        <f aca="false">IF($A$1="Peak","-",'Base Hours'!F51*BaseLoad!L50*'Base Hours'!$AA51)</f>
        <v>-</v>
      </c>
      <c r="G51" s="415" t="str">
        <f aca="false">IF($A$1="Peak","-",'Base Hours'!G51*BaseLoad!M50*'Base Hours'!$AA51)</f>
        <v>-</v>
      </c>
      <c r="H51" s="415" t="str">
        <f aca="false">IF($A$1="Peak","-",'Base Hours'!H51*BaseLoad!N50*'Base Hours'!$AA51)</f>
        <v>-</v>
      </c>
      <c r="I51" s="415" t="str">
        <f aca="false">IF($A$1="Peak","-",'Base Hours'!I51*BaseLoad!O50*'Base Hours'!$AA51)</f>
        <v>-</v>
      </c>
      <c r="J51" s="415" t="str">
        <f aca="false">IF($A$1="Peak","-",'Base Hours'!J51*BaseLoad!P50*'Base Hours'!$AA51)</f>
        <v>-</v>
      </c>
      <c r="K51" s="415" t="str">
        <f aca="false">IF($A$1="Peak","-",'Base Hours'!K51*BaseLoad!Q50*'Base Hours'!$AA51)</f>
        <v>-</v>
      </c>
      <c r="L51" s="415" t="str">
        <f aca="false">IF($A$1="Peak","-",'Base Hours'!L51*BaseLoad!R50*'Base Hours'!$AA51)</f>
        <v>-</v>
      </c>
      <c r="M51" s="415" t="str">
        <f aca="false">IF($A$1="Peak","-",'Base Hours'!M51*BaseLoad!S50*'Base Hours'!$AA51)</f>
        <v>-</v>
      </c>
      <c r="N51" s="415" t="str">
        <f aca="false">IF($A$1="Peak","-",'Base Hours'!N51*BaseLoad!T50*'Base Hours'!$AA51)</f>
        <v>-</v>
      </c>
      <c r="O51" s="415" t="str">
        <f aca="false">IF($A$1="Peak","-",'Base Hours'!O51*BaseLoad!U50*'Base Hours'!$AA51)</f>
        <v>-</v>
      </c>
      <c r="P51" s="415" t="str">
        <f aca="false">IF($A$1="Peak","-",'Base Hours'!P51*BaseLoad!V50*'Base Hours'!$AA51)</f>
        <v>-</v>
      </c>
      <c r="Q51" s="415" t="str">
        <f aca="false">IF($A$1="Peak","-",'Base Hours'!Q51*BaseLoad!W50*'Base Hours'!$AA51)</f>
        <v>-</v>
      </c>
      <c r="R51" s="415" t="str">
        <f aca="false">IF($A$1="Peak","-",'Base Hours'!R51*BaseLoad!X50*'Base Hours'!$AA51)</f>
        <v>-</v>
      </c>
      <c r="S51" s="415" t="str">
        <f aca="false">IF($A$1="Peak","-",'Base Hours'!S51*BaseLoad!Y50*'Base Hours'!$AA51)</f>
        <v>-</v>
      </c>
      <c r="T51" s="415" t="str">
        <f aca="false">IF($A$1="Peak","-",'Base Hours'!T51*BaseLoad!Z50*'Base Hours'!$AA51)</f>
        <v>-</v>
      </c>
      <c r="U51" s="415" t="str">
        <f aca="false">IF($A$1="Peak","-",'Base Hours'!U51*BaseLoad!AA50*'Base Hours'!$AA51)</f>
        <v>-</v>
      </c>
      <c r="V51" s="415" t="n">
        <f aca="false">SUM(B51:U51)</f>
        <v>0</v>
      </c>
      <c r="W51" s="415"/>
      <c r="X51" s="415"/>
      <c r="Y51" s="416"/>
      <c r="Z51" s="416" t="n">
        <f aca="false">(BaseLoad!C50*'Base Hours'!X51*'Base Hours'!$AA51)*-1</f>
        <v>-0</v>
      </c>
      <c r="AA51" s="416"/>
      <c r="AB51" s="416" t="n">
        <f aca="false">(BaseLoad!D50*'Base Hours'!X51*'Base Hours'!$AA51)*-1</f>
        <v>-0</v>
      </c>
      <c r="AC51" s="416"/>
      <c r="AD51" s="416" t="n">
        <f aca="false">(BaseLoad!E50*'Base Hours'!X51*'Base Hours'!$AA51)*-1</f>
        <v>-0</v>
      </c>
      <c r="AE51" s="416"/>
      <c r="AF51" s="416" t="n">
        <f aca="false">(BaseLoad!F50*'Base Hours'!X51*'Base Hours'!$AA51)*-1</f>
        <v>-0</v>
      </c>
      <c r="AG51" s="416"/>
    </row>
    <row r="52" customFormat="false" ht="12.75" hidden="false" customHeight="false" outlineLevel="0" collapsed="false">
      <c r="A52" s="400" t="n">
        <f aca="false">A51+30.417</f>
        <v>37817.514</v>
      </c>
      <c r="B52" s="415" t="str">
        <f aca="false">IF($A$1="Peak","-",'Base Hours'!B52*BaseLoad!H51*'Base Hours'!$AA52)</f>
        <v>-</v>
      </c>
      <c r="C52" s="415" t="str">
        <f aca="false">IF($A$1="Peak","-",'Base Hours'!C52*BaseLoad!I51*'Base Hours'!$AA52)</f>
        <v>-</v>
      </c>
      <c r="D52" s="415" t="str">
        <f aca="false">IF($A$1="Peak","-",'Base Hours'!D52*BaseLoad!J51*'Base Hours'!$AA52)</f>
        <v>-</v>
      </c>
      <c r="E52" s="415" t="str">
        <f aca="false">IF($A$1="Peak","-",'Base Hours'!E52*BaseLoad!K51*'Base Hours'!$AA52)</f>
        <v>-</v>
      </c>
      <c r="F52" s="415" t="str">
        <f aca="false">IF($A$1="Peak","-",'Base Hours'!F52*BaseLoad!L51*'Base Hours'!$AA52)</f>
        <v>-</v>
      </c>
      <c r="G52" s="415" t="str">
        <f aca="false">IF($A$1="Peak","-",'Base Hours'!G52*BaseLoad!M51*'Base Hours'!$AA52)</f>
        <v>-</v>
      </c>
      <c r="H52" s="415" t="str">
        <f aca="false">IF($A$1="Peak","-",'Base Hours'!H52*BaseLoad!N51*'Base Hours'!$AA52)</f>
        <v>-</v>
      </c>
      <c r="I52" s="415" t="str">
        <f aca="false">IF($A$1="Peak","-",'Base Hours'!I52*BaseLoad!O51*'Base Hours'!$AA52)</f>
        <v>-</v>
      </c>
      <c r="J52" s="415" t="str">
        <f aca="false">IF($A$1="Peak","-",'Base Hours'!J52*BaseLoad!P51*'Base Hours'!$AA52)</f>
        <v>-</v>
      </c>
      <c r="K52" s="415" t="str">
        <f aca="false">IF($A$1="Peak","-",'Base Hours'!K52*BaseLoad!Q51*'Base Hours'!$AA52)</f>
        <v>-</v>
      </c>
      <c r="L52" s="415" t="str">
        <f aca="false">IF($A$1="Peak","-",'Base Hours'!L52*BaseLoad!R51*'Base Hours'!$AA52)</f>
        <v>-</v>
      </c>
      <c r="M52" s="415" t="str">
        <f aca="false">IF($A$1="Peak","-",'Base Hours'!M52*BaseLoad!S51*'Base Hours'!$AA52)</f>
        <v>-</v>
      </c>
      <c r="N52" s="415" t="str">
        <f aca="false">IF($A$1="Peak","-",'Base Hours'!N52*BaseLoad!T51*'Base Hours'!$AA52)</f>
        <v>-</v>
      </c>
      <c r="O52" s="415" t="str">
        <f aca="false">IF($A$1="Peak","-",'Base Hours'!O52*BaseLoad!U51*'Base Hours'!$AA52)</f>
        <v>-</v>
      </c>
      <c r="P52" s="415" t="str">
        <f aca="false">IF($A$1="Peak","-",'Base Hours'!P52*BaseLoad!V51*'Base Hours'!$AA52)</f>
        <v>-</v>
      </c>
      <c r="Q52" s="415" t="str">
        <f aca="false">IF($A$1="Peak","-",'Base Hours'!Q52*BaseLoad!W51*'Base Hours'!$AA52)</f>
        <v>-</v>
      </c>
      <c r="R52" s="415" t="str">
        <f aca="false">IF($A$1="Peak","-",'Base Hours'!R52*BaseLoad!X51*'Base Hours'!$AA52)</f>
        <v>-</v>
      </c>
      <c r="S52" s="415" t="str">
        <f aca="false">IF($A$1="Peak","-",'Base Hours'!S52*BaseLoad!Y51*'Base Hours'!$AA52)</f>
        <v>-</v>
      </c>
      <c r="T52" s="415" t="str">
        <f aca="false">IF($A$1="Peak","-",'Base Hours'!T52*BaseLoad!Z51*'Base Hours'!$AA52)</f>
        <v>-</v>
      </c>
      <c r="U52" s="415" t="str">
        <f aca="false">IF($A$1="Peak","-",'Base Hours'!U52*BaseLoad!AA51*'Base Hours'!$AA52)</f>
        <v>-</v>
      </c>
      <c r="V52" s="415" t="n">
        <f aca="false">SUM(B52:U52)</f>
        <v>0</v>
      </c>
      <c r="W52" s="415"/>
      <c r="X52" s="415"/>
      <c r="Y52" s="416"/>
      <c r="Z52" s="416" t="n">
        <f aca="false">(BaseLoad!C51*'Base Hours'!X52*'Base Hours'!$AA52)*-1</f>
        <v>-0</v>
      </c>
      <c r="AA52" s="416"/>
      <c r="AB52" s="416" t="n">
        <f aca="false">(BaseLoad!D51*'Base Hours'!X52*'Base Hours'!$AA52)*-1</f>
        <v>-0</v>
      </c>
      <c r="AC52" s="416"/>
      <c r="AD52" s="416" t="n">
        <f aca="false">(BaseLoad!E51*'Base Hours'!X52*'Base Hours'!$AA52)*-1</f>
        <v>-0</v>
      </c>
      <c r="AE52" s="416"/>
      <c r="AF52" s="416" t="n">
        <f aca="false">(BaseLoad!F51*'Base Hours'!X52*'Base Hours'!$AA52)*-1</f>
        <v>-0</v>
      </c>
      <c r="AG52" s="416"/>
    </row>
    <row r="53" customFormat="false" ht="12.75" hidden="false" customHeight="false" outlineLevel="0" collapsed="false">
      <c r="A53" s="400" t="n">
        <f aca="false">A52+30.417</f>
        <v>37847.931</v>
      </c>
      <c r="B53" s="415" t="str">
        <f aca="false">IF($A$1="Peak","-",'Base Hours'!B53*BaseLoad!H52*'Base Hours'!$AA53)</f>
        <v>-</v>
      </c>
      <c r="C53" s="415" t="str">
        <f aca="false">IF($A$1="Peak","-",'Base Hours'!C53*BaseLoad!I52*'Base Hours'!$AA53)</f>
        <v>-</v>
      </c>
      <c r="D53" s="415" t="str">
        <f aca="false">IF($A$1="Peak","-",'Base Hours'!D53*BaseLoad!J52*'Base Hours'!$AA53)</f>
        <v>-</v>
      </c>
      <c r="E53" s="415" t="str">
        <f aca="false">IF($A$1="Peak","-",'Base Hours'!E53*BaseLoad!K52*'Base Hours'!$AA53)</f>
        <v>-</v>
      </c>
      <c r="F53" s="415" t="str">
        <f aca="false">IF($A$1="Peak","-",'Base Hours'!F53*BaseLoad!L52*'Base Hours'!$AA53)</f>
        <v>-</v>
      </c>
      <c r="G53" s="415" t="str">
        <f aca="false">IF($A$1="Peak","-",'Base Hours'!G53*BaseLoad!M52*'Base Hours'!$AA53)</f>
        <v>-</v>
      </c>
      <c r="H53" s="415" t="str">
        <f aca="false">IF($A$1="Peak","-",'Base Hours'!H53*BaseLoad!N52*'Base Hours'!$AA53)</f>
        <v>-</v>
      </c>
      <c r="I53" s="415" t="str">
        <f aca="false">IF($A$1="Peak","-",'Base Hours'!I53*BaseLoad!O52*'Base Hours'!$AA53)</f>
        <v>-</v>
      </c>
      <c r="J53" s="415" t="str">
        <f aca="false">IF($A$1="Peak","-",'Base Hours'!J53*BaseLoad!P52*'Base Hours'!$AA53)</f>
        <v>-</v>
      </c>
      <c r="K53" s="415" t="str">
        <f aca="false">IF($A$1="Peak","-",'Base Hours'!K53*BaseLoad!Q52*'Base Hours'!$AA53)</f>
        <v>-</v>
      </c>
      <c r="L53" s="415" t="str">
        <f aca="false">IF($A$1="Peak","-",'Base Hours'!L53*BaseLoad!R52*'Base Hours'!$AA53)</f>
        <v>-</v>
      </c>
      <c r="M53" s="415" t="str">
        <f aca="false">IF($A$1="Peak","-",'Base Hours'!M53*BaseLoad!S52*'Base Hours'!$AA53)</f>
        <v>-</v>
      </c>
      <c r="N53" s="415" t="str">
        <f aca="false">IF($A$1="Peak","-",'Base Hours'!N53*BaseLoad!T52*'Base Hours'!$AA53)</f>
        <v>-</v>
      </c>
      <c r="O53" s="415" t="str">
        <f aca="false">IF($A$1="Peak","-",'Base Hours'!O53*BaseLoad!U52*'Base Hours'!$AA53)</f>
        <v>-</v>
      </c>
      <c r="P53" s="415" t="str">
        <f aca="false">IF($A$1="Peak","-",'Base Hours'!P53*BaseLoad!V52*'Base Hours'!$AA53)</f>
        <v>-</v>
      </c>
      <c r="Q53" s="415" t="str">
        <f aca="false">IF($A$1="Peak","-",'Base Hours'!Q53*BaseLoad!W52*'Base Hours'!$AA53)</f>
        <v>-</v>
      </c>
      <c r="R53" s="415" t="str">
        <f aca="false">IF($A$1="Peak","-",'Base Hours'!R53*BaseLoad!X52*'Base Hours'!$AA53)</f>
        <v>-</v>
      </c>
      <c r="S53" s="415" t="str">
        <f aca="false">IF($A$1="Peak","-",'Base Hours'!S53*BaseLoad!Y52*'Base Hours'!$AA53)</f>
        <v>-</v>
      </c>
      <c r="T53" s="415" t="str">
        <f aca="false">IF($A$1="Peak","-",'Base Hours'!T53*BaseLoad!Z52*'Base Hours'!$AA53)</f>
        <v>-</v>
      </c>
      <c r="U53" s="415" t="str">
        <f aca="false">IF($A$1="Peak","-",'Base Hours'!U53*BaseLoad!AA52*'Base Hours'!$AA53)</f>
        <v>-</v>
      </c>
      <c r="V53" s="415" t="n">
        <f aca="false">SUM(B53:U53)</f>
        <v>0</v>
      </c>
      <c r="W53" s="415"/>
      <c r="X53" s="415"/>
      <c r="Y53" s="416"/>
      <c r="Z53" s="416" t="n">
        <f aca="false">(BaseLoad!C52*'Base Hours'!X53*'Base Hours'!$AA53)*-1</f>
        <v>-0</v>
      </c>
      <c r="AA53" s="416"/>
      <c r="AB53" s="416" t="n">
        <f aca="false">(BaseLoad!D52*'Base Hours'!X53*'Base Hours'!$AA53)*-1</f>
        <v>-0</v>
      </c>
      <c r="AC53" s="416"/>
      <c r="AD53" s="416" t="n">
        <f aca="false">(BaseLoad!E52*'Base Hours'!X53*'Base Hours'!$AA53)*-1</f>
        <v>-0</v>
      </c>
      <c r="AE53" s="416"/>
      <c r="AF53" s="416" t="n">
        <f aca="false">(BaseLoad!F52*'Base Hours'!X53*'Base Hours'!$AA53)*-1</f>
        <v>-0</v>
      </c>
      <c r="AG53" s="416"/>
    </row>
    <row r="54" customFormat="false" ht="12.75" hidden="false" customHeight="false" outlineLevel="0" collapsed="false">
      <c r="A54" s="400" t="n">
        <f aca="false">A53+30.417</f>
        <v>37878.348</v>
      </c>
      <c r="B54" s="415" t="str">
        <f aca="false">IF($A$1="Peak","-",'Base Hours'!B54*BaseLoad!H53*'Base Hours'!$AA54)</f>
        <v>-</v>
      </c>
      <c r="C54" s="415" t="str">
        <f aca="false">IF($A$1="Peak","-",'Base Hours'!C54*BaseLoad!I53*'Base Hours'!$AA54)</f>
        <v>-</v>
      </c>
      <c r="D54" s="415" t="str">
        <f aca="false">IF($A$1="Peak","-",'Base Hours'!D54*BaseLoad!J53*'Base Hours'!$AA54)</f>
        <v>-</v>
      </c>
      <c r="E54" s="415" t="str">
        <f aca="false">IF($A$1="Peak","-",'Base Hours'!E54*BaseLoad!K53*'Base Hours'!$AA54)</f>
        <v>-</v>
      </c>
      <c r="F54" s="415" t="str">
        <f aca="false">IF($A$1="Peak","-",'Base Hours'!F54*BaseLoad!L53*'Base Hours'!$AA54)</f>
        <v>-</v>
      </c>
      <c r="G54" s="415" t="str">
        <f aca="false">IF($A$1="Peak","-",'Base Hours'!G54*BaseLoad!M53*'Base Hours'!$AA54)</f>
        <v>-</v>
      </c>
      <c r="H54" s="415" t="str">
        <f aca="false">IF($A$1="Peak","-",'Base Hours'!H54*BaseLoad!N53*'Base Hours'!$AA54)</f>
        <v>-</v>
      </c>
      <c r="I54" s="415" t="str">
        <f aca="false">IF($A$1="Peak","-",'Base Hours'!I54*BaseLoad!O53*'Base Hours'!$AA54)</f>
        <v>-</v>
      </c>
      <c r="J54" s="415" t="str">
        <f aca="false">IF($A$1="Peak","-",'Base Hours'!J54*BaseLoad!P53*'Base Hours'!$AA54)</f>
        <v>-</v>
      </c>
      <c r="K54" s="415" t="str">
        <f aca="false">IF($A$1="Peak","-",'Base Hours'!K54*BaseLoad!Q53*'Base Hours'!$AA54)</f>
        <v>-</v>
      </c>
      <c r="L54" s="415" t="str">
        <f aca="false">IF($A$1="Peak","-",'Base Hours'!L54*BaseLoad!R53*'Base Hours'!$AA54)</f>
        <v>-</v>
      </c>
      <c r="M54" s="415" t="str">
        <f aca="false">IF($A$1="Peak","-",'Base Hours'!M54*BaseLoad!S53*'Base Hours'!$AA54)</f>
        <v>-</v>
      </c>
      <c r="N54" s="415" t="str">
        <f aca="false">IF($A$1="Peak","-",'Base Hours'!N54*BaseLoad!T53*'Base Hours'!$AA54)</f>
        <v>-</v>
      </c>
      <c r="O54" s="415" t="str">
        <f aca="false">IF($A$1="Peak","-",'Base Hours'!O54*BaseLoad!U53*'Base Hours'!$AA54)</f>
        <v>-</v>
      </c>
      <c r="P54" s="415" t="str">
        <f aca="false">IF($A$1="Peak","-",'Base Hours'!P54*BaseLoad!V53*'Base Hours'!$AA54)</f>
        <v>-</v>
      </c>
      <c r="Q54" s="415" t="str">
        <f aca="false">IF($A$1="Peak","-",'Base Hours'!Q54*BaseLoad!W53*'Base Hours'!$AA54)</f>
        <v>-</v>
      </c>
      <c r="R54" s="415" t="str">
        <f aca="false">IF($A$1="Peak","-",'Base Hours'!R54*BaseLoad!X53*'Base Hours'!$AA54)</f>
        <v>-</v>
      </c>
      <c r="S54" s="415" t="str">
        <f aca="false">IF($A$1="Peak","-",'Base Hours'!S54*BaseLoad!Y53*'Base Hours'!$AA54)</f>
        <v>-</v>
      </c>
      <c r="T54" s="415" t="str">
        <f aca="false">IF($A$1="Peak","-",'Base Hours'!T54*BaseLoad!Z53*'Base Hours'!$AA54)</f>
        <v>-</v>
      </c>
      <c r="U54" s="415" t="str">
        <f aca="false">IF($A$1="Peak","-",'Base Hours'!U54*BaseLoad!AA53*'Base Hours'!$AA54)</f>
        <v>-</v>
      </c>
      <c r="V54" s="415" t="n">
        <f aca="false">SUM(B54:U54)</f>
        <v>0</v>
      </c>
      <c r="W54" s="415"/>
      <c r="X54" s="415"/>
      <c r="Y54" s="416"/>
      <c r="Z54" s="416" t="n">
        <f aca="false">(BaseLoad!C53*'Base Hours'!X54*'Base Hours'!$AA54)*-1</f>
        <v>-0</v>
      </c>
      <c r="AA54" s="416"/>
      <c r="AB54" s="416" t="n">
        <f aca="false">(BaseLoad!D53*'Base Hours'!X54*'Base Hours'!$AA54)*-1</f>
        <v>-0</v>
      </c>
      <c r="AC54" s="416"/>
      <c r="AD54" s="416" t="n">
        <f aca="false">(BaseLoad!E53*'Base Hours'!X54*'Base Hours'!$AA54)*-1</f>
        <v>-0</v>
      </c>
      <c r="AE54" s="416"/>
      <c r="AF54" s="416" t="n">
        <f aca="false">(BaseLoad!F53*'Base Hours'!X54*'Base Hours'!$AA54)*-1</f>
        <v>-0</v>
      </c>
      <c r="AG54" s="416"/>
    </row>
    <row r="55" customFormat="false" ht="12.75" hidden="false" customHeight="false" outlineLevel="0" collapsed="false">
      <c r="A55" s="400" t="n">
        <f aca="false">A54+30.417</f>
        <v>37908.765</v>
      </c>
      <c r="B55" s="415" t="str">
        <f aca="false">IF($A$1="Peak","-",'Base Hours'!B55*BaseLoad!H54*'Base Hours'!$AA55)</f>
        <v>-</v>
      </c>
      <c r="C55" s="415" t="str">
        <f aca="false">IF($A$1="Peak","-",'Base Hours'!C55*BaseLoad!I54*'Base Hours'!$AA55)</f>
        <v>-</v>
      </c>
      <c r="D55" s="415" t="str">
        <f aca="false">IF($A$1="Peak","-",'Base Hours'!D55*BaseLoad!J54*'Base Hours'!$AA55)</f>
        <v>-</v>
      </c>
      <c r="E55" s="415" t="str">
        <f aca="false">IF($A$1="Peak","-",'Base Hours'!E55*BaseLoad!K54*'Base Hours'!$AA55)</f>
        <v>-</v>
      </c>
      <c r="F55" s="415" t="str">
        <f aca="false">IF($A$1="Peak","-",'Base Hours'!F55*BaseLoad!L54*'Base Hours'!$AA55)</f>
        <v>-</v>
      </c>
      <c r="G55" s="415" t="str">
        <f aca="false">IF($A$1="Peak","-",'Base Hours'!G55*BaseLoad!M54*'Base Hours'!$AA55)</f>
        <v>-</v>
      </c>
      <c r="H55" s="415" t="str">
        <f aca="false">IF($A$1="Peak","-",'Base Hours'!H55*BaseLoad!N54*'Base Hours'!$AA55)</f>
        <v>-</v>
      </c>
      <c r="I55" s="415" t="str">
        <f aca="false">IF($A$1="Peak","-",'Base Hours'!I55*BaseLoad!O54*'Base Hours'!$AA55)</f>
        <v>-</v>
      </c>
      <c r="J55" s="415" t="str">
        <f aca="false">IF($A$1="Peak","-",'Base Hours'!J55*BaseLoad!P54*'Base Hours'!$AA55)</f>
        <v>-</v>
      </c>
      <c r="K55" s="415" t="str">
        <f aca="false">IF($A$1="Peak","-",'Base Hours'!K55*BaseLoad!Q54*'Base Hours'!$AA55)</f>
        <v>-</v>
      </c>
      <c r="L55" s="415" t="str">
        <f aca="false">IF($A$1="Peak","-",'Base Hours'!L55*BaseLoad!R54*'Base Hours'!$AA55)</f>
        <v>-</v>
      </c>
      <c r="M55" s="415" t="str">
        <f aca="false">IF($A$1="Peak","-",'Base Hours'!M55*BaseLoad!S54*'Base Hours'!$AA55)</f>
        <v>-</v>
      </c>
      <c r="N55" s="415" t="str">
        <f aca="false">IF($A$1="Peak","-",'Base Hours'!N55*BaseLoad!T54*'Base Hours'!$AA55)</f>
        <v>-</v>
      </c>
      <c r="O55" s="415" t="str">
        <f aca="false">IF($A$1="Peak","-",'Base Hours'!O55*BaseLoad!U54*'Base Hours'!$AA55)</f>
        <v>-</v>
      </c>
      <c r="P55" s="415" t="str">
        <f aca="false">IF($A$1="Peak","-",'Base Hours'!P55*BaseLoad!V54*'Base Hours'!$AA55)</f>
        <v>-</v>
      </c>
      <c r="Q55" s="415" t="str">
        <f aca="false">IF($A$1="Peak","-",'Base Hours'!Q55*BaseLoad!W54*'Base Hours'!$AA55)</f>
        <v>-</v>
      </c>
      <c r="R55" s="415" t="str">
        <f aca="false">IF($A$1="Peak","-",'Base Hours'!R55*BaseLoad!X54*'Base Hours'!$AA55)</f>
        <v>-</v>
      </c>
      <c r="S55" s="415" t="str">
        <f aca="false">IF($A$1="Peak","-",'Base Hours'!S55*BaseLoad!Y54*'Base Hours'!$AA55)</f>
        <v>-</v>
      </c>
      <c r="T55" s="415" t="str">
        <f aca="false">IF($A$1="Peak","-",'Base Hours'!T55*BaseLoad!Z54*'Base Hours'!$AA55)</f>
        <v>-</v>
      </c>
      <c r="U55" s="415" t="str">
        <f aca="false">IF($A$1="Peak","-",'Base Hours'!U55*BaseLoad!AA54*'Base Hours'!$AA55)</f>
        <v>-</v>
      </c>
      <c r="V55" s="415" t="n">
        <f aca="false">SUM(B55:U55)</f>
        <v>0</v>
      </c>
      <c r="W55" s="415"/>
      <c r="X55" s="415"/>
      <c r="Y55" s="416"/>
      <c r="Z55" s="416" t="n">
        <f aca="false">(BaseLoad!C54*'Base Hours'!X55*'Base Hours'!$AA55)*-1</f>
        <v>-0</v>
      </c>
      <c r="AA55" s="416"/>
      <c r="AB55" s="416" t="n">
        <f aca="false">(BaseLoad!D54*'Base Hours'!X55*'Base Hours'!$AA55)*-1</f>
        <v>-0</v>
      </c>
      <c r="AC55" s="416"/>
      <c r="AD55" s="416" t="n">
        <f aca="false">(BaseLoad!E54*'Base Hours'!X55*'Base Hours'!$AA55)*-1</f>
        <v>-0</v>
      </c>
      <c r="AE55" s="416"/>
      <c r="AF55" s="416" t="n">
        <f aca="false">(BaseLoad!F54*'Base Hours'!X55*'Base Hours'!$AA55)*-1</f>
        <v>-0</v>
      </c>
      <c r="AG55" s="416"/>
    </row>
    <row r="56" customFormat="false" ht="12.75" hidden="false" customHeight="false" outlineLevel="0" collapsed="false">
      <c r="A56" s="400" t="n">
        <f aca="false">A55+30.417</f>
        <v>37939.182</v>
      </c>
      <c r="B56" s="415" t="str">
        <f aca="false">IF($A$1="Peak","-",'Base Hours'!B56*BaseLoad!H55*'Base Hours'!$AA56)</f>
        <v>-</v>
      </c>
      <c r="C56" s="415" t="str">
        <f aca="false">IF($A$1="Peak","-",'Base Hours'!C56*BaseLoad!I55*'Base Hours'!$AA56)</f>
        <v>-</v>
      </c>
      <c r="D56" s="415" t="str">
        <f aca="false">IF($A$1="Peak","-",'Base Hours'!D56*BaseLoad!J55*'Base Hours'!$AA56)</f>
        <v>-</v>
      </c>
      <c r="E56" s="415" t="str">
        <f aca="false">IF($A$1="Peak","-",'Base Hours'!E56*BaseLoad!K55*'Base Hours'!$AA56)</f>
        <v>-</v>
      </c>
      <c r="F56" s="415" t="str">
        <f aca="false">IF($A$1="Peak","-",'Base Hours'!F56*BaseLoad!L55*'Base Hours'!$AA56)</f>
        <v>-</v>
      </c>
      <c r="G56" s="415" t="str">
        <f aca="false">IF($A$1="Peak","-",'Base Hours'!G56*BaseLoad!M55*'Base Hours'!$AA56)</f>
        <v>-</v>
      </c>
      <c r="H56" s="415" t="str">
        <f aca="false">IF($A$1="Peak","-",'Base Hours'!H56*BaseLoad!N55*'Base Hours'!$AA56)</f>
        <v>-</v>
      </c>
      <c r="I56" s="415" t="str">
        <f aca="false">IF($A$1="Peak","-",'Base Hours'!I56*BaseLoad!O55*'Base Hours'!$AA56)</f>
        <v>-</v>
      </c>
      <c r="J56" s="415" t="str">
        <f aca="false">IF($A$1="Peak","-",'Base Hours'!J56*BaseLoad!P55*'Base Hours'!$AA56)</f>
        <v>-</v>
      </c>
      <c r="K56" s="415" t="str">
        <f aca="false">IF($A$1="Peak","-",'Base Hours'!K56*BaseLoad!Q55*'Base Hours'!$AA56)</f>
        <v>-</v>
      </c>
      <c r="L56" s="415" t="str">
        <f aca="false">IF($A$1="Peak","-",'Base Hours'!L56*BaseLoad!R55*'Base Hours'!$AA56)</f>
        <v>-</v>
      </c>
      <c r="M56" s="415" t="str">
        <f aca="false">IF($A$1="Peak","-",'Base Hours'!M56*BaseLoad!S55*'Base Hours'!$AA56)</f>
        <v>-</v>
      </c>
      <c r="N56" s="415" t="str">
        <f aca="false">IF($A$1="Peak","-",'Base Hours'!N56*BaseLoad!T55*'Base Hours'!$AA56)</f>
        <v>-</v>
      </c>
      <c r="O56" s="415" t="str">
        <f aca="false">IF($A$1="Peak","-",'Base Hours'!O56*BaseLoad!U55*'Base Hours'!$AA56)</f>
        <v>-</v>
      </c>
      <c r="P56" s="415" t="str">
        <f aca="false">IF($A$1="Peak","-",'Base Hours'!P56*BaseLoad!V55*'Base Hours'!$AA56)</f>
        <v>-</v>
      </c>
      <c r="Q56" s="415" t="str">
        <f aca="false">IF($A$1="Peak","-",'Base Hours'!Q56*BaseLoad!W55*'Base Hours'!$AA56)</f>
        <v>-</v>
      </c>
      <c r="R56" s="415" t="str">
        <f aca="false">IF($A$1="Peak","-",'Base Hours'!R56*BaseLoad!X55*'Base Hours'!$AA56)</f>
        <v>-</v>
      </c>
      <c r="S56" s="415" t="str">
        <f aca="false">IF($A$1="Peak","-",'Base Hours'!S56*BaseLoad!Y55*'Base Hours'!$AA56)</f>
        <v>-</v>
      </c>
      <c r="T56" s="415" t="str">
        <f aca="false">IF($A$1="Peak","-",'Base Hours'!T56*BaseLoad!Z55*'Base Hours'!$AA56)</f>
        <v>-</v>
      </c>
      <c r="U56" s="415" t="str">
        <f aca="false">IF($A$1="Peak","-",'Base Hours'!U56*BaseLoad!AA55*'Base Hours'!$AA56)</f>
        <v>-</v>
      </c>
      <c r="V56" s="415" t="n">
        <f aca="false">SUM(B56:U56)</f>
        <v>0</v>
      </c>
      <c r="W56" s="415"/>
      <c r="X56" s="415"/>
      <c r="Y56" s="416"/>
      <c r="Z56" s="416" t="n">
        <f aca="false">(BaseLoad!C55*'Base Hours'!X56*'Base Hours'!$AA56)*-1</f>
        <v>-0</v>
      </c>
      <c r="AA56" s="416"/>
      <c r="AB56" s="416" t="n">
        <f aca="false">(BaseLoad!D55*'Base Hours'!X56*'Base Hours'!$AA56)*-1</f>
        <v>-0</v>
      </c>
      <c r="AC56" s="416"/>
      <c r="AD56" s="416" t="n">
        <f aca="false">(BaseLoad!E55*'Base Hours'!X56*'Base Hours'!$AA56)*-1</f>
        <v>-0</v>
      </c>
      <c r="AE56" s="416"/>
      <c r="AF56" s="416" t="n">
        <f aca="false">(BaseLoad!F55*'Base Hours'!X56*'Base Hours'!$AA56)*-1</f>
        <v>-0</v>
      </c>
      <c r="AG56" s="416"/>
    </row>
    <row r="57" customFormat="false" ht="12.75" hidden="false" customHeight="false" outlineLevel="0" collapsed="false">
      <c r="A57" s="400" t="n">
        <f aca="false">A56+30.417</f>
        <v>37969.599</v>
      </c>
      <c r="B57" s="415" t="str">
        <f aca="false">IF($A$1="Peak","-",'Base Hours'!B57*BaseLoad!H56*'Base Hours'!$AA57)</f>
        <v>-</v>
      </c>
      <c r="C57" s="415" t="str">
        <f aca="false">IF($A$1="Peak","-",'Base Hours'!C57*BaseLoad!I56*'Base Hours'!$AA57)</f>
        <v>-</v>
      </c>
      <c r="D57" s="415" t="str">
        <f aca="false">IF($A$1="Peak","-",'Base Hours'!D57*BaseLoad!J56*'Base Hours'!$AA57)</f>
        <v>-</v>
      </c>
      <c r="E57" s="415" t="str">
        <f aca="false">IF($A$1="Peak","-",'Base Hours'!E57*BaseLoad!K56*'Base Hours'!$AA57)</f>
        <v>-</v>
      </c>
      <c r="F57" s="415" t="str">
        <f aca="false">IF($A$1="Peak","-",'Base Hours'!F57*BaseLoad!L56*'Base Hours'!$AA57)</f>
        <v>-</v>
      </c>
      <c r="G57" s="415" t="str">
        <f aca="false">IF($A$1="Peak","-",'Base Hours'!G57*BaseLoad!M56*'Base Hours'!$AA57)</f>
        <v>-</v>
      </c>
      <c r="H57" s="415" t="str">
        <f aca="false">IF($A$1="Peak","-",'Base Hours'!H57*BaseLoad!N56*'Base Hours'!$AA57)</f>
        <v>-</v>
      </c>
      <c r="I57" s="415" t="str">
        <f aca="false">IF($A$1="Peak","-",'Base Hours'!I57*BaseLoad!O56*'Base Hours'!$AA57)</f>
        <v>-</v>
      </c>
      <c r="J57" s="415" t="str">
        <f aca="false">IF($A$1="Peak","-",'Base Hours'!J57*BaseLoad!P56*'Base Hours'!$AA57)</f>
        <v>-</v>
      </c>
      <c r="K57" s="415" t="str">
        <f aca="false">IF($A$1="Peak","-",'Base Hours'!K57*BaseLoad!Q56*'Base Hours'!$AA57)</f>
        <v>-</v>
      </c>
      <c r="L57" s="415" t="str">
        <f aca="false">IF($A$1="Peak","-",'Base Hours'!L57*BaseLoad!R56*'Base Hours'!$AA57)</f>
        <v>-</v>
      </c>
      <c r="M57" s="415" t="str">
        <f aca="false">IF($A$1="Peak","-",'Base Hours'!M57*BaseLoad!S56*'Base Hours'!$AA57)</f>
        <v>-</v>
      </c>
      <c r="N57" s="415" t="str">
        <f aca="false">IF($A$1="Peak","-",'Base Hours'!N57*BaseLoad!T56*'Base Hours'!$AA57)</f>
        <v>-</v>
      </c>
      <c r="O57" s="415" t="str">
        <f aca="false">IF($A$1="Peak","-",'Base Hours'!O57*BaseLoad!U56*'Base Hours'!$AA57)</f>
        <v>-</v>
      </c>
      <c r="P57" s="415" t="str">
        <f aca="false">IF($A$1="Peak","-",'Base Hours'!P57*BaseLoad!V56*'Base Hours'!$AA57)</f>
        <v>-</v>
      </c>
      <c r="Q57" s="415" t="str">
        <f aca="false">IF($A$1="Peak","-",'Base Hours'!Q57*BaseLoad!W56*'Base Hours'!$AA57)</f>
        <v>-</v>
      </c>
      <c r="R57" s="415" t="str">
        <f aca="false">IF($A$1="Peak","-",'Base Hours'!R57*BaseLoad!X56*'Base Hours'!$AA57)</f>
        <v>-</v>
      </c>
      <c r="S57" s="415" t="str">
        <f aca="false">IF($A$1="Peak","-",'Base Hours'!S57*BaseLoad!Y56*'Base Hours'!$AA57)</f>
        <v>-</v>
      </c>
      <c r="T57" s="415" t="str">
        <f aca="false">IF($A$1="Peak","-",'Base Hours'!T57*BaseLoad!Z56*'Base Hours'!$AA57)</f>
        <v>-</v>
      </c>
      <c r="U57" s="415" t="str">
        <f aca="false">IF($A$1="Peak","-",'Base Hours'!U57*BaseLoad!AA56*'Base Hours'!$AA57)</f>
        <v>-</v>
      </c>
      <c r="V57" s="415" t="n">
        <f aca="false">SUM(B57:U57)</f>
        <v>0</v>
      </c>
      <c r="W57" s="415" t="n">
        <f aca="false">IF($A$1="BL",(SUM(V46:V57)),0)</f>
        <v>0</v>
      </c>
      <c r="X57" s="415" t="n">
        <f aca="false">IF(AND($A$1="BL",W57&gt;0),(PPA!$B$5*8760*BaseLoad!$AP$15*PPA!$G$4*BaseLoad!$AP$9),0)</f>
        <v>0</v>
      </c>
      <c r="Y57" s="416" t="n">
        <f aca="false">X57+W57</f>
        <v>0</v>
      </c>
      <c r="Z57" s="416" t="n">
        <f aca="false">(BaseLoad!C56*'Base Hours'!X57*'Base Hours'!$AA57)*-1</f>
        <v>-0</v>
      </c>
      <c r="AA57" s="416" t="n">
        <f aca="false">SUM(Z46:Z57)</f>
        <v>0</v>
      </c>
      <c r="AB57" s="416" t="n">
        <f aca="false">(BaseLoad!D56*'Base Hours'!X57*'Base Hours'!$AA57)*-1</f>
        <v>-0</v>
      </c>
      <c r="AC57" s="416" t="n">
        <f aca="false">SUM(AB46:AB57)</f>
        <v>0</v>
      </c>
      <c r="AD57" s="416" t="n">
        <f aca="false">(BaseLoad!E56*'Base Hours'!X57*'Base Hours'!$AA57)*-1</f>
        <v>-0</v>
      </c>
      <c r="AE57" s="416" t="n">
        <f aca="false">SUM(AD46:AD57)</f>
        <v>0</v>
      </c>
      <c r="AF57" s="416" t="n">
        <f aca="false">(BaseLoad!F56*'Base Hours'!X57*'Base Hours'!$AA57)*-1</f>
        <v>-0</v>
      </c>
      <c r="AG57" s="416" t="n">
        <f aca="false">SUM(AF46:AF57)</f>
        <v>0</v>
      </c>
    </row>
    <row r="58" customFormat="false" ht="12.75" hidden="false" customHeight="false" outlineLevel="0" collapsed="false">
      <c r="A58" s="400" t="n">
        <f aca="false">A57+30.417</f>
        <v>38000.016</v>
      </c>
      <c r="B58" s="415" t="str">
        <f aca="false">IF($A$1="Peak","-",'Base Hours'!B58*BaseLoad!H57*'Base Hours'!$AA58)</f>
        <v>-</v>
      </c>
      <c r="C58" s="415" t="str">
        <f aca="false">IF($A$1="Peak","-",'Base Hours'!C58*BaseLoad!I57*'Base Hours'!$AA58)</f>
        <v>-</v>
      </c>
      <c r="D58" s="415" t="str">
        <f aca="false">IF($A$1="Peak","-",'Base Hours'!D58*BaseLoad!J57*'Base Hours'!$AA58)</f>
        <v>-</v>
      </c>
      <c r="E58" s="415" t="str">
        <f aca="false">IF($A$1="Peak","-",'Base Hours'!E58*BaseLoad!K57*'Base Hours'!$AA58)</f>
        <v>-</v>
      </c>
      <c r="F58" s="415" t="str">
        <f aca="false">IF($A$1="Peak","-",'Base Hours'!F58*BaseLoad!L57*'Base Hours'!$AA58)</f>
        <v>-</v>
      </c>
      <c r="G58" s="415" t="str">
        <f aca="false">IF($A$1="Peak","-",'Base Hours'!G58*BaseLoad!M57*'Base Hours'!$AA58)</f>
        <v>-</v>
      </c>
      <c r="H58" s="415" t="str">
        <f aca="false">IF($A$1="Peak","-",'Base Hours'!H58*BaseLoad!N57*'Base Hours'!$AA58)</f>
        <v>-</v>
      </c>
      <c r="I58" s="415" t="str">
        <f aca="false">IF($A$1="Peak","-",'Base Hours'!I58*BaseLoad!O57*'Base Hours'!$AA58)</f>
        <v>-</v>
      </c>
      <c r="J58" s="415" t="str">
        <f aca="false">IF($A$1="Peak","-",'Base Hours'!J58*BaseLoad!P57*'Base Hours'!$AA58)</f>
        <v>-</v>
      </c>
      <c r="K58" s="415" t="str">
        <f aca="false">IF($A$1="Peak","-",'Base Hours'!K58*BaseLoad!Q57*'Base Hours'!$AA58)</f>
        <v>-</v>
      </c>
      <c r="L58" s="415" t="str">
        <f aca="false">IF($A$1="Peak","-",'Base Hours'!L58*BaseLoad!R57*'Base Hours'!$AA58)</f>
        <v>-</v>
      </c>
      <c r="M58" s="415" t="str">
        <f aca="false">IF($A$1="Peak","-",'Base Hours'!M58*BaseLoad!S57*'Base Hours'!$AA58)</f>
        <v>-</v>
      </c>
      <c r="N58" s="415" t="str">
        <f aca="false">IF($A$1="Peak","-",'Base Hours'!N58*BaseLoad!T57*'Base Hours'!$AA58)</f>
        <v>-</v>
      </c>
      <c r="O58" s="415" t="str">
        <f aca="false">IF($A$1="Peak","-",'Base Hours'!O58*BaseLoad!U57*'Base Hours'!$AA58)</f>
        <v>-</v>
      </c>
      <c r="P58" s="415" t="str">
        <f aca="false">IF($A$1="Peak","-",'Base Hours'!P58*BaseLoad!V57*'Base Hours'!$AA58)</f>
        <v>-</v>
      </c>
      <c r="Q58" s="415" t="str">
        <f aca="false">IF($A$1="Peak","-",'Base Hours'!Q58*BaseLoad!W57*'Base Hours'!$AA58)</f>
        <v>-</v>
      </c>
      <c r="R58" s="415" t="str">
        <f aca="false">IF($A$1="Peak","-",'Base Hours'!R58*BaseLoad!X57*'Base Hours'!$AA58)</f>
        <v>-</v>
      </c>
      <c r="S58" s="415" t="str">
        <f aca="false">IF($A$1="Peak","-",'Base Hours'!S58*BaseLoad!Y57*'Base Hours'!$AA58)</f>
        <v>-</v>
      </c>
      <c r="T58" s="415" t="str">
        <f aca="false">IF($A$1="Peak","-",'Base Hours'!T58*BaseLoad!Z57*'Base Hours'!$AA58)</f>
        <v>-</v>
      </c>
      <c r="U58" s="415" t="str">
        <f aca="false">IF($A$1="Peak","-",'Base Hours'!U58*BaseLoad!AA57*'Base Hours'!$AA58)</f>
        <v>-</v>
      </c>
      <c r="V58" s="415" t="n">
        <f aca="false">SUM(B58:U58)</f>
        <v>0</v>
      </c>
      <c r="W58" s="415"/>
      <c r="X58" s="415"/>
      <c r="Y58" s="416"/>
      <c r="Z58" s="416" t="n">
        <f aca="false">(BaseLoad!C57*'Base Hours'!X58*'Base Hours'!$AA58)*-1</f>
        <v>-0</v>
      </c>
      <c r="AA58" s="416"/>
      <c r="AB58" s="416" t="n">
        <f aca="false">(BaseLoad!D57*'Base Hours'!X58*'Base Hours'!$AA58)*-1</f>
        <v>-0</v>
      </c>
      <c r="AC58" s="416"/>
      <c r="AD58" s="416" t="n">
        <f aca="false">(BaseLoad!E57*'Base Hours'!X58*'Base Hours'!$AA58)*-1</f>
        <v>-0</v>
      </c>
      <c r="AE58" s="416"/>
      <c r="AF58" s="416" t="n">
        <f aca="false">(BaseLoad!F57*'Base Hours'!X58*'Base Hours'!$AA58)*-1</f>
        <v>-0</v>
      </c>
      <c r="AG58" s="416"/>
    </row>
    <row r="59" customFormat="false" ht="12.75" hidden="false" customHeight="false" outlineLevel="0" collapsed="false">
      <c r="A59" s="400" t="n">
        <f aca="false">A58+30.417</f>
        <v>38030.433</v>
      </c>
      <c r="B59" s="415" t="str">
        <f aca="false">IF($A$1="Peak","-",'Base Hours'!B59*BaseLoad!H58*'Base Hours'!$AA59)</f>
        <v>-</v>
      </c>
      <c r="C59" s="415" t="str">
        <f aca="false">IF($A$1="Peak","-",'Base Hours'!C59*BaseLoad!I58*'Base Hours'!$AA59)</f>
        <v>-</v>
      </c>
      <c r="D59" s="415" t="str">
        <f aca="false">IF($A$1="Peak","-",'Base Hours'!D59*BaseLoad!J58*'Base Hours'!$AA59)</f>
        <v>-</v>
      </c>
      <c r="E59" s="415" t="str">
        <f aca="false">IF($A$1="Peak","-",'Base Hours'!E59*BaseLoad!K58*'Base Hours'!$AA59)</f>
        <v>-</v>
      </c>
      <c r="F59" s="415" t="str">
        <f aca="false">IF($A$1="Peak","-",'Base Hours'!F59*BaseLoad!L58*'Base Hours'!$AA59)</f>
        <v>-</v>
      </c>
      <c r="G59" s="415" t="str">
        <f aca="false">IF($A$1="Peak","-",'Base Hours'!G59*BaseLoad!M58*'Base Hours'!$AA59)</f>
        <v>-</v>
      </c>
      <c r="H59" s="415" t="str">
        <f aca="false">IF($A$1="Peak","-",'Base Hours'!H59*BaseLoad!N58*'Base Hours'!$AA59)</f>
        <v>-</v>
      </c>
      <c r="I59" s="415" t="str">
        <f aca="false">IF($A$1="Peak","-",'Base Hours'!I59*BaseLoad!O58*'Base Hours'!$AA59)</f>
        <v>-</v>
      </c>
      <c r="J59" s="415" t="str">
        <f aca="false">IF($A$1="Peak","-",'Base Hours'!J59*BaseLoad!P58*'Base Hours'!$AA59)</f>
        <v>-</v>
      </c>
      <c r="K59" s="415" t="str">
        <f aca="false">IF($A$1="Peak","-",'Base Hours'!K59*BaseLoad!Q58*'Base Hours'!$AA59)</f>
        <v>-</v>
      </c>
      <c r="L59" s="415" t="str">
        <f aca="false">IF($A$1="Peak","-",'Base Hours'!L59*BaseLoad!R58*'Base Hours'!$AA59)</f>
        <v>-</v>
      </c>
      <c r="M59" s="415" t="str">
        <f aca="false">IF($A$1="Peak","-",'Base Hours'!M59*BaseLoad!S58*'Base Hours'!$AA59)</f>
        <v>-</v>
      </c>
      <c r="N59" s="415" t="str">
        <f aca="false">IF($A$1="Peak","-",'Base Hours'!N59*BaseLoad!T58*'Base Hours'!$AA59)</f>
        <v>-</v>
      </c>
      <c r="O59" s="415" t="str">
        <f aca="false">IF($A$1="Peak","-",'Base Hours'!O59*BaseLoad!U58*'Base Hours'!$AA59)</f>
        <v>-</v>
      </c>
      <c r="P59" s="415" t="str">
        <f aca="false">IF($A$1="Peak","-",'Base Hours'!P59*BaseLoad!V58*'Base Hours'!$AA59)</f>
        <v>-</v>
      </c>
      <c r="Q59" s="415" t="str">
        <f aca="false">IF($A$1="Peak","-",'Base Hours'!Q59*BaseLoad!W58*'Base Hours'!$AA59)</f>
        <v>-</v>
      </c>
      <c r="R59" s="415" t="str">
        <f aca="false">IF($A$1="Peak","-",'Base Hours'!R59*BaseLoad!X58*'Base Hours'!$AA59)</f>
        <v>-</v>
      </c>
      <c r="S59" s="415" t="str">
        <f aca="false">IF($A$1="Peak","-",'Base Hours'!S59*BaseLoad!Y58*'Base Hours'!$AA59)</f>
        <v>-</v>
      </c>
      <c r="T59" s="415" t="str">
        <f aca="false">IF($A$1="Peak","-",'Base Hours'!T59*BaseLoad!Z58*'Base Hours'!$AA59)</f>
        <v>-</v>
      </c>
      <c r="U59" s="415" t="str">
        <f aca="false">IF($A$1="Peak","-",'Base Hours'!U59*BaseLoad!AA58*'Base Hours'!$AA59)</f>
        <v>-</v>
      </c>
      <c r="V59" s="415" t="n">
        <f aca="false">SUM(B59:U59)</f>
        <v>0</v>
      </c>
      <c r="W59" s="415"/>
      <c r="X59" s="415"/>
      <c r="Y59" s="416"/>
      <c r="Z59" s="416" t="n">
        <f aca="false">(BaseLoad!C58*'Base Hours'!X59*'Base Hours'!$AA59)*-1</f>
        <v>-0</v>
      </c>
      <c r="AA59" s="416"/>
      <c r="AB59" s="416" t="n">
        <f aca="false">(BaseLoad!D58*'Base Hours'!X59*'Base Hours'!$AA59)*-1</f>
        <v>-0</v>
      </c>
      <c r="AC59" s="416"/>
      <c r="AD59" s="416" t="n">
        <f aca="false">(BaseLoad!E58*'Base Hours'!X59*'Base Hours'!$AA59)*-1</f>
        <v>-0</v>
      </c>
      <c r="AE59" s="416"/>
      <c r="AF59" s="416" t="n">
        <f aca="false">(BaseLoad!F58*'Base Hours'!X59*'Base Hours'!$AA59)*-1</f>
        <v>-0</v>
      </c>
      <c r="AG59" s="416"/>
    </row>
    <row r="60" customFormat="false" ht="12.75" hidden="false" customHeight="false" outlineLevel="0" collapsed="false">
      <c r="A60" s="400" t="n">
        <f aca="false">A59+30.417</f>
        <v>38060.85</v>
      </c>
      <c r="B60" s="415" t="str">
        <f aca="false">IF($A$1="Peak","-",'Base Hours'!B60*BaseLoad!H59*'Base Hours'!$AA60)</f>
        <v>-</v>
      </c>
      <c r="C60" s="415" t="str">
        <f aca="false">IF($A$1="Peak","-",'Base Hours'!C60*BaseLoad!I59*'Base Hours'!$AA60)</f>
        <v>-</v>
      </c>
      <c r="D60" s="415" t="str">
        <f aca="false">IF($A$1="Peak","-",'Base Hours'!D60*BaseLoad!J59*'Base Hours'!$AA60)</f>
        <v>-</v>
      </c>
      <c r="E60" s="415" t="str">
        <f aca="false">IF($A$1="Peak","-",'Base Hours'!E60*BaseLoad!K59*'Base Hours'!$AA60)</f>
        <v>-</v>
      </c>
      <c r="F60" s="415" t="str">
        <f aca="false">IF($A$1="Peak","-",'Base Hours'!F60*BaseLoad!L59*'Base Hours'!$AA60)</f>
        <v>-</v>
      </c>
      <c r="G60" s="415" t="str">
        <f aca="false">IF($A$1="Peak","-",'Base Hours'!G60*BaseLoad!M59*'Base Hours'!$AA60)</f>
        <v>-</v>
      </c>
      <c r="H60" s="415" t="str">
        <f aca="false">IF($A$1="Peak","-",'Base Hours'!H60*BaseLoad!N59*'Base Hours'!$AA60)</f>
        <v>-</v>
      </c>
      <c r="I60" s="415" t="str">
        <f aca="false">IF($A$1="Peak","-",'Base Hours'!I60*BaseLoad!O59*'Base Hours'!$AA60)</f>
        <v>-</v>
      </c>
      <c r="J60" s="415" t="str">
        <f aca="false">IF($A$1="Peak","-",'Base Hours'!J60*BaseLoad!P59*'Base Hours'!$AA60)</f>
        <v>-</v>
      </c>
      <c r="K60" s="415" t="str">
        <f aca="false">IF($A$1="Peak","-",'Base Hours'!K60*BaseLoad!Q59*'Base Hours'!$AA60)</f>
        <v>-</v>
      </c>
      <c r="L60" s="415" t="str">
        <f aca="false">IF($A$1="Peak","-",'Base Hours'!L60*BaseLoad!R59*'Base Hours'!$AA60)</f>
        <v>-</v>
      </c>
      <c r="M60" s="415" t="str">
        <f aca="false">IF($A$1="Peak","-",'Base Hours'!M60*BaseLoad!S59*'Base Hours'!$AA60)</f>
        <v>-</v>
      </c>
      <c r="N60" s="415" t="str">
        <f aca="false">IF($A$1="Peak","-",'Base Hours'!N60*BaseLoad!T59*'Base Hours'!$AA60)</f>
        <v>-</v>
      </c>
      <c r="O60" s="415" t="str">
        <f aca="false">IF($A$1="Peak","-",'Base Hours'!O60*BaseLoad!U59*'Base Hours'!$AA60)</f>
        <v>-</v>
      </c>
      <c r="P60" s="415" t="str">
        <f aca="false">IF($A$1="Peak","-",'Base Hours'!P60*BaseLoad!V59*'Base Hours'!$AA60)</f>
        <v>-</v>
      </c>
      <c r="Q60" s="415" t="str">
        <f aca="false">IF($A$1="Peak","-",'Base Hours'!Q60*BaseLoad!W59*'Base Hours'!$AA60)</f>
        <v>-</v>
      </c>
      <c r="R60" s="415" t="str">
        <f aca="false">IF($A$1="Peak","-",'Base Hours'!R60*BaseLoad!X59*'Base Hours'!$AA60)</f>
        <v>-</v>
      </c>
      <c r="S60" s="415" t="str">
        <f aca="false">IF($A$1="Peak","-",'Base Hours'!S60*BaseLoad!Y59*'Base Hours'!$AA60)</f>
        <v>-</v>
      </c>
      <c r="T60" s="415" t="str">
        <f aca="false">IF($A$1="Peak","-",'Base Hours'!T60*BaseLoad!Z59*'Base Hours'!$AA60)</f>
        <v>-</v>
      </c>
      <c r="U60" s="415" t="str">
        <f aca="false">IF($A$1="Peak","-",'Base Hours'!U60*BaseLoad!AA59*'Base Hours'!$AA60)</f>
        <v>-</v>
      </c>
      <c r="V60" s="415" t="n">
        <f aca="false">SUM(B60:U60)</f>
        <v>0</v>
      </c>
      <c r="W60" s="415"/>
      <c r="X60" s="415"/>
      <c r="Y60" s="416"/>
      <c r="Z60" s="416" t="n">
        <f aca="false">(BaseLoad!C59*'Base Hours'!X60*'Base Hours'!$AA60)*-1</f>
        <v>-0</v>
      </c>
      <c r="AA60" s="416"/>
      <c r="AB60" s="416" t="n">
        <f aca="false">(BaseLoad!D59*'Base Hours'!X60*'Base Hours'!$AA60)*-1</f>
        <v>-0</v>
      </c>
      <c r="AC60" s="416"/>
      <c r="AD60" s="416" t="n">
        <f aca="false">(BaseLoad!E59*'Base Hours'!X60*'Base Hours'!$AA60)*-1</f>
        <v>-0</v>
      </c>
      <c r="AE60" s="416"/>
      <c r="AF60" s="416" t="n">
        <f aca="false">(BaseLoad!F59*'Base Hours'!X60*'Base Hours'!$AA60)*-1</f>
        <v>-0</v>
      </c>
      <c r="AG60" s="416"/>
    </row>
    <row r="61" customFormat="false" ht="12.75" hidden="false" customHeight="false" outlineLevel="0" collapsed="false">
      <c r="A61" s="400" t="n">
        <f aca="false">A60+30.417</f>
        <v>38091.267</v>
      </c>
      <c r="B61" s="415" t="str">
        <f aca="false">IF($A$1="Peak","-",'Base Hours'!B61*BaseLoad!H60*'Base Hours'!$AA61)</f>
        <v>-</v>
      </c>
      <c r="C61" s="415" t="str">
        <f aca="false">IF($A$1="Peak","-",'Base Hours'!C61*BaseLoad!I60*'Base Hours'!$AA61)</f>
        <v>-</v>
      </c>
      <c r="D61" s="415" t="str">
        <f aca="false">IF($A$1="Peak","-",'Base Hours'!D61*BaseLoad!J60*'Base Hours'!$AA61)</f>
        <v>-</v>
      </c>
      <c r="E61" s="415" t="str">
        <f aca="false">IF($A$1="Peak","-",'Base Hours'!E61*BaseLoad!K60*'Base Hours'!$AA61)</f>
        <v>-</v>
      </c>
      <c r="F61" s="415" t="str">
        <f aca="false">IF($A$1="Peak","-",'Base Hours'!F61*BaseLoad!L60*'Base Hours'!$AA61)</f>
        <v>-</v>
      </c>
      <c r="G61" s="415" t="str">
        <f aca="false">IF($A$1="Peak","-",'Base Hours'!G61*BaseLoad!M60*'Base Hours'!$AA61)</f>
        <v>-</v>
      </c>
      <c r="H61" s="415" t="str">
        <f aca="false">IF($A$1="Peak","-",'Base Hours'!H61*BaseLoad!N60*'Base Hours'!$AA61)</f>
        <v>-</v>
      </c>
      <c r="I61" s="415" t="str">
        <f aca="false">IF($A$1="Peak","-",'Base Hours'!I61*BaseLoad!O60*'Base Hours'!$AA61)</f>
        <v>-</v>
      </c>
      <c r="J61" s="415" t="str">
        <f aca="false">IF($A$1="Peak","-",'Base Hours'!J61*BaseLoad!P60*'Base Hours'!$AA61)</f>
        <v>-</v>
      </c>
      <c r="K61" s="415" t="str">
        <f aca="false">IF($A$1="Peak","-",'Base Hours'!K61*BaseLoad!Q60*'Base Hours'!$AA61)</f>
        <v>-</v>
      </c>
      <c r="L61" s="415" t="str">
        <f aca="false">IF($A$1="Peak","-",'Base Hours'!L61*BaseLoad!R60*'Base Hours'!$AA61)</f>
        <v>-</v>
      </c>
      <c r="M61" s="415" t="str">
        <f aca="false">IF($A$1="Peak","-",'Base Hours'!M61*BaseLoad!S60*'Base Hours'!$AA61)</f>
        <v>-</v>
      </c>
      <c r="N61" s="415" t="str">
        <f aca="false">IF($A$1="Peak","-",'Base Hours'!N61*BaseLoad!T60*'Base Hours'!$AA61)</f>
        <v>-</v>
      </c>
      <c r="O61" s="415" t="str">
        <f aca="false">IF($A$1="Peak","-",'Base Hours'!O61*BaseLoad!U60*'Base Hours'!$AA61)</f>
        <v>-</v>
      </c>
      <c r="P61" s="415" t="str">
        <f aca="false">IF($A$1="Peak","-",'Base Hours'!P61*BaseLoad!V60*'Base Hours'!$AA61)</f>
        <v>-</v>
      </c>
      <c r="Q61" s="415" t="str">
        <f aca="false">IF($A$1="Peak","-",'Base Hours'!Q61*BaseLoad!W60*'Base Hours'!$AA61)</f>
        <v>-</v>
      </c>
      <c r="R61" s="415" t="str">
        <f aca="false">IF($A$1="Peak","-",'Base Hours'!R61*BaseLoad!X60*'Base Hours'!$AA61)</f>
        <v>-</v>
      </c>
      <c r="S61" s="415" t="str">
        <f aca="false">IF($A$1="Peak","-",'Base Hours'!S61*BaseLoad!Y60*'Base Hours'!$AA61)</f>
        <v>-</v>
      </c>
      <c r="T61" s="415" t="str">
        <f aca="false">IF($A$1="Peak","-",'Base Hours'!T61*BaseLoad!Z60*'Base Hours'!$AA61)</f>
        <v>-</v>
      </c>
      <c r="U61" s="415" t="str">
        <f aca="false">IF($A$1="Peak","-",'Base Hours'!U61*BaseLoad!AA60*'Base Hours'!$AA61)</f>
        <v>-</v>
      </c>
      <c r="V61" s="415" t="n">
        <f aca="false">SUM(B61:U61)</f>
        <v>0</v>
      </c>
      <c r="W61" s="415"/>
      <c r="X61" s="415"/>
      <c r="Y61" s="416"/>
      <c r="Z61" s="416" t="n">
        <f aca="false">(BaseLoad!C60*'Base Hours'!X61*'Base Hours'!$AA61)*-1</f>
        <v>-0</v>
      </c>
      <c r="AA61" s="416"/>
      <c r="AB61" s="416" t="n">
        <f aca="false">(BaseLoad!D60*'Base Hours'!X61*'Base Hours'!$AA61)*-1</f>
        <v>-0</v>
      </c>
      <c r="AC61" s="416"/>
      <c r="AD61" s="416" t="n">
        <f aca="false">(BaseLoad!E60*'Base Hours'!X61*'Base Hours'!$AA61)*-1</f>
        <v>-0</v>
      </c>
      <c r="AE61" s="416"/>
      <c r="AF61" s="416" t="n">
        <f aca="false">(BaseLoad!F60*'Base Hours'!X61*'Base Hours'!$AA61)*-1</f>
        <v>-0</v>
      </c>
      <c r="AG61" s="416"/>
    </row>
    <row r="62" customFormat="false" ht="12.75" hidden="false" customHeight="false" outlineLevel="0" collapsed="false">
      <c r="A62" s="400" t="n">
        <f aca="false">A61+30.417</f>
        <v>38121.684</v>
      </c>
      <c r="B62" s="415" t="str">
        <f aca="false">IF($A$1="Peak","-",'Base Hours'!B62*BaseLoad!H61*'Base Hours'!$AA62)</f>
        <v>-</v>
      </c>
      <c r="C62" s="415" t="str">
        <f aca="false">IF($A$1="Peak","-",'Base Hours'!C62*BaseLoad!I61*'Base Hours'!$AA62)</f>
        <v>-</v>
      </c>
      <c r="D62" s="415" t="str">
        <f aca="false">IF($A$1="Peak","-",'Base Hours'!D62*BaseLoad!J61*'Base Hours'!$AA62)</f>
        <v>-</v>
      </c>
      <c r="E62" s="415" t="str">
        <f aca="false">IF($A$1="Peak","-",'Base Hours'!E62*BaseLoad!K61*'Base Hours'!$AA62)</f>
        <v>-</v>
      </c>
      <c r="F62" s="415" t="str">
        <f aca="false">IF($A$1="Peak","-",'Base Hours'!F62*BaseLoad!L61*'Base Hours'!$AA62)</f>
        <v>-</v>
      </c>
      <c r="G62" s="415" t="str">
        <f aca="false">IF($A$1="Peak","-",'Base Hours'!G62*BaseLoad!M61*'Base Hours'!$AA62)</f>
        <v>-</v>
      </c>
      <c r="H62" s="415" t="str">
        <f aca="false">IF($A$1="Peak","-",'Base Hours'!H62*BaseLoad!N61*'Base Hours'!$AA62)</f>
        <v>-</v>
      </c>
      <c r="I62" s="415" t="str">
        <f aca="false">IF($A$1="Peak","-",'Base Hours'!I62*BaseLoad!O61*'Base Hours'!$AA62)</f>
        <v>-</v>
      </c>
      <c r="J62" s="415" t="str">
        <f aca="false">IF($A$1="Peak","-",'Base Hours'!J62*BaseLoad!P61*'Base Hours'!$AA62)</f>
        <v>-</v>
      </c>
      <c r="K62" s="415" t="str">
        <f aca="false">IF($A$1="Peak","-",'Base Hours'!K62*BaseLoad!Q61*'Base Hours'!$AA62)</f>
        <v>-</v>
      </c>
      <c r="L62" s="415" t="str">
        <f aca="false">IF($A$1="Peak","-",'Base Hours'!L62*BaseLoad!R61*'Base Hours'!$AA62)</f>
        <v>-</v>
      </c>
      <c r="M62" s="415" t="str">
        <f aca="false">IF($A$1="Peak","-",'Base Hours'!M62*BaseLoad!S61*'Base Hours'!$AA62)</f>
        <v>-</v>
      </c>
      <c r="N62" s="415" t="str">
        <f aca="false">IF($A$1="Peak","-",'Base Hours'!N62*BaseLoad!T61*'Base Hours'!$AA62)</f>
        <v>-</v>
      </c>
      <c r="O62" s="415" t="str">
        <f aca="false">IF($A$1="Peak","-",'Base Hours'!O62*BaseLoad!U61*'Base Hours'!$AA62)</f>
        <v>-</v>
      </c>
      <c r="P62" s="415" t="str">
        <f aca="false">IF($A$1="Peak","-",'Base Hours'!P62*BaseLoad!V61*'Base Hours'!$AA62)</f>
        <v>-</v>
      </c>
      <c r="Q62" s="415" t="str">
        <f aca="false">IF($A$1="Peak","-",'Base Hours'!Q62*BaseLoad!W61*'Base Hours'!$AA62)</f>
        <v>-</v>
      </c>
      <c r="R62" s="415" t="str">
        <f aca="false">IF($A$1="Peak","-",'Base Hours'!R62*BaseLoad!X61*'Base Hours'!$AA62)</f>
        <v>-</v>
      </c>
      <c r="S62" s="415" t="str">
        <f aca="false">IF($A$1="Peak","-",'Base Hours'!S62*BaseLoad!Y61*'Base Hours'!$AA62)</f>
        <v>-</v>
      </c>
      <c r="T62" s="415" t="str">
        <f aca="false">IF($A$1="Peak","-",'Base Hours'!T62*BaseLoad!Z61*'Base Hours'!$AA62)</f>
        <v>-</v>
      </c>
      <c r="U62" s="415" t="str">
        <f aca="false">IF($A$1="Peak","-",'Base Hours'!U62*BaseLoad!AA61*'Base Hours'!$AA62)</f>
        <v>-</v>
      </c>
      <c r="V62" s="415" t="n">
        <f aca="false">SUM(B62:U62)</f>
        <v>0</v>
      </c>
      <c r="W62" s="415"/>
      <c r="X62" s="415"/>
      <c r="Y62" s="416"/>
      <c r="Z62" s="416" t="n">
        <f aca="false">(BaseLoad!C61*'Base Hours'!X62*'Base Hours'!$AA62)*-1</f>
        <v>-0</v>
      </c>
      <c r="AA62" s="416"/>
      <c r="AB62" s="416" t="n">
        <f aca="false">(BaseLoad!D61*'Base Hours'!X62*'Base Hours'!$AA62)*-1</f>
        <v>-0</v>
      </c>
      <c r="AC62" s="416"/>
      <c r="AD62" s="416" t="n">
        <f aca="false">(BaseLoad!E61*'Base Hours'!X62*'Base Hours'!$AA62)*-1</f>
        <v>-0</v>
      </c>
      <c r="AE62" s="416"/>
      <c r="AF62" s="416" t="n">
        <f aca="false">(BaseLoad!F61*'Base Hours'!X62*'Base Hours'!$AA62)*-1</f>
        <v>-0</v>
      </c>
      <c r="AG62" s="416"/>
    </row>
    <row r="63" customFormat="false" ht="12.75" hidden="false" customHeight="false" outlineLevel="0" collapsed="false">
      <c r="A63" s="400" t="n">
        <f aca="false">A62+30.417</f>
        <v>38152.101</v>
      </c>
      <c r="B63" s="415" t="str">
        <f aca="false">IF($A$1="Peak","-",'Base Hours'!B63*BaseLoad!H62*'Base Hours'!$AA63)</f>
        <v>-</v>
      </c>
      <c r="C63" s="415" t="str">
        <f aca="false">IF($A$1="Peak","-",'Base Hours'!C63*BaseLoad!I62*'Base Hours'!$AA63)</f>
        <v>-</v>
      </c>
      <c r="D63" s="415" t="str">
        <f aca="false">IF($A$1="Peak","-",'Base Hours'!D63*BaseLoad!J62*'Base Hours'!$AA63)</f>
        <v>-</v>
      </c>
      <c r="E63" s="415" t="str">
        <f aca="false">IF($A$1="Peak","-",'Base Hours'!E63*BaseLoad!K62*'Base Hours'!$AA63)</f>
        <v>-</v>
      </c>
      <c r="F63" s="415" t="str">
        <f aca="false">IF($A$1="Peak","-",'Base Hours'!F63*BaseLoad!L62*'Base Hours'!$AA63)</f>
        <v>-</v>
      </c>
      <c r="G63" s="415" t="str">
        <f aca="false">IF($A$1="Peak","-",'Base Hours'!G63*BaseLoad!M62*'Base Hours'!$AA63)</f>
        <v>-</v>
      </c>
      <c r="H63" s="415" t="str">
        <f aca="false">IF($A$1="Peak","-",'Base Hours'!H63*BaseLoad!N62*'Base Hours'!$AA63)</f>
        <v>-</v>
      </c>
      <c r="I63" s="415" t="str">
        <f aca="false">IF($A$1="Peak","-",'Base Hours'!I63*BaseLoad!O62*'Base Hours'!$AA63)</f>
        <v>-</v>
      </c>
      <c r="J63" s="415" t="str">
        <f aca="false">IF($A$1="Peak","-",'Base Hours'!J63*BaseLoad!P62*'Base Hours'!$AA63)</f>
        <v>-</v>
      </c>
      <c r="K63" s="415" t="str">
        <f aca="false">IF($A$1="Peak","-",'Base Hours'!K63*BaseLoad!Q62*'Base Hours'!$AA63)</f>
        <v>-</v>
      </c>
      <c r="L63" s="415" t="str">
        <f aca="false">IF($A$1="Peak","-",'Base Hours'!L63*BaseLoad!R62*'Base Hours'!$AA63)</f>
        <v>-</v>
      </c>
      <c r="M63" s="415" t="str">
        <f aca="false">IF($A$1="Peak","-",'Base Hours'!M63*BaseLoad!S62*'Base Hours'!$AA63)</f>
        <v>-</v>
      </c>
      <c r="N63" s="415" t="str">
        <f aca="false">IF($A$1="Peak","-",'Base Hours'!N63*BaseLoad!T62*'Base Hours'!$AA63)</f>
        <v>-</v>
      </c>
      <c r="O63" s="415" t="str">
        <f aca="false">IF($A$1="Peak","-",'Base Hours'!O63*BaseLoad!U62*'Base Hours'!$AA63)</f>
        <v>-</v>
      </c>
      <c r="P63" s="415" t="str">
        <f aca="false">IF($A$1="Peak","-",'Base Hours'!P63*BaseLoad!V62*'Base Hours'!$AA63)</f>
        <v>-</v>
      </c>
      <c r="Q63" s="415" t="str">
        <f aca="false">IF($A$1="Peak","-",'Base Hours'!Q63*BaseLoad!W62*'Base Hours'!$AA63)</f>
        <v>-</v>
      </c>
      <c r="R63" s="415" t="str">
        <f aca="false">IF($A$1="Peak","-",'Base Hours'!R63*BaseLoad!X62*'Base Hours'!$AA63)</f>
        <v>-</v>
      </c>
      <c r="S63" s="415" t="str">
        <f aca="false">IF($A$1="Peak","-",'Base Hours'!S63*BaseLoad!Y62*'Base Hours'!$AA63)</f>
        <v>-</v>
      </c>
      <c r="T63" s="415" t="str">
        <f aca="false">IF($A$1="Peak","-",'Base Hours'!T63*BaseLoad!Z62*'Base Hours'!$AA63)</f>
        <v>-</v>
      </c>
      <c r="U63" s="415" t="str">
        <f aca="false">IF($A$1="Peak","-",'Base Hours'!U63*BaseLoad!AA62*'Base Hours'!$AA63)</f>
        <v>-</v>
      </c>
      <c r="V63" s="415" t="n">
        <f aca="false">SUM(B63:U63)</f>
        <v>0</v>
      </c>
      <c r="W63" s="415"/>
      <c r="X63" s="415"/>
      <c r="Y63" s="416"/>
      <c r="Z63" s="416" t="n">
        <f aca="false">(BaseLoad!C62*'Base Hours'!X63*'Base Hours'!$AA63)*-1</f>
        <v>-0</v>
      </c>
      <c r="AA63" s="416"/>
      <c r="AB63" s="416" t="n">
        <f aca="false">(BaseLoad!D62*'Base Hours'!X63*'Base Hours'!$AA63)*-1</f>
        <v>-0</v>
      </c>
      <c r="AC63" s="416"/>
      <c r="AD63" s="416" t="n">
        <f aca="false">(BaseLoad!E62*'Base Hours'!X63*'Base Hours'!$AA63)*-1</f>
        <v>-0</v>
      </c>
      <c r="AE63" s="416"/>
      <c r="AF63" s="416" t="n">
        <f aca="false">(BaseLoad!F62*'Base Hours'!X63*'Base Hours'!$AA63)*-1</f>
        <v>-0</v>
      </c>
      <c r="AG63" s="416"/>
    </row>
    <row r="64" customFormat="false" ht="12.75" hidden="false" customHeight="false" outlineLevel="0" collapsed="false">
      <c r="A64" s="400" t="n">
        <f aca="false">A63+30.417</f>
        <v>38182.518</v>
      </c>
      <c r="B64" s="415" t="str">
        <f aca="false">IF($A$1="Peak","-",'Base Hours'!B64*BaseLoad!H63*'Base Hours'!$AA64)</f>
        <v>-</v>
      </c>
      <c r="C64" s="415" t="str">
        <f aca="false">IF($A$1="Peak","-",'Base Hours'!C64*BaseLoad!I63*'Base Hours'!$AA64)</f>
        <v>-</v>
      </c>
      <c r="D64" s="415" t="str">
        <f aca="false">IF($A$1="Peak","-",'Base Hours'!D64*BaseLoad!J63*'Base Hours'!$AA64)</f>
        <v>-</v>
      </c>
      <c r="E64" s="415" t="str">
        <f aca="false">IF($A$1="Peak","-",'Base Hours'!E64*BaseLoad!K63*'Base Hours'!$AA64)</f>
        <v>-</v>
      </c>
      <c r="F64" s="415" t="str">
        <f aca="false">IF($A$1="Peak","-",'Base Hours'!F64*BaseLoad!L63*'Base Hours'!$AA64)</f>
        <v>-</v>
      </c>
      <c r="G64" s="415" t="str">
        <f aca="false">IF($A$1="Peak","-",'Base Hours'!G64*BaseLoad!M63*'Base Hours'!$AA64)</f>
        <v>-</v>
      </c>
      <c r="H64" s="415" t="str">
        <f aca="false">IF($A$1="Peak","-",'Base Hours'!H64*BaseLoad!N63*'Base Hours'!$AA64)</f>
        <v>-</v>
      </c>
      <c r="I64" s="415" t="str">
        <f aca="false">IF($A$1="Peak","-",'Base Hours'!I64*BaseLoad!O63*'Base Hours'!$AA64)</f>
        <v>-</v>
      </c>
      <c r="J64" s="415" t="str">
        <f aca="false">IF($A$1="Peak","-",'Base Hours'!J64*BaseLoad!P63*'Base Hours'!$AA64)</f>
        <v>-</v>
      </c>
      <c r="K64" s="415" t="str">
        <f aca="false">IF($A$1="Peak","-",'Base Hours'!K64*BaseLoad!Q63*'Base Hours'!$AA64)</f>
        <v>-</v>
      </c>
      <c r="L64" s="415" t="str">
        <f aca="false">IF($A$1="Peak","-",'Base Hours'!L64*BaseLoad!R63*'Base Hours'!$AA64)</f>
        <v>-</v>
      </c>
      <c r="M64" s="415" t="str">
        <f aca="false">IF($A$1="Peak","-",'Base Hours'!M64*BaseLoad!S63*'Base Hours'!$AA64)</f>
        <v>-</v>
      </c>
      <c r="N64" s="415" t="str">
        <f aca="false">IF($A$1="Peak","-",'Base Hours'!N64*BaseLoad!T63*'Base Hours'!$AA64)</f>
        <v>-</v>
      </c>
      <c r="O64" s="415" t="str">
        <f aca="false">IF($A$1="Peak","-",'Base Hours'!O64*BaseLoad!U63*'Base Hours'!$AA64)</f>
        <v>-</v>
      </c>
      <c r="P64" s="415" t="str">
        <f aca="false">IF($A$1="Peak","-",'Base Hours'!P64*BaseLoad!V63*'Base Hours'!$AA64)</f>
        <v>-</v>
      </c>
      <c r="Q64" s="415" t="str">
        <f aca="false">IF($A$1="Peak","-",'Base Hours'!Q64*BaseLoad!W63*'Base Hours'!$AA64)</f>
        <v>-</v>
      </c>
      <c r="R64" s="415" t="str">
        <f aca="false">IF($A$1="Peak","-",'Base Hours'!R64*BaseLoad!X63*'Base Hours'!$AA64)</f>
        <v>-</v>
      </c>
      <c r="S64" s="415" t="str">
        <f aca="false">IF($A$1="Peak","-",'Base Hours'!S64*BaseLoad!Y63*'Base Hours'!$AA64)</f>
        <v>-</v>
      </c>
      <c r="T64" s="415" t="str">
        <f aca="false">IF($A$1="Peak","-",'Base Hours'!T64*BaseLoad!Z63*'Base Hours'!$AA64)</f>
        <v>-</v>
      </c>
      <c r="U64" s="415" t="str">
        <f aca="false">IF($A$1="Peak","-",'Base Hours'!U64*BaseLoad!AA63*'Base Hours'!$AA64)</f>
        <v>-</v>
      </c>
      <c r="V64" s="415" t="n">
        <f aca="false">SUM(B64:U64)</f>
        <v>0</v>
      </c>
      <c r="W64" s="415"/>
      <c r="X64" s="415"/>
      <c r="Y64" s="416"/>
      <c r="Z64" s="416" t="n">
        <f aca="false">(BaseLoad!C63*'Base Hours'!X64*'Base Hours'!$AA64)*-1</f>
        <v>-0</v>
      </c>
      <c r="AA64" s="416"/>
      <c r="AB64" s="416" t="n">
        <f aca="false">(BaseLoad!D63*'Base Hours'!X64*'Base Hours'!$AA64)*-1</f>
        <v>-0</v>
      </c>
      <c r="AC64" s="416"/>
      <c r="AD64" s="416" t="n">
        <f aca="false">(BaseLoad!E63*'Base Hours'!X64*'Base Hours'!$AA64)*-1</f>
        <v>-0</v>
      </c>
      <c r="AE64" s="416"/>
      <c r="AF64" s="416" t="n">
        <f aca="false">(BaseLoad!F63*'Base Hours'!X64*'Base Hours'!$AA64)*-1</f>
        <v>-0</v>
      </c>
      <c r="AG64" s="416"/>
    </row>
    <row r="65" customFormat="false" ht="12.75" hidden="false" customHeight="false" outlineLevel="0" collapsed="false">
      <c r="A65" s="400" t="n">
        <f aca="false">A64+30.417</f>
        <v>38212.935</v>
      </c>
      <c r="B65" s="415" t="str">
        <f aca="false">IF($A$1="Peak","-",'Base Hours'!B65*BaseLoad!H64*'Base Hours'!$AA65)</f>
        <v>-</v>
      </c>
      <c r="C65" s="415" t="str">
        <f aca="false">IF($A$1="Peak","-",'Base Hours'!C65*BaseLoad!I64*'Base Hours'!$AA65)</f>
        <v>-</v>
      </c>
      <c r="D65" s="415" t="str">
        <f aca="false">IF($A$1="Peak","-",'Base Hours'!D65*BaseLoad!J64*'Base Hours'!$AA65)</f>
        <v>-</v>
      </c>
      <c r="E65" s="415" t="str">
        <f aca="false">IF($A$1="Peak","-",'Base Hours'!E65*BaseLoad!K64*'Base Hours'!$AA65)</f>
        <v>-</v>
      </c>
      <c r="F65" s="415" t="str">
        <f aca="false">IF($A$1="Peak","-",'Base Hours'!F65*BaseLoad!L64*'Base Hours'!$AA65)</f>
        <v>-</v>
      </c>
      <c r="G65" s="415" t="str">
        <f aca="false">IF($A$1="Peak","-",'Base Hours'!G65*BaseLoad!M64*'Base Hours'!$AA65)</f>
        <v>-</v>
      </c>
      <c r="H65" s="415" t="str">
        <f aca="false">IF($A$1="Peak","-",'Base Hours'!H65*BaseLoad!N64*'Base Hours'!$AA65)</f>
        <v>-</v>
      </c>
      <c r="I65" s="415" t="str">
        <f aca="false">IF($A$1="Peak","-",'Base Hours'!I65*BaseLoad!O64*'Base Hours'!$AA65)</f>
        <v>-</v>
      </c>
      <c r="J65" s="415" t="str">
        <f aca="false">IF($A$1="Peak","-",'Base Hours'!J65*BaseLoad!P64*'Base Hours'!$AA65)</f>
        <v>-</v>
      </c>
      <c r="K65" s="415" t="str">
        <f aca="false">IF($A$1="Peak","-",'Base Hours'!K65*BaseLoad!Q64*'Base Hours'!$AA65)</f>
        <v>-</v>
      </c>
      <c r="L65" s="415" t="str">
        <f aca="false">IF($A$1="Peak","-",'Base Hours'!L65*BaseLoad!R64*'Base Hours'!$AA65)</f>
        <v>-</v>
      </c>
      <c r="M65" s="415" t="str">
        <f aca="false">IF($A$1="Peak","-",'Base Hours'!M65*BaseLoad!S64*'Base Hours'!$AA65)</f>
        <v>-</v>
      </c>
      <c r="N65" s="415" t="str">
        <f aca="false">IF($A$1="Peak","-",'Base Hours'!N65*BaseLoad!T64*'Base Hours'!$AA65)</f>
        <v>-</v>
      </c>
      <c r="O65" s="415" t="str">
        <f aca="false">IF($A$1="Peak","-",'Base Hours'!O65*BaseLoad!U64*'Base Hours'!$AA65)</f>
        <v>-</v>
      </c>
      <c r="P65" s="415" t="str">
        <f aca="false">IF($A$1="Peak","-",'Base Hours'!P65*BaseLoad!V64*'Base Hours'!$AA65)</f>
        <v>-</v>
      </c>
      <c r="Q65" s="415" t="str">
        <f aca="false">IF($A$1="Peak","-",'Base Hours'!Q65*BaseLoad!W64*'Base Hours'!$AA65)</f>
        <v>-</v>
      </c>
      <c r="R65" s="415" t="str">
        <f aca="false">IF($A$1="Peak","-",'Base Hours'!R65*BaseLoad!X64*'Base Hours'!$AA65)</f>
        <v>-</v>
      </c>
      <c r="S65" s="415" t="str">
        <f aca="false">IF($A$1="Peak","-",'Base Hours'!S65*BaseLoad!Y64*'Base Hours'!$AA65)</f>
        <v>-</v>
      </c>
      <c r="T65" s="415" t="str">
        <f aca="false">IF($A$1="Peak","-",'Base Hours'!T65*BaseLoad!Z64*'Base Hours'!$AA65)</f>
        <v>-</v>
      </c>
      <c r="U65" s="415" t="str">
        <f aca="false">IF($A$1="Peak","-",'Base Hours'!U65*BaseLoad!AA64*'Base Hours'!$AA65)</f>
        <v>-</v>
      </c>
      <c r="V65" s="415" t="n">
        <f aca="false">SUM(B65:U65)</f>
        <v>0</v>
      </c>
      <c r="W65" s="415"/>
      <c r="X65" s="415"/>
      <c r="Y65" s="416"/>
      <c r="Z65" s="416" t="n">
        <f aca="false">(BaseLoad!C64*'Base Hours'!X65*'Base Hours'!$AA65)*-1</f>
        <v>-0</v>
      </c>
      <c r="AA65" s="416"/>
      <c r="AB65" s="416" t="n">
        <f aca="false">(BaseLoad!D64*'Base Hours'!X65*'Base Hours'!$AA65)*-1</f>
        <v>-0</v>
      </c>
      <c r="AC65" s="416"/>
      <c r="AD65" s="416" t="n">
        <f aca="false">(BaseLoad!E64*'Base Hours'!X65*'Base Hours'!$AA65)*-1</f>
        <v>-0</v>
      </c>
      <c r="AE65" s="416"/>
      <c r="AF65" s="416" t="n">
        <f aca="false">(BaseLoad!F64*'Base Hours'!X65*'Base Hours'!$AA65)*-1</f>
        <v>-0</v>
      </c>
      <c r="AG65" s="416"/>
    </row>
    <row r="66" customFormat="false" ht="12.75" hidden="false" customHeight="false" outlineLevel="0" collapsed="false">
      <c r="A66" s="400" t="n">
        <f aca="false">A65+30.417</f>
        <v>38243.352</v>
      </c>
      <c r="B66" s="415" t="str">
        <f aca="false">IF($A$1="Peak","-",'Base Hours'!B66*BaseLoad!H65*'Base Hours'!$AA66)</f>
        <v>-</v>
      </c>
      <c r="C66" s="415" t="str">
        <f aca="false">IF($A$1="Peak","-",'Base Hours'!C66*BaseLoad!I65*'Base Hours'!$AA66)</f>
        <v>-</v>
      </c>
      <c r="D66" s="415" t="str">
        <f aca="false">IF($A$1="Peak","-",'Base Hours'!D66*BaseLoad!J65*'Base Hours'!$AA66)</f>
        <v>-</v>
      </c>
      <c r="E66" s="415" t="str">
        <f aca="false">IF($A$1="Peak","-",'Base Hours'!E66*BaseLoad!K65*'Base Hours'!$AA66)</f>
        <v>-</v>
      </c>
      <c r="F66" s="415" t="str">
        <f aca="false">IF($A$1="Peak","-",'Base Hours'!F66*BaseLoad!L65*'Base Hours'!$AA66)</f>
        <v>-</v>
      </c>
      <c r="G66" s="415" t="str">
        <f aca="false">IF($A$1="Peak","-",'Base Hours'!G66*BaseLoad!M65*'Base Hours'!$AA66)</f>
        <v>-</v>
      </c>
      <c r="H66" s="415" t="str">
        <f aca="false">IF($A$1="Peak","-",'Base Hours'!H66*BaseLoad!N65*'Base Hours'!$AA66)</f>
        <v>-</v>
      </c>
      <c r="I66" s="415" t="str">
        <f aca="false">IF($A$1="Peak","-",'Base Hours'!I66*BaseLoad!O65*'Base Hours'!$AA66)</f>
        <v>-</v>
      </c>
      <c r="J66" s="415" t="str">
        <f aca="false">IF($A$1="Peak","-",'Base Hours'!J66*BaseLoad!P65*'Base Hours'!$AA66)</f>
        <v>-</v>
      </c>
      <c r="K66" s="415" t="str">
        <f aca="false">IF($A$1="Peak","-",'Base Hours'!K66*BaseLoad!Q65*'Base Hours'!$AA66)</f>
        <v>-</v>
      </c>
      <c r="L66" s="415" t="str">
        <f aca="false">IF($A$1="Peak","-",'Base Hours'!L66*BaseLoad!R65*'Base Hours'!$AA66)</f>
        <v>-</v>
      </c>
      <c r="M66" s="415" t="str">
        <f aca="false">IF($A$1="Peak","-",'Base Hours'!M66*BaseLoad!S65*'Base Hours'!$AA66)</f>
        <v>-</v>
      </c>
      <c r="N66" s="415" t="str">
        <f aca="false">IF($A$1="Peak","-",'Base Hours'!N66*BaseLoad!T65*'Base Hours'!$AA66)</f>
        <v>-</v>
      </c>
      <c r="O66" s="415" t="str">
        <f aca="false">IF($A$1="Peak","-",'Base Hours'!O66*BaseLoad!U65*'Base Hours'!$AA66)</f>
        <v>-</v>
      </c>
      <c r="P66" s="415" t="str">
        <f aca="false">IF($A$1="Peak","-",'Base Hours'!P66*BaseLoad!V65*'Base Hours'!$AA66)</f>
        <v>-</v>
      </c>
      <c r="Q66" s="415" t="str">
        <f aca="false">IF($A$1="Peak","-",'Base Hours'!Q66*BaseLoad!W65*'Base Hours'!$AA66)</f>
        <v>-</v>
      </c>
      <c r="R66" s="415" t="str">
        <f aca="false">IF($A$1="Peak","-",'Base Hours'!R66*BaseLoad!X65*'Base Hours'!$AA66)</f>
        <v>-</v>
      </c>
      <c r="S66" s="415" t="str">
        <f aca="false">IF($A$1="Peak","-",'Base Hours'!S66*BaseLoad!Y65*'Base Hours'!$AA66)</f>
        <v>-</v>
      </c>
      <c r="T66" s="415" t="str">
        <f aca="false">IF($A$1="Peak","-",'Base Hours'!T66*BaseLoad!Z65*'Base Hours'!$AA66)</f>
        <v>-</v>
      </c>
      <c r="U66" s="415" t="str">
        <f aca="false">IF($A$1="Peak","-",'Base Hours'!U66*BaseLoad!AA65*'Base Hours'!$AA66)</f>
        <v>-</v>
      </c>
      <c r="V66" s="415" t="n">
        <f aca="false">SUM(B66:U66)</f>
        <v>0</v>
      </c>
      <c r="W66" s="415"/>
      <c r="X66" s="415"/>
      <c r="Y66" s="416"/>
      <c r="Z66" s="416" t="n">
        <f aca="false">(BaseLoad!C65*'Base Hours'!X66*'Base Hours'!$AA66)*-1</f>
        <v>-0</v>
      </c>
      <c r="AA66" s="416"/>
      <c r="AB66" s="416" t="n">
        <f aca="false">(BaseLoad!D65*'Base Hours'!X66*'Base Hours'!$AA66)*-1</f>
        <v>-0</v>
      </c>
      <c r="AC66" s="416"/>
      <c r="AD66" s="416" t="n">
        <f aca="false">(BaseLoad!E65*'Base Hours'!X66*'Base Hours'!$AA66)*-1</f>
        <v>-0</v>
      </c>
      <c r="AE66" s="416"/>
      <c r="AF66" s="416" t="n">
        <f aca="false">(BaseLoad!F65*'Base Hours'!X66*'Base Hours'!$AA66)*-1</f>
        <v>-0</v>
      </c>
      <c r="AG66" s="416"/>
    </row>
    <row r="67" customFormat="false" ht="12.75" hidden="false" customHeight="false" outlineLevel="0" collapsed="false">
      <c r="A67" s="400" t="n">
        <f aca="false">A66+30.417</f>
        <v>38273.769</v>
      </c>
      <c r="B67" s="415" t="str">
        <f aca="false">IF($A$1="Peak","-",'Base Hours'!B67*BaseLoad!H66*'Base Hours'!$AA67)</f>
        <v>-</v>
      </c>
      <c r="C67" s="415" t="str">
        <f aca="false">IF($A$1="Peak","-",'Base Hours'!C67*BaseLoad!I66*'Base Hours'!$AA67)</f>
        <v>-</v>
      </c>
      <c r="D67" s="415" t="str">
        <f aca="false">IF($A$1="Peak","-",'Base Hours'!D67*BaseLoad!J66*'Base Hours'!$AA67)</f>
        <v>-</v>
      </c>
      <c r="E67" s="415" t="str">
        <f aca="false">IF($A$1="Peak","-",'Base Hours'!E67*BaseLoad!K66*'Base Hours'!$AA67)</f>
        <v>-</v>
      </c>
      <c r="F67" s="415" t="str">
        <f aca="false">IF($A$1="Peak","-",'Base Hours'!F67*BaseLoad!L66*'Base Hours'!$AA67)</f>
        <v>-</v>
      </c>
      <c r="G67" s="415" t="str">
        <f aca="false">IF($A$1="Peak","-",'Base Hours'!G67*BaseLoad!M66*'Base Hours'!$AA67)</f>
        <v>-</v>
      </c>
      <c r="H67" s="415" t="str">
        <f aca="false">IF($A$1="Peak","-",'Base Hours'!H67*BaseLoad!N66*'Base Hours'!$AA67)</f>
        <v>-</v>
      </c>
      <c r="I67" s="415" t="str">
        <f aca="false">IF($A$1="Peak","-",'Base Hours'!I67*BaseLoad!O66*'Base Hours'!$AA67)</f>
        <v>-</v>
      </c>
      <c r="J67" s="415" t="str">
        <f aca="false">IF($A$1="Peak","-",'Base Hours'!J67*BaseLoad!P66*'Base Hours'!$AA67)</f>
        <v>-</v>
      </c>
      <c r="K67" s="415" t="str">
        <f aca="false">IF($A$1="Peak","-",'Base Hours'!K67*BaseLoad!Q66*'Base Hours'!$AA67)</f>
        <v>-</v>
      </c>
      <c r="L67" s="415" t="str">
        <f aca="false">IF($A$1="Peak","-",'Base Hours'!L67*BaseLoad!R66*'Base Hours'!$AA67)</f>
        <v>-</v>
      </c>
      <c r="M67" s="415" t="str">
        <f aca="false">IF($A$1="Peak","-",'Base Hours'!M67*BaseLoad!S66*'Base Hours'!$AA67)</f>
        <v>-</v>
      </c>
      <c r="N67" s="415" t="str">
        <f aca="false">IF($A$1="Peak","-",'Base Hours'!N67*BaseLoad!T66*'Base Hours'!$AA67)</f>
        <v>-</v>
      </c>
      <c r="O67" s="415" t="str">
        <f aca="false">IF($A$1="Peak","-",'Base Hours'!O67*BaseLoad!U66*'Base Hours'!$AA67)</f>
        <v>-</v>
      </c>
      <c r="P67" s="415" t="str">
        <f aca="false">IF($A$1="Peak","-",'Base Hours'!P67*BaseLoad!V66*'Base Hours'!$AA67)</f>
        <v>-</v>
      </c>
      <c r="Q67" s="415" t="str">
        <f aca="false">IF($A$1="Peak","-",'Base Hours'!Q67*BaseLoad!W66*'Base Hours'!$AA67)</f>
        <v>-</v>
      </c>
      <c r="R67" s="415" t="str">
        <f aca="false">IF($A$1="Peak","-",'Base Hours'!R67*BaseLoad!X66*'Base Hours'!$AA67)</f>
        <v>-</v>
      </c>
      <c r="S67" s="415" t="str">
        <f aca="false">IF($A$1="Peak","-",'Base Hours'!S67*BaseLoad!Y66*'Base Hours'!$AA67)</f>
        <v>-</v>
      </c>
      <c r="T67" s="415" t="str">
        <f aca="false">IF($A$1="Peak","-",'Base Hours'!T67*BaseLoad!Z66*'Base Hours'!$AA67)</f>
        <v>-</v>
      </c>
      <c r="U67" s="415" t="str">
        <f aca="false">IF($A$1="Peak","-",'Base Hours'!U67*BaseLoad!AA66*'Base Hours'!$AA67)</f>
        <v>-</v>
      </c>
      <c r="V67" s="415" t="n">
        <f aca="false">SUM(B67:U67)</f>
        <v>0</v>
      </c>
      <c r="W67" s="415"/>
      <c r="X67" s="415"/>
      <c r="Y67" s="416"/>
      <c r="Z67" s="416" t="n">
        <f aca="false">(BaseLoad!C66*'Base Hours'!X67*'Base Hours'!$AA67)*-1</f>
        <v>-0</v>
      </c>
      <c r="AA67" s="416"/>
      <c r="AB67" s="416" t="n">
        <f aca="false">(BaseLoad!D66*'Base Hours'!X67*'Base Hours'!$AA67)*-1</f>
        <v>-0</v>
      </c>
      <c r="AC67" s="416"/>
      <c r="AD67" s="416" t="n">
        <f aca="false">(BaseLoad!E66*'Base Hours'!X67*'Base Hours'!$AA67)*-1</f>
        <v>-0</v>
      </c>
      <c r="AE67" s="416"/>
      <c r="AF67" s="416" t="n">
        <f aca="false">(BaseLoad!F66*'Base Hours'!X67*'Base Hours'!$AA67)*-1</f>
        <v>-0</v>
      </c>
      <c r="AG67" s="416"/>
    </row>
    <row r="68" customFormat="false" ht="12.75" hidden="false" customHeight="false" outlineLevel="0" collapsed="false">
      <c r="A68" s="400" t="n">
        <f aca="false">A67+30.417</f>
        <v>38304.186</v>
      </c>
      <c r="B68" s="415" t="str">
        <f aca="false">IF($A$1="Peak","-",'Base Hours'!B68*BaseLoad!H67*'Base Hours'!$AA68)</f>
        <v>-</v>
      </c>
      <c r="C68" s="415" t="str">
        <f aca="false">IF($A$1="Peak","-",'Base Hours'!C68*BaseLoad!I67*'Base Hours'!$AA68)</f>
        <v>-</v>
      </c>
      <c r="D68" s="415" t="str">
        <f aca="false">IF($A$1="Peak","-",'Base Hours'!D68*BaseLoad!J67*'Base Hours'!$AA68)</f>
        <v>-</v>
      </c>
      <c r="E68" s="415" t="str">
        <f aca="false">IF($A$1="Peak","-",'Base Hours'!E68*BaseLoad!K67*'Base Hours'!$AA68)</f>
        <v>-</v>
      </c>
      <c r="F68" s="415" t="str">
        <f aca="false">IF($A$1="Peak","-",'Base Hours'!F68*BaseLoad!L67*'Base Hours'!$AA68)</f>
        <v>-</v>
      </c>
      <c r="G68" s="415" t="str">
        <f aca="false">IF($A$1="Peak","-",'Base Hours'!G68*BaseLoad!M67*'Base Hours'!$AA68)</f>
        <v>-</v>
      </c>
      <c r="H68" s="415" t="str">
        <f aca="false">IF($A$1="Peak","-",'Base Hours'!H68*BaseLoad!N67*'Base Hours'!$AA68)</f>
        <v>-</v>
      </c>
      <c r="I68" s="415" t="str">
        <f aca="false">IF($A$1="Peak","-",'Base Hours'!I68*BaseLoad!O67*'Base Hours'!$AA68)</f>
        <v>-</v>
      </c>
      <c r="J68" s="415" t="str">
        <f aca="false">IF($A$1="Peak","-",'Base Hours'!J68*BaseLoad!P67*'Base Hours'!$AA68)</f>
        <v>-</v>
      </c>
      <c r="K68" s="415" t="str">
        <f aca="false">IF($A$1="Peak","-",'Base Hours'!K68*BaseLoad!Q67*'Base Hours'!$AA68)</f>
        <v>-</v>
      </c>
      <c r="L68" s="415" t="str">
        <f aca="false">IF($A$1="Peak","-",'Base Hours'!L68*BaseLoad!R67*'Base Hours'!$AA68)</f>
        <v>-</v>
      </c>
      <c r="M68" s="415" t="str">
        <f aca="false">IF($A$1="Peak","-",'Base Hours'!M68*BaseLoad!S67*'Base Hours'!$AA68)</f>
        <v>-</v>
      </c>
      <c r="N68" s="415" t="str">
        <f aca="false">IF($A$1="Peak","-",'Base Hours'!N68*BaseLoad!T67*'Base Hours'!$AA68)</f>
        <v>-</v>
      </c>
      <c r="O68" s="415" t="str">
        <f aca="false">IF($A$1="Peak","-",'Base Hours'!O68*BaseLoad!U67*'Base Hours'!$AA68)</f>
        <v>-</v>
      </c>
      <c r="P68" s="415" t="str">
        <f aca="false">IF($A$1="Peak","-",'Base Hours'!P68*BaseLoad!V67*'Base Hours'!$AA68)</f>
        <v>-</v>
      </c>
      <c r="Q68" s="415" t="str">
        <f aca="false">IF($A$1="Peak","-",'Base Hours'!Q68*BaseLoad!W67*'Base Hours'!$AA68)</f>
        <v>-</v>
      </c>
      <c r="R68" s="415" t="str">
        <f aca="false">IF($A$1="Peak","-",'Base Hours'!R68*BaseLoad!X67*'Base Hours'!$AA68)</f>
        <v>-</v>
      </c>
      <c r="S68" s="415" t="str">
        <f aca="false">IF($A$1="Peak","-",'Base Hours'!S68*BaseLoad!Y67*'Base Hours'!$AA68)</f>
        <v>-</v>
      </c>
      <c r="T68" s="415" t="str">
        <f aca="false">IF($A$1="Peak","-",'Base Hours'!T68*BaseLoad!Z67*'Base Hours'!$AA68)</f>
        <v>-</v>
      </c>
      <c r="U68" s="415" t="str">
        <f aca="false">IF($A$1="Peak","-",'Base Hours'!U68*BaseLoad!AA67*'Base Hours'!$AA68)</f>
        <v>-</v>
      </c>
      <c r="V68" s="415" t="n">
        <f aca="false">SUM(B68:U68)</f>
        <v>0</v>
      </c>
      <c r="W68" s="415"/>
      <c r="X68" s="415"/>
      <c r="Y68" s="416"/>
      <c r="Z68" s="416" t="n">
        <f aca="false">(BaseLoad!C67*'Base Hours'!X68*'Base Hours'!$AA68)*-1</f>
        <v>-0</v>
      </c>
      <c r="AA68" s="416"/>
      <c r="AB68" s="416" t="n">
        <f aca="false">(BaseLoad!D67*'Base Hours'!X68*'Base Hours'!$AA68)*-1</f>
        <v>-0</v>
      </c>
      <c r="AC68" s="416"/>
      <c r="AD68" s="416" t="n">
        <f aca="false">(BaseLoad!E67*'Base Hours'!X68*'Base Hours'!$AA68)*-1</f>
        <v>-0</v>
      </c>
      <c r="AE68" s="416"/>
      <c r="AF68" s="416" t="n">
        <f aca="false">(BaseLoad!F67*'Base Hours'!X68*'Base Hours'!$AA68)*-1</f>
        <v>-0</v>
      </c>
      <c r="AG68" s="416"/>
    </row>
    <row r="69" customFormat="false" ht="12.75" hidden="false" customHeight="false" outlineLevel="0" collapsed="false">
      <c r="A69" s="400" t="n">
        <f aca="false">A68+30.417</f>
        <v>38334.603</v>
      </c>
      <c r="B69" s="415" t="str">
        <f aca="false">IF($A$1="Peak","-",'Base Hours'!B69*BaseLoad!H68*'Base Hours'!$AA69)</f>
        <v>-</v>
      </c>
      <c r="C69" s="415" t="str">
        <f aca="false">IF($A$1="Peak","-",'Base Hours'!C69*BaseLoad!I68*'Base Hours'!$AA69)</f>
        <v>-</v>
      </c>
      <c r="D69" s="415" t="str">
        <f aca="false">IF($A$1="Peak","-",'Base Hours'!D69*BaseLoad!J68*'Base Hours'!$AA69)</f>
        <v>-</v>
      </c>
      <c r="E69" s="415" t="str">
        <f aca="false">IF($A$1="Peak","-",'Base Hours'!E69*BaseLoad!K68*'Base Hours'!$AA69)</f>
        <v>-</v>
      </c>
      <c r="F69" s="415" t="str">
        <f aca="false">IF($A$1="Peak","-",'Base Hours'!F69*BaseLoad!L68*'Base Hours'!$AA69)</f>
        <v>-</v>
      </c>
      <c r="G69" s="415" t="str">
        <f aca="false">IF($A$1="Peak","-",'Base Hours'!G69*BaseLoad!M68*'Base Hours'!$AA69)</f>
        <v>-</v>
      </c>
      <c r="H69" s="415" t="str">
        <f aca="false">IF($A$1="Peak","-",'Base Hours'!H69*BaseLoad!N68*'Base Hours'!$AA69)</f>
        <v>-</v>
      </c>
      <c r="I69" s="415" t="str">
        <f aca="false">IF($A$1="Peak","-",'Base Hours'!I69*BaseLoad!O68*'Base Hours'!$AA69)</f>
        <v>-</v>
      </c>
      <c r="J69" s="415" t="str">
        <f aca="false">IF($A$1="Peak","-",'Base Hours'!J69*BaseLoad!P68*'Base Hours'!$AA69)</f>
        <v>-</v>
      </c>
      <c r="K69" s="415" t="str">
        <f aca="false">IF($A$1="Peak","-",'Base Hours'!K69*BaseLoad!Q68*'Base Hours'!$AA69)</f>
        <v>-</v>
      </c>
      <c r="L69" s="415" t="str">
        <f aca="false">IF($A$1="Peak","-",'Base Hours'!L69*BaseLoad!R68*'Base Hours'!$AA69)</f>
        <v>-</v>
      </c>
      <c r="M69" s="415" t="str">
        <f aca="false">IF($A$1="Peak","-",'Base Hours'!M69*BaseLoad!S68*'Base Hours'!$AA69)</f>
        <v>-</v>
      </c>
      <c r="N69" s="415" t="str">
        <f aca="false">IF($A$1="Peak","-",'Base Hours'!N69*BaseLoad!T68*'Base Hours'!$AA69)</f>
        <v>-</v>
      </c>
      <c r="O69" s="415" t="str">
        <f aca="false">IF($A$1="Peak","-",'Base Hours'!O69*BaseLoad!U68*'Base Hours'!$AA69)</f>
        <v>-</v>
      </c>
      <c r="P69" s="415" t="str">
        <f aca="false">IF($A$1="Peak","-",'Base Hours'!P69*BaseLoad!V68*'Base Hours'!$AA69)</f>
        <v>-</v>
      </c>
      <c r="Q69" s="415" t="str">
        <f aca="false">IF($A$1="Peak","-",'Base Hours'!Q69*BaseLoad!W68*'Base Hours'!$AA69)</f>
        <v>-</v>
      </c>
      <c r="R69" s="415" t="str">
        <f aca="false">IF($A$1="Peak","-",'Base Hours'!R69*BaseLoad!X68*'Base Hours'!$AA69)</f>
        <v>-</v>
      </c>
      <c r="S69" s="415" t="str">
        <f aca="false">IF($A$1="Peak","-",'Base Hours'!S69*BaseLoad!Y68*'Base Hours'!$AA69)</f>
        <v>-</v>
      </c>
      <c r="T69" s="415" t="str">
        <f aca="false">IF($A$1="Peak","-",'Base Hours'!T69*BaseLoad!Z68*'Base Hours'!$AA69)</f>
        <v>-</v>
      </c>
      <c r="U69" s="415" t="str">
        <f aca="false">IF($A$1="Peak","-",'Base Hours'!U69*BaseLoad!AA68*'Base Hours'!$AA69)</f>
        <v>-</v>
      </c>
      <c r="V69" s="415" t="n">
        <f aca="false">SUM(B69:U69)</f>
        <v>0</v>
      </c>
      <c r="W69" s="415" t="n">
        <f aca="false">IF($A$1="BL",(SUM(V58:V69)),0)</f>
        <v>0</v>
      </c>
      <c r="X69" s="415" t="n">
        <f aca="false">IF(AND($A$1="BL",W69&gt;0),(PPA!$B$5*8760*BaseLoad!$AP$15*PPA!$G$4*BaseLoad!$AP$9),0)</f>
        <v>0</v>
      </c>
      <c r="Y69" s="416" t="n">
        <f aca="false">X69+W69</f>
        <v>0</v>
      </c>
      <c r="Z69" s="416" t="n">
        <f aca="false">(BaseLoad!C68*'Base Hours'!X69*'Base Hours'!$AA69)*-1</f>
        <v>-0</v>
      </c>
      <c r="AA69" s="416" t="n">
        <f aca="false">SUM(Z58:Z69)</f>
        <v>0</v>
      </c>
      <c r="AB69" s="416" t="n">
        <f aca="false">(BaseLoad!D68*'Base Hours'!X69*'Base Hours'!$AA69)*-1</f>
        <v>-0</v>
      </c>
      <c r="AC69" s="416" t="n">
        <f aca="false">SUM(AB58:AB69)</f>
        <v>0</v>
      </c>
      <c r="AD69" s="416" t="n">
        <f aca="false">(BaseLoad!E68*'Base Hours'!X69*'Base Hours'!$AA69)*-1</f>
        <v>-0</v>
      </c>
      <c r="AE69" s="416" t="n">
        <f aca="false">SUM(AD58:AD69)</f>
        <v>0</v>
      </c>
      <c r="AF69" s="416" t="n">
        <f aca="false">(BaseLoad!F68*'Base Hours'!X69*'Base Hours'!$AA69)*-1</f>
        <v>-0</v>
      </c>
      <c r="AG69" s="416" t="n">
        <f aca="false">SUM(AF58:AF69)</f>
        <v>0</v>
      </c>
    </row>
    <row r="70" customFormat="false" ht="12.75" hidden="false" customHeight="false" outlineLevel="0" collapsed="false">
      <c r="A70" s="400" t="n">
        <f aca="false">A69+30.417</f>
        <v>38365.02</v>
      </c>
      <c r="B70" s="415" t="str">
        <f aca="false">IF($A$1="Peak","-",'Base Hours'!B70*BaseLoad!H69*'Base Hours'!$AA70)</f>
        <v>-</v>
      </c>
      <c r="C70" s="415" t="str">
        <f aca="false">IF($A$1="Peak","-",'Base Hours'!C70*BaseLoad!I69*'Base Hours'!$AA70)</f>
        <v>-</v>
      </c>
      <c r="D70" s="415" t="str">
        <f aca="false">IF($A$1="Peak","-",'Base Hours'!D70*BaseLoad!J69*'Base Hours'!$AA70)</f>
        <v>-</v>
      </c>
      <c r="E70" s="415" t="str">
        <f aca="false">IF($A$1="Peak","-",'Base Hours'!E70*BaseLoad!K69*'Base Hours'!$AA70)</f>
        <v>-</v>
      </c>
      <c r="F70" s="415" t="str">
        <f aca="false">IF($A$1="Peak","-",'Base Hours'!F70*BaseLoad!L69*'Base Hours'!$AA70)</f>
        <v>-</v>
      </c>
      <c r="G70" s="415" t="str">
        <f aca="false">IF($A$1="Peak","-",'Base Hours'!G70*BaseLoad!M69*'Base Hours'!$AA70)</f>
        <v>-</v>
      </c>
      <c r="H70" s="415" t="str">
        <f aca="false">IF($A$1="Peak","-",'Base Hours'!H70*BaseLoad!N69*'Base Hours'!$AA70)</f>
        <v>-</v>
      </c>
      <c r="I70" s="415" t="str">
        <f aca="false">IF($A$1="Peak","-",'Base Hours'!I70*BaseLoad!O69*'Base Hours'!$AA70)</f>
        <v>-</v>
      </c>
      <c r="J70" s="415" t="str">
        <f aca="false">IF($A$1="Peak","-",'Base Hours'!J70*BaseLoad!P69*'Base Hours'!$AA70)</f>
        <v>-</v>
      </c>
      <c r="K70" s="415" t="str">
        <f aca="false">IF($A$1="Peak","-",'Base Hours'!K70*BaseLoad!Q69*'Base Hours'!$AA70)</f>
        <v>-</v>
      </c>
      <c r="L70" s="415" t="str">
        <f aca="false">IF($A$1="Peak","-",'Base Hours'!L70*BaseLoad!R69*'Base Hours'!$AA70)</f>
        <v>-</v>
      </c>
      <c r="M70" s="415" t="str">
        <f aca="false">IF($A$1="Peak","-",'Base Hours'!M70*BaseLoad!S69*'Base Hours'!$AA70)</f>
        <v>-</v>
      </c>
      <c r="N70" s="415" t="str">
        <f aca="false">IF($A$1="Peak","-",'Base Hours'!N70*BaseLoad!T69*'Base Hours'!$AA70)</f>
        <v>-</v>
      </c>
      <c r="O70" s="415" t="str">
        <f aca="false">IF($A$1="Peak","-",'Base Hours'!O70*BaseLoad!U69*'Base Hours'!$AA70)</f>
        <v>-</v>
      </c>
      <c r="P70" s="415" t="str">
        <f aca="false">IF($A$1="Peak","-",'Base Hours'!P70*BaseLoad!V69*'Base Hours'!$AA70)</f>
        <v>-</v>
      </c>
      <c r="Q70" s="415" t="str">
        <f aca="false">IF($A$1="Peak","-",'Base Hours'!Q70*BaseLoad!W69*'Base Hours'!$AA70)</f>
        <v>-</v>
      </c>
      <c r="R70" s="415" t="str">
        <f aca="false">IF($A$1="Peak","-",'Base Hours'!R70*BaseLoad!X69*'Base Hours'!$AA70)</f>
        <v>-</v>
      </c>
      <c r="S70" s="415" t="str">
        <f aca="false">IF($A$1="Peak","-",'Base Hours'!S70*BaseLoad!Y69*'Base Hours'!$AA70)</f>
        <v>-</v>
      </c>
      <c r="T70" s="415" t="str">
        <f aca="false">IF($A$1="Peak","-",'Base Hours'!T70*BaseLoad!Z69*'Base Hours'!$AA70)</f>
        <v>-</v>
      </c>
      <c r="U70" s="415" t="str">
        <f aca="false">IF($A$1="Peak","-",'Base Hours'!U70*BaseLoad!AA69*'Base Hours'!$AA70)</f>
        <v>-</v>
      </c>
      <c r="V70" s="415" t="n">
        <f aca="false">SUM(B70:U70)</f>
        <v>0</v>
      </c>
      <c r="W70" s="415"/>
      <c r="X70" s="415"/>
      <c r="Y70" s="416"/>
      <c r="Z70" s="416" t="n">
        <f aca="false">(BaseLoad!C69*'Base Hours'!X70*'Base Hours'!$AA70)*-1</f>
        <v>-0</v>
      </c>
      <c r="AA70" s="416"/>
      <c r="AB70" s="416" t="n">
        <f aca="false">(BaseLoad!D69*'Base Hours'!X70*'Base Hours'!$AA70)*-1</f>
        <v>-0</v>
      </c>
      <c r="AC70" s="416"/>
      <c r="AD70" s="416" t="n">
        <f aca="false">(BaseLoad!E69*'Base Hours'!X70*'Base Hours'!$AA70)*-1</f>
        <v>-0</v>
      </c>
      <c r="AE70" s="416"/>
      <c r="AF70" s="416" t="n">
        <f aca="false">(BaseLoad!F69*'Base Hours'!X70*'Base Hours'!$AA70)*-1</f>
        <v>-0</v>
      </c>
      <c r="AG70" s="416"/>
    </row>
    <row r="71" customFormat="false" ht="12.75" hidden="false" customHeight="false" outlineLevel="0" collapsed="false">
      <c r="A71" s="400" t="n">
        <f aca="false">A70+30.417</f>
        <v>38395.437</v>
      </c>
      <c r="B71" s="415" t="str">
        <f aca="false">IF($A$1="Peak","-",'Base Hours'!B71*BaseLoad!H70*'Base Hours'!$AA71)</f>
        <v>-</v>
      </c>
      <c r="C71" s="415" t="str">
        <f aca="false">IF($A$1="Peak","-",'Base Hours'!C71*BaseLoad!I70*'Base Hours'!$AA71)</f>
        <v>-</v>
      </c>
      <c r="D71" s="415" t="str">
        <f aca="false">IF($A$1="Peak","-",'Base Hours'!D71*BaseLoad!J70*'Base Hours'!$AA71)</f>
        <v>-</v>
      </c>
      <c r="E71" s="415" t="str">
        <f aca="false">IF($A$1="Peak","-",'Base Hours'!E71*BaseLoad!K70*'Base Hours'!$AA71)</f>
        <v>-</v>
      </c>
      <c r="F71" s="415" t="str">
        <f aca="false">IF($A$1="Peak","-",'Base Hours'!F71*BaseLoad!L70*'Base Hours'!$AA71)</f>
        <v>-</v>
      </c>
      <c r="G71" s="415" t="str">
        <f aca="false">IF($A$1="Peak","-",'Base Hours'!G71*BaseLoad!M70*'Base Hours'!$AA71)</f>
        <v>-</v>
      </c>
      <c r="H71" s="415" t="str">
        <f aca="false">IF($A$1="Peak","-",'Base Hours'!H71*BaseLoad!N70*'Base Hours'!$AA71)</f>
        <v>-</v>
      </c>
      <c r="I71" s="415" t="str">
        <f aca="false">IF($A$1="Peak","-",'Base Hours'!I71*BaseLoad!O70*'Base Hours'!$AA71)</f>
        <v>-</v>
      </c>
      <c r="J71" s="415" t="str">
        <f aca="false">IF($A$1="Peak","-",'Base Hours'!J71*BaseLoad!P70*'Base Hours'!$AA71)</f>
        <v>-</v>
      </c>
      <c r="K71" s="415" t="str">
        <f aca="false">IF($A$1="Peak","-",'Base Hours'!K71*BaseLoad!Q70*'Base Hours'!$AA71)</f>
        <v>-</v>
      </c>
      <c r="L71" s="415" t="str">
        <f aca="false">IF($A$1="Peak","-",'Base Hours'!L71*BaseLoad!R70*'Base Hours'!$AA71)</f>
        <v>-</v>
      </c>
      <c r="M71" s="415" t="str">
        <f aca="false">IF($A$1="Peak","-",'Base Hours'!M71*BaseLoad!S70*'Base Hours'!$AA71)</f>
        <v>-</v>
      </c>
      <c r="N71" s="415" t="str">
        <f aca="false">IF($A$1="Peak","-",'Base Hours'!N71*BaseLoad!T70*'Base Hours'!$AA71)</f>
        <v>-</v>
      </c>
      <c r="O71" s="415" t="str">
        <f aca="false">IF($A$1="Peak","-",'Base Hours'!O71*BaseLoad!U70*'Base Hours'!$AA71)</f>
        <v>-</v>
      </c>
      <c r="P71" s="415" t="str">
        <f aca="false">IF($A$1="Peak","-",'Base Hours'!P71*BaseLoad!V70*'Base Hours'!$AA71)</f>
        <v>-</v>
      </c>
      <c r="Q71" s="415" t="str">
        <f aca="false">IF($A$1="Peak","-",'Base Hours'!Q71*BaseLoad!W70*'Base Hours'!$AA71)</f>
        <v>-</v>
      </c>
      <c r="R71" s="415" t="str">
        <f aca="false">IF($A$1="Peak","-",'Base Hours'!R71*BaseLoad!X70*'Base Hours'!$AA71)</f>
        <v>-</v>
      </c>
      <c r="S71" s="415" t="str">
        <f aca="false">IF($A$1="Peak","-",'Base Hours'!S71*BaseLoad!Y70*'Base Hours'!$AA71)</f>
        <v>-</v>
      </c>
      <c r="T71" s="415" t="str">
        <f aca="false">IF($A$1="Peak","-",'Base Hours'!T71*BaseLoad!Z70*'Base Hours'!$AA71)</f>
        <v>-</v>
      </c>
      <c r="U71" s="415" t="str">
        <f aca="false">IF($A$1="Peak","-",'Base Hours'!U71*BaseLoad!AA70*'Base Hours'!$AA71)</f>
        <v>-</v>
      </c>
      <c r="V71" s="415" t="n">
        <f aca="false">SUM(B71:U71)</f>
        <v>0</v>
      </c>
      <c r="W71" s="415"/>
      <c r="X71" s="415"/>
      <c r="Y71" s="416"/>
      <c r="Z71" s="416" t="n">
        <f aca="false">(BaseLoad!C70*'Base Hours'!X71*'Base Hours'!$AA71)*-1</f>
        <v>-0</v>
      </c>
      <c r="AA71" s="416"/>
      <c r="AB71" s="416" t="n">
        <f aca="false">(BaseLoad!D70*'Base Hours'!X71*'Base Hours'!$AA71)*-1</f>
        <v>-0</v>
      </c>
      <c r="AC71" s="416"/>
      <c r="AD71" s="416" t="n">
        <f aca="false">(BaseLoad!E70*'Base Hours'!X71*'Base Hours'!$AA71)*-1</f>
        <v>-0</v>
      </c>
      <c r="AE71" s="416"/>
      <c r="AF71" s="416" t="n">
        <f aca="false">(BaseLoad!F70*'Base Hours'!X71*'Base Hours'!$AA71)*-1</f>
        <v>-0</v>
      </c>
      <c r="AG71" s="416"/>
    </row>
    <row r="72" customFormat="false" ht="12.75" hidden="false" customHeight="false" outlineLevel="0" collapsed="false">
      <c r="A72" s="400" t="n">
        <f aca="false">A71+30.417</f>
        <v>38425.854</v>
      </c>
      <c r="B72" s="415" t="str">
        <f aca="false">IF($A$1="Peak","-",'Base Hours'!B72*BaseLoad!H71*'Base Hours'!$AA72)</f>
        <v>-</v>
      </c>
      <c r="C72" s="415" t="str">
        <f aca="false">IF($A$1="Peak","-",'Base Hours'!C72*BaseLoad!I71*'Base Hours'!$AA72)</f>
        <v>-</v>
      </c>
      <c r="D72" s="415" t="str">
        <f aca="false">IF($A$1="Peak","-",'Base Hours'!D72*BaseLoad!J71*'Base Hours'!$AA72)</f>
        <v>-</v>
      </c>
      <c r="E72" s="415" t="str">
        <f aca="false">IF($A$1="Peak","-",'Base Hours'!E72*BaseLoad!K71*'Base Hours'!$AA72)</f>
        <v>-</v>
      </c>
      <c r="F72" s="415" t="str">
        <f aca="false">IF($A$1="Peak","-",'Base Hours'!F72*BaseLoad!L71*'Base Hours'!$AA72)</f>
        <v>-</v>
      </c>
      <c r="G72" s="415" t="str">
        <f aca="false">IF($A$1="Peak","-",'Base Hours'!G72*BaseLoad!M71*'Base Hours'!$AA72)</f>
        <v>-</v>
      </c>
      <c r="H72" s="415" t="str">
        <f aca="false">IF($A$1="Peak","-",'Base Hours'!H72*BaseLoad!N71*'Base Hours'!$AA72)</f>
        <v>-</v>
      </c>
      <c r="I72" s="415" t="str">
        <f aca="false">IF($A$1="Peak","-",'Base Hours'!I72*BaseLoad!O71*'Base Hours'!$AA72)</f>
        <v>-</v>
      </c>
      <c r="J72" s="415" t="str">
        <f aca="false">IF($A$1="Peak","-",'Base Hours'!J72*BaseLoad!P71*'Base Hours'!$AA72)</f>
        <v>-</v>
      </c>
      <c r="K72" s="415" t="str">
        <f aca="false">IF($A$1="Peak","-",'Base Hours'!K72*BaseLoad!Q71*'Base Hours'!$AA72)</f>
        <v>-</v>
      </c>
      <c r="L72" s="415" t="str">
        <f aca="false">IF($A$1="Peak","-",'Base Hours'!L72*BaseLoad!R71*'Base Hours'!$AA72)</f>
        <v>-</v>
      </c>
      <c r="M72" s="415" t="str">
        <f aca="false">IF($A$1="Peak","-",'Base Hours'!M72*BaseLoad!S71*'Base Hours'!$AA72)</f>
        <v>-</v>
      </c>
      <c r="N72" s="415" t="str">
        <f aca="false">IF($A$1="Peak","-",'Base Hours'!N72*BaseLoad!T71*'Base Hours'!$AA72)</f>
        <v>-</v>
      </c>
      <c r="O72" s="415" t="str">
        <f aca="false">IF($A$1="Peak","-",'Base Hours'!O72*BaseLoad!U71*'Base Hours'!$AA72)</f>
        <v>-</v>
      </c>
      <c r="P72" s="415" t="str">
        <f aca="false">IF($A$1="Peak","-",'Base Hours'!P72*BaseLoad!V71*'Base Hours'!$AA72)</f>
        <v>-</v>
      </c>
      <c r="Q72" s="415" t="str">
        <f aca="false">IF($A$1="Peak","-",'Base Hours'!Q72*BaseLoad!W71*'Base Hours'!$AA72)</f>
        <v>-</v>
      </c>
      <c r="R72" s="415" t="str">
        <f aca="false">IF($A$1="Peak","-",'Base Hours'!R72*BaseLoad!X71*'Base Hours'!$AA72)</f>
        <v>-</v>
      </c>
      <c r="S72" s="415" t="str">
        <f aca="false">IF($A$1="Peak","-",'Base Hours'!S72*BaseLoad!Y71*'Base Hours'!$AA72)</f>
        <v>-</v>
      </c>
      <c r="T72" s="415" t="str">
        <f aca="false">IF($A$1="Peak","-",'Base Hours'!T72*BaseLoad!Z71*'Base Hours'!$AA72)</f>
        <v>-</v>
      </c>
      <c r="U72" s="415" t="str">
        <f aca="false">IF($A$1="Peak","-",'Base Hours'!U72*BaseLoad!AA71*'Base Hours'!$AA72)</f>
        <v>-</v>
      </c>
      <c r="V72" s="415" t="n">
        <f aca="false">SUM(B72:U72)</f>
        <v>0</v>
      </c>
      <c r="W72" s="415"/>
      <c r="X72" s="415"/>
      <c r="Y72" s="416"/>
      <c r="Z72" s="416" t="n">
        <f aca="false">(BaseLoad!C71*'Base Hours'!X72*'Base Hours'!$AA72)*-1</f>
        <v>-0</v>
      </c>
      <c r="AA72" s="416"/>
      <c r="AB72" s="416" t="n">
        <f aca="false">(BaseLoad!D71*'Base Hours'!X72*'Base Hours'!$AA72)*-1</f>
        <v>-0</v>
      </c>
      <c r="AC72" s="416"/>
      <c r="AD72" s="416" t="n">
        <f aca="false">(BaseLoad!E71*'Base Hours'!X72*'Base Hours'!$AA72)*-1</f>
        <v>-0</v>
      </c>
      <c r="AE72" s="416"/>
      <c r="AF72" s="416" t="n">
        <f aca="false">(BaseLoad!F71*'Base Hours'!X72*'Base Hours'!$AA72)*-1</f>
        <v>-0</v>
      </c>
      <c r="AG72" s="416"/>
    </row>
    <row r="73" customFormat="false" ht="12.75" hidden="false" customHeight="false" outlineLevel="0" collapsed="false">
      <c r="A73" s="400" t="n">
        <f aca="false">A72+30.417</f>
        <v>38456.271</v>
      </c>
      <c r="B73" s="415" t="str">
        <f aca="false">IF($A$1="Peak","-",'Base Hours'!B73*BaseLoad!H72*'Base Hours'!$AA73)</f>
        <v>-</v>
      </c>
      <c r="C73" s="415" t="str">
        <f aca="false">IF($A$1="Peak","-",'Base Hours'!C73*BaseLoad!I72*'Base Hours'!$AA73)</f>
        <v>-</v>
      </c>
      <c r="D73" s="415" t="str">
        <f aca="false">IF($A$1="Peak","-",'Base Hours'!D73*BaseLoad!J72*'Base Hours'!$AA73)</f>
        <v>-</v>
      </c>
      <c r="E73" s="415" t="str">
        <f aca="false">IF($A$1="Peak","-",'Base Hours'!E73*BaseLoad!K72*'Base Hours'!$AA73)</f>
        <v>-</v>
      </c>
      <c r="F73" s="415" t="str">
        <f aca="false">IF($A$1="Peak","-",'Base Hours'!F73*BaseLoad!L72*'Base Hours'!$AA73)</f>
        <v>-</v>
      </c>
      <c r="G73" s="415" t="str">
        <f aca="false">IF($A$1="Peak","-",'Base Hours'!G73*BaseLoad!M72*'Base Hours'!$AA73)</f>
        <v>-</v>
      </c>
      <c r="H73" s="415" t="str">
        <f aca="false">IF($A$1="Peak","-",'Base Hours'!H73*BaseLoad!N72*'Base Hours'!$AA73)</f>
        <v>-</v>
      </c>
      <c r="I73" s="415" t="str">
        <f aca="false">IF($A$1="Peak","-",'Base Hours'!I73*BaseLoad!O72*'Base Hours'!$AA73)</f>
        <v>-</v>
      </c>
      <c r="J73" s="415" t="str">
        <f aca="false">IF($A$1="Peak","-",'Base Hours'!J73*BaseLoad!P72*'Base Hours'!$AA73)</f>
        <v>-</v>
      </c>
      <c r="K73" s="415" t="str">
        <f aca="false">IF($A$1="Peak","-",'Base Hours'!K73*BaseLoad!Q72*'Base Hours'!$AA73)</f>
        <v>-</v>
      </c>
      <c r="L73" s="415" t="str">
        <f aca="false">IF($A$1="Peak","-",'Base Hours'!L73*BaseLoad!R72*'Base Hours'!$AA73)</f>
        <v>-</v>
      </c>
      <c r="M73" s="415" t="str">
        <f aca="false">IF($A$1="Peak","-",'Base Hours'!M73*BaseLoad!S72*'Base Hours'!$AA73)</f>
        <v>-</v>
      </c>
      <c r="N73" s="415" t="str">
        <f aca="false">IF($A$1="Peak","-",'Base Hours'!N73*BaseLoad!T72*'Base Hours'!$AA73)</f>
        <v>-</v>
      </c>
      <c r="O73" s="415" t="str">
        <f aca="false">IF($A$1="Peak","-",'Base Hours'!O73*BaseLoad!U72*'Base Hours'!$AA73)</f>
        <v>-</v>
      </c>
      <c r="P73" s="415" t="str">
        <f aca="false">IF($A$1="Peak","-",'Base Hours'!P73*BaseLoad!V72*'Base Hours'!$AA73)</f>
        <v>-</v>
      </c>
      <c r="Q73" s="415" t="str">
        <f aca="false">IF($A$1="Peak","-",'Base Hours'!Q73*BaseLoad!W72*'Base Hours'!$AA73)</f>
        <v>-</v>
      </c>
      <c r="R73" s="415" t="str">
        <f aca="false">IF($A$1="Peak","-",'Base Hours'!R73*BaseLoad!X72*'Base Hours'!$AA73)</f>
        <v>-</v>
      </c>
      <c r="S73" s="415" t="str">
        <f aca="false">IF($A$1="Peak","-",'Base Hours'!S73*BaseLoad!Y72*'Base Hours'!$AA73)</f>
        <v>-</v>
      </c>
      <c r="T73" s="415" t="str">
        <f aca="false">IF($A$1="Peak","-",'Base Hours'!T73*BaseLoad!Z72*'Base Hours'!$AA73)</f>
        <v>-</v>
      </c>
      <c r="U73" s="415" t="str">
        <f aca="false">IF($A$1="Peak","-",'Base Hours'!U73*BaseLoad!AA72*'Base Hours'!$AA73)</f>
        <v>-</v>
      </c>
      <c r="V73" s="415" t="n">
        <f aca="false">SUM(B73:U73)</f>
        <v>0</v>
      </c>
      <c r="W73" s="415"/>
      <c r="X73" s="415"/>
      <c r="Y73" s="416"/>
      <c r="Z73" s="416" t="n">
        <f aca="false">(BaseLoad!C72*'Base Hours'!X73*'Base Hours'!$AA73)*-1</f>
        <v>-0</v>
      </c>
      <c r="AA73" s="416"/>
      <c r="AB73" s="416" t="n">
        <f aca="false">(BaseLoad!D72*'Base Hours'!X73*'Base Hours'!$AA73)*-1</f>
        <v>-0</v>
      </c>
      <c r="AC73" s="416"/>
      <c r="AD73" s="416" t="n">
        <f aca="false">(BaseLoad!E72*'Base Hours'!X73*'Base Hours'!$AA73)*-1</f>
        <v>-0</v>
      </c>
      <c r="AE73" s="416"/>
      <c r="AF73" s="416" t="n">
        <f aca="false">(BaseLoad!F72*'Base Hours'!X73*'Base Hours'!$AA73)*-1</f>
        <v>-0</v>
      </c>
      <c r="AG73" s="416"/>
    </row>
    <row r="74" customFormat="false" ht="12.75" hidden="false" customHeight="false" outlineLevel="0" collapsed="false">
      <c r="A74" s="400" t="n">
        <f aca="false">A73+30.417</f>
        <v>38486.688</v>
      </c>
      <c r="B74" s="415" t="str">
        <f aca="false">IF($A$1="Peak","-",'Base Hours'!B74*BaseLoad!H73*'Base Hours'!$AA74)</f>
        <v>-</v>
      </c>
      <c r="C74" s="415" t="str">
        <f aca="false">IF($A$1="Peak","-",'Base Hours'!C74*BaseLoad!I73*'Base Hours'!$AA74)</f>
        <v>-</v>
      </c>
      <c r="D74" s="415" t="str">
        <f aca="false">IF($A$1="Peak","-",'Base Hours'!D74*BaseLoad!J73*'Base Hours'!$AA74)</f>
        <v>-</v>
      </c>
      <c r="E74" s="415" t="str">
        <f aca="false">IF($A$1="Peak","-",'Base Hours'!E74*BaseLoad!K73*'Base Hours'!$AA74)</f>
        <v>-</v>
      </c>
      <c r="F74" s="415" t="str">
        <f aca="false">IF($A$1="Peak","-",'Base Hours'!F74*BaseLoad!L73*'Base Hours'!$AA74)</f>
        <v>-</v>
      </c>
      <c r="G74" s="415" t="str">
        <f aca="false">IF($A$1="Peak","-",'Base Hours'!G74*BaseLoad!M73*'Base Hours'!$AA74)</f>
        <v>-</v>
      </c>
      <c r="H74" s="415" t="str">
        <f aca="false">IF($A$1="Peak","-",'Base Hours'!H74*BaseLoad!N73*'Base Hours'!$AA74)</f>
        <v>-</v>
      </c>
      <c r="I74" s="415" t="str">
        <f aca="false">IF($A$1="Peak","-",'Base Hours'!I74*BaseLoad!O73*'Base Hours'!$AA74)</f>
        <v>-</v>
      </c>
      <c r="J74" s="415" t="str">
        <f aca="false">IF($A$1="Peak","-",'Base Hours'!J74*BaseLoad!P73*'Base Hours'!$AA74)</f>
        <v>-</v>
      </c>
      <c r="K74" s="415" t="str">
        <f aca="false">IF($A$1="Peak","-",'Base Hours'!K74*BaseLoad!Q73*'Base Hours'!$AA74)</f>
        <v>-</v>
      </c>
      <c r="L74" s="415" t="str">
        <f aca="false">IF($A$1="Peak","-",'Base Hours'!L74*BaseLoad!R73*'Base Hours'!$AA74)</f>
        <v>-</v>
      </c>
      <c r="M74" s="415" t="str">
        <f aca="false">IF($A$1="Peak","-",'Base Hours'!M74*BaseLoad!S73*'Base Hours'!$AA74)</f>
        <v>-</v>
      </c>
      <c r="N74" s="415" t="str">
        <f aca="false">IF($A$1="Peak","-",'Base Hours'!N74*BaseLoad!T73*'Base Hours'!$AA74)</f>
        <v>-</v>
      </c>
      <c r="O74" s="415" t="str">
        <f aca="false">IF($A$1="Peak","-",'Base Hours'!O74*BaseLoad!U73*'Base Hours'!$AA74)</f>
        <v>-</v>
      </c>
      <c r="P74" s="415" t="str">
        <f aca="false">IF($A$1="Peak","-",'Base Hours'!P74*BaseLoad!V73*'Base Hours'!$AA74)</f>
        <v>-</v>
      </c>
      <c r="Q74" s="415" t="str">
        <f aca="false">IF($A$1="Peak","-",'Base Hours'!Q74*BaseLoad!W73*'Base Hours'!$AA74)</f>
        <v>-</v>
      </c>
      <c r="R74" s="415" t="str">
        <f aca="false">IF($A$1="Peak","-",'Base Hours'!R74*BaseLoad!X73*'Base Hours'!$AA74)</f>
        <v>-</v>
      </c>
      <c r="S74" s="415" t="str">
        <f aca="false">IF($A$1="Peak","-",'Base Hours'!S74*BaseLoad!Y73*'Base Hours'!$AA74)</f>
        <v>-</v>
      </c>
      <c r="T74" s="415" t="str">
        <f aca="false">IF($A$1="Peak","-",'Base Hours'!T74*BaseLoad!Z73*'Base Hours'!$AA74)</f>
        <v>-</v>
      </c>
      <c r="U74" s="415" t="str">
        <f aca="false">IF($A$1="Peak","-",'Base Hours'!U74*BaseLoad!AA73*'Base Hours'!$AA74)</f>
        <v>-</v>
      </c>
      <c r="V74" s="415" t="n">
        <f aca="false">SUM(B74:U74)</f>
        <v>0</v>
      </c>
      <c r="W74" s="415"/>
      <c r="X74" s="415"/>
      <c r="Y74" s="416"/>
      <c r="Z74" s="416" t="n">
        <f aca="false">(BaseLoad!C73*'Base Hours'!X74*'Base Hours'!$AA74)*-1</f>
        <v>-0</v>
      </c>
      <c r="AA74" s="416"/>
      <c r="AB74" s="416" t="n">
        <f aca="false">(BaseLoad!D73*'Base Hours'!X74*'Base Hours'!$AA74)*-1</f>
        <v>-0</v>
      </c>
      <c r="AC74" s="416"/>
      <c r="AD74" s="416" t="n">
        <f aca="false">(BaseLoad!E73*'Base Hours'!X74*'Base Hours'!$AA74)*-1</f>
        <v>-0</v>
      </c>
      <c r="AE74" s="416"/>
      <c r="AF74" s="416" t="n">
        <f aca="false">(BaseLoad!F73*'Base Hours'!X74*'Base Hours'!$AA74)*-1</f>
        <v>-0</v>
      </c>
      <c r="AG74" s="416"/>
    </row>
    <row r="75" customFormat="false" ht="12.75" hidden="false" customHeight="false" outlineLevel="0" collapsed="false">
      <c r="A75" s="400" t="n">
        <f aca="false">A74+30.417</f>
        <v>38517.105</v>
      </c>
      <c r="B75" s="415" t="str">
        <f aca="false">IF($A$1="Peak","-",'Base Hours'!B75*BaseLoad!H74*'Base Hours'!$AA75)</f>
        <v>-</v>
      </c>
      <c r="C75" s="415" t="str">
        <f aca="false">IF($A$1="Peak","-",'Base Hours'!C75*BaseLoad!I74*'Base Hours'!$AA75)</f>
        <v>-</v>
      </c>
      <c r="D75" s="415" t="str">
        <f aca="false">IF($A$1="Peak","-",'Base Hours'!D75*BaseLoad!J74*'Base Hours'!$AA75)</f>
        <v>-</v>
      </c>
      <c r="E75" s="415" t="str">
        <f aca="false">IF($A$1="Peak","-",'Base Hours'!E75*BaseLoad!K74*'Base Hours'!$AA75)</f>
        <v>-</v>
      </c>
      <c r="F75" s="415" t="str">
        <f aca="false">IF($A$1="Peak","-",'Base Hours'!F75*BaseLoad!L74*'Base Hours'!$AA75)</f>
        <v>-</v>
      </c>
      <c r="G75" s="415" t="str">
        <f aca="false">IF($A$1="Peak","-",'Base Hours'!G75*BaseLoad!M74*'Base Hours'!$AA75)</f>
        <v>-</v>
      </c>
      <c r="H75" s="415" t="str">
        <f aca="false">IF($A$1="Peak","-",'Base Hours'!H75*BaseLoad!N74*'Base Hours'!$AA75)</f>
        <v>-</v>
      </c>
      <c r="I75" s="415" t="str">
        <f aca="false">IF($A$1="Peak","-",'Base Hours'!I75*BaseLoad!O74*'Base Hours'!$AA75)</f>
        <v>-</v>
      </c>
      <c r="J75" s="415" t="str">
        <f aca="false">IF($A$1="Peak","-",'Base Hours'!J75*BaseLoad!P74*'Base Hours'!$AA75)</f>
        <v>-</v>
      </c>
      <c r="K75" s="415" t="str">
        <f aca="false">IF($A$1="Peak","-",'Base Hours'!K75*BaseLoad!Q74*'Base Hours'!$AA75)</f>
        <v>-</v>
      </c>
      <c r="L75" s="415" t="str">
        <f aca="false">IF($A$1="Peak","-",'Base Hours'!L75*BaseLoad!R74*'Base Hours'!$AA75)</f>
        <v>-</v>
      </c>
      <c r="M75" s="415" t="str">
        <f aca="false">IF($A$1="Peak","-",'Base Hours'!M75*BaseLoad!S74*'Base Hours'!$AA75)</f>
        <v>-</v>
      </c>
      <c r="N75" s="415" t="str">
        <f aca="false">IF($A$1="Peak","-",'Base Hours'!N75*BaseLoad!T74*'Base Hours'!$AA75)</f>
        <v>-</v>
      </c>
      <c r="O75" s="415" t="str">
        <f aca="false">IF($A$1="Peak","-",'Base Hours'!O75*BaseLoad!U74*'Base Hours'!$AA75)</f>
        <v>-</v>
      </c>
      <c r="P75" s="415" t="str">
        <f aca="false">IF($A$1="Peak","-",'Base Hours'!P75*BaseLoad!V74*'Base Hours'!$AA75)</f>
        <v>-</v>
      </c>
      <c r="Q75" s="415" t="str">
        <f aca="false">IF($A$1="Peak","-",'Base Hours'!Q75*BaseLoad!W74*'Base Hours'!$AA75)</f>
        <v>-</v>
      </c>
      <c r="R75" s="415" t="str">
        <f aca="false">IF($A$1="Peak","-",'Base Hours'!R75*BaseLoad!X74*'Base Hours'!$AA75)</f>
        <v>-</v>
      </c>
      <c r="S75" s="415" t="str">
        <f aca="false">IF($A$1="Peak","-",'Base Hours'!S75*BaseLoad!Y74*'Base Hours'!$AA75)</f>
        <v>-</v>
      </c>
      <c r="T75" s="415" t="str">
        <f aca="false">IF($A$1="Peak","-",'Base Hours'!T75*BaseLoad!Z74*'Base Hours'!$AA75)</f>
        <v>-</v>
      </c>
      <c r="U75" s="415" t="str">
        <f aca="false">IF($A$1="Peak","-",'Base Hours'!U75*BaseLoad!AA74*'Base Hours'!$AA75)</f>
        <v>-</v>
      </c>
      <c r="V75" s="415" t="n">
        <f aca="false">SUM(B75:U75)</f>
        <v>0</v>
      </c>
      <c r="W75" s="415"/>
      <c r="X75" s="415"/>
      <c r="Y75" s="416"/>
      <c r="Z75" s="416" t="n">
        <f aca="false">(BaseLoad!C74*'Base Hours'!X75*'Base Hours'!$AA75)*-1</f>
        <v>-0</v>
      </c>
      <c r="AA75" s="416"/>
      <c r="AB75" s="416" t="n">
        <f aca="false">(BaseLoad!D74*'Base Hours'!X75*'Base Hours'!$AA75)*-1</f>
        <v>-0</v>
      </c>
      <c r="AC75" s="416"/>
      <c r="AD75" s="416" t="n">
        <f aca="false">(BaseLoad!E74*'Base Hours'!X75*'Base Hours'!$AA75)*-1</f>
        <v>-0</v>
      </c>
      <c r="AE75" s="416"/>
      <c r="AF75" s="416" t="n">
        <f aca="false">(BaseLoad!F74*'Base Hours'!X75*'Base Hours'!$AA75)*-1</f>
        <v>-0</v>
      </c>
      <c r="AG75" s="416"/>
    </row>
    <row r="76" customFormat="false" ht="12.75" hidden="false" customHeight="false" outlineLevel="0" collapsed="false">
      <c r="A76" s="400" t="n">
        <f aca="false">A75+30.417</f>
        <v>38547.522</v>
      </c>
      <c r="B76" s="415" t="str">
        <f aca="false">IF($A$1="Peak","-",'Base Hours'!B76*BaseLoad!H75*'Base Hours'!$AA76)</f>
        <v>-</v>
      </c>
      <c r="C76" s="415" t="str">
        <f aca="false">IF($A$1="Peak","-",'Base Hours'!C76*BaseLoad!I75*'Base Hours'!$AA76)</f>
        <v>-</v>
      </c>
      <c r="D76" s="415" t="str">
        <f aca="false">IF($A$1="Peak","-",'Base Hours'!D76*BaseLoad!J75*'Base Hours'!$AA76)</f>
        <v>-</v>
      </c>
      <c r="E76" s="415" t="str">
        <f aca="false">IF($A$1="Peak","-",'Base Hours'!E76*BaseLoad!K75*'Base Hours'!$AA76)</f>
        <v>-</v>
      </c>
      <c r="F76" s="415" t="str">
        <f aca="false">IF($A$1="Peak","-",'Base Hours'!F76*BaseLoad!L75*'Base Hours'!$AA76)</f>
        <v>-</v>
      </c>
      <c r="G76" s="415" t="str">
        <f aca="false">IF($A$1="Peak","-",'Base Hours'!G76*BaseLoad!M75*'Base Hours'!$AA76)</f>
        <v>-</v>
      </c>
      <c r="H76" s="415" t="str">
        <f aca="false">IF($A$1="Peak","-",'Base Hours'!H76*BaseLoad!N75*'Base Hours'!$AA76)</f>
        <v>-</v>
      </c>
      <c r="I76" s="415" t="str">
        <f aca="false">IF($A$1="Peak","-",'Base Hours'!I76*BaseLoad!O75*'Base Hours'!$AA76)</f>
        <v>-</v>
      </c>
      <c r="J76" s="415" t="str">
        <f aca="false">IF($A$1="Peak","-",'Base Hours'!J76*BaseLoad!P75*'Base Hours'!$AA76)</f>
        <v>-</v>
      </c>
      <c r="K76" s="415" t="str">
        <f aca="false">IF($A$1="Peak","-",'Base Hours'!K76*BaseLoad!Q75*'Base Hours'!$AA76)</f>
        <v>-</v>
      </c>
      <c r="L76" s="415" t="str">
        <f aca="false">IF($A$1="Peak","-",'Base Hours'!L76*BaseLoad!R75*'Base Hours'!$AA76)</f>
        <v>-</v>
      </c>
      <c r="M76" s="415" t="str">
        <f aca="false">IF($A$1="Peak","-",'Base Hours'!M76*BaseLoad!S75*'Base Hours'!$AA76)</f>
        <v>-</v>
      </c>
      <c r="N76" s="415" t="str">
        <f aca="false">IF($A$1="Peak","-",'Base Hours'!N76*BaseLoad!T75*'Base Hours'!$AA76)</f>
        <v>-</v>
      </c>
      <c r="O76" s="415" t="str">
        <f aca="false">IF($A$1="Peak","-",'Base Hours'!O76*BaseLoad!U75*'Base Hours'!$AA76)</f>
        <v>-</v>
      </c>
      <c r="P76" s="415" t="str">
        <f aca="false">IF($A$1="Peak","-",'Base Hours'!P76*BaseLoad!V75*'Base Hours'!$AA76)</f>
        <v>-</v>
      </c>
      <c r="Q76" s="415" t="str">
        <f aca="false">IF($A$1="Peak","-",'Base Hours'!Q76*BaseLoad!W75*'Base Hours'!$AA76)</f>
        <v>-</v>
      </c>
      <c r="R76" s="415" t="str">
        <f aca="false">IF($A$1="Peak","-",'Base Hours'!R76*BaseLoad!X75*'Base Hours'!$AA76)</f>
        <v>-</v>
      </c>
      <c r="S76" s="415" t="str">
        <f aca="false">IF($A$1="Peak","-",'Base Hours'!S76*BaseLoad!Y75*'Base Hours'!$AA76)</f>
        <v>-</v>
      </c>
      <c r="T76" s="415" t="str">
        <f aca="false">IF($A$1="Peak","-",'Base Hours'!T76*BaseLoad!Z75*'Base Hours'!$AA76)</f>
        <v>-</v>
      </c>
      <c r="U76" s="415" t="str">
        <f aca="false">IF($A$1="Peak","-",'Base Hours'!U76*BaseLoad!AA75*'Base Hours'!$AA76)</f>
        <v>-</v>
      </c>
      <c r="V76" s="415" t="n">
        <f aca="false">SUM(B76:U76)</f>
        <v>0</v>
      </c>
      <c r="W76" s="415"/>
      <c r="X76" s="415"/>
      <c r="Y76" s="416"/>
      <c r="Z76" s="416" t="n">
        <f aca="false">(BaseLoad!C75*'Base Hours'!X76*'Base Hours'!$AA76)*-1</f>
        <v>-0</v>
      </c>
      <c r="AA76" s="416"/>
      <c r="AB76" s="416" t="n">
        <f aca="false">(BaseLoad!D75*'Base Hours'!X76*'Base Hours'!$AA76)*-1</f>
        <v>-0</v>
      </c>
      <c r="AC76" s="416"/>
      <c r="AD76" s="416" t="n">
        <f aca="false">(BaseLoad!E75*'Base Hours'!X76*'Base Hours'!$AA76)*-1</f>
        <v>-0</v>
      </c>
      <c r="AE76" s="416"/>
      <c r="AF76" s="416" t="n">
        <f aca="false">(BaseLoad!F75*'Base Hours'!X76*'Base Hours'!$AA76)*-1</f>
        <v>-0</v>
      </c>
      <c r="AG76" s="416"/>
    </row>
    <row r="77" customFormat="false" ht="12.75" hidden="false" customHeight="false" outlineLevel="0" collapsed="false">
      <c r="A77" s="400" t="n">
        <f aca="false">A76+30.417</f>
        <v>38577.939</v>
      </c>
      <c r="B77" s="415" t="str">
        <f aca="false">IF($A$1="Peak","-",'Base Hours'!B77*BaseLoad!H76*'Base Hours'!$AA77)</f>
        <v>-</v>
      </c>
      <c r="C77" s="415" t="str">
        <f aca="false">IF($A$1="Peak","-",'Base Hours'!C77*BaseLoad!I76*'Base Hours'!$AA77)</f>
        <v>-</v>
      </c>
      <c r="D77" s="415" t="str">
        <f aca="false">IF($A$1="Peak","-",'Base Hours'!D77*BaseLoad!J76*'Base Hours'!$AA77)</f>
        <v>-</v>
      </c>
      <c r="E77" s="415" t="str">
        <f aca="false">IF($A$1="Peak","-",'Base Hours'!E77*BaseLoad!K76*'Base Hours'!$AA77)</f>
        <v>-</v>
      </c>
      <c r="F77" s="415" t="str">
        <f aca="false">IF($A$1="Peak","-",'Base Hours'!F77*BaseLoad!L76*'Base Hours'!$AA77)</f>
        <v>-</v>
      </c>
      <c r="G77" s="415" t="str">
        <f aca="false">IF($A$1="Peak","-",'Base Hours'!G77*BaseLoad!M76*'Base Hours'!$AA77)</f>
        <v>-</v>
      </c>
      <c r="H77" s="415" t="str">
        <f aca="false">IF($A$1="Peak","-",'Base Hours'!H77*BaseLoad!N76*'Base Hours'!$AA77)</f>
        <v>-</v>
      </c>
      <c r="I77" s="415" t="str">
        <f aca="false">IF($A$1="Peak","-",'Base Hours'!I77*BaseLoad!O76*'Base Hours'!$AA77)</f>
        <v>-</v>
      </c>
      <c r="J77" s="415" t="str">
        <f aca="false">IF($A$1="Peak","-",'Base Hours'!J77*BaseLoad!P76*'Base Hours'!$AA77)</f>
        <v>-</v>
      </c>
      <c r="K77" s="415" t="str">
        <f aca="false">IF($A$1="Peak","-",'Base Hours'!K77*BaseLoad!Q76*'Base Hours'!$AA77)</f>
        <v>-</v>
      </c>
      <c r="L77" s="415" t="str">
        <f aca="false">IF($A$1="Peak","-",'Base Hours'!L77*BaseLoad!R76*'Base Hours'!$AA77)</f>
        <v>-</v>
      </c>
      <c r="M77" s="415" t="str">
        <f aca="false">IF($A$1="Peak","-",'Base Hours'!M77*BaseLoad!S76*'Base Hours'!$AA77)</f>
        <v>-</v>
      </c>
      <c r="N77" s="415" t="str">
        <f aca="false">IF($A$1="Peak","-",'Base Hours'!N77*BaseLoad!T76*'Base Hours'!$AA77)</f>
        <v>-</v>
      </c>
      <c r="O77" s="415" t="str">
        <f aca="false">IF($A$1="Peak","-",'Base Hours'!O77*BaseLoad!U76*'Base Hours'!$AA77)</f>
        <v>-</v>
      </c>
      <c r="P77" s="415" t="str">
        <f aca="false">IF($A$1="Peak","-",'Base Hours'!P77*BaseLoad!V76*'Base Hours'!$AA77)</f>
        <v>-</v>
      </c>
      <c r="Q77" s="415" t="str">
        <f aca="false">IF($A$1="Peak","-",'Base Hours'!Q77*BaseLoad!W76*'Base Hours'!$AA77)</f>
        <v>-</v>
      </c>
      <c r="R77" s="415" t="str">
        <f aca="false">IF($A$1="Peak","-",'Base Hours'!R77*BaseLoad!X76*'Base Hours'!$AA77)</f>
        <v>-</v>
      </c>
      <c r="S77" s="415" t="str">
        <f aca="false">IF($A$1="Peak","-",'Base Hours'!S77*BaseLoad!Y76*'Base Hours'!$AA77)</f>
        <v>-</v>
      </c>
      <c r="T77" s="415" t="str">
        <f aca="false">IF($A$1="Peak","-",'Base Hours'!T77*BaseLoad!Z76*'Base Hours'!$AA77)</f>
        <v>-</v>
      </c>
      <c r="U77" s="415" t="str">
        <f aca="false">IF($A$1="Peak","-",'Base Hours'!U77*BaseLoad!AA76*'Base Hours'!$AA77)</f>
        <v>-</v>
      </c>
      <c r="V77" s="415" t="n">
        <f aca="false">SUM(B77:U77)</f>
        <v>0</v>
      </c>
      <c r="W77" s="415"/>
      <c r="X77" s="415"/>
      <c r="Y77" s="416"/>
      <c r="Z77" s="416" t="n">
        <f aca="false">(BaseLoad!C76*'Base Hours'!X77*'Base Hours'!$AA77)*-1</f>
        <v>-0</v>
      </c>
      <c r="AA77" s="416"/>
      <c r="AB77" s="416" t="n">
        <f aca="false">(BaseLoad!D76*'Base Hours'!X77*'Base Hours'!$AA77)*-1</f>
        <v>-0</v>
      </c>
      <c r="AC77" s="416"/>
      <c r="AD77" s="416" t="n">
        <f aca="false">(BaseLoad!E76*'Base Hours'!X77*'Base Hours'!$AA77)*-1</f>
        <v>-0</v>
      </c>
      <c r="AE77" s="416"/>
      <c r="AF77" s="416" t="n">
        <f aca="false">(BaseLoad!F76*'Base Hours'!X77*'Base Hours'!$AA77)*-1</f>
        <v>-0</v>
      </c>
      <c r="AG77" s="416"/>
    </row>
    <row r="78" customFormat="false" ht="12.75" hidden="false" customHeight="false" outlineLevel="0" collapsed="false">
      <c r="A78" s="400" t="n">
        <f aca="false">A77+30.417</f>
        <v>38608.356</v>
      </c>
      <c r="B78" s="415" t="str">
        <f aca="false">IF($A$1="Peak","-",'Base Hours'!B78*BaseLoad!H77*'Base Hours'!$AA78)</f>
        <v>-</v>
      </c>
      <c r="C78" s="415" t="str">
        <f aca="false">IF($A$1="Peak","-",'Base Hours'!C78*BaseLoad!I77*'Base Hours'!$AA78)</f>
        <v>-</v>
      </c>
      <c r="D78" s="415" t="str">
        <f aca="false">IF($A$1="Peak","-",'Base Hours'!D78*BaseLoad!J77*'Base Hours'!$AA78)</f>
        <v>-</v>
      </c>
      <c r="E78" s="415" t="str">
        <f aca="false">IF($A$1="Peak","-",'Base Hours'!E78*BaseLoad!K77*'Base Hours'!$AA78)</f>
        <v>-</v>
      </c>
      <c r="F78" s="415" t="str">
        <f aca="false">IF($A$1="Peak","-",'Base Hours'!F78*BaseLoad!L77*'Base Hours'!$AA78)</f>
        <v>-</v>
      </c>
      <c r="G78" s="415" t="str">
        <f aca="false">IF($A$1="Peak","-",'Base Hours'!G78*BaseLoad!M77*'Base Hours'!$AA78)</f>
        <v>-</v>
      </c>
      <c r="H78" s="415" t="str">
        <f aca="false">IF($A$1="Peak","-",'Base Hours'!H78*BaseLoad!N77*'Base Hours'!$AA78)</f>
        <v>-</v>
      </c>
      <c r="I78" s="415" t="str">
        <f aca="false">IF($A$1="Peak","-",'Base Hours'!I78*BaseLoad!O77*'Base Hours'!$AA78)</f>
        <v>-</v>
      </c>
      <c r="J78" s="415" t="str">
        <f aca="false">IF($A$1="Peak","-",'Base Hours'!J78*BaseLoad!P77*'Base Hours'!$AA78)</f>
        <v>-</v>
      </c>
      <c r="K78" s="415" t="str">
        <f aca="false">IF($A$1="Peak","-",'Base Hours'!K78*BaseLoad!Q77*'Base Hours'!$AA78)</f>
        <v>-</v>
      </c>
      <c r="L78" s="415" t="str">
        <f aca="false">IF($A$1="Peak","-",'Base Hours'!L78*BaseLoad!R77*'Base Hours'!$AA78)</f>
        <v>-</v>
      </c>
      <c r="M78" s="415" t="str">
        <f aca="false">IF($A$1="Peak","-",'Base Hours'!M78*BaseLoad!S77*'Base Hours'!$AA78)</f>
        <v>-</v>
      </c>
      <c r="N78" s="415" t="str">
        <f aca="false">IF($A$1="Peak","-",'Base Hours'!N78*BaseLoad!T77*'Base Hours'!$AA78)</f>
        <v>-</v>
      </c>
      <c r="O78" s="415" t="str">
        <f aca="false">IF($A$1="Peak","-",'Base Hours'!O78*BaseLoad!U77*'Base Hours'!$AA78)</f>
        <v>-</v>
      </c>
      <c r="P78" s="415" t="str">
        <f aca="false">IF($A$1="Peak","-",'Base Hours'!P78*BaseLoad!V77*'Base Hours'!$AA78)</f>
        <v>-</v>
      </c>
      <c r="Q78" s="415" t="str">
        <f aca="false">IF($A$1="Peak","-",'Base Hours'!Q78*BaseLoad!W77*'Base Hours'!$AA78)</f>
        <v>-</v>
      </c>
      <c r="R78" s="415" t="str">
        <f aca="false">IF($A$1="Peak","-",'Base Hours'!R78*BaseLoad!X77*'Base Hours'!$AA78)</f>
        <v>-</v>
      </c>
      <c r="S78" s="415" t="str">
        <f aca="false">IF($A$1="Peak","-",'Base Hours'!S78*BaseLoad!Y77*'Base Hours'!$AA78)</f>
        <v>-</v>
      </c>
      <c r="T78" s="415" t="str">
        <f aca="false">IF($A$1="Peak","-",'Base Hours'!T78*BaseLoad!Z77*'Base Hours'!$AA78)</f>
        <v>-</v>
      </c>
      <c r="U78" s="415" t="str">
        <f aca="false">IF($A$1="Peak","-",'Base Hours'!U78*BaseLoad!AA77*'Base Hours'!$AA78)</f>
        <v>-</v>
      </c>
      <c r="V78" s="415" t="n">
        <f aca="false">SUM(B78:U78)</f>
        <v>0</v>
      </c>
      <c r="W78" s="415"/>
      <c r="X78" s="415"/>
      <c r="Y78" s="416"/>
      <c r="Z78" s="416" t="n">
        <f aca="false">(BaseLoad!C77*'Base Hours'!X78*'Base Hours'!$AA78)*-1</f>
        <v>-0</v>
      </c>
      <c r="AA78" s="416"/>
      <c r="AB78" s="416" t="n">
        <f aca="false">(BaseLoad!D77*'Base Hours'!X78*'Base Hours'!$AA78)*-1</f>
        <v>-0</v>
      </c>
      <c r="AC78" s="416"/>
      <c r="AD78" s="416" t="n">
        <f aca="false">(BaseLoad!E77*'Base Hours'!X78*'Base Hours'!$AA78)*-1</f>
        <v>-0</v>
      </c>
      <c r="AE78" s="416"/>
      <c r="AF78" s="416" t="n">
        <f aca="false">(BaseLoad!F77*'Base Hours'!X78*'Base Hours'!$AA78)*-1</f>
        <v>-0</v>
      </c>
      <c r="AG78" s="416"/>
    </row>
    <row r="79" customFormat="false" ht="12.75" hidden="false" customHeight="false" outlineLevel="0" collapsed="false">
      <c r="A79" s="400" t="n">
        <f aca="false">A78+30.417</f>
        <v>38638.773</v>
      </c>
      <c r="B79" s="415" t="str">
        <f aca="false">IF($A$1="Peak","-",'Base Hours'!B79*BaseLoad!H78*'Base Hours'!$AA79)</f>
        <v>-</v>
      </c>
      <c r="C79" s="415" t="str">
        <f aca="false">IF($A$1="Peak","-",'Base Hours'!C79*BaseLoad!I78*'Base Hours'!$AA79)</f>
        <v>-</v>
      </c>
      <c r="D79" s="415" t="str">
        <f aca="false">IF($A$1="Peak","-",'Base Hours'!D79*BaseLoad!J78*'Base Hours'!$AA79)</f>
        <v>-</v>
      </c>
      <c r="E79" s="415" t="str">
        <f aca="false">IF($A$1="Peak","-",'Base Hours'!E79*BaseLoad!K78*'Base Hours'!$AA79)</f>
        <v>-</v>
      </c>
      <c r="F79" s="415" t="str">
        <f aca="false">IF($A$1="Peak","-",'Base Hours'!F79*BaseLoad!L78*'Base Hours'!$AA79)</f>
        <v>-</v>
      </c>
      <c r="G79" s="415" t="str">
        <f aca="false">IF($A$1="Peak","-",'Base Hours'!G79*BaseLoad!M78*'Base Hours'!$AA79)</f>
        <v>-</v>
      </c>
      <c r="H79" s="415" t="str">
        <f aca="false">IF($A$1="Peak","-",'Base Hours'!H79*BaseLoad!N78*'Base Hours'!$AA79)</f>
        <v>-</v>
      </c>
      <c r="I79" s="415" t="str">
        <f aca="false">IF($A$1="Peak","-",'Base Hours'!I79*BaseLoad!O78*'Base Hours'!$AA79)</f>
        <v>-</v>
      </c>
      <c r="J79" s="415" t="str">
        <f aca="false">IF($A$1="Peak","-",'Base Hours'!J79*BaseLoad!P78*'Base Hours'!$AA79)</f>
        <v>-</v>
      </c>
      <c r="K79" s="415" t="str">
        <f aca="false">IF($A$1="Peak","-",'Base Hours'!K79*BaseLoad!Q78*'Base Hours'!$AA79)</f>
        <v>-</v>
      </c>
      <c r="L79" s="415" t="str">
        <f aca="false">IF($A$1="Peak","-",'Base Hours'!L79*BaseLoad!R78*'Base Hours'!$AA79)</f>
        <v>-</v>
      </c>
      <c r="M79" s="415" t="str">
        <f aca="false">IF($A$1="Peak","-",'Base Hours'!M79*BaseLoad!S78*'Base Hours'!$AA79)</f>
        <v>-</v>
      </c>
      <c r="N79" s="415" t="str">
        <f aca="false">IF($A$1="Peak","-",'Base Hours'!N79*BaseLoad!T78*'Base Hours'!$AA79)</f>
        <v>-</v>
      </c>
      <c r="O79" s="415" t="str">
        <f aca="false">IF($A$1="Peak","-",'Base Hours'!O79*BaseLoad!U78*'Base Hours'!$AA79)</f>
        <v>-</v>
      </c>
      <c r="P79" s="415" t="str">
        <f aca="false">IF($A$1="Peak","-",'Base Hours'!P79*BaseLoad!V78*'Base Hours'!$AA79)</f>
        <v>-</v>
      </c>
      <c r="Q79" s="415" t="str">
        <f aca="false">IF($A$1="Peak","-",'Base Hours'!Q79*BaseLoad!W78*'Base Hours'!$AA79)</f>
        <v>-</v>
      </c>
      <c r="R79" s="415" t="str">
        <f aca="false">IF($A$1="Peak","-",'Base Hours'!R79*BaseLoad!X78*'Base Hours'!$AA79)</f>
        <v>-</v>
      </c>
      <c r="S79" s="415" t="str">
        <f aca="false">IF($A$1="Peak","-",'Base Hours'!S79*BaseLoad!Y78*'Base Hours'!$AA79)</f>
        <v>-</v>
      </c>
      <c r="T79" s="415" t="str">
        <f aca="false">IF($A$1="Peak","-",'Base Hours'!T79*BaseLoad!Z78*'Base Hours'!$AA79)</f>
        <v>-</v>
      </c>
      <c r="U79" s="415" t="str">
        <f aca="false">IF($A$1="Peak","-",'Base Hours'!U79*BaseLoad!AA78*'Base Hours'!$AA79)</f>
        <v>-</v>
      </c>
      <c r="V79" s="415" t="n">
        <f aca="false">SUM(B79:U79)</f>
        <v>0</v>
      </c>
      <c r="W79" s="415"/>
      <c r="X79" s="415"/>
      <c r="Y79" s="416"/>
      <c r="Z79" s="416" t="n">
        <f aca="false">(BaseLoad!C78*'Base Hours'!X79*'Base Hours'!$AA79)*-1</f>
        <v>-0</v>
      </c>
      <c r="AA79" s="416"/>
      <c r="AB79" s="416" t="n">
        <f aca="false">(BaseLoad!D78*'Base Hours'!X79*'Base Hours'!$AA79)*-1</f>
        <v>-0</v>
      </c>
      <c r="AC79" s="416"/>
      <c r="AD79" s="416" t="n">
        <f aca="false">(BaseLoad!E78*'Base Hours'!X79*'Base Hours'!$AA79)*-1</f>
        <v>-0</v>
      </c>
      <c r="AE79" s="416"/>
      <c r="AF79" s="416" t="n">
        <f aca="false">(BaseLoad!F78*'Base Hours'!X79*'Base Hours'!$AA79)*-1</f>
        <v>-0</v>
      </c>
      <c r="AG79" s="416"/>
    </row>
    <row r="80" customFormat="false" ht="13.5" hidden="false" customHeight="true" outlineLevel="0" collapsed="false">
      <c r="A80" s="400" t="n">
        <f aca="false">A79+30.417</f>
        <v>38669.19</v>
      </c>
      <c r="B80" s="415" t="str">
        <f aca="false">IF($A$1="Peak","-",'Base Hours'!B80*BaseLoad!H79*'Base Hours'!$AA80)</f>
        <v>-</v>
      </c>
      <c r="C80" s="415" t="str">
        <f aca="false">IF($A$1="Peak","-",'Base Hours'!C80*BaseLoad!I79*'Base Hours'!$AA80)</f>
        <v>-</v>
      </c>
      <c r="D80" s="415" t="str">
        <f aca="false">IF($A$1="Peak","-",'Base Hours'!D80*BaseLoad!J79*'Base Hours'!$AA80)</f>
        <v>-</v>
      </c>
      <c r="E80" s="415" t="str">
        <f aca="false">IF($A$1="Peak","-",'Base Hours'!E80*BaseLoad!K79*'Base Hours'!$AA80)</f>
        <v>-</v>
      </c>
      <c r="F80" s="415" t="str">
        <f aca="false">IF($A$1="Peak","-",'Base Hours'!F80*BaseLoad!L79*'Base Hours'!$AA80)</f>
        <v>-</v>
      </c>
      <c r="G80" s="415" t="str">
        <f aca="false">IF($A$1="Peak","-",'Base Hours'!G80*BaseLoad!M79*'Base Hours'!$AA80)</f>
        <v>-</v>
      </c>
      <c r="H80" s="415" t="str">
        <f aca="false">IF($A$1="Peak","-",'Base Hours'!H80*BaseLoad!N79*'Base Hours'!$AA80)</f>
        <v>-</v>
      </c>
      <c r="I80" s="415" t="str">
        <f aca="false">IF($A$1="Peak","-",'Base Hours'!I80*BaseLoad!O79*'Base Hours'!$AA80)</f>
        <v>-</v>
      </c>
      <c r="J80" s="415" t="str">
        <f aca="false">IF($A$1="Peak","-",'Base Hours'!J80*BaseLoad!P79*'Base Hours'!$AA80)</f>
        <v>-</v>
      </c>
      <c r="K80" s="415" t="str">
        <f aca="false">IF($A$1="Peak","-",'Base Hours'!K80*BaseLoad!Q79*'Base Hours'!$AA80)</f>
        <v>-</v>
      </c>
      <c r="L80" s="415" t="str">
        <f aca="false">IF($A$1="Peak","-",'Base Hours'!L80*BaseLoad!R79*'Base Hours'!$AA80)</f>
        <v>-</v>
      </c>
      <c r="M80" s="415" t="str">
        <f aca="false">IF($A$1="Peak","-",'Base Hours'!M80*BaseLoad!S79*'Base Hours'!$AA80)</f>
        <v>-</v>
      </c>
      <c r="N80" s="415" t="str">
        <f aca="false">IF($A$1="Peak","-",'Base Hours'!N80*BaseLoad!T79*'Base Hours'!$AA80)</f>
        <v>-</v>
      </c>
      <c r="O80" s="415" t="str">
        <f aca="false">IF($A$1="Peak","-",'Base Hours'!O80*BaseLoad!U79*'Base Hours'!$AA80)</f>
        <v>-</v>
      </c>
      <c r="P80" s="415" t="str">
        <f aca="false">IF($A$1="Peak","-",'Base Hours'!P80*BaseLoad!V79*'Base Hours'!$AA80)</f>
        <v>-</v>
      </c>
      <c r="Q80" s="415" t="str">
        <f aca="false">IF($A$1="Peak","-",'Base Hours'!Q80*BaseLoad!W79*'Base Hours'!$AA80)</f>
        <v>-</v>
      </c>
      <c r="R80" s="415" t="str">
        <f aca="false">IF($A$1="Peak","-",'Base Hours'!R80*BaseLoad!X79*'Base Hours'!$AA80)</f>
        <v>-</v>
      </c>
      <c r="S80" s="415" t="str">
        <f aca="false">IF($A$1="Peak","-",'Base Hours'!S80*BaseLoad!Y79*'Base Hours'!$AA80)</f>
        <v>-</v>
      </c>
      <c r="T80" s="415" t="str">
        <f aca="false">IF($A$1="Peak","-",'Base Hours'!T80*BaseLoad!Z79*'Base Hours'!$AA80)</f>
        <v>-</v>
      </c>
      <c r="U80" s="415" t="str">
        <f aca="false">IF($A$1="Peak","-",'Base Hours'!U80*BaseLoad!AA79*'Base Hours'!$AA80)</f>
        <v>-</v>
      </c>
      <c r="V80" s="415" t="n">
        <f aca="false">SUM(B80:U80)</f>
        <v>0</v>
      </c>
      <c r="W80" s="415"/>
      <c r="X80" s="415"/>
      <c r="Y80" s="416"/>
      <c r="Z80" s="416" t="n">
        <f aca="false">(BaseLoad!C79*'Base Hours'!X80*'Base Hours'!$AA80)*-1</f>
        <v>-0</v>
      </c>
      <c r="AA80" s="416"/>
      <c r="AB80" s="416" t="n">
        <f aca="false">(BaseLoad!D79*'Base Hours'!X80*'Base Hours'!$AA80)*-1</f>
        <v>-0</v>
      </c>
      <c r="AC80" s="416"/>
      <c r="AD80" s="416" t="n">
        <f aca="false">(BaseLoad!E79*'Base Hours'!X80*'Base Hours'!$AA80)*-1</f>
        <v>-0</v>
      </c>
      <c r="AE80" s="416"/>
      <c r="AF80" s="416" t="n">
        <f aca="false">(BaseLoad!F79*'Base Hours'!X80*'Base Hours'!$AA80)*-1</f>
        <v>-0</v>
      </c>
      <c r="AG80" s="416"/>
    </row>
    <row r="81" customFormat="false" ht="12.75" hidden="false" customHeight="false" outlineLevel="0" collapsed="false">
      <c r="A81" s="400" t="n">
        <f aca="false">A80+30.417</f>
        <v>38699.607</v>
      </c>
      <c r="B81" s="415" t="str">
        <f aca="false">IF($A$1="Peak","-",'Base Hours'!B81*BaseLoad!H80*'Base Hours'!$AA81)</f>
        <v>-</v>
      </c>
      <c r="C81" s="415" t="str">
        <f aca="false">IF($A$1="Peak","-",'Base Hours'!C81*BaseLoad!I80*'Base Hours'!$AA81)</f>
        <v>-</v>
      </c>
      <c r="D81" s="415" t="str">
        <f aca="false">IF($A$1="Peak","-",'Base Hours'!D81*BaseLoad!J80*'Base Hours'!$AA81)</f>
        <v>-</v>
      </c>
      <c r="E81" s="415" t="str">
        <f aca="false">IF($A$1="Peak","-",'Base Hours'!E81*BaseLoad!K80*'Base Hours'!$AA81)</f>
        <v>-</v>
      </c>
      <c r="F81" s="415" t="str">
        <f aca="false">IF($A$1="Peak","-",'Base Hours'!F81*BaseLoad!L80*'Base Hours'!$AA81)</f>
        <v>-</v>
      </c>
      <c r="G81" s="415" t="str">
        <f aca="false">IF($A$1="Peak","-",'Base Hours'!G81*BaseLoad!M80*'Base Hours'!$AA81)</f>
        <v>-</v>
      </c>
      <c r="H81" s="415" t="str">
        <f aca="false">IF($A$1="Peak","-",'Base Hours'!H81*BaseLoad!N80*'Base Hours'!$AA81)</f>
        <v>-</v>
      </c>
      <c r="I81" s="415" t="str">
        <f aca="false">IF($A$1="Peak","-",'Base Hours'!I81*BaseLoad!O80*'Base Hours'!$AA81)</f>
        <v>-</v>
      </c>
      <c r="J81" s="415" t="str">
        <f aca="false">IF($A$1="Peak","-",'Base Hours'!J81*BaseLoad!P80*'Base Hours'!$AA81)</f>
        <v>-</v>
      </c>
      <c r="K81" s="415" t="str">
        <f aca="false">IF($A$1="Peak","-",'Base Hours'!K81*BaseLoad!Q80*'Base Hours'!$AA81)</f>
        <v>-</v>
      </c>
      <c r="L81" s="415" t="str">
        <f aca="false">IF($A$1="Peak","-",'Base Hours'!L81*BaseLoad!R80*'Base Hours'!$AA81)</f>
        <v>-</v>
      </c>
      <c r="M81" s="415" t="str">
        <f aca="false">IF($A$1="Peak","-",'Base Hours'!M81*BaseLoad!S80*'Base Hours'!$AA81)</f>
        <v>-</v>
      </c>
      <c r="N81" s="415" t="str">
        <f aca="false">IF($A$1="Peak","-",'Base Hours'!N81*BaseLoad!T80*'Base Hours'!$AA81)</f>
        <v>-</v>
      </c>
      <c r="O81" s="415" t="str">
        <f aca="false">IF($A$1="Peak","-",'Base Hours'!O81*BaseLoad!U80*'Base Hours'!$AA81)</f>
        <v>-</v>
      </c>
      <c r="P81" s="415" t="str">
        <f aca="false">IF($A$1="Peak","-",'Base Hours'!P81*BaseLoad!V80*'Base Hours'!$AA81)</f>
        <v>-</v>
      </c>
      <c r="Q81" s="415" t="str">
        <f aca="false">IF($A$1="Peak","-",'Base Hours'!Q81*BaseLoad!W80*'Base Hours'!$AA81)</f>
        <v>-</v>
      </c>
      <c r="R81" s="415" t="str">
        <f aca="false">IF($A$1="Peak","-",'Base Hours'!R81*BaseLoad!X80*'Base Hours'!$AA81)</f>
        <v>-</v>
      </c>
      <c r="S81" s="415" t="str">
        <f aca="false">IF($A$1="Peak","-",'Base Hours'!S81*BaseLoad!Y80*'Base Hours'!$AA81)</f>
        <v>-</v>
      </c>
      <c r="T81" s="415" t="str">
        <f aca="false">IF($A$1="Peak","-",'Base Hours'!T81*BaseLoad!Z80*'Base Hours'!$AA81)</f>
        <v>-</v>
      </c>
      <c r="U81" s="415" t="str">
        <f aca="false">IF($A$1="Peak","-",'Base Hours'!U81*BaseLoad!AA80*'Base Hours'!$AA81)</f>
        <v>-</v>
      </c>
      <c r="V81" s="415" t="n">
        <f aca="false">SUM(B81:U81)</f>
        <v>0</v>
      </c>
      <c r="W81" s="415" t="n">
        <f aca="false">IF($A$1="BL",(SUM(V70:V81)),0)</f>
        <v>0</v>
      </c>
      <c r="X81" s="415" t="n">
        <f aca="false">IF(AND($A$1="BL",W81&gt;0),(PPA!$B$5*8760*BaseLoad!$AP$15*PPA!$G$4*BaseLoad!$AP$9),0)</f>
        <v>0</v>
      </c>
      <c r="Y81" s="416" t="n">
        <f aca="false">X81+W81</f>
        <v>0</v>
      </c>
      <c r="Z81" s="416" t="n">
        <f aca="false">(BaseLoad!C80*'Base Hours'!X81*'Base Hours'!$AA81)*-1</f>
        <v>-0</v>
      </c>
      <c r="AA81" s="416" t="n">
        <f aca="false">SUM(Z70:Z81)</f>
        <v>0</v>
      </c>
      <c r="AB81" s="416" t="n">
        <f aca="false">(BaseLoad!D80*'Base Hours'!X81*'Base Hours'!$AA81)*-1</f>
        <v>-0</v>
      </c>
      <c r="AC81" s="416" t="n">
        <f aca="false">SUM(AB70:AB81)</f>
        <v>0</v>
      </c>
      <c r="AD81" s="416" t="n">
        <f aca="false">(BaseLoad!E80*'Base Hours'!X81*'Base Hours'!$AA81)*-1</f>
        <v>-0</v>
      </c>
      <c r="AE81" s="416" t="n">
        <f aca="false">SUM(AD70:AD81)</f>
        <v>0</v>
      </c>
      <c r="AF81" s="416" t="n">
        <f aca="false">(BaseLoad!F80*'Base Hours'!X81*'Base Hours'!$AA81)*-1</f>
        <v>-0</v>
      </c>
      <c r="AG81" s="416" t="n">
        <f aca="false">SUM(AF70:AF81)</f>
        <v>0</v>
      </c>
    </row>
    <row r="82" customFormat="false" ht="12.75" hidden="false" customHeight="false" outlineLevel="0" collapsed="false">
      <c r="A82" s="400" t="n">
        <f aca="false">A81+30.417</f>
        <v>38730.024</v>
      </c>
      <c r="B82" s="417" t="str">
        <f aca="false">IF($A$1="Peak","-",'Base Hours'!B82*BaseLoad!H81*'Base Hours'!$AA82)</f>
        <v>-</v>
      </c>
      <c r="C82" s="417" t="str">
        <f aca="false">IF($A$1="Peak","-",'Base Hours'!C82*BaseLoad!I81*'Base Hours'!$AA82)</f>
        <v>-</v>
      </c>
      <c r="D82" s="417" t="str">
        <f aca="false">IF($A$1="Peak","-",'Base Hours'!D82*BaseLoad!J81*'Base Hours'!$AA82)</f>
        <v>-</v>
      </c>
      <c r="E82" s="417" t="str">
        <f aca="false">IF($A$1="Peak","-",'Base Hours'!E82*BaseLoad!K81*'Base Hours'!$AA82)</f>
        <v>-</v>
      </c>
      <c r="F82" s="417" t="str">
        <f aca="false">IF($A$1="Peak","-",'Base Hours'!F82*BaseLoad!L81*'Base Hours'!$AA82)</f>
        <v>-</v>
      </c>
      <c r="G82" s="417" t="str">
        <f aca="false">IF($A$1="Peak","-",'Base Hours'!G82*BaseLoad!M81*'Base Hours'!$AA82)</f>
        <v>-</v>
      </c>
      <c r="H82" s="417" t="str">
        <f aca="false">IF($A$1="Peak","-",'Base Hours'!H82*BaseLoad!N81*'Base Hours'!$AA82)</f>
        <v>-</v>
      </c>
      <c r="I82" s="417" t="str">
        <f aca="false">IF($A$1="Peak","-",'Base Hours'!I82*BaseLoad!O81*'Base Hours'!$AA82)</f>
        <v>-</v>
      </c>
      <c r="J82" s="417" t="str">
        <f aca="false">IF($A$1="Peak","-",'Base Hours'!J82*BaseLoad!P81*'Base Hours'!$AA82)</f>
        <v>-</v>
      </c>
      <c r="K82" s="417" t="str">
        <f aca="false">IF($A$1="Peak","-",'Base Hours'!K82*BaseLoad!Q81*'Base Hours'!$AA82)</f>
        <v>-</v>
      </c>
      <c r="L82" s="417" t="str">
        <f aca="false">IF($A$1="Peak","-",'Base Hours'!L82*BaseLoad!R81*'Base Hours'!$AA82)</f>
        <v>-</v>
      </c>
      <c r="M82" s="417" t="str">
        <f aca="false">IF($A$1="Peak","-",'Base Hours'!M82*BaseLoad!S81*'Base Hours'!$AA82)</f>
        <v>-</v>
      </c>
      <c r="N82" s="417" t="str">
        <f aca="false">IF($A$1="Peak","-",'Base Hours'!N82*BaseLoad!T81*'Base Hours'!$AA82)</f>
        <v>-</v>
      </c>
      <c r="O82" s="417" t="str">
        <f aca="false">IF($A$1="Peak","-",'Base Hours'!O82*BaseLoad!U81*'Base Hours'!$AA82)</f>
        <v>-</v>
      </c>
      <c r="P82" s="417" t="str">
        <f aca="false">IF($A$1="Peak","-",'Base Hours'!P82*BaseLoad!V81*'Base Hours'!$AA82)</f>
        <v>-</v>
      </c>
      <c r="Q82" s="417" t="str">
        <f aca="false">IF($A$1="Peak","-",'Base Hours'!Q82*BaseLoad!W81*'Base Hours'!$AA82)</f>
        <v>-</v>
      </c>
      <c r="R82" s="417" t="str">
        <f aca="false">IF($A$1="Peak","-",'Base Hours'!R82*BaseLoad!X81*'Base Hours'!$AA82)</f>
        <v>-</v>
      </c>
      <c r="S82" s="417" t="str">
        <f aca="false">IF($A$1="Peak","-",'Base Hours'!S82*BaseLoad!Y81*'Base Hours'!$AA82)</f>
        <v>-</v>
      </c>
      <c r="T82" s="417" t="str">
        <f aca="false">IF($A$1="Peak","-",'Base Hours'!T82*BaseLoad!Z81*'Base Hours'!$AA82)</f>
        <v>-</v>
      </c>
      <c r="U82" s="417" t="str">
        <f aca="false">IF($A$1="Peak","-",'Base Hours'!U82*BaseLoad!AA81*'Base Hours'!$AA82)</f>
        <v>-</v>
      </c>
      <c r="V82" s="417" t="n">
        <f aca="false">SUM(B82:U82)-(MAX(B82:U82))</f>
        <v>0</v>
      </c>
      <c r="W82" s="417"/>
      <c r="X82" s="417"/>
      <c r="Y82" s="418"/>
      <c r="Z82" s="418" t="n">
        <f aca="false">(BaseLoad!C81*'Base Hours'!V82*'Base Hours'!$AA82)*-1</f>
        <v>-0</v>
      </c>
      <c r="AA82" s="418"/>
      <c r="AB82" s="418" t="n">
        <f aca="false">(BaseLoad!D81*'Base Hours'!V82*'Base Hours'!$AA82)*-1</f>
        <v>-0</v>
      </c>
      <c r="AC82" s="418"/>
      <c r="AD82" s="418" t="n">
        <f aca="false">(BaseLoad!E81*'Base Hours'!V82*'Base Hours'!$AA82)*-1</f>
        <v>-0</v>
      </c>
      <c r="AE82" s="418"/>
      <c r="AF82" s="418" t="n">
        <f aca="false">(BaseLoad!F81*'Base Hours'!V82*'Base Hours'!$AA82)*-1</f>
        <v>-0</v>
      </c>
      <c r="AG82" s="418"/>
    </row>
    <row r="83" customFormat="false" ht="12.75" hidden="false" customHeight="false" outlineLevel="0" collapsed="false">
      <c r="A83" s="400" t="n">
        <f aca="false">A82+30.417</f>
        <v>38760.441</v>
      </c>
      <c r="B83" s="417" t="str">
        <f aca="false">IF($A$1="Peak","-",'Base Hours'!B83*BaseLoad!H82*'Base Hours'!$AA83)</f>
        <v>-</v>
      </c>
      <c r="C83" s="417" t="str">
        <f aca="false">IF($A$1="Peak","-",'Base Hours'!C83*BaseLoad!I82*'Base Hours'!$AA83)</f>
        <v>-</v>
      </c>
      <c r="D83" s="417" t="str">
        <f aca="false">IF($A$1="Peak","-",'Base Hours'!D83*BaseLoad!J82*'Base Hours'!$AA83)</f>
        <v>-</v>
      </c>
      <c r="E83" s="417" t="str">
        <f aca="false">IF($A$1="Peak","-",'Base Hours'!E83*BaseLoad!K82*'Base Hours'!$AA83)</f>
        <v>-</v>
      </c>
      <c r="F83" s="417" t="str">
        <f aca="false">IF($A$1="Peak","-",'Base Hours'!F83*BaseLoad!L82*'Base Hours'!$AA83)</f>
        <v>-</v>
      </c>
      <c r="G83" s="417" t="str">
        <f aca="false">IF($A$1="Peak","-",'Base Hours'!G83*BaseLoad!M82*'Base Hours'!$AA83)</f>
        <v>-</v>
      </c>
      <c r="H83" s="417" t="str">
        <f aca="false">IF($A$1="Peak","-",'Base Hours'!H83*BaseLoad!N82*'Base Hours'!$AA83)</f>
        <v>-</v>
      </c>
      <c r="I83" s="417" t="str">
        <f aca="false">IF($A$1="Peak","-",'Base Hours'!I83*BaseLoad!O82*'Base Hours'!$AA83)</f>
        <v>-</v>
      </c>
      <c r="J83" s="417" t="str">
        <f aca="false">IF($A$1="Peak","-",'Base Hours'!J83*BaseLoad!P82*'Base Hours'!$AA83)</f>
        <v>-</v>
      </c>
      <c r="K83" s="417" t="str">
        <f aca="false">IF($A$1="Peak","-",'Base Hours'!K83*BaseLoad!Q82*'Base Hours'!$AA83)</f>
        <v>-</v>
      </c>
      <c r="L83" s="417" t="str">
        <f aca="false">IF($A$1="Peak","-",'Base Hours'!L83*BaseLoad!R82*'Base Hours'!$AA83)</f>
        <v>-</v>
      </c>
      <c r="M83" s="417" t="str">
        <f aca="false">IF($A$1="Peak","-",'Base Hours'!M83*BaseLoad!S82*'Base Hours'!$AA83)</f>
        <v>-</v>
      </c>
      <c r="N83" s="417" t="str">
        <f aca="false">IF($A$1="Peak","-",'Base Hours'!N83*BaseLoad!T82*'Base Hours'!$AA83)</f>
        <v>-</v>
      </c>
      <c r="O83" s="417" t="str">
        <f aca="false">IF($A$1="Peak","-",'Base Hours'!O83*BaseLoad!U82*'Base Hours'!$AA83)</f>
        <v>-</v>
      </c>
      <c r="P83" s="417" t="str">
        <f aca="false">IF($A$1="Peak","-",'Base Hours'!P83*BaseLoad!V82*'Base Hours'!$AA83)</f>
        <v>-</v>
      </c>
      <c r="Q83" s="417" t="str">
        <f aca="false">IF($A$1="Peak","-",'Base Hours'!Q83*BaseLoad!W82*'Base Hours'!$AA83)</f>
        <v>-</v>
      </c>
      <c r="R83" s="417" t="str">
        <f aca="false">IF($A$1="Peak","-",'Base Hours'!R83*BaseLoad!X82*'Base Hours'!$AA83)</f>
        <v>-</v>
      </c>
      <c r="S83" s="417" t="str">
        <f aca="false">IF($A$1="Peak","-",'Base Hours'!S83*BaseLoad!Y82*'Base Hours'!$AA83)</f>
        <v>-</v>
      </c>
      <c r="T83" s="417" t="str">
        <f aca="false">IF($A$1="Peak","-",'Base Hours'!T83*BaseLoad!Z82*'Base Hours'!$AA83)</f>
        <v>-</v>
      </c>
      <c r="U83" s="417" t="str">
        <f aca="false">IF($A$1="Peak","-",'Base Hours'!U83*BaseLoad!AA82*'Base Hours'!$AA83)</f>
        <v>-</v>
      </c>
      <c r="V83" s="417" t="n">
        <f aca="false">SUM(B83:U83)-(MAX(B83:U83))</f>
        <v>0</v>
      </c>
      <c r="W83" s="417"/>
      <c r="X83" s="417"/>
      <c r="Y83" s="418"/>
      <c r="Z83" s="418" t="n">
        <f aca="false">(BaseLoad!C82*'Base Hours'!V83*'Base Hours'!$AA83)*-1</f>
        <v>-0</v>
      </c>
      <c r="AA83" s="418"/>
      <c r="AB83" s="418" t="n">
        <f aca="false">(BaseLoad!D82*'Base Hours'!V83*'Base Hours'!$AA83)*-1</f>
        <v>-0</v>
      </c>
      <c r="AC83" s="418"/>
      <c r="AD83" s="418" t="n">
        <f aca="false">(BaseLoad!E82*'Base Hours'!V83*'Base Hours'!$AA83)*-1</f>
        <v>-0</v>
      </c>
      <c r="AE83" s="418"/>
      <c r="AF83" s="418" t="n">
        <f aca="false">(BaseLoad!F82*'Base Hours'!V83*'Base Hours'!$AA83)*-1</f>
        <v>-0</v>
      </c>
      <c r="AG83" s="418"/>
    </row>
    <row r="84" customFormat="false" ht="12.75" hidden="false" customHeight="false" outlineLevel="0" collapsed="false">
      <c r="A84" s="400" t="n">
        <f aca="false">A83+30.417</f>
        <v>38790.858</v>
      </c>
      <c r="B84" s="417" t="str">
        <f aca="false">IF($A$1="Peak","-",'Base Hours'!B84*BaseLoad!H83*'Base Hours'!$AA84)</f>
        <v>-</v>
      </c>
      <c r="C84" s="417" t="str">
        <f aca="false">IF($A$1="Peak","-",'Base Hours'!C84*BaseLoad!I83*'Base Hours'!$AA84)</f>
        <v>-</v>
      </c>
      <c r="D84" s="417" t="str">
        <f aca="false">IF($A$1="Peak","-",'Base Hours'!D84*BaseLoad!J83*'Base Hours'!$AA84)</f>
        <v>-</v>
      </c>
      <c r="E84" s="417" t="str">
        <f aca="false">IF($A$1="Peak","-",'Base Hours'!E84*BaseLoad!K83*'Base Hours'!$AA84)</f>
        <v>-</v>
      </c>
      <c r="F84" s="417" t="str">
        <f aca="false">IF($A$1="Peak","-",'Base Hours'!F84*BaseLoad!L83*'Base Hours'!$AA84)</f>
        <v>-</v>
      </c>
      <c r="G84" s="417" t="str">
        <f aca="false">IF($A$1="Peak","-",'Base Hours'!G84*BaseLoad!M83*'Base Hours'!$AA84)</f>
        <v>-</v>
      </c>
      <c r="H84" s="417" t="str">
        <f aca="false">IF($A$1="Peak","-",'Base Hours'!H84*BaseLoad!N83*'Base Hours'!$AA84)</f>
        <v>-</v>
      </c>
      <c r="I84" s="417" t="str">
        <f aca="false">IF($A$1="Peak","-",'Base Hours'!I84*BaseLoad!O83*'Base Hours'!$AA84)</f>
        <v>-</v>
      </c>
      <c r="J84" s="417" t="str">
        <f aca="false">IF($A$1="Peak","-",'Base Hours'!J84*BaseLoad!P83*'Base Hours'!$AA84)</f>
        <v>-</v>
      </c>
      <c r="K84" s="417" t="str">
        <f aca="false">IF($A$1="Peak","-",'Base Hours'!K84*BaseLoad!Q83*'Base Hours'!$AA84)</f>
        <v>-</v>
      </c>
      <c r="L84" s="417" t="str">
        <f aca="false">IF($A$1="Peak","-",'Base Hours'!L84*BaseLoad!R83*'Base Hours'!$AA84)</f>
        <v>-</v>
      </c>
      <c r="M84" s="417" t="str">
        <f aca="false">IF($A$1="Peak","-",'Base Hours'!M84*BaseLoad!S83*'Base Hours'!$AA84)</f>
        <v>-</v>
      </c>
      <c r="N84" s="417" t="str">
        <f aca="false">IF($A$1="Peak","-",'Base Hours'!N84*BaseLoad!T83*'Base Hours'!$AA84)</f>
        <v>-</v>
      </c>
      <c r="O84" s="417" t="str">
        <f aca="false">IF($A$1="Peak","-",'Base Hours'!O84*BaseLoad!U83*'Base Hours'!$AA84)</f>
        <v>-</v>
      </c>
      <c r="P84" s="417" t="str">
        <f aca="false">IF($A$1="Peak","-",'Base Hours'!P84*BaseLoad!V83*'Base Hours'!$AA84)</f>
        <v>-</v>
      </c>
      <c r="Q84" s="417" t="str">
        <f aca="false">IF($A$1="Peak","-",'Base Hours'!Q84*BaseLoad!W83*'Base Hours'!$AA84)</f>
        <v>-</v>
      </c>
      <c r="R84" s="417" t="str">
        <f aca="false">IF($A$1="Peak","-",'Base Hours'!R84*BaseLoad!X83*'Base Hours'!$AA84)</f>
        <v>-</v>
      </c>
      <c r="S84" s="417" t="str">
        <f aca="false">IF($A$1="Peak","-",'Base Hours'!S84*BaseLoad!Y83*'Base Hours'!$AA84)</f>
        <v>-</v>
      </c>
      <c r="T84" s="417" t="str">
        <f aca="false">IF($A$1="Peak","-",'Base Hours'!T84*BaseLoad!Z83*'Base Hours'!$AA84)</f>
        <v>-</v>
      </c>
      <c r="U84" s="417" t="str">
        <f aca="false">IF($A$1="Peak","-",'Base Hours'!U84*BaseLoad!AA83*'Base Hours'!$AA84)</f>
        <v>-</v>
      </c>
      <c r="V84" s="417" t="n">
        <f aca="false">SUM(B84:U84)-(MAX(B84:U84))</f>
        <v>0</v>
      </c>
      <c r="W84" s="417"/>
      <c r="X84" s="417"/>
      <c r="Y84" s="418"/>
      <c r="Z84" s="418" t="n">
        <f aca="false">(BaseLoad!C83*'Base Hours'!V84*'Base Hours'!$AA84)*-1</f>
        <v>-0</v>
      </c>
      <c r="AA84" s="418"/>
      <c r="AB84" s="418" t="n">
        <f aca="false">(BaseLoad!D83*'Base Hours'!V84*'Base Hours'!$AA84)*-1</f>
        <v>-0</v>
      </c>
      <c r="AC84" s="418"/>
      <c r="AD84" s="418" t="n">
        <f aca="false">(BaseLoad!E83*'Base Hours'!V84*'Base Hours'!$AA84)*-1</f>
        <v>-0</v>
      </c>
      <c r="AE84" s="418"/>
      <c r="AF84" s="418" t="n">
        <f aca="false">(BaseLoad!F83*'Base Hours'!V84*'Base Hours'!$AA84)*-1</f>
        <v>-0</v>
      </c>
      <c r="AG84" s="418"/>
    </row>
    <row r="85" customFormat="false" ht="12.75" hidden="false" customHeight="false" outlineLevel="0" collapsed="false">
      <c r="A85" s="400" t="n">
        <f aca="false">A84+30.417</f>
        <v>38821.275</v>
      </c>
      <c r="B85" s="417" t="str">
        <f aca="false">IF($A$1="Peak","-",'Base Hours'!B85*BaseLoad!H84*'Base Hours'!$AA85)</f>
        <v>-</v>
      </c>
      <c r="C85" s="417" t="str">
        <f aca="false">IF($A$1="Peak","-",'Base Hours'!C85*BaseLoad!I84*'Base Hours'!$AA85)</f>
        <v>-</v>
      </c>
      <c r="D85" s="417" t="str">
        <f aca="false">IF($A$1="Peak","-",'Base Hours'!D85*BaseLoad!J84*'Base Hours'!$AA85)</f>
        <v>-</v>
      </c>
      <c r="E85" s="417" t="str">
        <f aca="false">IF($A$1="Peak","-",'Base Hours'!E85*BaseLoad!K84*'Base Hours'!$AA85)</f>
        <v>-</v>
      </c>
      <c r="F85" s="417" t="str">
        <f aca="false">IF($A$1="Peak","-",'Base Hours'!F85*BaseLoad!L84*'Base Hours'!$AA85)</f>
        <v>-</v>
      </c>
      <c r="G85" s="417" t="str">
        <f aca="false">IF($A$1="Peak","-",'Base Hours'!G85*BaseLoad!M84*'Base Hours'!$AA85)</f>
        <v>-</v>
      </c>
      <c r="H85" s="417" t="str">
        <f aca="false">IF($A$1="Peak","-",'Base Hours'!H85*BaseLoad!N84*'Base Hours'!$AA85)</f>
        <v>-</v>
      </c>
      <c r="I85" s="417" t="str">
        <f aca="false">IF($A$1="Peak","-",'Base Hours'!I85*BaseLoad!O84*'Base Hours'!$AA85)</f>
        <v>-</v>
      </c>
      <c r="J85" s="417" t="str">
        <f aca="false">IF($A$1="Peak","-",'Base Hours'!J85*BaseLoad!P84*'Base Hours'!$AA85)</f>
        <v>-</v>
      </c>
      <c r="K85" s="417" t="str">
        <f aca="false">IF($A$1="Peak","-",'Base Hours'!K85*BaseLoad!Q84*'Base Hours'!$AA85)</f>
        <v>-</v>
      </c>
      <c r="L85" s="417" t="str">
        <f aca="false">IF($A$1="Peak","-",'Base Hours'!L85*BaseLoad!R84*'Base Hours'!$AA85)</f>
        <v>-</v>
      </c>
      <c r="M85" s="417" t="str">
        <f aca="false">IF($A$1="Peak","-",'Base Hours'!M85*BaseLoad!S84*'Base Hours'!$AA85)</f>
        <v>-</v>
      </c>
      <c r="N85" s="417" t="str">
        <f aca="false">IF($A$1="Peak","-",'Base Hours'!N85*BaseLoad!T84*'Base Hours'!$AA85)</f>
        <v>-</v>
      </c>
      <c r="O85" s="417" t="str">
        <f aca="false">IF($A$1="Peak","-",'Base Hours'!O85*BaseLoad!U84*'Base Hours'!$AA85)</f>
        <v>-</v>
      </c>
      <c r="P85" s="417" t="str">
        <f aca="false">IF($A$1="Peak","-",'Base Hours'!P85*BaseLoad!V84*'Base Hours'!$AA85)</f>
        <v>-</v>
      </c>
      <c r="Q85" s="417" t="str">
        <f aca="false">IF($A$1="Peak","-",'Base Hours'!Q85*BaseLoad!W84*'Base Hours'!$AA85)</f>
        <v>-</v>
      </c>
      <c r="R85" s="417" t="str">
        <f aca="false">IF($A$1="Peak","-",'Base Hours'!R85*BaseLoad!X84*'Base Hours'!$AA85)</f>
        <v>-</v>
      </c>
      <c r="S85" s="417" t="str">
        <f aca="false">IF($A$1="Peak","-",'Base Hours'!S85*BaseLoad!Y84*'Base Hours'!$AA85)</f>
        <v>-</v>
      </c>
      <c r="T85" s="417" t="str">
        <f aca="false">IF($A$1="Peak","-",'Base Hours'!T85*BaseLoad!Z84*'Base Hours'!$AA85)</f>
        <v>-</v>
      </c>
      <c r="U85" s="417" t="str">
        <f aca="false">IF($A$1="Peak","-",'Base Hours'!U85*BaseLoad!AA84*'Base Hours'!$AA85)</f>
        <v>-</v>
      </c>
      <c r="V85" s="417" t="n">
        <f aca="false">SUM(B85:U85)-(MAX(B85:U85))</f>
        <v>0</v>
      </c>
      <c r="W85" s="417"/>
      <c r="X85" s="417"/>
      <c r="Y85" s="418"/>
      <c r="Z85" s="418" t="n">
        <f aca="false">(BaseLoad!C84*'Base Hours'!V85*'Base Hours'!$AA85)*-1</f>
        <v>-0</v>
      </c>
      <c r="AA85" s="418"/>
      <c r="AB85" s="418" t="n">
        <f aca="false">(BaseLoad!D84*'Base Hours'!V85*'Base Hours'!$AA85)*-1</f>
        <v>-0</v>
      </c>
      <c r="AC85" s="418"/>
      <c r="AD85" s="418" t="n">
        <f aca="false">(BaseLoad!E84*'Base Hours'!V85*'Base Hours'!$AA85)*-1</f>
        <v>-0</v>
      </c>
      <c r="AE85" s="418"/>
      <c r="AF85" s="418" t="n">
        <f aca="false">(BaseLoad!F84*'Base Hours'!V85*'Base Hours'!$AA85)*-1</f>
        <v>-0</v>
      </c>
      <c r="AG85" s="418"/>
    </row>
    <row r="86" customFormat="false" ht="12.75" hidden="false" customHeight="false" outlineLevel="0" collapsed="false">
      <c r="A86" s="400" t="n">
        <f aca="false">A85+30.417</f>
        <v>38851.692</v>
      </c>
      <c r="B86" s="417" t="str">
        <f aca="false">IF($A$1="Peak","-",'Base Hours'!B86*BaseLoad!H85*'Base Hours'!$AA86)</f>
        <v>-</v>
      </c>
      <c r="C86" s="417" t="str">
        <f aca="false">IF($A$1="Peak","-",'Base Hours'!C86*BaseLoad!I85*'Base Hours'!$AA86)</f>
        <v>-</v>
      </c>
      <c r="D86" s="417" t="str">
        <f aca="false">IF($A$1="Peak","-",'Base Hours'!D86*BaseLoad!J85*'Base Hours'!$AA86)</f>
        <v>-</v>
      </c>
      <c r="E86" s="417" t="str">
        <f aca="false">IF($A$1="Peak","-",'Base Hours'!E86*BaseLoad!K85*'Base Hours'!$AA86)</f>
        <v>-</v>
      </c>
      <c r="F86" s="417" t="str">
        <f aca="false">IF($A$1="Peak","-",'Base Hours'!F86*BaseLoad!L85*'Base Hours'!$AA86)</f>
        <v>-</v>
      </c>
      <c r="G86" s="417" t="str">
        <f aca="false">IF($A$1="Peak","-",'Base Hours'!G86*BaseLoad!M85*'Base Hours'!$AA86)</f>
        <v>-</v>
      </c>
      <c r="H86" s="417" t="str">
        <f aca="false">IF($A$1="Peak","-",'Base Hours'!H86*BaseLoad!N85*'Base Hours'!$AA86)</f>
        <v>-</v>
      </c>
      <c r="I86" s="417" t="str">
        <f aca="false">IF($A$1="Peak","-",'Base Hours'!I86*BaseLoad!O85*'Base Hours'!$AA86)</f>
        <v>-</v>
      </c>
      <c r="J86" s="417" t="str">
        <f aca="false">IF($A$1="Peak","-",'Base Hours'!J86*BaseLoad!P85*'Base Hours'!$AA86)</f>
        <v>-</v>
      </c>
      <c r="K86" s="417" t="str">
        <f aca="false">IF($A$1="Peak","-",'Base Hours'!K86*BaseLoad!Q85*'Base Hours'!$AA86)</f>
        <v>-</v>
      </c>
      <c r="L86" s="417" t="str">
        <f aca="false">IF($A$1="Peak","-",'Base Hours'!L86*BaseLoad!R85*'Base Hours'!$AA86)</f>
        <v>-</v>
      </c>
      <c r="M86" s="417" t="str">
        <f aca="false">IF($A$1="Peak","-",'Base Hours'!M86*BaseLoad!S85*'Base Hours'!$AA86)</f>
        <v>-</v>
      </c>
      <c r="N86" s="417" t="str">
        <f aca="false">IF($A$1="Peak","-",'Base Hours'!N86*BaseLoad!T85*'Base Hours'!$AA86)</f>
        <v>-</v>
      </c>
      <c r="O86" s="417" t="str">
        <f aca="false">IF($A$1="Peak","-",'Base Hours'!O86*BaseLoad!U85*'Base Hours'!$AA86)</f>
        <v>-</v>
      </c>
      <c r="P86" s="417" t="str">
        <f aca="false">IF($A$1="Peak","-",'Base Hours'!P86*BaseLoad!V85*'Base Hours'!$AA86)</f>
        <v>-</v>
      </c>
      <c r="Q86" s="417" t="str">
        <f aca="false">IF($A$1="Peak","-",'Base Hours'!Q86*BaseLoad!W85*'Base Hours'!$AA86)</f>
        <v>-</v>
      </c>
      <c r="R86" s="417" t="str">
        <f aca="false">IF($A$1="Peak","-",'Base Hours'!R86*BaseLoad!X85*'Base Hours'!$AA86)</f>
        <v>-</v>
      </c>
      <c r="S86" s="417" t="str">
        <f aca="false">IF($A$1="Peak","-",'Base Hours'!S86*BaseLoad!Y85*'Base Hours'!$AA86)</f>
        <v>-</v>
      </c>
      <c r="T86" s="417" t="str">
        <f aca="false">IF($A$1="Peak","-",'Base Hours'!T86*BaseLoad!Z85*'Base Hours'!$AA86)</f>
        <v>-</v>
      </c>
      <c r="U86" s="417" t="str">
        <f aca="false">IF($A$1="Peak","-",'Base Hours'!U86*BaseLoad!AA85*'Base Hours'!$AA86)</f>
        <v>-</v>
      </c>
      <c r="V86" s="417" t="n">
        <f aca="false">SUM(B86:U86)-(MAX(B86:U86))</f>
        <v>0</v>
      </c>
      <c r="W86" s="417"/>
      <c r="X86" s="417"/>
      <c r="Y86" s="418"/>
      <c r="Z86" s="418" t="n">
        <f aca="false">(BaseLoad!C85*'Base Hours'!V86*'Base Hours'!$AA86)*-1</f>
        <v>-0</v>
      </c>
      <c r="AA86" s="418"/>
      <c r="AB86" s="418" t="n">
        <f aca="false">(BaseLoad!D85*'Base Hours'!V86*'Base Hours'!$AA86)*-1</f>
        <v>-0</v>
      </c>
      <c r="AC86" s="418"/>
      <c r="AD86" s="418" t="n">
        <f aca="false">(BaseLoad!E85*'Base Hours'!V86*'Base Hours'!$AA86)*-1</f>
        <v>-0</v>
      </c>
      <c r="AE86" s="418"/>
      <c r="AF86" s="418" t="n">
        <f aca="false">(BaseLoad!F85*'Base Hours'!V86*'Base Hours'!$AA86)*-1</f>
        <v>-0</v>
      </c>
      <c r="AG86" s="418"/>
    </row>
    <row r="87" customFormat="false" ht="12.75" hidden="false" customHeight="false" outlineLevel="0" collapsed="false">
      <c r="A87" s="400" t="n">
        <f aca="false">A86+30.417</f>
        <v>38882.109</v>
      </c>
      <c r="B87" s="417" t="str">
        <f aca="false">IF($A$1="Peak","-",'Base Hours'!B87*BaseLoad!H86*'Base Hours'!$AA87)</f>
        <v>-</v>
      </c>
      <c r="C87" s="417" t="str">
        <f aca="false">IF($A$1="Peak","-",'Base Hours'!C87*BaseLoad!I86*'Base Hours'!$AA87)</f>
        <v>-</v>
      </c>
      <c r="D87" s="417" t="str">
        <f aca="false">IF($A$1="Peak","-",'Base Hours'!D87*BaseLoad!J86*'Base Hours'!$AA87)</f>
        <v>-</v>
      </c>
      <c r="E87" s="417" t="str">
        <f aca="false">IF($A$1="Peak","-",'Base Hours'!E87*BaseLoad!K86*'Base Hours'!$AA87)</f>
        <v>-</v>
      </c>
      <c r="F87" s="417" t="str">
        <f aca="false">IF($A$1="Peak","-",'Base Hours'!F87*BaseLoad!L86*'Base Hours'!$AA87)</f>
        <v>-</v>
      </c>
      <c r="G87" s="417" t="str">
        <f aca="false">IF($A$1="Peak","-",'Base Hours'!G87*BaseLoad!M86*'Base Hours'!$AA87)</f>
        <v>-</v>
      </c>
      <c r="H87" s="417" t="str">
        <f aca="false">IF($A$1="Peak","-",'Base Hours'!H87*BaseLoad!N86*'Base Hours'!$AA87)</f>
        <v>-</v>
      </c>
      <c r="I87" s="417" t="str">
        <f aca="false">IF($A$1="Peak","-",'Base Hours'!I87*BaseLoad!O86*'Base Hours'!$AA87)</f>
        <v>-</v>
      </c>
      <c r="J87" s="417" t="str">
        <f aca="false">IF($A$1="Peak","-",'Base Hours'!J87*BaseLoad!P86*'Base Hours'!$AA87)</f>
        <v>-</v>
      </c>
      <c r="K87" s="417" t="str">
        <f aca="false">IF($A$1="Peak","-",'Base Hours'!K87*BaseLoad!Q86*'Base Hours'!$AA87)</f>
        <v>-</v>
      </c>
      <c r="L87" s="417" t="str">
        <f aca="false">IF($A$1="Peak","-",'Base Hours'!L87*BaseLoad!R86*'Base Hours'!$AA87)</f>
        <v>-</v>
      </c>
      <c r="M87" s="417" t="str">
        <f aca="false">IF($A$1="Peak","-",'Base Hours'!M87*BaseLoad!S86*'Base Hours'!$AA87)</f>
        <v>-</v>
      </c>
      <c r="N87" s="417" t="str">
        <f aca="false">IF($A$1="Peak","-",'Base Hours'!N87*BaseLoad!T86*'Base Hours'!$AA87)</f>
        <v>-</v>
      </c>
      <c r="O87" s="417" t="str">
        <f aca="false">IF($A$1="Peak","-",'Base Hours'!O87*BaseLoad!U86*'Base Hours'!$AA87)</f>
        <v>-</v>
      </c>
      <c r="P87" s="417" t="str">
        <f aca="false">IF($A$1="Peak","-",'Base Hours'!P87*BaseLoad!V86*'Base Hours'!$AA87)</f>
        <v>-</v>
      </c>
      <c r="Q87" s="417" t="str">
        <f aca="false">IF($A$1="Peak","-",'Base Hours'!Q87*BaseLoad!W86*'Base Hours'!$AA87)</f>
        <v>-</v>
      </c>
      <c r="R87" s="417" t="str">
        <f aca="false">IF($A$1="Peak","-",'Base Hours'!R87*BaseLoad!X86*'Base Hours'!$AA87)</f>
        <v>-</v>
      </c>
      <c r="S87" s="417" t="str">
        <f aca="false">IF($A$1="Peak","-",'Base Hours'!S87*BaseLoad!Y86*'Base Hours'!$AA87)</f>
        <v>-</v>
      </c>
      <c r="T87" s="417" t="str">
        <f aca="false">IF($A$1="Peak","-",'Base Hours'!T87*BaseLoad!Z86*'Base Hours'!$AA87)</f>
        <v>-</v>
      </c>
      <c r="U87" s="417" t="str">
        <f aca="false">IF($A$1="Peak","-",'Base Hours'!U87*BaseLoad!AA86*'Base Hours'!$AA87)</f>
        <v>-</v>
      </c>
      <c r="V87" s="417" t="n">
        <f aca="false">SUM(B87:U87)-(MAX(B87:U87))</f>
        <v>0</v>
      </c>
      <c r="W87" s="417"/>
      <c r="X87" s="417"/>
      <c r="Y87" s="418"/>
      <c r="Z87" s="418" t="n">
        <f aca="false">(BaseLoad!C86*'Base Hours'!V87*'Base Hours'!$AA87)*-1</f>
        <v>-0</v>
      </c>
      <c r="AA87" s="418"/>
      <c r="AB87" s="418" t="n">
        <f aca="false">(BaseLoad!D86*'Base Hours'!V87*'Base Hours'!$AA87)*-1</f>
        <v>-0</v>
      </c>
      <c r="AC87" s="418"/>
      <c r="AD87" s="418" t="n">
        <f aca="false">(BaseLoad!E86*'Base Hours'!V87*'Base Hours'!$AA87)*-1</f>
        <v>-0</v>
      </c>
      <c r="AE87" s="418"/>
      <c r="AF87" s="418" t="n">
        <f aca="false">(BaseLoad!F86*'Base Hours'!V87*'Base Hours'!$AA87)*-1</f>
        <v>-0</v>
      </c>
      <c r="AG87" s="418"/>
    </row>
    <row r="88" customFormat="false" ht="12.75" hidden="false" customHeight="false" outlineLevel="0" collapsed="false">
      <c r="A88" s="400" t="n">
        <f aca="false">A87+30.417</f>
        <v>38912.526</v>
      </c>
      <c r="B88" s="417" t="str">
        <f aca="false">IF($A$1="Peak","-",'Base Hours'!B88*BaseLoad!H87*'Base Hours'!$AA88)</f>
        <v>-</v>
      </c>
      <c r="C88" s="417" t="str">
        <f aca="false">IF($A$1="Peak","-",'Base Hours'!C88*BaseLoad!I87*'Base Hours'!$AA88)</f>
        <v>-</v>
      </c>
      <c r="D88" s="417" t="str">
        <f aca="false">IF($A$1="Peak","-",'Base Hours'!D88*BaseLoad!J87*'Base Hours'!$AA88)</f>
        <v>-</v>
      </c>
      <c r="E88" s="417" t="str">
        <f aca="false">IF($A$1="Peak","-",'Base Hours'!E88*BaseLoad!K87*'Base Hours'!$AA88)</f>
        <v>-</v>
      </c>
      <c r="F88" s="417" t="str">
        <f aca="false">IF($A$1="Peak","-",'Base Hours'!F88*BaseLoad!L87*'Base Hours'!$AA88)</f>
        <v>-</v>
      </c>
      <c r="G88" s="417" t="str">
        <f aca="false">IF($A$1="Peak","-",'Base Hours'!G88*BaseLoad!M87*'Base Hours'!$AA88)</f>
        <v>-</v>
      </c>
      <c r="H88" s="417" t="str">
        <f aca="false">IF($A$1="Peak","-",'Base Hours'!H88*BaseLoad!N87*'Base Hours'!$AA88)</f>
        <v>-</v>
      </c>
      <c r="I88" s="417" t="str">
        <f aca="false">IF($A$1="Peak","-",'Base Hours'!I88*BaseLoad!O87*'Base Hours'!$AA88)</f>
        <v>-</v>
      </c>
      <c r="J88" s="417" t="str">
        <f aca="false">IF($A$1="Peak","-",'Base Hours'!J88*BaseLoad!P87*'Base Hours'!$AA88)</f>
        <v>-</v>
      </c>
      <c r="K88" s="417" t="str">
        <f aca="false">IF($A$1="Peak","-",'Base Hours'!K88*BaseLoad!Q87*'Base Hours'!$AA88)</f>
        <v>-</v>
      </c>
      <c r="L88" s="417" t="str">
        <f aca="false">IF($A$1="Peak","-",'Base Hours'!L88*BaseLoad!R87*'Base Hours'!$AA88)</f>
        <v>-</v>
      </c>
      <c r="M88" s="417" t="str">
        <f aca="false">IF($A$1="Peak","-",'Base Hours'!M88*BaseLoad!S87*'Base Hours'!$AA88)</f>
        <v>-</v>
      </c>
      <c r="N88" s="417" t="str">
        <f aca="false">IF($A$1="Peak","-",'Base Hours'!N88*BaseLoad!T87*'Base Hours'!$AA88)</f>
        <v>-</v>
      </c>
      <c r="O88" s="417" t="str">
        <f aca="false">IF($A$1="Peak","-",'Base Hours'!O88*BaseLoad!U87*'Base Hours'!$AA88)</f>
        <v>-</v>
      </c>
      <c r="P88" s="417" t="str">
        <f aca="false">IF($A$1="Peak","-",'Base Hours'!P88*BaseLoad!V87*'Base Hours'!$AA88)</f>
        <v>-</v>
      </c>
      <c r="Q88" s="417" t="str">
        <f aca="false">IF($A$1="Peak","-",'Base Hours'!Q88*BaseLoad!W87*'Base Hours'!$AA88)</f>
        <v>-</v>
      </c>
      <c r="R88" s="417" t="str">
        <f aca="false">IF($A$1="Peak","-",'Base Hours'!R88*BaseLoad!X87*'Base Hours'!$AA88)</f>
        <v>-</v>
      </c>
      <c r="S88" s="417" t="str">
        <f aca="false">IF($A$1="Peak","-",'Base Hours'!S88*BaseLoad!Y87*'Base Hours'!$AA88)</f>
        <v>-</v>
      </c>
      <c r="T88" s="417" t="str">
        <f aca="false">IF($A$1="Peak","-",'Base Hours'!T88*BaseLoad!Z87*'Base Hours'!$AA88)</f>
        <v>-</v>
      </c>
      <c r="U88" s="417" t="str">
        <f aca="false">IF($A$1="Peak","-",'Base Hours'!U88*BaseLoad!AA87*'Base Hours'!$AA88)</f>
        <v>-</v>
      </c>
      <c r="V88" s="417" t="n">
        <f aca="false">SUM(B88:U88)-(MAX(B88:U88))</f>
        <v>0</v>
      </c>
      <c r="W88" s="417"/>
      <c r="X88" s="417"/>
      <c r="Y88" s="418"/>
      <c r="Z88" s="418" t="n">
        <f aca="false">(BaseLoad!C87*'Base Hours'!V88*'Base Hours'!$AA88)*-1</f>
        <v>-0</v>
      </c>
      <c r="AA88" s="418"/>
      <c r="AB88" s="418" t="n">
        <f aca="false">(BaseLoad!D87*'Base Hours'!V88*'Base Hours'!$AA88)*-1</f>
        <v>-0</v>
      </c>
      <c r="AC88" s="418"/>
      <c r="AD88" s="418" t="n">
        <f aca="false">(BaseLoad!E87*'Base Hours'!V88*'Base Hours'!$AA88)*-1</f>
        <v>-0</v>
      </c>
      <c r="AE88" s="418"/>
      <c r="AF88" s="418" t="n">
        <f aca="false">(BaseLoad!F87*'Base Hours'!V88*'Base Hours'!$AA88)*-1</f>
        <v>-0</v>
      </c>
      <c r="AG88" s="418"/>
    </row>
    <row r="89" customFormat="false" ht="12.75" hidden="false" customHeight="false" outlineLevel="0" collapsed="false">
      <c r="A89" s="400" t="n">
        <f aca="false">A88+30.417</f>
        <v>38942.943</v>
      </c>
      <c r="B89" s="417" t="str">
        <f aca="false">IF($A$1="Peak","-",'Base Hours'!B89*BaseLoad!H88*'Base Hours'!$AA89)</f>
        <v>-</v>
      </c>
      <c r="C89" s="417" t="str">
        <f aca="false">IF($A$1="Peak","-",'Base Hours'!C89*BaseLoad!I88*'Base Hours'!$AA89)</f>
        <v>-</v>
      </c>
      <c r="D89" s="417" t="str">
        <f aca="false">IF($A$1="Peak","-",'Base Hours'!D89*BaseLoad!J88*'Base Hours'!$AA89)</f>
        <v>-</v>
      </c>
      <c r="E89" s="417" t="str">
        <f aca="false">IF($A$1="Peak","-",'Base Hours'!E89*BaseLoad!K88*'Base Hours'!$AA89)</f>
        <v>-</v>
      </c>
      <c r="F89" s="417" t="str">
        <f aca="false">IF($A$1="Peak","-",'Base Hours'!F89*BaseLoad!L88*'Base Hours'!$AA89)</f>
        <v>-</v>
      </c>
      <c r="G89" s="417" t="str">
        <f aca="false">IF($A$1="Peak","-",'Base Hours'!G89*BaseLoad!M88*'Base Hours'!$AA89)</f>
        <v>-</v>
      </c>
      <c r="H89" s="417" t="str">
        <f aca="false">IF($A$1="Peak","-",'Base Hours'!H89*BaseLoad!N88*'Base Hours'!$AA89)</f>
        <v>-</v>
      </c>
      <c r="I89" s="417" t="str">
        <f aca="false">IF($A$1="Peak","-",'Base Hours'!I89*BaseLoad!O88*'Base Hours'!$AA89)</f>
        <v>-</v>
      </c>
      <c r="J89" s="417" t="str">
        <f aca="false">IF($A$1="Peak","-",'Base Hours'!J89*BaseLoad!P88*'Base Hours'!$AA89)</f>
        <v>-</v>
      </c>
      <c r="K89" s="417" t="str">
        <f aca="false">IF($A$1="Peak","-",'Base Hours'!K89*BaseLoad!Q88*'Base Hours'!$AA89)</f>
        <v>-</v>
      </c>
      <c r="L89" s="417" t="str">
        <f aca="false">IF($A$1="Peak","-",'Base Hours'!L89*BaseLoad!R88*'Base Hours'!$AA89)</f>
        <v>-</v>
      </c>
      <c r="M89" s="417" t="str">
        <f aca="false">IF($A$1="Peak","-",'Base Hours'!M89*BaseLoad!S88*'Base Hours'!$AA89)</f>
        <v>-</v>
      </c>
      <c r="N89" s="417" t="str">
        <f aca="false">IF($A$1="Peak","-",'Base Hours'!N89*BaseLoad!T88*'Base Hours'!$AA89)</f>
        <v>-</v>
      </c>
      <c r="O89" s="417" t="str">
        <f aca="false">IF($A$1="Peak","-",'Base Hours'!O89*BaseLoad!U88*'Base Hours'!$AA89)</f>
        <v>-</v>
      </c>
      <c r="P89" s="417" t="str">
        <f aca="false">IF($A$1="Peak","-",'Base Hours'!P89*BaseLoad!V88*'Base Hours'!$AA89)</f>
        <v>-</v>
      </c>
      <c r="Q89" s="417" t="str">
        <f aca="false">IF($A$1="Peak","-",'Base Hours'!Q89*BaseLoad!W88*'Base Hours'!$AA89)</f>
        <v>-</v>
      </c>
      <c r="R89" s="417" t="str">
        <f aca="false">IF($A$1="Peak","-",'Base Hours'!R89*BaseLoad!X88*'Base Hours'!$AA89)</f>
        <v>-</v>
      </c>
      <c r="S89" s="417" t="str">
        <f aca="false">IF($A$1="Peak","-",'Base Hours'!S89*BaseLoad!Y88*'Base Hours'!$AA89)</f>
        <v>-</v>
      </c>
      <c r="T89" s="417" t="str">
        <f aca="false">IF($A$1="Peak","-",'Base Hours'!T89*BaseLoad!Z88*'Base Hours'!$AA89)</f>
        <v>-</v>
      </c>
      <c r="U89" s="417" t="str">
        <f aca="false">IF($A$1="Peak","-",'Base Hours'!U89*BaseLoad!AA88*'Base Hours'!$AA89)</f>
        <v>-</v>
      </c>
      <c r="V89" s="417" t="n">
        <f aca="false">SUM(B89:U89)-(MAX(B89:U89))</f>
        <v>0</v>
      </c>
      <c r="W89" s="417"/>
      <c r="X89" s="417"/>
      <c r="Y89" s="418"/>
      <c r="Z89" s="418" t="n">
        <f aca="false">(BaseLoad!C88*'Base Hours'!V89*'Base Hours'!$AA89)*-1</f>
        <v>-0</v>
      </c>
      <c r="AA89" s="418"/>
      <c r="AB89" s="418" t="n">
        <f aca="false">(BaseLoad!D88*'Base Hours'!V89*'Base Hours'!$AA89)*-1</f>
        <v>-0</v>
      </c>
      <c r="AC89" s="418"/>
      <c r="AD89" s="418" t="n">
        <f aca="false">(BaseLoad!E88*'Base Hours'!V89*'Base Hours'!$AA89)*-1</f>
        <v>-0</v>
      </c>
      <c r="AE89" s="418"/>
      <c r="AF89" s="418" t="n">
        <f aca="false">(BaseLoad!F88*'Base Hours'!V89*'Base Hours'!$AA89)*-1</f>
        <v>-0</v>
      </c>
      <c r="AG89" s="418"/>
    </row>
    <row r="90" customFormat="false" ht="12.75" hidden="false" customHeight="false" outlineLevel="0" collapsed="false">
      <c r="A90" s="400" t="n">
        <f aca="false">A89+30.417</f>
        <v>38973.36</v>
      </c>
      <c r="B90" s="417" t="str">
        <f aca="false">IF($A$1="Peak","-",'Base Hours'!B90*BaseLoad!H89*'Base Hours'!$AA90)</f>
        <v>-</v>
      </c>
      <c r="C90" s="417" t="str">
        <f aca="false">IF($A$1="Peak","-",'Base Hours'!C90*BaseLoad!I89*'Base Hours'!$AA90)</f>
        <v>-</v>
      </c>
      <c r="D90" s="417" t="str">
        <f aca="false">IF($A$1="Peak","-",'Base Hours'!D90*BaseLoad!J89*'Base Hours'!$AA90)</f>
        <v>-</v>
      </c>
      <c r="E90" s="417" t="str">
        <f aca="false">IF($A$1="Peak","-",'Base Hours'!E90*BaseLoad!K89*'Base Hours'!$AA90)</f>
        <v>-</v>
      </c>
      <c r="F90" s="417" t="str">
        <f aca="false">IF($A$1="Peak","-",'Base Hours'!F90*BaseLoad!L89*'Base Hours'!$AA90)</f>
        <v>-</v>
      </c>
      <c r="G90" s="417" t="str">
        <f aca="false">IF($A$1="Peak","-",'Base Hours'!G90*BaseLoad!M89*'Base Hours'!$AA90)</f>
        <v>-</v>
      </c>
      <c r="H90" s="417" t="str">
        <f aca="false">IF($A$1="Peak","-",'Base Hours'!H90*BaseLoad!N89*'Base Hours'!$AA90)</f>
        <v>-</v>
      </c>
      <c r="I90" s="417" t="str">
        <f aca="false">IF($A$1="Peak","-",'Base Hours'!I90*BaseLoad!O89*'Base Hours'!$AA90)</f>
        <v>-</v>
      </c>
      <c r="J90" s="417" t="str">
        <f aca="false">IF($A$1="Peak","-",'Base Hours'!J90*BaseLoad!P89*'Base Hours'!$AA90)</f>
        <v>-</v>
      </c>
      <c r="K90" s="417" t="str">
        <f aca="false">IF($A$1="Peak","-",'Base Hours'!K90*BaseLoad!Q89*'Base Hours'!$AA90)</f>
        <v>-</v>
      </c>
      <c r="L90" s="417" t="str">
        <f aca="false">IF($A$1="Peak","-",'Base Hours'!L90*BaseLoad!R89*'Base Hours'!$AA90)</f>
        <v>-</v>
      </c>
      <c r="M90" s="417" t="str">
        <f aca="false">IF($A$1="Peak","-",'Base Hours'!M90*BaseLoad!S89*'Base Hours'!$AA90)</f>
        <v>-</v>
      </c>
      <c r="N90" s="417" t="str">
        <f aca="false">IF($A$1="Peak","-",'Base Hours'!N90*BaseLoad!T89*'Base Hours'!$AA90)</f>
        <v>-</v>
      </c>
      <c r="O90" s="417" t="str">
        <f aca="false">IF($A$1="Peak","-",'Base Hours'!O90*BaseLoad!U89*'Base Hours'!$AA90)</f>
        <v>-</v>
      </c>
      <c r="P90" s="417" t="str">
        <f aca="false">IF($A$1="Peak","-",'Base Hours'!P90*BaseLoad!V89*'Base Hours'!$AA90)</f>
        <v>-</v>
      </c>
      <c r="Q90" s="417" t="str">
        <f aca="false">IF($A$1="Peak","-",'Base Hours'!Q90*BaseLoad!W89*'Base Hours'!$AA90)</f>
        <v>-</v>
      </c>
      <c r="R90" s="417" t="str">
        <f aca="false">IF($A$1="Peak","-",'Base Hours'!R90*BaseLoad!X89*'Base Hours'!$AA90)</f>
        <v>-</v>
      </c>
      <c r="S90" s="417" t="str">
        <f aca="false">IF($A$1="Peak","-",'Base Hours'!S90*BaseLoad!Y89*'Base Hours'!$AA90)</f>
        <v>-</v>
      </c>
      <c r="T90" s="417" t="str">
        <f aca="false">IF($A$1="Peak","-",'Base Hours'!T90*BaseLoad!Z89*'Base Hours'!$AA90)</f>
        <v>-</v>
      </c>
      <c r="U90" s="417" t="str">
        <f aca="false">IF($A$1="Peak","-",'Base Hours'!U90*BaseLoad!AA89*'Base Hours'!$AA90)</f>
        <v>-</v>
      </c>
      <c r="V90" s="417" t="n">
        <f aca="false">SUM(B90:U90)-(MAX(B90:U90))</f>
        <v>0</v>
      </c>
      <c r="W90" s="417"/>
      <c r="X90" s="417"/>
      <c r="Y90" s="418"/>
      <c r="Z90" s="418" t="n">
        <f aca="false">(BaseLoad!C89*'Base Hours'!V90*'Base Hours'!$AA90)*-1</f>
        <v>-0</v>
      </c>
      <c r="AA90" s="418"/>
      <c r="AB90" s="418" t="n">
        <f aca="false">(BaseLoad!D89*'Base Hours'!V90*'Base Hours'!$AA90)*-1</f>
        <v>-0</v>
      </c>
      <c r="AC90" s="418"/>
      <c r="AD90" s="418" t="n">
        <f aca="false">(BaseLoad!E89*'Base Hours'!V90*'Base Hours'!$AA90)*-1</f>
        <v>-0</v>
      </c>
      <c r="AE90" s="418"/>
      <c r="AF90" s="418" t="n">
        <f aca="false">(BaseLoad!F89*'Base Hours'!V90*'Base Hours'!$AA90)*-1</f>
        <v>-0</v>
      </c>
      <c r="AG90" s="418"/>
    </row>
    <row r="91" customFormat="false" ht="12.75" hidden="false" customHeight="false" outlineLevel="0" collapsed="false">
      <c r="A91" s="400" t="n">
        <f aca="false">A90+30.417</f>
        <v>39003.777</v>
      </c>
      <c r="B91" s="417" t="str">
        <f aca="false">IF($A$1="Peak","-",'Base Hours'!B91*BaseLoad!H90*'Base Hours'!$AA91)</f>
        <v>-</v>
      </c>
      <c r="C91" s="417" t="str">
        <f aca="false">IF($A$1="Peak","-",'Base Hours'!C91*BaseLoad!I90*'Base Hours'!$AA91)</f>
        <v>-</v>
      </c>
      <c r="D91" s="417" t="str">
        <f aca="false">IF($A$1="Peak","-",'Base Hours'!D91*BaseLoad!J90*'Base Hours'!$AA91)</f>
        <v>-</v>
      </c>
      <c r="E91" s="417" t="str">
        <f aca="false">IF($A$1="Peak","-",'Base Hours'!E91*BaseLoad!K90*'Base Hours'!$AA91)</f>
        <v>-</v>
      </c>
      <c r="F91" s="417" t="str">
        <f aca="false">IF($A$1="Peak","-",'Base Hours'!F91*BaseLoad!L90*'Base Hours'!$AA91)</f>
        <v>-</v>
      </c>
      <c r="G91" s="417" t="str">
        <f aca="false">IF($A$1="Peak","-",'Base Hours'!G91*BaseLoad!M90*'Base Hours'!$AA91)</f>
        <v>-</v>
      </c>
      <c r="H91" s="417" t="str">
        <f aca="false">IF($A$1="Peak","-",'Base Hours'!H91*BaseLoad!N90*'Base Hours'!$AA91)</f>
        <v>-</v>
      </c>
      <c r="I91" s="417" t="str">
        <f aca="false">IF($A$1="Peak","-",'Base Hours'!I91*BaseLoad!O90*'Base Hours'!$AA91)</f>
        <v>-</v>
      </c>
      <c r="J91" s="417" t="str">
        <f aca="false">IF($A$1="Peak","-",'Base Hours'!J91*BaseLoad!P90*'Base Hours'!$AA91)</f>
        <v>-</v>
      </c>
      <c r="K91" s="417" t="str">
        <f aca="false">IF($A$1="Peak","-",'Base Hours'!K91*BaseLoad!Q90*'Base Hours'!$AA91)</f>
        <v>-</v>
      </c>
      <c r="L91" s="417" t="str">
        <f aca="false">IF($A$1="Peak","-",'Base Hours'!L91*BaseLoad!R90*'Base Hours'!$AA91)</f>
        <v>-</v>
      </c>
      <c r="M91" s="417" t="str">
        <f aca="false">IF($A$1="Peak","-",'Base Hours'!M91*BaseLoad!S90*'Base Hours'!$AA91)</f>
        <v>-</v>
      </c>
      <c r="N91" s="417" t="str">
        <f aca="false">IF($A$1="Peak","-",'Base Hours'!N91*BaseLoad!T90*'Base Hours'!$AA91)</f>
        <v>-</v>
      </c>
      <c r="O91" s="417" t="str">
        <f aca="false">IF($A$1="Peak","-",'Base Hours'!O91*BaseLoad!U90*'Base Hours'!$AA91)</f>
        <v>-</v>
      </c>
      <c r="P91" s="417" t="str">
        <f aca="false">IF($A$1="Peak","-",'Base Hours'!P91*BaseLoad!V90*'Base Hours'!$AA91)</f>
        <v>-</v>
      </c>
      <c r="Q91" s="417" t="str">
        <f aca="false">IF($A$1="Peak","-",'Base Hours'!Q91*BaseLoad!W90*'Base Hours'!$AA91)</f>
        <v>-</v>
      </c>
      <c r="R91" s="417" t="str">
        <f aca="false">IF($A$1="Peak","-",'Base Hours'!R91*BaseLoad!X90*'Base Hours'!$AA91)</f>
        <v>-</v>
      </c>
      <c r="S91" s="417" t="str">
        <f aca="false">IF($A$1="Peak","-",'Base Hours'!S91*BaseLoad!Y90*'Base Hours'!$AA91)</f>
        <v>-</v>
      </c>
      <c r="T91" s="417" t="str">
        <f aca="false">IF($A$1="Peak","-",'Base Hours'!T91*BaseLoad!Z90*'Base Hours'!$AA91)</f>
        <v>-</v>
      </c>
      <c r="U91" s="417" t="str">
        <f aca="false">IF($A$1="Peak","-",'Base Hours'!U91*BaseLoad!AA90*'Base Hours'!$AA91)</f>
        <v>-</v>
      </c>
      <c r="V91" s="417" t="n">
        <f aca="false">SUM(B91:U91)-(MAX(B91:U91))</f>
        <v>0</v>
      </c>
      <c r="W91" s="417"/>
      <c r="X91" s="417"/>
      <c r="Y91" s="418"/>
      <c r="Z91" s="418" t="n">
        <f aca="false">(BaseLoad!C90*'Base Hours'!V91*'Base Hours'!$AA91)*-1</f>
        <v>-0</v>
      </c>
      <c r="AA91" s="418"/>
      <c r="AB91" s="418" t="n">
        <f aca="false">(BaseLoad!D90*'Base Hours'!V91*'Base Hours'!$AA91)*-1</f>
        <v>-0</v>
      </c>
      <c r="AC91" s="418"/>
      <c r="AD91" s="418" t="n">
        <f aca="false">(BaseLoad!E90*'Base Hours'!V91*'Base Hours'!$AA91)*-1</f>
        <v>-0</v>
      </c>
      <c r="AE91" s="418"/>
      <c r="AF91" s="418" t="n">
        <f aca="false">(BaseLoad!F90*'Base Hours'!V91*'Base Hours'!$AA91)*-1</f>
        <v>-0</v>
      </c>
      <c r="AG91" s="418"/>
    </row>
    <row r="92" customFormat="false" ht="12.75" hidden="false" customHeight="false" outlineLevel="0" collapsed="false">
      <c r="A92" s="400" t="n">
        <f aca="false">A91+30.417</f>
        <v>39034.194</v>
      </c>
      <c r="B92" s="417" t="str">
        <f aca="false">IF($A$1="Peak","-",'Base Hours'!B92*BaseLoad!H91*'Base Hours'!$AA92)</f>
        <v>-</v>
      </c>
      <c r="C92" s="417" t="str">
        <f aca="false">IF($A$1="Peak","-",'Base Hours'!C92*BaseLoad!I91*'Base Hours'!$AA92)</f>
        <v>-</v>
      </c>
      <c r="D92" s="417" t="str">
        <f aca="false">IF($A$1="Peak","-",'Base Hours'!D92*BaseLoad!J91*'Base Hours'!$AA92)</f>
        <v>-</v>
      </c>
      <c r="E92" s="417" t="str">
        <f aca="false">IF($A$1="Peak","-",'Base Hours'!E92*BaseLoad!K91*'Base Hours'!$AA92)</f>
        <v>-</v>
      </c>
      <c r="F92" s="417" t="str">
        <f aca="false">IF($A$1="Peak","-",'Base Hours'!F92*BaseLoad!L91*'Base Hours'!$AA92)</f>
        <v>-</v>
      </c>
      <c r="G92" s="417" t="str">
        <f aca="false">IF($A$1="Peak","-",'Base Hours'!G92*BaseLoad!M91*'Base Hours'!$AA92)</f>
        <v>-</v>
      </c>
      <c r="H92" s="417" t="str">
        <f aca="false">IF($A$1="Peak","-",'Base Hours'!H92*BaseLoad!N91*'Base Hours'!$AA92)</f>
        <v>-</v>
      </c>
      <c r="I92" s="417" t="str">
        <f aca="false">IF($A$1="Peak","-",'Base Hours'!I92*BaseLoad!O91*'Base Hours'!$AA92)</f>
        <v>-</v>
      </c>
      <c r="J92" s="417" t="str">
        <f aca="false">IF($A$1="Peak","-",'Base Hours'!J92*BaseLoad!P91*'Base Hours'!$AA92)</f>
        <v>-</v>
      </c>
      <c r="K92" s="417" t="str">
        <f aca="false">IF($A$1="Peak","-",'Base Hours'!K92*BaseLoad!Q91*'Base Hours'!$AA92)</f>
        <v>-</v>
      </c>
      <c r="L92" s="417" t="str">
        <f aca="false">IF($A$1="Peak","-",'Base Hours'!L92*BaseLoad!R91*'Base Hours'!$AA92)</f>
        <v>-</v>
      </c>
      <c r="M92" s="417" t="str">
        <f aca="false">IF($A$1="Peak","-",'Base Hours'!M92*BaseLoad!S91*'Base Hours'!$AA92)</f>
        <v>-</v>
      </c>
      <c r="N92" s="417" t="str">
        <f aca="false">IF($A$1="Peak","-",'Base Hours'!N92*BaseLoad!T91*'Base Hours'!$AA92)</f>
        <v>-</v>
      </c>
      <c r="O92" s="417" t="str">
        <f aca="false">IF($A$1="Peak","-",'Base Hours'!O92*BaseLoad!U91*'Base Hours'!$AA92)</f>
        <v>-</v>
      </c>
      <c r="P92" s="417" t="str">
        <f aca="false">IF($A$1="Peak","-",'Base Hours'!P92*BaseLoad!V91*'Base Hours'!$AA92)</f>
        <v>-</v>
      </c>
      <c r="Q92" s="417" t="str">
        <f aca="false">IF($A$1="Peak","-",'Base Hours'!Q92*BaseLoad!W91*'Base Hours'!$AA92)</f>
        <v>-</v>
      </c>
      <c r="R92" s="417" t="str">
        <f aca="false">IF($A$1="Peak","-",'Base Hours'!R92*BaseLoad!X91*'Base Hours'!$AA92)</f>
        <v>-</v>
      </c>
      <c r="S92" s="417" t="str">
        <f aca="false">IF($A$1="Peak","-",'Base Hours'!S92*BaseLoad!Y91*'Base Hours'!$AA92)</f>
        <v>-</v>
      </c>
      <c r="T92" s="417" t="str">
        <f aca="false">IF($A$1="Peak","-",'Base Hours'!T92*BaseLoad!Z91*'Base Hours'!$AA92)</f>
        <v>-</v>
      </c>
      <c r="U92" s="417" t="str">
        <f aca="false">IF($A$1="Peak","-",'Base Hours'!U92*BaseLoad!AA91*'Base Hours'!$AA92)</f>
        <v>-</v>
      </c>
      <c r="V92" s="417" t="n">
        <f aca="false">SUM(B92:U92)-(MAX(B92:U92))</f>
        <v>0</v>
      </c>
      <c r="W92" s="417"/>
      <c r="X92" s="417"/>
      <c r="Y92" s="418"/>
      <c r="Z92" s="418" t="n">
        <f aca="false">(BaseLoad!C91*'Base Hours'!V92*'Base Hours'!$AA92)*-1</f>
        <v>-0</v>
      </c>
      <c r="AA92" s="418"/>
      <c r="AB92" s="418" t="n">
        <f aca="false">(BaseLoad!D91*'Base Hours'!V92*'Base Hours'!$AA92)*-1</f>
        <v>-0</v>
      </c>
      <c r="AC92" s="418"/>
      <c r="AD92" s="418" t="n">
        <f aca="false">(BaseLoad!E91*'Base Hours'!V92*'Base Hours'!$AA92)*-1</f>
        <v>-0</v>
      </c>
      <c r="AE92" s="418"/>
      <c r="AF92" s="418" t="n">
        <f aca="false">(BaseLoad!F91*'Base Hours'!V92*'Base Hours'!$AA92)*-1</f>
        <v>-0</v>
      </c>
      <c r="AG92" s="418"/>
    </row>
    <row r="93" customFormat="false" ht="12.75" hidden="false" customHeight="false" outlineLevel="0" collapsed="false">
      <c r="A93" s="400" t="n">
        <f aca="false">A92+30.417</f>
        <v>39064.611</v>
      </c>
      <c r="B93" s="417" t="str">
        <f aca="false">IF($A$1="Peak","-",'Base Hours'!B93*BaseLoad!H92*'Base Hours'!$AA93)</f>
        <v>-</v>
      </c>
      <c r="C93" s="417" t="str">
        <f aca="false">IF($A$1="Peak","-",'Base Hours'!C93*BaseLoad!I92*'Base Hours'!$AA93)</f>
        <v>-</v>
      </c>
      <c r="D93" s="417" t="str">
        <f aca="false">IF($A$1="Peak","-",'Base Hours'!D93*BaseLoad!J92*'Base Hours'!$AA93)</f>
        <v>-</v>
      </c>
      <c r="E93" s="417" t="str">
        <f aca="false">IF($A$1="Peak","-",'Base Hours'!E93*BaseLoad!K92*'Base Hours'!$AA93)</f>
        <v>-</v>
      </c>
      <c r="F93" s="417" t="str">
        <f aca="false">IF($A$1="Peak","-",'Base Hours'!F93*BaseLoad!L92*'Base Hours'!$AA93)</f>
        <v>-</v>
      </c>
      <c r="G93" s="417" t="str">
        <f aca="false">IF($A$1="Peak","-",'Base Hours'!G93*BaseLoad!M92*'Base Hours'!$AA93)</f>
        <v>-</v>
      </c>
      <c r="H93" s="417" t="str">
        <f aca="false">IF($A$1="Peak","-",'Base Hours'!H93*BaseLoad!N92*'Base Hours'!$AA93)</f>
        <v>-</v>
      </c>
      <c r="I93" s="417" t="str">
        <f aca="false">IF($A$1="Peak","-",'Base Hours'!I93*BaseLoad!O92*'Base Hours'!$AA93)</f>
        <v>-</v>
      </c>
      <c r="J93" s="417" t="str">
        <f aca="false">IF($A$1="Peak","-",'Base Hours'!J93*BaseLoad!P92*'Base Hours'!$AA93)</f>
        <v>-</v>
      </c>
      <c r="K93" s="417" t="str">
        <f aca="false">IF($A$1="Peak","-",'Base Hours'!K93*BaseLoad!Q92*'Base Hours'!$AA93)</f>
        <v>-</v>
      </c>
      <c r="L93" s="417" t="str">
        <f aca="false">IF($A$1="Peak","-",'Base Hours'!L93*BaseLoad!R92*'Base Hours'!$AA93)</f>
        <v>-</v>
      </c>
      <c r="M93" s="417" t="str">
        <f aca="false">IF($A$1="Peak","-",'Base Hours'!M93*BaseLoad!S92*'Base Hours'!$AA93)</f>
        <v>-</v>
      </c>
      <c r="N93" s="417" t="str">
        <f aca="false">IF($A$1="Peak","-",'Base Hours'!N93*BaseLoad!T92*'Base Hours'!$AA93)</f>
        <v>-</v>
      </c>
      <c r="O93" s="417" t="str">
        <f aca="false">IF($A$1="Peak","-",'Base Hours'!O93*BaseLoad!U92*'Base Hours'!$AA93)</f>
        <v>-</v>
      </c>
      <c r="P93" s="417" t="str">
        <f aca="false">IF($A$1="Peak","-",'Base Hours'!P93*BaseLoad!V92*'Base Hours'!$AA93)</f>
        <v>-</v>
      </c>
      <c r="Q93" s="417" t="str">
        <f aca="false">IF($A$1="Peak","-",'Base Hours'!Q93*BaseLoad!W92*'Base Hours'!$AA93)</f>
        <v>-</v>
      </c>
      <c r="R93" s="417" t="str">
        <f aca="false">IF($A$1="Peak","-",'Base Hours'!R93*BaseLoad!X92*'Base Hours'!$AA93)</f>
        <v>-</v>
      </c>
      <c r="S93" s="417" t="str">
        <f aca="false">IF($A$1="Peak","-",'Base Hours'!S93*BaseLoad!Y92*'Base Hours'!$AA93)</f>
        <v>-</v>
      </c>
      <c r="T93" s="417" t="str">
        <f aca="false">IF($A$1="Peak","-",'Base Hours'!T93*BaseLoad!Z92*'Base Hours'!$AA93)</f>
        <v>-</v>
      </c>
      <c r="U93" s="417" t="str">
        <f aca="false">IF($A$1="Peak","-",'Base Hours'!U93*BaseLoad!AA92*'Base Hours'!$AA93)</f>
        <v>-</v>
      </c>
      <c r="V93" s="417" t="n">
        <f aca="false">SUM(B93:U93)-(MAX(B93:U93))</f>
        <v>0</v>
      </c>
      <c r="W93" s="417"/>
      <c r="X93" s="417"/>
      <c r="Y93" s="418" t="n">
        <f aca="false">SUM(B82:U93)</f>
        <v>0</v>
      </c>
      <c r="Z93" s="418" t="n">
        <f aca="false">(BaseLoad!C92*'Base Hours'!V93*'Base Hours'!$AA93)*-1</f>
        <v>-0</v>
      </c>
      <c r="AA93" s="418" t="n">
        <f aca="false">SUM(Z82:Z93)</f>
        <v>0</v>
      </c>
      <c r="AB93" s="418" t="n">
        <f aca="false">(BaseLoad!D92*'Base Hours'!V93*'Base Hours'!$AA93)*-1</f>
        <v>-0</v>
      </c>
      <c r="AC93" s="418" t="n">
        <f aca="false">SUM(AB82:AB93)</f>
        <v>0</v>
      </c>
      <c r="AD93" s="418" t="n">
        <f aca="false">(BaseLoad!E92*'Base Hours'!V93*'Base Hours'!$AA93)*-1</f>
        <v>-0</v>
      </c>
      <c r="AE93" s="418" t="n">
        <f aca="false">SUM(AD82:AD93)</f>
        <v>0</v>
      </c>
      <c r="AF93" s="418" t="n">
        <f aca="false">(BaseLoad!F92*'Base Hours'!V93*'Base Hours'!$AA93)*-1</f>
        <v>-0</v>
      </c>
      <c r="AG93" s="418" t="n">
        <f aca="false">SUM(AF82:AF93)</f>
        <v>0</v>
      </c>
    </row>
    <row r="94" customFormat="false" ht="12.75" hidden="false" customHeight="false" outlineLevel="0" collapsed="false">
      <c r="A94" s="400" t="n">
        <f aca="false">A93+30.417</f>
        <v>39095.028</v>
      </c>
      <c r="B94" s="417" t="str">
        <f aca="false">IF($A$1="Peak","-",'Base Hours'!B94*BaseLoad!H93*'Base Hours'!$AA94)</f>
        <v>-</v>
      </c>
      <c r="C94" s="417" t="str">
        <f aca="false">IF($A$1="Peak","-",'Base Hours'!C94*BaseLoad!I93*'Base Hours'!$AA94)</f>
        <v>-</v>
      </c>
      <c r="D94" s="417" t="str">
        <f aca="false">IF($A$1="Peak","-",'Base Hours'!D94*BaseLoad!J93*'Base Hours'!$AA94)</f>
        <v>-</v>
      </c>
      <c r="E94" s="417" t="str">
        <f aca="false">IF($A$1="Peak","-",'Base Hours'!E94*BaseLoad!K93*'Base Hours'!$AA94)</f>
        <v>-</v>
      </c>
      <c r="F94" s="417" t="str">
        <f aca="false">IF($A$1="Peak","-",'Base Hours'!F94*BaseLoad!L93*'Base Hours'!$AA94)</f>
        <v>-</v>
      </c>
      <c r="G94" s="417" t="str">
        <f aca="false">IF($A$1="Peak","-",'Base Hours'!G94*BaseLoad!M93*'Base Hours'!$AA94)</f>
        <v>-</v>
      </c>
      <c r="H94" s="417" t="str">
        <f aca="false">IF($A$1="Peak","-",'Base Hours'!H94*BaseLoad!N93*'Base Hours'!$AA94)</f>
        <v>-</v>
      </c>
      <c r="I94" s="417" t="str">
        <f aca="false">IF($A$1="Peak","-",'Base Hours'!I94*BaseLoad!O93*'Base Hours'!$AA94)</f>
        <v>-</v>
      </c>
      <c r="J94" s="417" t="str">
        <f aca="false">IF($A$1="Peak","-",'Base Hours'!J94*BaseLoad!P93*'Base Hours'!$AA94)</f>
        <v>-</v>
      </c>
      <c r="K94" s="417" t="str">
        <f aca="false">IF($A$1="Peak","-",'Base Hours'!K94*BaseLoad!Q93*'Base Hours'!$AA94)</f>
        <v>-</v>
      </c>
      <c r="L94" s="417" t="str">
        <f aca="false">IF($A$1="Peak","-",'Base Hours'!L94*BaseLoad!R93*'Base Hours'!$AA94)</f>
        <v>-</v>
      </c>
      <c r="M94" s="417" t="str">
        <f aca="false">IF($A$1="Peak","-",'Base Hours'!M94*BaseLoad!S93*'Base Hours'!$AA94)</f>
        <v>-</v>
      </c>
      <c r="N94" s="417" t="str">
        <f aca="false">IF($A$1="Peak","-",'Base Hours'!N94*BaseLoad!T93*'Base Hours'!$AA94)</f>
        <v>-</v>
      </c>
      <c r="O94" s="417" t="str">
        <f aca="false">IF($A$1="Peak","-",'Base Hours'!O94*BaseLoad!U93*'Base Hours'!$AA94)</f>
        <v>-</v>
      </c>
      <c r="P94" s="417" t="str">
        <f aca="false">IF($A$1="Peak","-",'Base Hours'!P94*BaseLoad!V93*'Base Hours'!$AA94)</f>
        <v>-</v>
      </c>
      <c r="Q94" s="417" t="str">
        <f aca="false">IF($A$1="Peak","-",'Base Hours'!Q94*BaseLoad!W93*'Base Hours'!$AA94)</f>
        <v>-</v>
      </c>
      <c r="R94" s="417" t="str">
        <f aca="false">IF($A$1="Peak","-",'Base Hours'!R94*BaseLoad!X93*'Base Hours'!$AA94)</f>
        <v>-</v>
      </c>
      <c r="S94" s="417" t="str">
        <f aca="false">IF($A$1="Peak","-",'Base Hours'!S94*BaseLoad!Y93*'Base Hours'!$AA94)</f>
        <v>-</v>
      </c>
      <c r="T94" s="417" t="str">
        <f aca="false">IF($A$1="Peak","-",'Base Hours'!T94*BaseLoad!Z93*'Base Hours'!$AA94)</f>
        <v>-</v>
      </c>
      <c r="U94" s="417" t="str">
        <f aca="false">IF($A$1="Peak","-",'Base Hours'!U94*BaseLoad!AA93*'Base Hours'!$AA94)</f>
        <v>-</v>
      </c>
      <c r="V94" s="417" t="n">
        <f aca="false">SUM(B94:U94)-(MAX(B94:U94))</f>
        <v>0</v>
      </c>
      <c r="W94" s="417"/>
      <c r="X94" s="417"/>
      <c r="Y94" s="418"/>
      <c r="Z94" s="418" t="n">
        <f aca="false">(BaseLoad!C93*'Base Hours'!V94*'Base Hours'!$AA94)*-1</f>
        <v>-0</v>
      </c>
      <c r="AA94" s="418"/>
      <c r="AB94" s="418" t="n">
        <f aca="false">(BaseLoad!D93*'Base Hours'!V94*'Base Hours'!$AA94)*-1</f>
        <v>-0</v>
      </c>
      <c r="AC94" s="418"/>
      <c r="AD94" s="418" t="n">
        <f aca="false">(BaseLoad!E93*'Base Hours'!V94*'Base Hours'!$AA94)*-1</f>
        <v>-0</v>
      </c>
      <c r="AE94" s="418"/>
      <c r="AF94" s="418" t="n">
        <f aca="false">(BaseLoad!F93*'Base Hours'!V94*'Base Hours'!$AA94)*-1</f>
        <v>-0</v>
      </c>
      <c r="AG94" s="418"/>
    </row>
    <row r="95" customFormat="false" ht="12.75" hidden="false" customHeight="false" outlineLevel="0" collapsed="false">
      <c r="A95" s="400" t="n">
        <f aca="false">A94+30.417</f>
        <v>39125.445</v>
      </c>
      <c r="B95" s="417" t="str">
        <f aca="false">IF($A$1="Peak","-",'Base Hours'!B95*BaseLoad!H94*'Base Hours'!$AA95)</f>
        <v>-</v>
      </c>
      <c r="C95" s="417" t="str">
        <f aca="false">IF($A$1="Peak","-",'Base Hours'!C95*BaseLoad!I94*'Base Hours'!$AA95)</f>
        <v>-</v>
      </c>
      <c r="D95" s="417" t="str">
        <f aca="false">IF($A$1="Peak","-",'Base Hours'!D95*BaseLoad!J94*'Base Hours'!$AA95)</f>
        <v>-</v>
      </c>
      <c r="E95" s="417" t="str">
        <f aca="false">IF($A$1="Peak","-",'Base Hours'!E95*BaseLoad!K94*'Base Hours'!$AA95)</f>
        <v>-</v>
      </c>
      <c r="F95" s="417" t="str">
        <f aca="false">IF($A$1="Peak","-",'Base Hours'!F95*BaseLoad!L94*'Base Hours'!$AA95)</f>
        <v>-</v>
      </c>
      <c r="G95" s="417" t="str">
        <f aca="false">IF($A$1="Peak","-",'Base Hours'!G95*BaseLoad!M94*'Base Hours'!$AA95)</f>
        <v>-</v>
      </c>
      <c r="H95" s="417" t="str">
        <f aca="false">IF($A$1="Peak","-",'Base Hours'!H95*BaseLoad!N94*'Base Hours'!$AA95)</f>
        <v>-</v>
      </c>
      <c r="I95" s="417" t="str">
        <f aca="false">IF($A$1="Peak","-",'Base Hours'!I95*BaseLoad!O94*'Base Hours'!$AA95)</f>
        <v>-</v>
      </c>
      <c r="J95" s="417" t="str">
        <f aca="false">IF($A$1="Peak","-",'Base Hours'!J95*BaseLoad!P94*'Base Hours'!$AA95)</f>
        <v>-</v>
      </c>
      <c r="K95" s="417" t="str">
        <f aca="false">IF($A$1="Peak","-",'Base Hours'!K95*BaseLoad!Q94*'Base Hours'!$AA95)</f>
        <v>-</v>
      </c>
      <c r="L95" s="417" t="str">
        <f aca="false">IF($A$1="Peak","-",'Base Hours'!L95*BaseLoad!R94*'Base Hours'!$AA95)</f>
        <v>-</v>
      </c>
      <c r="M95" s="417" t="str">
        <f aca="false">IF($A$1="Peak","-",'Base Hours'!M95*BaseLoad!S94*'Base Hours'!$AA95)</f>
        <v>-</v>
      </c>
      <c r="N95" s="417" t="str">
        <f aca="false">IF($A$1="Peak","-",'Base Hours'!N95*BaseLoad!T94*'Base Hours'!$AA95)</f>
        <v>-</v>
      </c>
      <c r="O95" s="417" t="str">
        <f aca="false">IF($A$1="Peak","-",'Base Hours'!O95*BaseLoad!U94*'Base Hours'!$AA95)</f>
        <v>-</v>
      </c>
      <c r="P95" s="417" t="str">
        <f aca="false">IF($A$1="Peak","-",'Base Hours'!P95*BaseLoad!V94*'Base Hours'!$AA95)</f>
        <v>-</v>
      </c>
      <c r="Q95" s="417" t="str">
        <f aca="false">IF($A$1="Peak","-",'Base Hours'!Q95*BaseLoad!W94*'Base Hours'!$AA95)</f>
        <v>-</v>
      </c>
      <c r="R95" s="417" t="str">
        <f aca="false">IF($A$1="Peak","-",'Base Hours'!R95*BaseLoad!X94*'Base Hours'!$AA95)</f>
        <v>-</v>
      </c>
      <c r="S95" s="417" t="str">
        <f aca="false">IF($A$1="Peak","-",'Base Hours'!S95*BaseLoad!Y94*'Base Hours'!$AA95)</f>
        <v>-</v>
      </c>
      <c r="T95" s="417" t="str">
        <f aca="false">IF($A$1="Peak","-",'Base Hours'!T95*BaseLoad!Z94*'Base Hours'!$AA95)</f>
        <v>-</v>
      </c>
      <c r="U95" s="417" t="str">
        <f aca="false">IF($A$1="Peak","-",'Base Hours'!U95*BaseLoad!AA94*'Base Hours'!$AA95)</f>
        <v>-</v>
      </c>
      <c r="V95" s="417" t="n">
        <f aca="false">SUM(B95:U95)-(MAX(B95:U95))</f>
        <v>0</v>
      </c>
      <c r="W95" s="417"/>
      <c r="X95" s="417"/>
      <c r="Y95" s="418"/>
      <c r="Z95" s="418" t="n">
        <f aca="false">(BaseLoad!C94*'Base Hours'!V95*'Base Hours'!$AA95)*-1</f>
        <v>-0</v>
      </c>
      <c r="AA95" s="418"/>
      <c r="AB95" s="418" t="n">
        <f aca="false">(BaseLoad!D94*'Base Hours'!V95*'Base Hours'!$AA95)*-1</f>
        <v>-0</v>
      </c>
      <c r="AC95" s="418"/>
      <c r="AD95" s="418" t="n">
        <f aca="false">(BaseLoad!E94*'Base Hours'!V95*'Base Hours'!$AA95)*-1</f>
        <v>-0</v>
      </c>
      <c r="AE95" s="418"/>
      <c r="AF95" s="418" t="n">
        <f aca="false">(BaseLoad!F94*'Base Hours'!V95*'Base Hours'!$AA95)*-1</f>
        <v>-0</v>
      </c>
      <c r="AG95" s="418"/>
    </row>
    <row r="96" customFormat="false" ht="12.75" hidden="false" customHeight="false" outlineLevel="0" collapsed="false">
      <c r="A96" s="400" t="n">
        <f aca="false">A95+30.417</f>
        <v>39155.862</v>
      </c>
      <c r="B96" s="417" t="str">
        <f aca="false">IF($A$1="Peak","-",'Base Hours'!B96*BaseLoad!H95*'Base Hours'!$AA96)</f>
        <v>-</v>
      </c>
      <c r="C96" s="417" t="str">
        <f aca="false">IF($A$1="Peak","-",'Base Hours'!C96*BaseLoad!I95*'Base Hours'!$AA96)</f>
        <v>-</v>
      </c>
      <c r="D96" s="417" t="str">
        <f aca="false">IF($A$1="Peak","-",'Base Hours'!D96*BaseLoad!J95*'Base Hours'!$AA96)</f>
        <v>-</v>
      </c>
      <c r="E96" s="417" t="str">
        <f aca="false">IF($A$1="Peak","-",'Base Hours'!E96*BaseLoad!K95*'Base Hours'!$AA96)</f>
        <v>-</v>
      </c>
      <c r="F96" s="417" t="str">
        <f aca="false">IF($A$1="Peak","-",'Base Hours'!F96*BaseLoad!L95*'Base Hours'!$AA96)</f>
        <v>-</v>
      </c>
      <c r="G96" s="417" t="str">
        <f aca="false">IF($A$1="Peak","-",'Base Hours'!G96*BaseLoad!M95*'Base Hours'!$AA96)</f>
        <v>-</v>
      </c>
      <c r="H96" s="417" t="str">
        <f aca="false">IF($A$1="Peak","-",'Base Hours'!H96*BaseLoad!N95*'Base Hours'!$AA96)</f>
        <v>-</v>
      </c>
      <c r="I96" s="417" t="str">
        <f aca="false">IF($A$1="Peak","-",'Base Hours'!I96*BaseLoad!O95*'Base Hours'!$AA96)</f>
        <v>-</v>
      </c>
      <c r="J96" s="417" t="str">
        <f aca="false">IF($A$1="Peak","-",'Base Hours'!J96*BaseLoad!P95*'Base Hours'!$AA96)</f>
        <v>-</v>
      </c>
      <c r="K96" s="417" t="str">
        <f aca="false">IF($A$1="Peak","-",'Base Hours'!K96*BaseLoad!Q95*'Base Hours'!$AA96)</f>
        <v>-</v>
      </c>
      <c r="L96" s="417" t="str">
        <f aca="false">IF($A$1="Peak","-",'Base Hours'!L96*BaseLoad!R95*'Base Hours'!$AA96)</f>
        <v>-</v>
      </c>
      <c r="M96" s="417" t="str">
        <f aca="false">IF($A$1="Peak","-",'Base Hours'!M96*BaseLoad!S95*'Base Hours'!$AA96)</f>
        <v>-</v>
      </c>
      <c r="N96" s="417" t="str">
        <f aca="false">IF($A$1="Peak","-",'Base Hours'!N96*BaseLoad!T95*'Base Hours'!$AA96)</f>
        <v>-</v>
      </c>
      <c r="O96" s="417" t="str">
        <f aca="false">IF($A$1="Peak","-",'Base Hours'!O96*BaseLoad!U95*'Base Hours'!$AA96)</f>
        <v>-</v>
      </c>
      <c r="P96" s="417" t="str">
        <f aca="false">IF($A$1="Peak","-",'Base Hours'!P96*BaseLoad!V95*'Base Hours'!$AA96)</f>
        <v>-</v>
      </c>
      <c r="Q96" s="417" t="str">
        <f aca="false">IF($A$1="Peak","-",'Base Hours'!Q96*BaseLoad!W95*'Base Hours'!$AA96)</f>
        <v>-</v>
      </c>
      <c r="R96" s="417" t="str">
        <f aca="false">IF($A$1="Peak","-",'Base Hours'!R96*BaseLoad!X95*'Base Hours'!$AA96)</f>
        <v>-</v>
      </c>
      <c r="S96" s="417" t="str">
        <f aca="false">IF($A$1="Peak","-",'Base Hours'!S96*BaseLoad!Y95*'Base Hours'!$AA96)</f>
        <v>-</v>
      </c>
      <c r="T96" s="417" t="str">
        <f aca="false">IF($A$1="Peak","-",'Base Hours'!T96*BaseLoad!Z95*'Base Hours'!$AA96)</f>
        <v>-</v>
      </c>
      <c r="U96" s="417" t="str">
        <f aca="false">IF($A$1="Peak","-",'Base Hours'!U96*BaseLoad!AA95*'Base Hours'!$AA96)</f>
        <v>-</v>
      </c>
      <c r="V96" s="417" t="n">
        <f aca="false">SUM(B96:U96)-(MAX(B96:U96))</f>
        <v>0</v>
      </c>
      <c r="W96" s="417"/>
      <c r="X96" s="417"/>
      <c r="Y96" s="418"/>
      <c r="Z96" s="418" t="n">
        <f aca="false">(BaseLoad!C95*'Base Hours'!V96*'Base Hours'!$AA96)*-1</f>
        <v>-0</v>
      </c>
      <c r="AA96" s="418"/>
      <c r="AB96" s="418" t="n">
        <f aca="false">(BaseLoad!D95*'Base Hours'!V96*'Base Hours'!$AA96)*-1</f>
        <v>-0</v>
      </c>
      <c r="AC96" s="418"/>
      <c r="AD96" s="418" t="n">
        <f aca="false">(BaseLoad!E95*'Base Hours'!V96*'Base Hours'!$AA96)*-1</f>
        <v>-0</v>
      </c>
      <c r="AE96" s="418"/>
      <c r="AF96" s="418" t="n">
        <f aca="false">(BaseLoad!F95*'Base Hours'!V96*'Base Hours'!$AA96)*-1</f>
        <v>-0</v>
      </c>
      <c r="AG96" s="418"/>
    </row>
    <row r="97" customFormat="false" ht="12.75" hidden="false" customHeight="false" outlineLevel="0" collapsed="false">
      <c r="A97" s="400" t="n">
        <f aca="false">A96+30.417</f>
        <v>39186.279</v>
      </c>
      <c r="B97" s="417" t="str">
        <f aca="false">IF($A$1="Peak","-",'Base Hours'!B97*BaseLoad!H96*'Base Hours'!$AA97)</f>
        <v>-</v>
      </c>
      <c r="C97" s="417" t="str">
        <f aca="false">IF($A$1="Peak","-",'Base Hours'!C97*BaseLoad!I96*'Base Hours'!$AA97)</f>
        <v>-</v>
      </c>
      <c r="D97" s="417" t="str">
        <f aca="false">IF($A$1="Peak","-",'Base Hours'!D97*BaseLoad!J96*'Base Hours'!$AA97)</f>
        <v>-</v>
      </c>
      <c r="E97" s="417" t="str">
        <f aca="false">IF($A$1="Peak","-",'Base Hours'!E97*BaseLoad!K96*'Base Hours'!$AA97)</f>
        <v>-</v>
      </c>
      <c r="F97" s="417" t="str">
        <f aca="false">IF($A$1="Peak","-",'Base Hours'!F97*BaseLoad!L96*'Base Hours'!$AA97)</f>
        <v>-</v>
      </c>
      <c r="G97" s="417" t="str">
        <f aca="false">IF($A$1="Peak","-",'Base Hours'!G97*BaseLoad!M96*'Base Hours'!$AA97)</f>
        <v>-</v>
      </c>
      <c r="H97" s="417" t="str">
        <f aca="false">IF($A$1="Peak","-",'Base Hours'!H97*BaseLoad!N96*'Base Hours'!$AA97)</f>
        <v>-</v>
      </c>
      <c r="I97" s="417" t="str">
        <f aca="false">IF($A$1="Peak","-",'Base Hours'!I97*BaseLoad!O96*'Base Hours'!$AA97)</f>
        <v>-</v>
      </c>
      <c r="J97" s="417" t="str">
        <f aca="false">IF($A$1="Peak","-",'Base Hours'!J97*BaseLoad!P96*'Base Hours'!$AA97)</f>
        <v>-</v>
      </c>
      <c r="K97" s="417" t="str">
        <f aca="false">IF($A$1="Peak","-",'Base Hours'!K97*BaseLoad!Q96*'Base Hours'!$AA97)</f>
        <v>-</v>
      </c>
      <c r="L97" s="417" t="str">
        <f aca="false">IF($A$1="Peak","-",'Base Hours'!L97*BaseLoad!R96*'Base Hours'!$AA97)</f>
        <v>-</v>
      </c>
      <c r="M97" s="417" t="str">
        <f aca="false">IF($A$1="Peak","-",'Base Hours'!M97*BaseLoad!S96*'Base Hours'!$AA97)</f>
        <v>-</v>
      </c>
      <c r="N97" s="417" t="str">
        <f aca="false">IF($A$1="Peak","-",'Base Hours'!N97*BaseLoad!T96*'Base Hours'!$AA97)</f>
        <v>-</v>
      </c>
      <c r="O97" s="417" t="str">
        <f aca="false">IF($A$1="Peak","-",'Base Hours'!O97*BaseLoad!U96*'Base Hours'!$AA97)</f>
        <v>-</v>
      </c>
      <c r="P97" s="417" t="str">
        <f aca="false">IF($A$1="Peak","-",'Base Hours'!P97*BaseLoad!V96*'Base Hours'!$AA97)</f>
        <v>-</v>
      </c>
      <c r="Q97" s="417" t="str">
        <f aca="false">IF($A$1="Peak","-",'Base Hours'!Q97*BaseLoad!W96*'Base Hours'!$AA97)</f>
        <v>-</v>
      </c>
      <c r="R97" s="417" t="str">
        <f aca="false">IF($A$1="Peak","-",'Base Hours'!R97*BaseLoad!X96*'Base Hours'!$AA97)</f>
        <v>-</v>
      </c>
      <c r="S97" s="417" t="str">
        <f aca="false">IF($A$1="Peak","-",'Base Hours'!S97*BaseLoad!Y96*'Base Hours'!$AA97)</f>
        <v>-</v>
      </c>
      <c r="T97" s="417" t="str">
        <f aca="false">IF($A$1="Peak","-",'Base Hours'!T97*BaseLoad!Z96*'Base Hours'!$AA97)</f>
        <v>-</v>
      </c>
      <c r="U97" s="417" t="str">
        <f aca="false">IF($A$1="Peak","-",'Base Hours'!U97*BaseLoad!AA96*'Base Hours'!$AA97)</f>
        <v>-</v>
      </c>
      <c r="V97" s="417" t="n">
        <f aca="false">SUM(B97:U97)-(MAX(B97:U97))</f>
        <v>0</v>
      </c>
      <c r="W97" s="417"/>
      <c r="X97" s="417"/>
      <c r="Y97" s="418"/>
      <c r="Z97" s="418" t="n">
        <f aca="false">(BaseLoad!C96*'Base Hours'!V97*'Base Hours'!$AA97)*-1</f>
        <v>-0</v>
      </c>
      <c r="AA97" s="418"/>
      <c r="AB97" s="418" t="n">
        <f aca="false">(BaseLoad!D96*'Base Hours'!V97*'Base Hours'!$AA97)*-1</f>
        <v>-0</v>
      </c>
      <c r="AC97" s="418"/>
      <c r="AD97" s="418" t="n">
        <f aca="false">(BaseLoad!E96*'Base Hours'!V97*'Base Hours'!$AA97)*-1</f>
        <v>-0</v>
      </c>
      <c r="AE97" s="418"/>
      <c r="AF97" s="418" t="n">
        <f aca="false">(BaseLoad!F96*'Base Hours'!V97*'Base Hours'!$AA97)*-1</f>
        <v>-0</v>
      </c>
      <c r="AG97" s="418"/>
    </row>
    <row r="98" customFormat="false" ht="12.75" hidden="false" customHeight="false" outlineLevel="0" collapsed="false">
      <c r="A98" s="400" t="n">
        <f aca="false">A97+30.417</f>
        <v>39216.696</v>
      </c>
      <c r="B98" s="417" t="str">
        <f aca="false">IF($A$1="Peak","-",'Base Hours'!B98*BaseLoad!H97*'Base Hours'!$AA98)</f>
        <v>-</v>
      </c>
      <c r="C98" s="417" t="str">
        <f aca="false">IF($A$1="Peak","-",'Base Hours'!C98*BaseLoad!I97*'Base Hours'!$AA98)</f>
        <v>-</v>
      </c>
      <c r="D98" s="417" t="str">
        <f aca="false">IF($A$1="Peak","-",'Base Hours'!D98*BaseLoad!J97*'Base Hours'!$AA98)</f>
        <v>-</v>
      </c>
      <c r="E98" s="417" t="str">
        <f aca="false">IF($A$1="Peak","-",'Base Hours'!E98*BaseLoad!K97*'Base Hours'!$AA98)</f>
        <v>-</v>
      </c>
      <c r="F98" s="417" t="str">
        <f aca="false">IF($A$1="Peak","-",'Base Hours'!F98*BaseLoad!L97*'Base Hours'!$AA98)</f>
        <v>-</v>
      </c>
      <c r="G98" s="417" t="str">
        <f aca="false">IF($A$1="Peak","-",'Base Hours'!G98*BaseLoad!M97*'Base Hours'!$AA98)</f>
        <v>-</v>
      </c>
      <c r="H98" s="417" t="str">
        <f aca="false">IF($A$1="Peak","-",'Base Hours'!H98*BaseLoad!N97*'Base Hours'!$AA98)</f>
        <v>-</v>
      </c>
      <c r="I98" s="417" t="str">
        <f aca="false">IF($A$1="Peak","-",'Base Hours'!I98*BaseLoad!O97*'Base Hours'!$AA98)</f>
        <v>-</v>
      </c>
      <c r="J98" s="417" t="str">
        <f aca="false">IF($A$1="Peak","-",'Base Hours'!J98*BaseLoad!P97*'Base Hours'!$AA98)</f>
        <v>-</v>
      </c>
      <c r="K98" s="417" t="str">
        <f aca="false">IF($A$1="Peak","-",'Base Hours'!K98*BaseLoad!Q97*'Base Hours'!$AA98)</f>
        <v>-</v>
      </c>
      <c r="L98" s="417" t="str">
        <f aca="false">IF($A$1="Peak","-",'Base Hours'!L98*BaseLoad!R97*'Base Hours'!$AA98)</f>
        <v>-</v>
      </c>
      <c r="M98" s="417" t="str">
        <f aca="false">IF($A$1="Peak","-",'Base Hours'!M98*BaseLoad!S97*'Base Hours'!$AA98)</f>
        <v>-</v>
      </c>
      <c r="N98" s="417" t="str">
        <f aca="false">IF($A$1="Peak","-",'Base Hours'!N98*BaseLoad!T97*'Base Hours'!$AA98)</f>
        <v>-</v>
      </c>
      <c r="O98" s="417" t="str">
        <f aca="false">IF($A$1="Peak","-",'Base Hours'!O98*BaseLoad!U97*'Base Hours'!$AA98)</f>
        <v>-</v>
      </c>
      <c r="P98" s="417" t="str">
        <f aca="false">IF($A$1="Peak","-",'Base Hours'!P98*BaseLoad!V97*'Base Hours'!$AA98)</f>
        <v>-</v>
      </c>
      <c r="Q98" s="417" t="str">
        <f aca="false">IF($A$1="Peak","-",'Base Hours'!Q98*BaseLoad!W97*'Base Hours'!$AA98)</f>
        <v>-</v>
      </c>
      <c r="R98" s="417" t="str">
        <f aca="false">IF($A$1="Peak","-",'Base Hours'!R98*BaseLoad!X97*'Base Hours'!$AA98)</f>
        <v>-</v>
      </c>
      <c r="S98" s="417" t="str">
        <f aca="false">IF($A$1="Peak","-",'Base Hours'!S98*BaseLoad!Y97*'Base Hours'!$AA98)</f>
        <v>-</v>
      </c>
      <c r="T98" s="417" t="str">
        <f aca="false">IF($A$1="Peak","-",'Base Hours'!T98*BaseLoad!Z97*'Base Hours'!$AA98)</f>
        <v>-</v>
      </c>
      <c r="U98" s="417" t="str">
        <f aca="false">IF($A$1="Peak","-",'Base Hours'!U98*BaseLoad!AA97*'Base Hours'!$AA98)</f>
        <v>-</v>
      </c>
      <c r="V98" s="417" t="n">
        <f aca="false">SUM(B98:U98)-(MAX(B98:U98))</f>
        <v>0</v>
      </c>
      <c r="W98" s="417"/>
      <c r="X98" s="417"/>
      <c r="Y98" s="418"/>
      <c r="Z98" s="418" t="n">
        <f aca="false">(BaseLoad!C97*'Base Hours'!V98*'Base Hours'!$AA98)*-1</f>
        <v>-0</v>
      </c>
      <c r="AA98" s="418"/>
      <c r="AB98" s="418" t="n">
        <f aca="false">(BaseLoad!D97*'Base Hours'!V98*'Base Hours'!$AA98)*-1</f>
        <v>-0</v>
      </c>
      <c r="AC98" s="418"/>
      <c r="AD98" s="418" t="n">
        <f aca="false">(BaseLoad!E97*'Base Hours'!V98*'Base Hours'!$AA98)*-1</f>
        <v>-0</v>
      </c>
      <c r="AE98" s="418"/>
      <c r="AF98" s="418" t="n">
        <f aca="false">(BaseLoad!F97*'Base Hours'!V98*'Base Hours'!$AA98)*-1</f>
        <v>-0</v>
      </c>
      <c r="AG98" s="418"/>
    </row>
    <row r="99" customFormat="false" ht="12.75" hidden="false" customHeight="false" outlineLevel="0" collapsed="false">
      <c r="A99" s="400" t="n">
        <f aca="false">A98+30.417</f>
        <v>39247.113</v>
      </c>
      <c r="B99" s="417" t="str">
        <f aca="false">IF($A$1="Peak","-",'Base Hours'!B99*BaseLoad!H98*'Base Hours'!$AA99)</f>
        <v>-</v>
      </c>
      <c r="C99" s="417" t="str">
        <f aca="false">IF($A$1="Peak","-",'Base Hours'!C99*BaseLoad!I98*'Base Hours'!$AA99)</f>
        <v>-</v>
      </c>
      <c r="D99" s="417" t="str">
        <f aca="false">IF($A$1="Peak","-",'Base Hours'!D99*BaseLoad!J98*'Base Hours'!$AA99)</f>
        <v>-</v>
      </c>
      <c r="E99" s="417" t="str">
        <f aca="false">IF($A$1="Peak","-",'Base Hours'!E99*BaseLoad!K98*'Base Hours'!$AA99)</f>
        <v>-</v>
      </c>
      <c r="F99" s="417" t="str">
        <f aca="false">IF($A$1="Peak","-",'Base Hours'!F99*BaseLoad!L98*'Base Hours'!$AA99)</f>
        <v>-</v>
      </c>
      <c r="G99" s="417" t="str">
        <f aca="false">IF($A$1="Peak","-",'Base Hours'!G99*BaseLoad!M98*'Base Hours'!$AA99)</f>
        <v>-</v>
      </c>
      <c r="H99" s="417" t="str">
        <f aca="false">IF($A$1="Peak","-",'Base Hours'!H99*BaseLoad!N98*'Base Hours'!$AA99)</f>
        <v>-</v>
      </c>
      <c r="I99" s="417" t="str">
        <f aca="false">IF($A$1="Peak","-",'Base Hours'!I99*BaseLoad!O98*'Base Hours'!$AA99)</f>
        <v>-</v>
      </c>
      <c r="J99" s="417" t="str">
        <f aca="false">IF($A$1="Peak","-",'Base Hours'!J99*BaseLoad!P98*'Base Hours'!$AA99)</f>
        <v>-</v>
      </c>
      <c r="K99" s="417" t="str">
        <f aca="false">IF($A$1="Peak","-",'Base Hours'!K99*BaseLoad!Q98*'Base Hours'!$AA99)</f>
        <v>-</v>
      </c>
      <c r="L99" s="417" t="str">
        <f aca="false">IF($A$1="Peak","-",'Base Hours'!L99*BaseLoad!R98*'Base Hours'!$AA99)</f>
        <v>-</v>
      </c>
      <c r="M99" s="417" t="str">
        <f aca="false">IF($A$1="Peak","-",'Base Hours'!M99*BaseLoad!S98*'Base Hours'!$AA99)</f>
        <v>-</v>
      </c>
      <c r="N99" s="417" t="str">
        <f aca="false">IF($A$1="Peak","-",'Base Hours'!N99*BaseLoad!T98*'Base Hours'!$AA99)</f>
        <v>-</v>
      </c>
      <c r="O99" s="417" t="str">
        <f aca="false">IF($A$1="Peak","-",'Base Hours'!O99*BaseLoad!U98*'Base Hours'!$AA99)</f>
        <v>-</v>
      </c>
      <c r="P99" s="417" t="str">
        <f aca="false">IF($A$1="Peak","-",'Base Hours'!P99*BaseLoad!V98*'Base Hours'!$AA99)</f>
        <v>-</v>
      </c>
      <c r="Q99" s="417" t="str">
        <f aca="false">IF($A$1="Peak","-",'Base Hours'!Q99*BaseLoad!W98*'Base Hours'!$AA99)</f>
        <v>-</v>
      </c>
      <c r="R99" s="417" t="str">
        <f aca="false">IF($A$1="Peak","-",'Base Hours'!R99*BaseLoad!X98*'Base Hours'!$AA99)</f>
        <v>-</v>
      </c>
      <c r="S99" s="417" t="str">
        <f aca="false">IF($A$1="Peak","-",'Base Hours'!S99*BaseLoad!Y98*'Base Hours'!$AA99)</f>
        <v>-</v>
      </c>
      <c r="T99" s="417" t="str">
        <f aca="false">IF($A$1="Peak","-",'Base Hours'!T99*BaseLoad!Z98*'Base Hours'!$AA99)</f>
        <v>-</v>
      </c>
      <c r="U99" s="417" t="str">
        <f aca="false">IF($A$1="Peak","-",'Base Hours'!U99*BaseLoad!AA98*'Base Hours'!$AA99)</f>
        <v>-</v>
      </c>
      <c r="V99" s="417" t="n">
        <f aca="false">SUM(B99:U99)-(MAX(B99:U99))</f>
        <v>0</v>
      </c>
      <c r="W99" s="417"/>
      <c r="X99" s="417"/>
      <c r="Y99" s="418"/>
      <c r="Z99" s="418" t="n">
        <f aca="false">(BaseLoad!C98*'Base Hours'!V99*'Base Hours'!$AA99)*-1</f>
        <v>-0</v>
      </c>
      <c r="AA99" s="418"/>
      <c r="AB99" s="418" t="n">
        <f aca="false">(BaseLoad!D98*'Base Hours'!V99*'Base Hours'!$AA99)*-1</f>
        <v>-0</v>
      </c>
      <c r="AC99" s="418"/>
      <c r="AD99" s="418" t="n">
        <f aca="false">(BaseLoad!E98*'Base Hours'!V99*'Base Hours'!$AA99)*-1</f>
        <v>-0</v>
      </c>
      <c r="AE99" s="418"/>
      <c r="AF99" s="418" t="n">
        <f aca="false">(BaseLoad!F98*'Base Hours'!V99*'Base Hours'!$AA99)*-1</f>
        <v>-0</v>
      </c>
      <c r="AG99" s="418"/>
    </row>
    <row r="100" customFormat="false" ht="12.75" hidden="false" customHeight="false" outlineLevel="0" collapsed="false">
      <c r="A100" s="400" t="n">
        <f aca="false">A99+30.417</f>
        <v>39277.53</v>
      </c>
      <c r="B100" s="417" t="str">
        <f aca="false">IF($A$1="Peak","-",'Base Hours'!B100*BaseLoad!H99*'Base Hours'!$AA100)</f>
        <v>-</v>
      </c>
      <c r="C100" s="417" t="str">
        <f aca="false">IF($A$1="Peak","-",'Base Hours'!C100*BaseLoad!I99*'Base Hours'!$AA100)</f>
        <v>-</v>
      </c>
      <c r="D100" s="417" t="str">
        <f aca="false">IF($A$1="Peak","-",'Base Hours'!D100*BaseLoad!J99*'Base Hours'!$AA100)</f>
        <v>-</v>
      </c>
      <c r="E100" s="417" t="str">
        <f aca="false">IF($A$1="Peak","-",'Base Hours'!E100*BaseLoad!K99*'Base Hours'!$AA100)</f>
        <v>-</v>
      </c>
      <c r="F100" s="417" t="str">
        <f aca="false">IF($A$1="Peak","-",'Base Hours'!F100*BaseLoad!L99*'Base Hours'!$AA100)</f>
        <v>-</v>
      </c>
      <c r="G100" s="417" t="str">
        <f aca="false">IF($A$1="Peak","-",'Base Hours'!G100*BaseLoad!M99*'Base Hours'!$AA100)</f>
        <v>-</v>
      </c>
      <c r="H100" s="417" t="str">
        <f aca="false">IF($A$1="Peak","-",'Base Hours'!H100*BaseLoad!N99*'Base Hours'!$AA100)</f>
        <v>-</v>
      </c>
      <c r="I100" s="417" t="str">
        <f aca="false">IF($A$1="Peak","-",'Base Hours'!I100*BaseLoad!O99*'Base Hours'!$AA100)</f>
        <v>-</v>
      </c>
      <c r="J100" s="417" t="str">
        <f aca="false">IF($A$1="Peak","-",'Base Hours'!J100*BaseLoad!P99*'Base Hours'!$AA100)</f>
        <v>-</v>
      </c>
      <c r="K100" s="417" t="str">
        <f aca="false">IF($A$1="Peak","-",'Base Hours'!K100*BaseLoad!Q99*'Base Hours'!$AA100)</f>
        <v>-</v>
      </c>
      <c r="L100" s="417" t="str">
        <f aca="false">IF($A$1="Peak","-",'Base Hours'!L100*BaseLoad!R99*'Base Hours'!$AA100)</f>
        <v>-</v>
      </c>
      <c r="M100" s="417" t="str">
        <f aca="false">IF($A$1="Peak","-",'Base Hours'!M100*BaseLoad!S99*'Base Hours'!$AA100)</f>
        <v>-</v>
      </c>
      <c r="N100" s="417" t="str">
        <f aca="false">IF($A$1="Peak","-",'Base Hours'!N100*BaseLoad!T99*'Base Hours'!$AA100)</f>
        <v>-</v>
      </c>
      <c r="O100" s="417" t="str">
        <f aca="false">IF($A$1="Peak","-",'Base Hours'!O100*BaseLoad!U99*'Base Hours'!$AA100)</f>
        <v>-</v>
      </c>
      <c r="P100" s="417" t="str">
        <f aca="false">IF($A$1="Peak","-",'Base Hours'!P100*BaseLoad!V99*'Base Hours'!$AA100)</f>
        <v>-</v>
      </c>
      <c r="Q100" s="417" t="str">
        <f aca="false">IF($A$1="Peak","-",'Base Hours'!Q100*BaseLoad!W99*'Base Hours'!$AA100)</f>
        <v>-</v>
      </c>
      <c r="R100" s="417" t="str">
        <f aca="false">IF($A$1="Peak","-",'Base Hours'!R100*BaseLoad!X99*'Base Hours'!$AA100)</f>
        <v>-</v>
      </c>
      <c r="S100" s="417" t="str">
        <f aca="false">IF($A$1="Peak","-",'Base Hours'!S100*BaseLoad!Y99*'Base Hours'!$AA100)</f>
        <v>-</v>
      </c>
      <c r="T100" s="417" t="str">
        <f aca="false">IF($A$1="Peak","-",'Base Hours'!T100*BaseLoad!Z99*'Base Hours'!$AA100)</f>
        <v>-</v>
      </c>
      <c r="U100" s="417" t="str">
        <f aca="false">IF($A$1="Peak","-",'Base Hours'!U100*BaseLoad!AA99*'Base Hours'!$AA100)</f>
        <v>-</v>
      </c>
      <c r="V100" s="417" t="n">
        <f aca="false">SUM(B100:U100)-(MAX(B100:U100))</f>
        <v>0</v>
      </c>
      <c r="W100" s="417"/>
      <c r="X100" s="417"/>
      <c r="Y100" s="418"/>
      <c r="Z100" s="418" t="n">
        <f aca="false">(BaseLoad!C99*'Base Hours'!V100*'Base Hours'!$AA100)*-1</f>
        <v>-0</v>
      </c>
      <c r="AA100" s="418"/>
      <c r="AB100" s="418" t="n">
        <f aca="false">(BaseLoad!D99*'Base Hours'!V100*'Base Hours'!$AA100)*-1</f>
        <v>-0</v>
      </c>
      <c r="AC100" s="418"/>
      <c r="AD100" s="418" t="n">
        <f aca="false">(BaseLoad!E99*'Base Hours'!V100*'Base Hours'!$AA100)*-1</f>
        <v>-0</v>
      </c>
      <c r="AE100" s="418"/>
      <c r="AF100" s="418" t="n">
        <f aca="false">(BaseLoad!F99*'Base Hours'!V100*'Base Hours'!$AA100)*-1</f>
        <v>-0</v>
      </c>
      <c r="AG100" s="418"/>
    </row>
    <row r="101" customFormat="false" ht="12.75" hidden="false" customHeight="false" outlineLevel="0" collapsed="false">
      <c r="A101" s="400" t="n">
        <f aca="false">A100+30.417</f>
        <v>39307.947</v>
      </c>
      <c r="B101" s="417" t="str">
        <f aca="false">IF($A$1="Peak","-",'Base Hours'!B101*BaseLoad!H100*'Base Hours'!$AA101)</f>
        <v>-</v>
      </c>
      <c r="C101" s="417" t="str">
        <f aca="false">IF($A$1="Peak","-",'Base Hours'!C101*BaseLoad!I100*'Base Hours'!$AA101)</f>
        <v>-</v>
      </c>
      <c r="D101" s="417" t="str">
        <f aca="false">IF($A$1="Peak","-",'Base Hours'!D101*BaseLoad!J100*'Base Hours'!$AA101)</f>
        <v>-</v>
      </c>
      <c r="E101" s="417" t="str">
        <f aca="false">IF($A$1="Peak","-",'Base Hours'!E101*BaseLoad!K100*'Base Hours'!$AA101)</f>
        <v>-</v>
      </c>
      <c r="F101" s="417" t="str">
        <f aca="false">IF($A$1="Peak","-",'Base Hours'!F101*BaseLoad!L100*'Base Hours'!$AA101)</f>
        <v>-</v>
      </c>
      <c r="G101" s="417" t="str">
        <f aca="false">IF($A$1="Peak","-",'Base Hours'!G101*BaseLoad!M100*'Base Hours'!$AA101)</f>
        <v>-</v>
      </c>
      <c r="H101" s="417" t="str">
        <f aca="false">IF($A$1="Peak","-",'Base Hours'!H101*BaseLoad!N100*'Base Hours'!$AA101)</f>
        <v>-</v>
      </c>
      <c r="I101" s="417" t="str">
        <f aca="false">IF($A$1="Peak","-",'Base Hours'!I101*BaseLoad!O100*'Base Hours'!$AA101)</f>
        <v>-</v>
      </c>
      <c r="J101" s="417" t="str">
        <f aca="false">IF($A$1="Peak","-",'Base Hours'!J101*BaseLoad!P100*'Base Hours'!$AA101)</f>
        <v>-</v>
      </c>
      <c r="K101" s="417" t="str">
        <f aca="false">IF($A$1="Peak","-",'Base Hours'!K101*BaseLoad!Q100*'Base Hours'!$AA101)</f>
        <v>-</v>
      </c>
      <c r="L101" s="417" t="str">
        <f aca="false">IF($A$1="Peak","-",'Base Hours'!L101*BaseLoad!R100*'Base Hours'!$AA101)</f>
        <v>-</v>
      </c>
      <c r="M101" s="417" t="str">
        <f aca="false">IF($A$1="Peak","-",'Base Hours'!M101*BaseLoad!S100*'Base Hours'!$AA101)</f>
        <v>-</v>
      </c>
      <c r="N101" s="417" t="str">
        <f aca="false">IF($A$1="Peak","-",'Base Hours'!N101*BaseLoad!T100*'Base Hours'!$AA101)</f>
        <v>-</v>
      </c>
      <c r="O101" s="417" t="str">
        <f aca="false">IF($A$1="Peak","-",'Base Hours'!O101*BaseLoad!U100*'Base Hours'!$AA101)</f>
        <v>-</v>
      </c>
      <c r="P101" s="417" t="str">
        <f aca="false">IF($A$1="Peak","-",'Base Hours'!P101*BaseLoad!V100*'Base Hours'!$AA101)</f>
        <v>-</v>
      </c>
      <c r="Q101" s="417" t="str">
        <f aca="false">IF($A$1="Peak","-",'Base Hours'!Q101*BaseLoad!W100*'Base Hours'!$AA101)</f>
        <v>-</v>
      </c>
      <c r="R101" s="417" t="str">
        <f aca="false">IF($A$1="Peak","-",'Base Hours'!R101*BaseLoad!X100*'Base Hours'!$AA101)</f>
        <v>-</v>
      </c>
      <c r="S101" s="417" t="str">
        <f aca="false">IF($A$1="Peak","-",'Base Hours'!S101*BaseLoad!Y100*'Base Hours'!$AA101)</f>
        <v>-</v>
      </c>
      <c r="T101" s="417" t="str">
        <f aca="false">IF($A$1="Peak","-",'Base Hours'!T101*BaseLoad!Z100*'Base Hours'!$AA101)</f>
        <v>-</v>
      </c>
      <c r="U101" s="417" t="str">
        <f aca="false">IF($A$1="Peak","-",'Base Hours'!U101*BaseLoad!AA100*'Base Hours'!$AA101)</f>
        <v>-</v>
      </c>
      <c r="V101" s="417" t="n">
        <f aca="false">SUM(B101:U101)-(MAX(B101:U101))</f>
        <v>0</v>
      </c>
      <c r="W101" s="417"/>
      <c r="X101" s="417"/>
      <c r="Y101" s="418"/>
      <c r="Z101" s="418" t="n">
        <f aca="false">(BaseLoad!C100*'Base Hours'!V101*'Base Hours'!$AA101)*-1</f>
        <v>-0</v>
      </c>
      <c r="AA101" s="418"/>
      <c r="AB101" s="418" t="n">
        <f aca="false">(BaseLoad!D100*'Base Hours'!V101*'Base Hours'!$AA101)*-1</f>
        <v>-0</v>
      </c>
      <c r="AC101" s="418"/>
      <c r="AD101" s="418" t="n">
        <f aca="false">(BaseLoad!E100*'Base Hours'!V101*'Base Hours'!$AA101)*-1</f>
        <v>-0</v>
      </c>
      <c r="AE101" s="418"/>
      <c r="AF101" s="418" t="n">
        <f aca="false">(BaseLoad!F100*'Base Hours'!V101*'Base Hours'!$AA101)*-1</f>
        <v>-0</v>
      </c>
      <c r="AG101" s="418"/>
    </row>
    <row r="102" customFormat="false" ht="12.75" hidden="false" customHeight="false" outlineLevel="0" collapsed="false">
      <c r="A102" s="400" t="n">
        <f aca="false">A101+30.417</f>
        <v>39338.364</v>
      </c>
      <c r="B102" s="417" t="str">
        <f aca="false">IF($A$1="Peak","-",'Base Hours'!B102*BaseLoad!H101*'Base Hours'!$AA102)</f>
        <v>-</v>
      </c>
      <c r="C102" s="417" t="str">
        <f aca="false">IF($A$1="Peak","-",'Base Hours'!C102*BaseLoad!I101*'Base Hours'!$AA102)</f>
        <v>-</v>
      </c>
      <c r="D102" s="417" t="str">
        <f aca="false">IF($A$1="Peak","-",'Base Hours'!D102*BaseLoad!J101*'Base Hours'!$AA102)</f>
        <v>-</v>
      </c>
      <c r="E102" s="417" t="str">
        <f aca="false">IF($A$1="Peak","-",'Base Hours'!E102*BaseLoad!K101*'Base Hours'!$AA102)</f>
        <v>-</v>
      </c>
      <c r="F102" s="417" t="str">
        <f aca="false">IF($A$1="Peak","-",'Base Hours'!F102*BaseLoad!L101*'Base Hours'!$AA102)</f>
        <v>-</v>
      </c>
      <c r="G102" s="417" t="str">
        <f aca="false">IF($A$1="Peak","-",'Base Hours'!G102*BaseLoad!M101*'Base Hours'!$AA102)</f>
        <v>-</v>
      </c>
      <c r="H102" s="417" t="str">
        <f aca="false">IF($A$1="Peak","-",'Base Hours'!H102*BaseLoad!N101*'Base Hours'!$AA102)</f>
        <v>-</v>
      </c>
      <c r="I102" s="417" t="str">
        <f aca="false">IF($A$1="Peak","-",'Base Hours'!I102*BaseLoad!O101*'Base Hours'!$AA102)</f>
        <v>-</v>
      </c>
      <c r="J102" s="417" t="str">
        <f aca="false">IF($A$1="Peak","-",'Base Hours'!J102*BaseLoad!P101*'Base Hours'!$AA102)</f>
        <v>-</v>
      </c>
      <c r="K102" s="417" t="str">
        <f aca="false">IF($A$1="Peak","-",'Base Hours'!K102*BaseLoad!Q101*'Base Hours'!$AA102)</f>
        <v>-</v>
      </c>
      <c r="L102" s="417" t="str">
        <f aca="false">IF($A$1="Peak","-",'Base Hours'!L102*BaseLoad!R101*'Base Hours'!$AA102)</f>
        <v>-</v>
      </c>
      <c r="M102" s="417" t="str">
        <f aca="false">IF($A$1="Peak","-",'Base Hours'!M102*BaseLoad!S101*'Base Hours'!$AA102)</f>
        <v>-</v>
      </c>
      <c r="N102" s="417" t="str">
        <f aca="false">IF($A$1="Peak","-",'Base Hours'!N102*BaseLoad!T101*'Base Hours'!$AA102)</f>
        <v>-</v>
      </c>
      <c r="O102" s="417" t="str">
        <f aca="false">IF($A$1="Peak","-",'Base Hours'!O102*BaseLoad!U101*'Base Hours'!$AA102)</f>
        <v>-</v>
      </c>
      <c r="P102" s="417" t="str">
        <f aca="false">IF($A$1="Peak","-",'Base Hours'!P102*BaseLoad!V101*'Base Hours'!$AA102)</f>
        <v>-</v>
      </c>
      <c r="Q102" s="417" t="str">
        <f aca="false">IF($A$1="Peak","-",'Base Hours'!Q102*BaseLoad!W101*'Base Hours'!$AA102)</f>
        <v>-</v>
      </c>
      <c r="R102" s="417" t="str">
        <f aca="false">IF($A$1="Peak","-",'Base Hours'!R102*BaseLoad!X101*'Base Hours'!$AA102)</f>
        <v>-</v>
      </c>
      <c r="S102" s="417" t="str">
        <f aca="false">IF($A$1="Peak","-",'Base Hours'!S102*BaseLoad!Y101*'Base Hours'!$AA102)</f>
        <v>-</v>
      </c>
      <c r="T102" s="417" t="str">
        <f aca="false">IF($A$1="Peak","-",'Base Hours'!T102*BaseLoad!Z101*'Base Hours'!$AA102)</f>
        <v>-</v>
      </c>
      <c r="U102" s="417" t="str">
        <f aca="false">IF($A$1="Peak","-",'Base Hours'!U102*BaseLoad!AA101*'Base Hours'!$AA102)</f>
        <v>-</v>
      </c>
      <c r="V102" s="417" t="n">
        <f aca="false">SUM(B102:U102)-(MAX(B102:U102))</f>
        <v>0</v>
      </c>
      <c r="W102" s="417"/>
      <c r="X102" s="417"/>
      <c r="Y102" s="418"/>
      <c r="Z102" s="418" t="n">
        <f aca="false">(BaseLoad!C101*'Base Hours'!V102*'Base Hours'!$AA102)*-1</f>
        <v>-0</v>
      </c>
      <c r="AA102" s="418"/>
      <c r="AB102" s="418" t="n">
        <f aca="false">(BaseLoad!D101*'Base Hours'!V102*'Base Hours'!$AA102)*-1</f>
        <v>-0</v>
      </c>
      <c r="AC102" s="418"/>
      <c r="AD102" s="418" t="n">
        <f aca="false">(BaseLoad!E101*'Base Hours'!V102*'Base Hours'!$AA102)*-1</f>
        <v>-0</v>
      </c>
      <c r="AE102" s="418"/>
      <c r="AF102" s="418" t="n">
        <f aca="false">(BaseLoad!F101*'Base Hours'!V102*'Base Hours'!$AA102)*-1</f>
        <v>-0</v>
      </c>
      <c r="AG102" s="418"/>
    </row>
    <row r="103" customFormat="false" ht="12.75" hidden="false" customHeight="false" outlineLevel="0" collapsed="false">
      <c r="A103" s="400" t="n">
        <f aca="false">A102+30.417</f>
        <v>39368.781</v>
      </c>
      <c r="B103" s="417" t="str">
        <f aca="false">IF($A$1="Peak","-",'Base Hours'!B103*BaseLoad!H102*'Base Hours'!$AA103)</f>
        <v>-</v>
      </c>
      <c r="C103" s="417" t="str">
        <f aca="false">IF($A$1="Peak","-",'Base Hours'!C103*BaseLoad!I102*'Base Hours'!$AA103)</f>
        <v>-</v>
      </c>
      <c r="D103" s="417" t="str">
        <f aca="false">IF($A$1="Peak","-",'Base Hours'!D103*BaseLoad!J102*'Base Hours'!$AA103)</f>
        <v>-</v>
      </c>
      <c r="E103" s="417" t="str">
        <f aca="false">IF($A$1="Peak","-",'Base Hours'!E103*BaseLoad!K102*'Base Hours'!$AA103)</f>
        <v>-</v>
      </c>
      <c r="F103" s="417" t="str">
        <f aca="false">IF($A$1="Peak","-",'Base Hours'!F103*BaseLoad!L102*'Base Hours'!$AA103)</f>
        <v>-</v>
      </c>
      <c r="G103" s="417" t="str">
        <f aca="false">IF($A$1="Peak","-",'Base Hours'!G103*BaseLoad!M102*'Base Hours'!$AA103)</f>
        <v>-</v>
      </c>
      <c r="H103" s="417" t="str">
        <f aca="false">IF($A$1="Peak","-",'Base Hours'!H103*BaseLoad!N102*'Base Hours'!$AA103)</f>
        <v>-</v>
      </c>
      <c r="I103" s="417" t="str">
        <f aca="false">IF($A$1="Peak","-",'Base Hours'!I103*BaseLoad!O102*'Base Hours'!$AA103)</f>
        <v>-</v>
      </c>
      <c r="J103" s="417" t="str">
        <f aca="false">IF($A$1="Peak","-",'Base Hours'!J103*BaseLoad!P102*'Base Hours'!$AA103)</f>
        <v>-</v>
      </c>
      <c r="K103" s="417" t="str">
        <f aca="false">IF($A$1="Peak","-",'Base Hours'!K103*BaseLoad!Q102*'Base Hours'!$AA103)</f>
        <v>-</v>
      </c>
      <c r="L103" s="417" t="str">
        <f aca="false">IF($A$1="Peak","-",'Base Hours'!L103*BaseLoad!R102*'Base Hours'!$AA103)</f>
        <v>-</v>
      </c>
      <c r="M103" s="417" t="str">
        <f aca="false">IF($A$1="Peak","-",'Base Hours'!M103*BaseLoad!S102*'Base Hours'!$AA103)</f>
        <v>-</v>
      </c>
      <c r="N103" s="417" t="str">
        <f aca="false">IF($A$1="Peak","-",'Base Hours'!N103*BaseLoad!T102*'Base Hours'!$AA103)</f>
        <v>-</v>
      </c>
      <c r="O103" s="417" t="str">
        <f aca="false">IF($A$1="Peak","-",'Base Hours'!O103*BaseLoad!U102*'Base Hours'!$AA103)</f>
        <v>-</v>
      </c>
      <c r="P103" s="417" t="str">
        <f aca="false">IF($A$1="Peak","-",'Base Hours'!P103*BaseLoad!V102*'Base Hours'!$AA103)</f>
        <v>-</v>
      </c>
      <c r="Q103" s="417" t="str">
        <f aca="false">IF($A$1="Peak","-",'Base Hours'!Q103*BaseLoad!W102*'Base Hours'!$AA103)</f>
        <v>-</v>
      </c>
      <c r="R103" s="417" t="str">
        <f aca="false">IF($A$1="Peak","-",'Base Hours'!R103*BaseLoad!X102*'Base Hours'!$AA103)</f>
        <v>-</v>
      </c>
      <c r="S103" s="417" t="str">
        <f aca="false">IF($A$1="Peak","-",'Base Hours'!S103*BaseLoad!Y102*'Base Hours'!$AA103)</f>
        <v>-</v>
      </c>
      <c r="T103" s="417" t="str">
        <f aca="false">IF($A$1="Peak","-",'Base Hours'!T103*BaseLoad!Z102*'Base Hours'!$AA103)</f>
        <v>-</v>
      </c>
      <c r="U103" s="417" t="str">
        <f aca="false">IF($A$1="Peak","-",'Base Hours'!U103*BaseLoad!AA102*'Base Hours'!$AA103)</f>
        <v>-</v>
      </c>
      <c r="V103" s="417" t="n">
        <f aca="false">SUM(B103:U103)-(MAX(B103:U103))</f>
        <v>0</v>
      </c>
      <c r="W103" s="417"/>
      <c r="X103" s="417"/>
      <c r="Y103" s="418"/>
      <c r="Z103" s="418" t="n">
        <f aca="false">(BaseLoad!C102*'Base Hours'!V103*'Base Hours'!$AA103)*-1</f>
        <v>-0</v>
      </c>
      <c r="AA103" s="418"/>
      <c r="AB103" s="418" t="n">
        <f aca="false">(BaseLoad!D102*'Base Hours'!V103*'Base Hours'!$AA103)*-1</f>
        <v>-0</v>
      </c>
      <c r="AC103" s="418"/>
      <c r="AD103" s="418" t="n">
        <f aca="false">(BaseLoad!E102*'Base Hours'!V103*'Base Hours'!$AA103)*-1</f>
        <v>-0</v>
      </c>
      <c r="AE103" s="418"/>
      <c r="AF103" s="418" t="n">
        <f aca="false">(BaseLoad!F102*'Base Hours'!V103*'Base Hours'!$AA103)*-1</f>
        <v>-0</v>
      </c>
      <c r="AG103" s="418"/>
    </row>
    <row r="104" customFormat="false" ht="12.75" hidden="false" customHeight="false" outlineLevel="0" collapsed="false">
      <c r="A104" s="400" t="n">
        <f aca="false">A103+30.417</f>
        <v>39399.198</v>
      </c>
      <c r="B104" s="417" t="str">
        <f aca="false">IF($A$1="Peak","-",'Base Hours'!B104*BaseLoad!H103*'Base Hours'!$AA104)</f>
        <v>-</v>
      </c>
      <c r="C104" s="417" t="str">
        <f aca="false">IF($A$1="Peak","-",'Base Hours'!C104*BaseLoad!I103*'Base Hours'!$AA104)</f>
        <v>-</v>
      </c>
      <c r="D104" s="417" t="str">
        <f aca="false">IF($A$1="Peak","-",'Base Hours'!D104*BaseLoad!J103*'Base Hours'!$AA104)</f>
        <v>-</v>
      </c>
      <c r="E104" s="417" t="str">
        <f aca="false">IF($A$1="Peak","-",'Base Hours'!E104*BaseLoad!K103*'Base Hours'!$AA104)</f>
        <v>-</v>
      </c>
      <c r="F104" s="417" t="str">
        <f aca="false">IF($A$1="Peak","-",'Base Hours'!F104*BaseLoad!L103*'Base Hours'!$AA104)</f>
        <v>-</v>
      </c>
      <c r="G104" s="417" t="str">
        <f aca="false">IF($A$1="Peak","-",'Base Hours'!G104*BaseLoad!M103*'Base Hours'!$AA104)</f>
        <v>-</v>
      </c>
      <c r="H104" s="417" t="str">
        <f aca="false">IF($A$1="Peak","-",'Base Hours'!H104*BaseLoad!N103*'Base Hours'!$AA104)</f>
        <v>-</v>
      </c>
      <c r="I104" s="417" t="str">
        <f aca="false">IF($A$1="Peak","-",'Base Hours'!I104*BaseLoad!O103*'Base Hours'!$AA104)</f>
        <v>-</v>
      </c>
      <c r="J104" s="417" t="str">
        <f aca="false">IF($A$1="Peak","-",'Base Hours'!J104*BaseLoad!P103*'Base Hours'!$AA104)</f>
        <v>-</v>
      </c>
      <c r="K104" s="417" t="str">
        <f aca="false">IF($A$1="Peak","-",'Base Hours'!K104*BaseLoad!Q103*'Base Hours'!$AA104)</f>
        <v>-</v>
      </c>
      <c r="L104" s="417" t="str">
        <f aca="false">IF($A$1="Peak","-",'Base Hours'!L104*BaseLoad!R103*'Base Hours'!$AA104)</f>
        <v>-</v>
      </c>
      <c r="M104" s="417" t="str">
        <f aca="false">IF($A$1="Peak","-",'Base Hours'!M104*BaseLoad!S103*'Base Hours'!$AA104)</f>
        <v>-</v>
      </c>
      <c r="N104" s="417" t="str">
        <f aca="false">IF($A$1="Peak","-",'Base Hours'!N104*BaseLoad!T103*'Base Hours'!$AA104)</f>
        <v>-</v>
      </c>
      <c r="O104" s="417" t="str">
        <f aca="false">IF($A$1="Peak","-",'Base Hours'!O104*BaseLoad!U103*'Base Hours'!$AA104)</f>
        <v>-</v>
      </c>
      <c r="P104" s="417" t="str">
        <f aca="false">IF($A$1="Peak","-",'Base Hours'!P104*BaseLoad!V103*'Base Hours'!$AA104)</f>
        <v>-</v>
      </c>
      <c r="Q104" s="417" t="str">
        <f aca="false">IF($A$1="Peak","-",'Base Hours'!Q104*BaseLoad!W103*'Base Hours'!$AA104)</f>
        <v>-</v>
      </c>
      <c r="R104" s="417" t="str">
        <f aca="false">IF($A$1="Peak","-",'Base Hours'!R104*BaseLoad!X103*'Base Hours'!$AA104)</f>
        <v>-</v>
      </c>
      <c r="S104" s="417" t="str">
        <f aca="false">IF($A$1="Peak","-",'Base Hours'!S104*BaseLoad!Y103*'Base Hours'!$AA104)</f>
        <v>-</v>
      </c>
      <c r="T104" s="417" t="str">
        <f aca="false">IF($A$1="Peak","-",'Base Hours'!T104*BaseLoad!Z103*'Base Hours'!$AA104)</f>
        <v>-</v>
      </c>
      <c r="U104" s="417" t="str">
        <f aca="false">IF($A$1="Peak","-",'Base Hours'!U104*BaseLoad!AA103*'Base Hours'!$AA104)</f>
        <v>-</v>
      </c>
      <c r="V104" s="417" t="n">
        <f aca="false">SUM(B104:U104)-(MAX(B104:U104))</f>
        <v>0</v>
      </c>
      <c r="W104" s="417"/>
      <c r="X104" s="417"/>
      <c r="Y104" s="418"/>
      <c r="Z104" s="418" t="n">
        <f aca="false">(BaseLoad!C103*'Base Hours'!V104*'Base Hours'!$AA104)*-1</f>
        <v>-0</v>
      </c>
      <c r="AA104" s="418"/>
      <c r="AB104" s="418" t="n">
        <f aca="false">(BaseLoad!D103*'Base Hours'!V104*'Base Hours'!$AA104)*-1</f>
        <v>-0</v>
      </c>
      <c r="AC104" s="418"/>
      <c r="AD104" s="418" t="n">
        <f aca="false">(BaseLoad!E103*'Base Hours'!V104*'Base Hours'!$AA104)*-1</f>
        <v>-0</v>
      </c>
      <c r="AE104" s="418"/>
      <c r="AF104" s="418" t="n">
        <f aca="false">(BaseLoad!F103*'Base Hours'!V104*'Base Hours'!$AA104)*-1</f>
        <v>-0</v>
      </c>
      <c r="AG104" s="418"/>
    </row>
    <row r="105" customFormat="false" ht="12.75" hidden="false" customHeight="false" outlineLevel="0" collapsed="false">
      <c r="A105" s="400" t="n">
        <f aca="false">A104+30.417</f>
        <v>39429.615</v>
      </c>
      <c r="B105" s="417" t="str">
        <f aca="false">IF($A$1="Peak","-",'Base Hours'!B105*BaseLoad!H104*'Base Hours'!$AA105)</f>
        <v>-</v>
      </c>
      <c r="C105" s="417" t="str">
        <f aca="false">IF($A$1="Peak","-",'Base Hours'!C105*BaseLoad!I104*'Base Hours'!$AA105)</f>
        <v>-</v>
      </c>
      <c r="D105" s="417" t="str">
        <f aca="false">IF($A$1="Peak","-",'Base Hours'!D105*BaseLoad!J104*'Base Hours'!$AA105)</f>
        <v>-</v>
      </c>
      <c r="E105" s="417" t="str">
        <f aca="false">IF($A$1="Peak","-",'Base Hours'!E105*BaseLoad!K104*'Base Hours'!$AA105)</f>
        <v>-</v>
      </c>
      <c r="F105" s="417" t="str">
        <f aca="false">IF($A$1="Peak","-",'Base Hours'!F105*BaseLoad!L104*'Base Hours'!$AA105)</f>
        <v>-</v>
      </c>
      <c r="G105" s="417" t="str">
        <f aca="false">IF($A$1="Peak","-",'Base Hours'!G105*BaseLoad!M104*'Base Hours'!$AA105)</f>
        <v>-</v>
      </c>
      <c r="H105" s="417" t="str">
        <f aca="false">IF($A$1="Peak","-",'Base Hours'!H105*BaseLoad!N104*'Base Hours'!$AA105)</f>
        <v>-</v>
      </c>
      <c r="I105" s="417" t="str">
        <f aca="false">IF($A$1="Peak","-",'Base Hours'!I105*BaseLoad!O104*'Base Hours'!$AA105)</f>
        <v>-</v>
      </c>
      <c r="J105" s="417" t="str">
        <f aca="false">IF($A$1="Peak","-",'Base Hours'!J105*BaseLoad!P104*'Base Hours'!$AA105)</f>
        <v>-</v>
      </c>
      <c r="K105" s="417" t="str">
        <f aca="false">IF($A$1="Peak","-",'Base Hours'!K105*BaseLoad!Q104*'Base Hours'!$AA105)</f>
        <v>-</v>
      </c>
      <c r="L105" s="417" t="str">
        <f aca="false">IF($A$1="Peak","-",'Base Hours'!L105*BaseLoad!R104*'Base Hours'!$AA105)</f>
        <v>-</v>
      </c>
      <c r="M105" s="417" t="str">
        <f aca="false">IF($A$1="Peak","-",'Base Hours'!M105*BaseLoad!S104*'Base Hours'!$AA105)</f>
        <v>-</v>
      </c>
      <c r="N105" s="417" t="str">
        <f aca="false">IF($A$1="Peak","-",'Base Hours'!N105*BaseLoad!T104*'Base Hours'!$AA105)</f>
        <v>-</v>
      </c>
      <c r="O105" s="417" t="str">
        <f aca="false">IF($A$1="Peak","-",'Base Hours'!O105*BaseLoad!U104*'Base Hours'!$AA105)</f>
        <v>-</v>
      </c>
      <c r="P105" s="417" t="str">
        <f aca="false">IF($A$1="Peak","-",'Base Hours'!P105*BaseLoad!V104*'Base Hours'!$AA105)</f>
        <v>-</v>
      </c>
      <c r="Q105" s="417" t="str">
        <f aca="false">IF($A$1="Peak","-",'Base Hours'!Q105*BaseLoad!W104*'Base Hours'!$AA105)</f>
        <v>-</v>
      </c>
      <c r="R105" s="417" t="str">
        <f aca="false">IF($A$1="Peak","-",'Base Hours'!R105*BaseLoad!X104*'Base Hours'!$AA105)</f>
        <v>-</v>
      </c>
      <c r="S105" s="417" t="str">
        <f aca="false">IF($A$1="Peak","-",'Base Hours'!S105*BaseLoad!Y104*'Base Hours'!$AA105)</f>
        <v>-</v>
      </c>
      <c r="T105" s="417" t="str">
        <f aca="false">IF($A$1="Peak","-",'Base Hours'!T105*BaseLoad!Z104*'Base Hours'!$AA105)</f>
        <v>-</v>
      </c>
      <c r="U105" s="417" t="str">
        <f aca="false">IF($A$1="Peak","-",'Base Hours'!U105*BaseLoad!AA104*'Base Hours'!$AA105)</f>
        <v>-</v>
      </c>
      <c r="V105" s="417" t="n">
        <f aca="false">SUM(B105:U105)-(MAX(B105:U105))</f>
        <v>0</v>
      </c>
      <c r="W105" s="417"/>
      <c r="X105" s="417"/>
      <c r="Y105" s="418" t="n">
        <f aca="false">SUM(B94:U105)</f>
        <v>0</v>
      </c>
      <c r="Z105" s="418" t="n">
        <f aca="false">(BaseLoad!C104*'Base Hours'!V105*'Base Hours'!$AA105)*-1</f>
        <v>-0</v>
      </c>
      <c r="AA105" s="418" t="n">
        <f aca="false">SUM(Z94:Z105)</f>
        <v>0</v>
      </c>
      <c r="AB105" s="418" t="n">
        <f aca="false">(BaseLoad!D104*'Base Hours'!V105*'Base Hours'!$AA105)*-1</f>
        <v>-0</v>
      </c>
      <c r="AC105" s="418" t="n">
        <f aca="false">SUM(AB94:AB105)</f>
        <v>0</v>
      </c>
      <c r="AD105" s="418" t="n">
        <f aca="false">(BaseLoad!E104*'Base Hours'!V105*'Base Hours'!$AA105)*-1</f>
        <v>-0</v>
      </c>
      <c r="AE105" s="418" t="n">
        <f aca="false">SUM(AD94:AD105)</f>
        <v>0</v>
      </c>
      <c r="AF105" s="418" t="n">
        <f aca="false">(BaseLoad!F104*'Base Hours'!V105*'Base Hours'!$AA105)*-1</f>
        <v>-0</v>
      </c>
      <c r="AG105" s="418" t="n">
        <f aca="false">SUM(AF94:AF105)</f>
        <v>0</v>
      </c>
    </row>
    <row r="106" customFormat="false" ht="12.75" hidden="false" customHeight="false" outlineLevel="0" collapsed="false">
      <c r="A106" s="400" t="n">
        <f aca="false">A105+30.417</f>
        <v>39460.032</v>
      </c>
      <c r="B106" s="417" t="str">
        <f aca="false">IF($A$1="Peak","-",'Base Hours'!B106*BaseLoad!H105*'Base Hours'!$AA106)</f>
        <v>-</v>
      </c>
      <c r="C106" s="417" t="str">
        <f aca="false">IF($A$1="Peak","-",'Base Hours'!C106*BaseLoad!I105*'Base Hours'!$AA106)</f>
        <v>-</v>
      </c>
      <c r="D106" s="417" t="str">
        <f aca="false">IF($A$1="Peak","-",'Base Hours'!D106*BaseLoad!J105*'Base Hours'!$AA106)</f>
        <v>-</v>
      </c>
      <c r="E106" s="417" t="str">
        <f aca="false">IF($A$1="Peak","-",'Base Hours'!E106*BaseLoad!K105*'Base Hours'!$AA106)</f>
        <v>-</v>
      </c>
      <c r="F106" s="417" t="str">
        <f aca="false">IF($A$1="Peak","-",'Base Hours'!F106*BaseLoad!L105*'Base Hours'!$AA106)</f>
        <v>-</v>
      </c>
      <c r="G106" s="417" t="str">
        <f aca="false">IF($A$1="Peak","-",'Base Hours'!G106*BaseLoad!M105*'Base Hours'!$AA106)</f>
        <v>-</v>
      </c>
      <c r="H106" s="417" t="str">
        <f aca="false">IF($A$1="Peak","-",'Base Hours'!H106*BaseLoad!N105*'Base Hours'!$AA106)</f>
        <v>-</v>
      </c>
      <c r="I106" s="417" t="str">
        <f aca="false">IF($A$1="Peak","-",'Base Hours'!I106*BaseLoad!O105*'Base Hours'!$AA106)</f>
        <v>-</v>
      </c>
      <c r="J106" s="417" t="str">
        <f aca="false">IF($A$1="Peak","-",'Base Hours'!J106*BaseLoad!P105*'Base Hours'!$AA106)</f>
        <v>-</v>
      </c>
      <c r="K106" s="417" t="str">
        <f aca="false">IF($A$1="Peak","-",'Base Hours'!K106*BaseLoad!Q105*'Base Hours'!$AA106)</f>
        <v>-</v>
      </c>
      <c r="L106" s="417" t="str">
        <f aca="false">IF($A$1="Peak","-",'Base Hours'!L106*BaseLoad!R105*'Base Hours'!$AA106)</f>
        <v>-</v>
      </c>
      <c r="M106" s="417" t="str">
        <f aca="false">IF($A$1="Peak","-",'Base Hours'!M106*BaseLoad!S105*'Base Hours'!$AA106)</f>
        <v>-</v>
      </c>
      <c r="N106" s="417" t="str">
        <f aca="false">IF($A$1="Peak","-",'Base Hours'!N106*BaseLoad!T105*'Base Hours'!$AA106)</f>
        <v>-</v>
      </c>
      <c r="O106" s="417" t="str">
        <f aca="false">IF($A$1="Peak","-",'Base Hours'!O106*BaseLoad!U105*'Base Hours'!$AA106)</f>
        <v>-</v>
      </c>
      <c r="P106" s="417" t="str">
        <f aca="false">IF($A$1="Peak","-",'Base Hours'!P106*BaseLoad!V105*'Base Hours'!$AA106)</f>
        <v>-</v>
      </c>
      <c r="Q106" s="417" t="str">
        <f aca="false">IF($A$1="Peak","-",'Base Hours'!Q106*BaseLoad!W105*'Base Hours'!$AA106)</f>
        <v>-</v>
      </c>
      <c r="R106" s="417" t="str">
        <f aca="false">IF($A$1="Peak","-",'Base Hours'!R106*BaseLoad!X105*'Base Hours'!$AA106)</f>
        <v>-</v>
      </c>
      <c r="S106" s="417" t="str">
        <f aca="false">IF($A$1="Peak","-",'Base Hours'!S106*BaseLoad!Y105*'Base Hours'!$AA106)</f>
        <v>-</v>
      </c>
      <c r="T106" s="417" t="str">
        <f aca="false">IF($A$1="Peak","-",'Base Hours'!T106*BaseLoad!Z105*'Base Hours'!$AA106)</f>
        <v>-</v>
      </c>
      <c r="U106" s="417" t="str">
        <f aca="false">IF($A$1="Peak","-",'Base Hours'!U106*BaseLoad!AA105*'Base Hours'!$AA106)</f>
        <v>-</v>
      </c>
      <c r="V106" s="417" t="n">
        <f aca="false">SUM(B106:U106)-(MAX(B106:U106))</f>
        <v>0</v>
      </c>
      <c r="W106" s="417"/>
      <c r="X106" s="417"/>
      <c r="Y106" s="418"/>
      <c r="Z106" s="418" t="n">
        <f aca="false">(BaseLoad!C105*'Base Hours'!V106*'Base Hours'!$AA106)*-1</f>
        <v>-0</v>
      </c>
      <c r="AA106" s="418"/>
      <c r="AB106" s="418" t="n">
        <f aca="false">(BaseLoad!D105*'Base Hours'!V106*'Base Hours'!$AA106)*-1</f>
        <v>-0</v>
      </c>
      <c r="AC106" s="418"/>
      <c r="AD106" s="418" t="n">
        <f aca="false">(BaseLoad!E105*'Base Hours'!V106*'Base Hours'!$AA106)*-1</f>
        <v>-0</v>
      </c>
      <c r="AE106" s="418"/>
      <c r="AF106" s="418" t="n">
        <f aca="false">(BaseLoad!F105*'Base Hours'!V106*'Base Hours'!$AA106)*-1</f>
        <v>-0</v>
      </c>
      <c r="AG106" s="418"/>
    </row>
    <row r="107" customFormat="false" ht="12.75" hidden="false" customHeight="false" outlineLevel="0" collapsed="false">
      <c r="A107" s="400" t="n">
        <f aca="false">A106+30.417</f>
        <v>39490.449</v>
      </c>
      <c r="B107" s="417" t="str">
        <f aca="false">IF($A$1="Peak","-",'Base Hours'!B107*BaseLoad!H106*'Base Hours'!$AA107)</f>
        <v>-</v>
      </c>
      <c r="C107" s="417" t="str">
        <f aca="false">IF($A$1="Peak","-",'Base Hours'!C107*BaseLoad!I106*'Base Hours'!$AA107)</f>
        <v>-</v>
      </c>
      <c r="D107" s="417" t="str">
        <f aca="false">IF($A$1="Peak","-",'Base Hours'!D107*BaseLoad!J106*'Base Hours'!$AA107)</f>
        <v>-</v>
      </c>
      <c r="E107" s="417" t="str">
        <f aca="false">IF($A$1="Peak","-",'Base Hours'!E107*BaseLoad!K106*'Base Hours'!$AA107)</f>
        <v>-</v>
      </c>
      <c r="F107" s="417" t="str">
        <f aca="false">IF($A$1="Peak","-",'Base Hours'!F107*BaseLoad!L106*'Base Hours'!$AA107)</f>
        <v>-</v>
      </c>
      <c r="G107" s="417" t="str">
        <f aca="false">IF($A$1="Peak","-",'Base Hours'!G107*BaseLoad!M106*'Base Hours'!$AA107)</f>
        <v>-</v>
      </c>
      <c r="H107" s="417" t="str">
        <f aca="false">IF($A$1="Peak","-",'Base Hours'!H107*BaseLoad!N106*'Base Hours'!$AA107)</f>
        <v>-</v>
      </c>
      <c r="I107" s="417" t="str">
        <f aca="false">IF($A$1="Peak","-",'Base Hours'!I107*BaseLoad!O106*'Base Hours'!$AA107)</f>
        <v>-</v>
      </c>
      <c r="J107" s="417" t="str">
        <f aca="false">IF($A$1="Peak","-",'Base Hours'!J107*BaseLoad!P106*'Base Hours'!$AA107)</f>
        <v>-</v>
      </c>
      <c r="K107" s="417" t="str">
        <f aca="false">IF($A$1="Peak","-",'Base Hours'!K107*BaseLoad!Q106*'Base Hours'!$AA107)</f>
        <v>-</v>
      </c>
      <c r="L107" s="417" t="str">
        <f aca="false">IF($A$1="Peak","-",'Base Hours'!L107*BaseLoad!R106*'Base Hours'!$AA107)</f>
        <v>-</v>
      </c>
      <c r="M107" s="417" t="str">
        <f aca="false">IF($A$1="Peak","-",'Base Hours'!M107*BaseLoad!S106*'Base Hours'!$AA107)</f>
        <v>-</v>
      </c>
      <c r="N107" s="417" t="str">
        <f aca="false">IF($A$1="Peak","-",'Base Hours'!N107*BaseLoad!T106*'Base Hours'!$AA107)</f>
        <v>-</v>
      </c>
      <c r="O107" s="417" t="str">
        <f aca="false">IF($A$1="Peak","-",'Base Hours'!O107*BaseLoad!U106*'Base Hours'!$AA107)</f>
        <v>-</v>
      </c>
      <c r="P107" s="417" t="str">
        <f aca="false">IF($A$1="Peak","-",'Base Hours'!P107*BaseLoad!V106*'Base Hours'!$AA107)</f>
        <v>-</v>
      </c>
      <c r="Q107" s="417" t="str">
        <f aca="false">IF($A$1="Peak","-",'Base Hours'!Q107*BaseLoad!W106*'Base Hours'!$AA107)</f>
        <v>-</v>
      </c>
      <c r="R107" s="417" t="str">
        <f aca="false">IF($A$1="Peak","-",'Base Hours'!R107*BaseLoad!X106*'Base Hours'!$AA107)</f>
        <v>-</v>
      </c>
      <c r="S107" s="417" t="str">
        <f aca="false">IF($A$1="Peak","-",'Base Hours'!S107*BaseLoad!Y106*'Base Hours'!$AA107)</f>
        <v>-</v>
      </c>
      <c r="T107" s="417" t="str">
        <f aca="false">IF($A$1="Peak","-",'Base Hours'!T107*BaseLoad!Z106*'Base Hours'!$AA107)</f>
        <v>-</v>
      </c>
      <c r="U107" s="417" t="str">
        <f aca="false">IF($A$1="Peak","-",'Base Hours'!U107*BaseLoad!AA106*'Base Hours'!$AA107)</f>
        <v>-</v>
      </c>
      <c r="V107" s="417" t="n">
        <f aca="false">SUM(B107:U107)-(MAX(B107:U107))</f>
        <v>0</v>
      </c>
      <c r="W107" s="417"/>
      <c r="X107" s="417"/>
      <c r="Y107" s="418"/>
      <c r="Z107" s="418" t="n">
        <f aca="false">(BaseLoad!C106*'Base Hours'!V107*'Base Hours'!$AA107)*-1</f>
        <v>-0</v>
      </c>
      <c r="AA107" s="418"/>
      <c r="AB107" s="418" t="n">
        <f aca="false">(BaseLoad!D106*'Base Hours'!V107*'Base Hours'!$AA107)*-1</f>
        <v>-0</v>
      </c>
      <c r="AC107" s="418"/>
      <c r="AD107" s="418" t="n">
        <f aca="false">(BaseLoad!E106*'Base Hours'!V107*'Base Hours'!$AA107)*-1</f>
        <v>-0</v>
      </c>
      <c r="AE107" s="418"/>
      <c r="AF107" s="418" t="n">
        <f aca="false">(BaseLoad!F106*'Base Hours'!V107*'Base Hours'!$AA107)*-1</f>
        <v>-0</v>
      </c>
      <c r="AG107" s="418"/>
    </row>
    <row r="108" customFormat="false" ht="12.75" hidden="false" customHeight="false" outlineLevel="0" collapsed="false">
      <c r="A108" s="400" t="n">
        <f aca="false">A107+30.417</f>
        <v>39520.866</v>
      </c>
      <c r="B108" s="417" t="str">
        <f aca="false">IF($A$1="Peak","-",'Base Hours'!B108*BaseLoad!H107*'Base Hours'!$AA108)</f>
        <v>-</v>
      </c>
      <c r="C108" s="417" t="str">
        <f aca="false">IF($A$1="Peak","-",'Base Hours'!C108*BaseLoad!I107*'Base Hours'!$AA108)</f>
        <v>-</v>
      </c>
      <c r="D108" s="417" t="str">
        <f aca="false">IF($A$1="Peak","-",'Base Hours'!D108*BaseLoad!J107*'Base Hours'!$AA108)</f>
        <v>-</v>
      </c>
      <c r="E108" s="417" t="str">
        <f aca="false">IF($A$1="Peak","-",'Base Hours'!E108*BaseLoad!K107*'Base Hours'!$AA108)</f>
        <v>-</v>
      </c>
      <c r="F108" s="417" t="str">
        <f aca="false">IF($A$1="Peak","-",'Base Hours'!F108*BaseLoad!L107*'Base Hours'!$AA108)</f>
        <v>-</v>
      </c>
      <c r="G108" s="417" t="str">
        <f aca="false">IF($A$1="Peak","-",'Base Hours'!G108*BaseLoad!M107*'Base Hours'!$AA108)</f>
        <v>-</v>
      </c>
      <c r="H108" s="417" t="str">
        <f aca="false">IF($A$1="Peak","-",'Base Hours'!H108*BaseLoad!N107*'Base Hours'!$AA108)</f>
        <v>-</v>
      </c>
      <c r="I108" s="417" t="str">
        <f aca="false">IF($A$1="Peak","-",'Base Hours'!I108*BaseLoad!O107*'Base Hours'!$AA108)</f>
        <v>-</v>
      </c>
      <c r="J108" s="417" t="str">
        <f aca="false">IF($A$1="Peak","-",'Base Hours'!J108*BaseLoad!P107*'Base Hours'!$AA108)</f>
        <v>-</v>
      </c>
      <c r="K108" s="417" t="str">
        <f aca="false">IF($A$1="Peak","-",'Base Hours'!K108*BaseLoad!Q107*'Base Hours'!$AA108)</f>
        <v>-</v>
      </c>
      <c r="L108" s="417" t="str">
        <f aca="false">IF($A$1="Peak","-",'Base Hours'!L108*BaseLoad!R107*'Base Hours'!$AA108)</f>
        <v>-</v>
      </c>
      <c r="M108" s="417" t="str">
        <f aca="false">IF($A$1="Peak","-",'Base Hours'!M108*BaseLoad!S107*'Base Hours'!$AA108)</f>
        <v>-</v>
      </c>
      <c r="N108" s="417" t="str">
        <f aca="false">IF($A$1="Peak","-",'Base Hours'!N108*BaseLoad!T107*'Base Hours'!$AA108)</f>
        <v>-</v>
      </c>
      <c r="O108" s="417" t="str">
        <f aca="false">IF($A$1="Peak","-",'Base Hours'!O108*BaseLoad!U107*'Base Hours'!$AA108)</f>
        <v>-</v>
      </c>
      <c r="P108" s="417" t="str">
        <f aca="false">IF($A$1="Peak","-",'Base Hours'!P108*BaseLoad!V107*'Base Hours'!$AA108)</f>
        <v>-</v>
      </c>
      <c r="Q108" s="417" t="str">
        <f aca="false">IF($A$1="Peak","-",'Base Hours'!Q108*BaseLoad!W107*'Base Hours'!$AA108)</f>
        <v>-</v>
      </c>
      <c r="R108" s="417" t="str">
        <f aca="false">IF($A$1="Peak","-",'Base Hours'!R108*BaseLoad!X107*'Base Hours'!$AA108)</f>
        <v>-</v>
      </c>
      <c r="S108" s="417" t="str">
        <f aca="false">IF($A$1="Peak","-",'Base Hours'!S108*BaseLoad!Y107*'Base Hours'!$AA108)</f>
        <v>-</v>
      </c>
      <c r="T108" s="417" t="str">
        <f aca="false">IF($A$1="Peak","-",'Base Hours'!T108*BaseLoad!Z107*'Base Hours'!$AA108)</f>
        <v>-</v>
      </c>
      <c r="U108" s="417" t="str">
        <f aca="false">IF($A$1="Peak","-",'Base Hours'!U108*BaseLoad!AA107*'Base Hours'!$AA108)</f>
        <v>-</v>
      </c>
      <c r="V108" s="417" t="n">
        <f aca="false">SUM(B108:U108)-(MAX(B108:U108))</f>
        <v>0</v>
      </c>
      <c r="W108" s="417"/>
      <c r="X108" s="417"/>
      <c r="Y108" s="418"/>
      <c r="Z108" s="418" t="n">
        <f aca="false">(BaseLoad!C107*'Base Hours'!V108*'Base Hours'!$AA108)*-1</f>
        <v>-0</v>
      </c>
      <c r="AA108" s="418"/>
      <c r="AB108" s="418" t="n">
        <f aca="false">(BaseLoad!D107*'Base Hours'!V108*'Base Hours'!$AA108)*-1</f>
        <v>-0</v>
      </c>
      <c r="AC108" s="418"/>
      <c r="AD108" s="418" t="n">
        <f aca="false">(BaseLoad!E107*'Base Hours'!V108*'Base Hours'!$AA108)*-1</f>
        <v>-0</v>
      </c>
      <c r="AE108" s="418"/>
      <c r="AF108" s="418" t="n">
        <f aca="false">(BaseLoad!F107*'Base Hours'!V108*'Base Hours'!$AA108)*-1</f>
        <v>-0</v>
      </c>
      <c r="AG108" s="418"/>
    </row>
    <row r="109" customFormat="false" ht="12.75" hidden="false" customHeight="false" outlineLevel="0" collapsed="false">
      <c r="A109" s="400" t="n">
        <f aca="false">A108+30.417</f>
        <v>39551.283</v>
      </c>
      <c r="B109" s="417" t="str">
        <f aca="false">IF($A$1="Peak","-",'Base Hours'!B109*BaseLoad!H108*'Base Hours'!$AA109)</f>
        <v>-</v>
      </c>
      <c r="C109" s="417" t="str">
        <f aca="false">IF($A$1="Peak","-",'Base Hours'!C109*BaseLoad!I108*'Base Hours'!$AA109)</f>
        <v>-</v>
      </c>
      <c r="D109" s="417" t="str">
        <f aca="false">IF($A$1="Peak","-",'Base Hours'!D109*BaseLoad!J108*'Base Hours'!$AA109)</f>
        <v>-</v>
      </c>
      <c r="E109" s="417" t="str">
        <f aca="false">IF($A$1="Peak","-",'Base Hours'!E109*BaseLoad!K108*'Base Hours'!$AA109)</f>
        <v>-</v>
      </c>
      <c r="F109" s="417" t="str">
        <f aca="false">IF($A$1="Peak","-",'Base Hours'!F109*BaseLoad!L108*'Base Hours'!$AA109)</f>
        <v>-</v>
      </c>
      <c r="G109" s="417" t="str">
        <f aca="false">IF($A$1="Peak","-",'Base Hours'!G109*BaseLoad!M108*'Base Hours'!$AA109)</f>
        <v>-</v>
      </c>
      <c r="H109" s="417" t="str">
        <f aca="false">IF($A$1="Peak","-",'Base Hours'!H109*BaseLoad!N108*'Base Hours'!$AA109)</f>
        <v>-</v>
      </c>
      <c r="I109" s="417" t="str">
        <f aca="false">IF($A$1="Peak","-",'Base Hours'!I109*BaseLoad!O108*'Base Hours'!$AA109)</f>
        <v>-</v>
      </c>
      <c r="J109" s="417" t="str">
        <f aca="false">IF($A$1="Peak","-",'Base Hours'!J109*BaseLoad!P108*'Base Hours'!$AA109)</f>
        <v>-</v>
      </c>
      <c r="K109" s="417" t="str">
        <f aca="false">IF($A$1="Peak","-",'Base Hours'!K109*BaseLoad!Q108*'Base Hours'!$AA109)</f>
        <v>-</v>
      </c>
      <c r="L109" s="417" t="str">
        <f aca="false">IF($A$1="Peak","-",'Base Hours'!L109*BaseLoad!R108*'Base Hours'!$AA109)</f>
        <v>-</v>
      </c>
      <c r="M109" s="417" t="str">
        <f aca="false">IF($A$1="Peak","-",'Base Hours'!M109*BaseLoad!S108*'Base Hours'!$AA109)</f>
        <v>-</v>
      </c>
      <c r="N109" s="417" t="str">
        <f aca="false">IF($A$1="Peak","-",'Base Hours'!N109*BaseLoad!T108*'Base Hours'!$AA109)</f>
        <v>-</v>
      </c>
      <c r="O109" s="417" t="str">
        <f aca="false">IF($A$1="Peak","-",'Base Hours'!O109*BaseLoad!U108*'Base Hours'!$AA109)</f>
        <v>-</v>
      </c>
      <c r="P109" s="417" t="str">
        <f aca="false">IF($A$1="Peak","-",'Base Hours'!P109*BaseLoad!V108*'Base Hours'!$AA109)</f>
        <v>-</v>
      </c>
      <c r="Q109" s="417" t="str">
        <f aca="false">IF($A$1="Peak","-",'Base Hours'!Q109*BaseLoad!W108*'Base Hours'!$AA109)</f>
        <v>-</v>
      </c>
      <c r="R109" s="417" t="str">
        <f aca="false">IF($A$1="Peak","-",'Base Hours'!R109*BaseLoad!X108*'Base Hours'!$AA109)</f>
        <v>-</v>
      </c>
      <c r="S109" s="417" t="str">
        <f aca="false">IF($A$1="Peak","-",'Base Hours'!S109*BaseLoad!Y108*'Base Hours'!$AA109)</f>
        <v>-</v>
      </c>
      <c r="T109" s="417" t="str">
        <f aca="false">IF($A$1="Peak","-",'Base Hours'!T109*BaseLoad!Z108*'Base Hours'!$AA109)</f>
        <v>-</v>
      </c>
      <c r="U109" s="417" t="str">
        <f aca="false">IF($A$1="Peak","-",'Base Hours'!U109*BaseLoad!AA108*'Base Hours'!$AA109)</f>
        <v>-</v>
      </c>
      <c r="V109" s="417" t="n">
        <f aca="false">SUM(B109:U109)-(MAX(B109:U109))</f>
        <v>0</v>
      </c>
      <c r="W109" s="417"/>
      <c r="X109" s="417"/>
      <c r="Y109" s="418"/>
      <c r="Z109" s="418" t="n">
        <f aca="false">(BaseLoad!C108*'Base Hours'!V109*'Base Hours'!$AA109)*-1</f>
        <v>-0</v>
      </c>
      <c r="AA109" s="418"/>
      <c r="AB109" s="418" t="n">
        <f aca="false">(BaseLoad!D108*'Base Hours'!V109*'Base Hours'!$AA109)*-1</f>
        <v>-0</v>
      </c>
      <c r="AC109" s="418"/>
      <c r="AD109" s="418" t="n">
        <f aca="false">(BaseLoad!E108*'Base Hours'!V109*'Base Hours'!$AA109)*-1</f>
        <v>-0</v>
      </c>
      <c r="AE109" s="418"/>
      <c r="AF109" s="418" t="n">
        <f aca="false">(BaseLoad!F108*'Base Hours'!V109*'Base Hours'!$AA109)*-1</f>
        <v>-0</v>
      </c>
      <c r="AG109" s="418"/>
    </row>
    <row r="110" customFormat="false" ht="12.75" hidden="false" customHeight="false" outlineLevel="0" collapsed="false">
      <c r="A110" s="400" t="n">
        <f aca="false">A109+30.417</f>
        <v>39581.7</v>
      </c>
      <c r="B110" s="417" t="str">
        <f aca="false">IF($A$1="Peak","-",'Base Hours'!B110*BaseLoad!H109*'Base Hours'!$AA110)</f>
        <v>-</v>
      </c>
      <c r="C110" s="417" t="str">
        <f aca="false">IF($A$1="Peak","-",'Base Hours'!C110*BaseLoad!I109*'Base Hours'!$AA110)</f>
        <v>-</v>
      </c>
      <c r="D110" s="417" t="str">
        <f aca="false">IF($A$1="Peak","-",'Base Hours'!D110*BaseLoad!J109*'Base Hours'!$AA110)</f>
        <v>-</v>
      </c>
      <c r="E110" s="417" t="str">
        <f aca="false">IF($A$1="Peak","-",'Base Hours'!E110*BaseLoad!K109*'Base Hours'!$AA110)</f>
        <v>-</v>
      </c>
      <c r="F110" s="417" t="str">
        <f aca="false">IF($A$1="Peak","-",'Base Hours'!F110*BaseLoad!L109*'Base Hours'!$AA110)</f>
        <v>-</v>
      </c>
      <c r="G110" s="417" t="str">
        <f aca="false">IF($A$1="Peak","-",'Base Hours'!G110*BaseLoad!M109*'Base Hours'!$AA110)</f>
        <v>-</v>
      </c>
      <c r="H110" s="417" t="str">
        <f aca="false">IF($A$1="Peak","-",'Base Hours'!H110*BaseLoad!N109*'Base Hours'!$AA110)</f>
        <v>-</v>
      </c>
      <c r="I110" s="417" t="str">
        <f aca="false">IF($A$1="Peak","-",'Base Hours'!I110*BaseLoad!O109*'Base Hours'!$AA110)</f>
        <v>-</v>
      </c>
      <c r="J110" s="417" t="str">
        <f aca="false">IF($A$1="Peak","-",'Base Hours'!J110*BaseLoad!P109*'Base Hours'!$AA110)</f>
        <v>-</v>
      </c>
      <c r="K110" s="417" t="str">
        <f aca="false">IF($A$1="Peak","-",'Base Hours'!K110*BaseLoad!Q109*'Base Hours'!$AA110)</f>
        <v>-</v>
      </c>
      <c r="L110" s="417" t="str">
        <f aca="false">IF($A$1="Peak","-",'Base Hours'!L110*BaseLoad!R109*'Base Hours'!$AA110)</f>
        <v>-</v>
      </c>
      <c r="M110" s="417" t="str">
        <f aca="false">IF($A$1="Peak","-",'Base Hours'!M110*BaseLoad!S109*'Base Hours'!$AA110)</f>
        <v>-</v>
      </c>
      <c r="N110" s="417" t="str">
        <f aca="false">IF($A$1="Peak","-",'Base Hours'!N110*BaseLoad!T109*'Base Hours'!$AA110)</f>
        <v>-</v>
      </c>
      <c r="O110" s="417" t="str">
        <f aca="false">IF($A$1="Peak","-",'Base Hours'!O110*BaseLoad!U109*'Base Hours'!$AA110)</f>
        <v>-</v>
      </c>
      <c r="P110" s="417" t="str">
        <f aca="false">IF($A$1="Peak","-",'Base Hours'!P110*BaseLoad!V109*'Base Hours'!$AA110)</f>
        <v>-</v>
      </c>
      <c r="Q110" s="417" t="str">
        <f aca="false">IF($A$1="Peak","-",'Base Hours'!Q110*BaseLoad!W109*'Base Hours'!$AA110)</f>
        <v>-</v>
      </c>
      <c r="R110" s="417" t="str">
        <f aca="false">IF($A$1="Peak","-",'Base Hours'!R110*BaseLoad!X109*'Base Hours'!$AA110)</f>
        <v>-</v>
      </c>
      <c r="S110" s="417" t="str">
        <f aca="false">IF($A$1="Peak","-",'Base Hours'!S110*BaseLoad!Y109*'Base Hours'!$AA110)</f>
        <v>-</v>
      </c>
      <c r="T110" s="417" t="str">
        <f aca="false">IF($A$1="Peak","-",'Base Hours'!T110*BaseLoad!Z109*'Base Hours'!$AA110)</f>
        <v>-</v>
      </c>
      <c r="U110" s="417" t="str">
        <f aca="false">IF($A$1="Peak","-",'Base Hours'!U110*BaseLoad!AA109*'Base Hours'!$AA110)</f>
        <v>-</v>
      </c>
      <c r="V110" s="417" t="n">
        <f aca="false">SUM(B110:U110)-(MAX(B110:U110))</f>
        <v>0</v>
      </c>
      <c r="W110" s="417"/>
      <c r="X110" s="417"/>
      <c r="Y110" s="418"/>
      <c r="Z110" s="418" t="n">
        <f aca="false">(BaseLoad!C109*'Base Hours'!V110*'Base Hours'!$AA110)*-1</f>
        <v>-0</v>
      </c>
      <c r="AA110" s="418"/>
      <c r="AB110" s="418" t="n">
        <f aca="false">(BaseLoad!D109*'Base Hours'!V110*'Base Hours'!$AA110)*-1</f>
        <v>-0</v>
      </c>
      <c r="AC110" s="418"/>
      <c r="AD110" s="418" t="n">
        <f aca="false">(BaseLoad!E109*'Base Hours'!V110*'Base Hours'!$AA110)*-1</f>
        <v>-0</v>
      </c>
      <c r="AE110" s="418"/>
      <c r="AF110" s="418" t="n">
        <f aca="false">(BaseLoad!F109*'Base Hours'!V110*'Base Hours'!$AA110)*-1</f>
        <v>-0</v>
      </c>
      <c r="AG110" s="418"/>
    </row>
    <row r="111" customFormat="false" ht="12.75" hidden="false" customHeight="false" outlineLevel="0" collapsed="false">
      <c r="A111" s="400" t="n">
        <f aca="false">A110+30.417</f>
        <v>39612.117</v>
      </c>
      <c r="B111" s="417" t="str">
        <f aca="false">IF($A$1="Peak","-",'Base Hours'!B111*BaseLoad!H110*'Base Hours'!$AA111)</f>
        <v>-</v>
      </c>
      <c r="C111" s="417" t="str">
        <f aca="false">IF($A$1="Peak","-",'Base Hours'!C111*BaseLoad!I110*'Base Hours'!$AA111)</f>
        <v>-</v>
      </c>
      <c r="D111" s="417" t="str">
        <f aca="false">IF($A$1="Peak","-",'Base Hours'!D111*BaseLoad!J110*'Base Hours'!$AA111)</f>
        <v>-</v>
      </c>
      <c r="E111" s="417" t="str">
        <f aca="false">IF($A$1="Peak","-",'Base Hours'!E111*BaseLoad!K110*'Base Hours'!$AA111)</f>
        <v>-</v>
      </c>
      <c r="F111" s="417" t="str">
        <f aca="false">IF($A$1="Peak","-",'Base Hours'!F111*BaseLoad!L110*'Base Hours'!$AA111)</f>
        <v>-</v>
      </c>
      <c r="G111" s="417" t="str">
        <f aca="false">IF($A$1="Peak","-",'Base Hours'!G111*BaseLoad!M110*'Base Hours'!$AA111)</f>
        <v>-</v>
      </c>
      <c r="H111" s="417" t="str">
        <f aca="false">IF($A$1="Peak","-",'Base Hours'!H111*BaseLoad!N110*'Base Hours'!$AA111)</f>
        <v>-</v>
      </c>
      <c r="I111" s="417" t="str">
        <f aca="false">IF($A$1="Peak","-",'Base Hours'!I111*BaseLoad!O110*'Base Hours'!$AA111)</f>
        <v>-</v>
      </c>
      <c r="J111" s="417" t="str">
        <f aca="false">IF($A$1="Peak","-",'Base Hours'!J111*BaseLoad!P110*'Base Hours'!$AA111)</f>
        <v>-</v>
      </c>
      <c r="K111" s="417" t="str">
        <f aca="false">IF($A$1="Peak","-",'Base Hours'!K111*BaseLoad!Q110*'Base Hours'!$AA111)</f>
        <v>-</v>
      </c>
      <c r="L111" s="417" t="str">
        <f aca="false">IF($A$1="Peak","-",'Base Hours'!L111*BaseLoad!R110*'Base Hours'!$AA111)</f>
        <v>-</v>
      </c>
      <c r="M111" s="417" t="str">
        <f aca="false">IF($A$1="Peak","-",'Base Hours'!M111*BaseLoad!S110*'Base Hours'!$AA111)</f>
        <v>-</v>
      </c>
      <c r="N111" s="417" t="str">
        <f aca="false">IF($A$1="Peak","-",'Base Hours'!N111*BaseLoad!T110*'Base Hours'!$AA111)</f>
        <v>-</v>
      </c>
      <c r="O111" s="417" t="str">
        <f aca="false">IF($A$1="Peak","-",'Base Hours'!O111*BaseLoad!U110*'Base Hours'!$AA111)</f>
        <v>-</v>
      </c>
      <c r="P111" s="417" t="str">
        <f aca="false">IF($A$1="Peak","-",'Base Hours'!P111*BaseLoad!V110*'Base Hours'!$AA111)</f>
        <v>-</v>
      </c>
      <c r="Q111" s="417" t="str">
        <f aca="false">IF($A$1="Peak","-",'Base Hours'!Q111*BaseLoad!W110*'Base Hours'!$AA111)</f>
        <v>-</v>
      </c>
      <c r="R111" s="417" t="str">
        <f aca="false">IF($A$1="Peak","-",'Base Hours'!R111*BaseLoad!X110*'Base Hours'!$AA111)</f>
        <v>-</v>
      </c>
      <c r="S111" s="417" t="str">
        <f aca="false">IF($A$1="Peak","-",'Base Hours'!S111*BaseLoad!Y110*'Base Hours'!$AA111)</f>
        <v>-</v>
      </c>
      <c r="T111" s="417" t="str">
        <f aca="false">IF($A$1="Peak","-",'Base Hours'!T111*BaseLoad!Z110*'Base Hours'!$AA111)</f>
        <v>-</v>
      </c>
      <c r="U111" s="417" t="str">
        <f aca="false">IF($A$1="Peak","-",'Base Hours'!U111*BaseLoad!AA110*'Base Hours'!$AA111)</f>
        <v>-</v>
      </c>
      <c r="V111" s="417" t="n">
        <f aca="false">SUM(B111:U111)-(MAX(B111:U111))</f>
        <v>0</v>
      </c>
      <c r="W111" s="417"/>
      <c r="X111" s="417"/>
      <c r="Y111" s="418"/>
      <c r="Z111" s="418" t="n">
        <f aca="false">(BaseLoad!C110*'Base Hours'!V111*'Base Hours'!$AA111)*-1</f>
        <v>-0</v>
      </c>
      <c r="AA111" s="418"/>
      <c r="AB111" s="418" t="n">
        <f aca="false">(BaseLoad!D110*'Base Hours'!V111*'Base Hours'!$AA111)*-1</f>
        <v>-0</v>
      </c>
      <c r="AC111" s="418"/>
      <c r="AD111" s="418" t="n">
        <f aca="false">(BaseLoad!E110*'Base Hours'!V111*'Base Hours'!$AA111)*-1</f>
        <v>-0</v>
      </c>
      <c r="AE111" s="418"/>
      <c r="AF111" s="418" t="n">
        <f aca="false">(BaseLoad!F110*'Base Hours'!V111*'Base Hours'!$AA111)*-1</f>
        <v>-0</v>
      </c>
      <c r="AG111" s="418"/>
    </row>
    <row r="112" customFormat="false" ht="12.75" hidden="false" customHeight="false" outlineLevel="0" collapsed="false">
      <c r="A112" s="400" t="n">
        <f aca="false">A111+30.417</f>
        <v>39642.534</v>
      </c>
      <c r="B112" s="417" t="str">
        <f aca="false">IF($A$1="Peak","-",'Base Hours'!B112*BaseLoad!H111*'Base Hours'!$AA112)</f>
        <v>-</v>
      </c>
      <c r="C112" s="417" t="str">
        <f aca="false">IF($A$1="Peak","-",'Base Hours'!C112*BaseLoad!I111*'Base Hours'!$AA112)</f>
        <v>-</v>
      </c>
      <c r="D112" s="417" t="str">
        <f aca="false">IF($A$1="Peak","-",'Base Hours'!D112*BaseLoad!J111*'Base Hours'!$AA112)</f>
        <v>-</v>
      </c>
      <c r="E112" s="417" t="str">
        <f aca="false">IF($A$1="Peak","-",'Base Hours'!E112*BaseLoad!K111*'Base Hours'!$AA112)</f>
        <v>-</v>
      </c>
      <c r="F112" s="417" t="str">
        <f aca="false">IF($A$1="Peak","-",'Base Hours'!F112*BaseLoad!L111*'Base Hours'!$AA112)</f>
        <v>-</v>
      </c>
      <c r="G112" s="417" t="str">
        <f aca="false">IF($A$1="Peak","-",'Base Hours'!G112*BaseLoad!M111*'Base Hours'!$AA112)</f>
        <v>-</v>
      </c>
      <c r="H112" s="417" t="str">
        <f aca="false">IF($A$1="Peak","-",'Base Hours'!H112*BaseLoad!N111*'Base Hours'!$AA112)</f>
        <v>-</v>
      </c>
      <c r="I112" s="417" t="str">
        <f aca="false">IF($A$1="Peak","-",'Base Hours'!I112*BaseLoad!O111*'Base Hours'!$AA112)</f>
        <v>-</v>
      </c>
      <c r="J112" s="417" t="str">
        <f aca="false">IF($A$1="Peak","-",'Base Hours'!J112*BaseLoad!P111*'Base Hours'!$AA112)</f>
        <v>-</v>
      </c>
      <c r="K112" s="417" t="str">
        <f aca="false">IF($A$1="Peak","-",'Base Hours'!K112*BaseLoad!Q111*'Base Hours'!$AA112)</f>
        <v>-</v>
      </c>
      <c r="L112" s="417" t="str">
        <f aca="false">IF($A$1="Peak","-",'Base Hours'!L112*BaseLoad!R111*'Base Hours'!$AA112)</f>
        <v>-</v>
      </c>
      <c r="M112" s="417" t="str">
        <f aca="false">IF($A$1="Peak","-",'Base Hours'!M112*BaseLoad!S111*'Base Hours'!$AA112)</f>
        <v>-</v>
      </c>
      <c r="N112" s="417" t="str">
        <f aca="false">IF($A$1="Peak","-",'Base Hours'!N112*BaseLoad!T111*'Base Hours'!$AA112)</f>
        <v>-</v>
      </c>
      <c r="O112" s="417" t="str">
        <f aca="false">IF($A$1="Peak","-",'Base Hours'!O112*BaseLoad!U111*'Base Hours'!$AA112)</f>
        <v>-</v>
      </c>
      <c r="P112" s="417" t="str">
        <f aca="false">IF($A$1="Peak","-",'Base Hours'!P112*BaseLoad!V111*'Base Hours'!$AA112)</f>
        <v>-</v>
      </c>
      <c r="Q112" s="417" t="str">
        <f aca="false">IF($A$1="Peak","-",'Base Hours'!Q112*BaseLoad!W111*'Base Hours'!$AA112)</f>
        <v>-</v>
      </c>
      <c r="R112" s="417" t="str">
        <f aca="false">IF($A$1="Peak","-",'Base Hours'!R112*BaseLoad!X111*'Base Hours'!$AA112)</f>
        <v>-</v>
      </c>
      <c r="S112" s="417" t="str">
        <f aca="false">IF($A$1="Peak","-",'Base Hours'!S112*BaseLoad!Y111*'Base Hours'!$AA112)</f>
        <v>-</v>
      </c>
      <c r="T112" s="417" t="str">
        <f aca="false">IF($A$1="Peak","-",'Base Hours'!T112*BaseLoad!Z111*'Base Hours'!$AA112)</f>
        <v>-</v>
      </c>
      <c r="U112" s="417" t="str">
        <f aca="false">IF($A$1="Peak","-",'Base Hours'!U112*BaseLoad!AA111*'Base Hours'!$AA112)</f>
        <v>-</v>
      </c>
      <c r="V112" s="417" t="n">
        <f aca="false">SUM(B112:U112)-(MAX(B112:U112))</f>
        <v>0</v>
      </c>
      <c r="W112" s="417"/>
      <c r="X112" s="417"/>
      <c r="Y112" s="418"/>
      <c r="Z112" s="418" t="n">
        <f aca="false">(BaseLoad!C111*'Base Hours'!V112*'Base Hours'!$AA112)*-1</f>
        <v>-0</v>
      </c>
      <c r="AA112" s="418"/>
      <c r="AB112" s="418" t="n">
        <f aca="false">(BaseLoad!D111*'Base Hours'!V112*'Base Hours'!$AA112)*-1</f>
        <v>-0</v>
      </c>
      <c r="AC112" s="418"/>
      <c r="AD112" s="418" t="n">
        <f aca="false">(BaseLoad!E111*'Base Hours'!V112*'Base Hours'!$AA112)*-1</f>
        <v>-0</v>
      </c>
      <c r="AE112" s="418"/>
      <c r="AF112" s="418" t="n">
        <f aca="false">(BaseLoad!F111*'Base Hours'!V112*'Base Hours'!$AA112)*-1</f>
        <v>-0</v>
      </c>
      <c r="AG112" s="418"/>
    </row>
    <row r="113" customFormat="false" ht="12.75" hidden="false" customHeight="false" outlineLevel="0" collapsed="false">
      <c r="A113" s="400" t="n">
        <f aca="false">A112+30.417</f>
        <v>39672.951</v>
      </c>
      <c r="B113" s="417" t="str">
        <f aca="false">IF($A$1="Peak","-",'Base Hours'!B113*BaseLoad!H112*'Base Hours'!$AA113)</f>
        <v>-</v>
      </c>
      <c r="C113" s="417" t="str">
        <f aca="false">IF($A$1="Peak","-",'Base Hours'!C113*BaseLoad!I112*'Base Hours'!$AA113)</f>
        <v>-</v>
      </c>
      <c r="D113" s="417" t="str">
        <f aca="false">IF($A$1="Peak","-",'Base Hours'!D113*BaseLoad!J112*'Base Hours'!$AA113)</f>
        <v>-</v>
      </c>
      <c r="E113" s="417" t="str">
        <f aca="false">IF($A$1="Peak","-",'Base Hours'!E113*BaseLoad!K112*'Base Hours'!$AA113)</f>
        <v>-</v>
      </c>
      <c r="F113" s="417" t="str">
        <f aca="false">IF($A$1="Peak","-",'Base Hours'!F113*BaseLoad!L112*'Base Hours'!$AA113)</f>
        <v>-</v>
      </c>
      <c r="G113" s="417" t="str">
        <f aca="false">IF($A$1="Peak","-",'Base Hours'!G113*BaseLoad!M112*'Base Hours'!$AA113)</f>
        <v>-</v>
      </c>
      <c r="H113" s="417" t="str">
        <f aca="false">IF($A$1="Peak","-",'Base Hours'!H113*BaseLoad!N112*'Base Hours'!$AA113)</f>
        <v>-</v>
      </c>
      <c r="I113" s="417" t="str">
        <f aca="false">IF($A$1="Peak","-",'Base Hours'!I113*BaseLoad!O112*'Base Hours'!$AA113)</f>
        <v>-</v>
      </c>
      <c r="J113" s="417" t="str">
        <f aca="false">IF($A$1="Peak","-",'Base Hours'!J113*BaseLoad!P112*'Base Hours'!$AA113)</f>
        <v>-</v>
      </c>
      <c r="K113" s="417" t="str">
        <f aca="false">IF($A$1="Peak","-",'Base Hours'!K113*BaseLoad!Q112*'Base Hours'!$AA113)</f>
        <v>-</v>
      </c>
      <c r="L113" s="417" t="str">
        <f aca="false">IF($A$1="Peak","-",'Base Hours'!L113*BaseLoad!R112*'Base Hours'!$AA113)</f>
        <v>-</v>
      </c>
      <c r="M113" s="417" t="str">
        <f aca="false">IF($A$1="Peak","-",'Base Hours'!M113*BaseLoad!S112*'Base Hours'!$AA113)</f>
        <v>-</v>
      </c>
      <c r="N113" s="417" t="str">
        <f aca="false">IF($A$1="Peak","-",'Base Hours'!N113*BaseLoad!T112*'Base Hours'!$AA113)</f>
        <v>-</v>
      </c>
      <c r="O113" s="417" t="str">
        <f aca="false">IF($A$1="Peak","-",'Base Hours'!O113*BaseLoad!U112*'Base Hours'!$AA113)</f>
        <v>-</v>
      </c>
      <c r="P113" s="417" t="str">
        <f aca="false">IF($A$1="Peak","-",'Base Hours'!P113*BaseLoad!V112*'Base Hours'!$AA113)</f>
        <v>-</v>
      </c>
      <c r="Q113" s="417" t="str">
        <f aca="false">IF($A$1="Peak","-",'Base Hours'!Q113*BaseLoad!W112*'Base Hours'!$AA113)</f>
        <v>-</v>
      </c>
      <c r="R113" s="417" t="str">
        <f aca="false">IF($A$1="Peak","-",'Base Hours'!R113*BaseLoad!X112*'Base Hours'!$AA113)</f>
        <v>-</v>
      </c>
      <c r="S113" s="417" t="str">
        <f aca="false">IF($A$1="Peak","-",'Base Hours'!S113*BaseLoad!Y112*'Base Hours'!$AA113)</f>
        <v>-</v>
      </c>
      <c r="T113" s="417" t="str">
        <f aca="false">IF($A$1="Peak","-",'Base Hours'!T113*BaseLoad!Z112*'Base Hours'!$AA113)</f>
        <v>-</v>
      </c>
      <c r="U113" s="417" t="str">
        <f aca="false">IF($A$1="Peak","-",'Base Hours'!U113*BaseLoad!AA112*'Base Hours'!$AA113)</f>
        <v>-</v>
      </c>
      <c r="V113" s="417" t="n">
        <f aca="false">SUM(B113:U113)-(MAX(B113:U113))</f>
        <v>0</v>
      </c>
      <c r="W113" s="417"/>
      <c r="X113" s="417"/>
      <c r="Y113" s="418"/>
      <c r="Z113" s="418" t="n">
        <f aca="false">(BaseLoad!C112*'Base Hours'!V113*'Base Hours'!$AA113)*-1</f>
        <v>-0</v>
      </c>
      <c r="AA113" s="418"/>
      <c r="AB113" s="418" t="n">
        <f aca="false">(BaseLoad!D112*'Base Hours'!V113*'Base Hours'!$AA113)*-1</f>
        <v>-0</v>
      </c>
      <c r="AC113" s="418"/>
      <c r="AD113" s="418" t="n">
        <f aca="false">(BaseLoad!E112*'Base Hours'!V113*'Base Hours'!$AA113)*-1</f>
        <v>-0</v>
      </c>
      <c r="AE113" s="418"/>
      <c r="AF113" s="418" t="n">
        <f aca="false">(BaseLoad!F112*'Base Hours'!V113*'Base Hours'!$AA113)*-1</f>
        <v>-0</v>
      </c>
      <c r="AG113" s="418"/>
    </row>
    <row r="114" customFormat="false" ht="12.75" hidden="false" customHeight="false" outlineLevel="0" collapsed="false">
      <c r="A114" s="400" t="n">
        <f aca="false">A113+30.417</f>
        <v>39703.368</v>
      </c>
      <c r="B114" s="417" t="str">
        <f aca="false">IF($A$1="Peak","-",'Base Hours'!B114*BaseLoad!H113*'Base Hours'!$AA114)</f>
        <v>-</v>
      </c>
      <c r="C114" s="417" t="str">
        <f aca="false">IF($A$1="Peak","-",'Base Hours'!C114*BaseLoad!I113*'Base Hours'!$AA114)</f>
        <v>-</v>
      </c>
      <c r="D114" s="417" t="str">
        <f aca="false">IF($A$1="Peak","-",'Base Hours'!D114*BaseLoad!J113*'Base Hours'!$AA114)</f>
        <v>-</v>
      </c>
      <c r="E114" s="417" t="str">
        <f aca="false">IF($A$1="Peak","-",'Base Hours'!E114*BaseLoad!K113*'Base Hours'!$AA114)</f>
        <v>-</v>
      </c>
      <c r="F114" s="417" t="str">
        <f aca="false">IF($A$1="Peak","-",'Base Hours'!F114*BaseLoad!L113*'Base Hours'!$AA114)</f>
        <v>-</v>
      </c>
      <c r="G114" s="417" t="str">
        <f aca="false">IF($A$1="Peak","-",'Base Hours'!G114*BaseLoad!M113*'Base Hours'!$AA114)</f>
        <v>-</v>
      </c>
      <c r="H114" s="417" t="str">
        <f aca="false">IF($A$1="Peak","-",'Base Hours'!H114*BaseLoad!N113*'Base Hours'!$AA114)</f>
        <v>-</v>
      </c>
      <c r="I114" s="417" t="str">
        <f aca="false">IF($A$1="Peak","-",'Base Hours'!I114*BaseLoad!O113*'Base Hours'!$AA114)</f>
        <v>-</v>
      </c>
      <c r="J114" s="417" t="str">
        <f aca="false">IF($A$1="Peak","-",'Base Hours'!J114*BaseLoad!P113*'Base Hours'!$AA114)</f>
        <v>-</v>
      </c>
      <c r="K114" s="417" t="str">
        <f aca="false">IF($A$1="Peak","-",'Base Hours'!K114*BaseLoad!Q113*'Base Hours'!$AA114)</f>
        <v>-</v>
      </c>
      <c r="L114" s="417" t="str">
        <f aca="false">IF($A$1="Peak","-",'Base Hours'!L114*BaseLoad!R113*'Base Hours'!$AA114)</f>
        <v>-</v>
      </c>
      <c r="M114" s="417" t="str">
        <f aca="false">IF($A$1="Peak","-",'Base Hours'!M114*BaseLoad!S113*'Base Hours'!$AA114)</f>
        <v>-</v>
      </c>
      <c r="N114" s="417" t="str">
        <f aca="false">IF($A$1="Peak","-",'Base Hours'!N114*BaseLoad!T113*'Base Hours'!$AA114)</f>
        <v>-</v>
      </c>
      <c r="O114" s="417" t="str">
        <f aca="false">IF($A$1="Peak","-",'Base Hours'!O114*BaseLoad!U113*'Base Hours'!$AA114)</f>
        <v>-</v>
      </c>
      <c r="P114" s="417" t="str">
        <f aca="false">IF($A$1="Peak","-",'Base Hours'!P114*BaseLoad!V113*'Base Hours'!$AA114)</f>
        <v>-</v>
      </c>
      <c r="Q114" s="417" t="str">
        <f aca="false">IF($A$1="Peak","-",'Base Hours'!Q114*BaseLoad!W113*'Base Hours'!$AA114)</f>
        <v>-</v>
      </c>
      <c r="R114" s="417" t="str">
        <f aca="false">IF($A$1="Peak","-",'Base Hours'!R114*BaseLoad!X113*'Base Hours'!$AA114)</f>
        <v>-</v>
      </c>
      <c r="S114" s="417" t="str">
        <f aca="false">IF($A$1="Peak","-",'Base Hours'!S114*BaseLoad!Y113*'Base Hours'!$AA114)</f>
        <v>-</v>
      </c>
      <c r="T114" s="417" t="str">
        <f aca="false">IF($A$1="Peak","-",'Base Hours'!T114*BaseLoad!Z113*'Base Hours'!$AA114)</f>
        <v>-</v>
      </c>
      <c r="U114" s="417" t="str">
        <f aca="false">IF($A$1="Peak","-",'Base Hours'!U114*BaseLoad!AA113*'Base Hours'!$AA114)</f>
        <v>-</v>
      </c>
      <c r="V114" s="417" t="n">
        <f aca="false">SUM(B114:U114)-(MAX(B114:U114))</f>
        <v>0</v>
      </c>
      <c r="W114" s="417"/>
      <c r="X114" s="417"/>
      <c r="Y114" s="418"/>
      <c r="Z114" s="418" t="n">
        <f aca="false">(BaseLoad!C113*'Base Hours'!V114*'Base Hours'!$AA114)*-1</f>
        <v>-0</v>
      </c>
      <c r="AA114" s="418"/>
      <c r="AB114" s="418" t="n">
        <f aca="false">(BaseLoad!D113*'Base Hours'!V114*'Base Hours'!$AA114)*-1</f>
        <v>-0</v>
      </c>
      <c r="AC114" s="418"/>
      <c r="AD114" s="418" t="n">
        <f aca="false">(BaseLoad!E113*'Base Hours'!V114*'Base Hours'!$AA114)*-1</f>
        <v>-0</v>
      </c>
      <c r="AE114" s="418"/>
      <c r="AF114" s="418" t="n">
        <f aca="false">(BaseLoad!F113*'Base Hours'!V114*'Base Hours'!$AA114)*-1</f>
        <v>-0</v>
      </c>
      <c r="AG114" s="418"/>
    </row>
    <row r="115" customFormat="false" ht="12.75" hidden="false" customHeight="false" outlineLevel="0" collapsed="false">
      <c r="A115" s="400" t="n">
        <f aca="false">A114+30.417</f>
        <v>39733.785</v>
      </c>
      <c r="B115" s="417" t="str">
        <f aca="false">IF($A$1="Peak","-",'Base Hours'!B115*BaseLoad!H114*'Base Hours'!$AA115)</f>
        <v>-</v>
      </c>
      <c r="C115" s="417" t="str">
        <f aca="false">IF($A$1="Peak","-",'Base Hours'!C115*BaseLoad!I114*'Base Hours'!$AA115)</f>
        <v>-</v>
      </c>
      <c r="D115" s="417" t="str">
        <f aca="false">IF($A$1="Peak","-",'Base Hours'!D115*BaseLoad!J114*'Base Hours'!$AA115)</f>
        <v>-</v>
      </c>
      <c r="E115" s="417" t="str">
        <f aca="false">IF($A$1="Peak","-",'Base Hours'!E115*BaseLoad!K114*'Base Hours'!$AA115)</f>
        <v>-</v>
      </c>
      <c r="F115" s="417" t="str">
        <f aca="false">IF($A$1="Peak","-",'Base Hours'!F115*BaseLoad!L114*'Base Hours'!$AA115)</f>
        <v>-</v>
      </c>
      <c r="G115" s="417" t="str">
        <f aca="false">IF($A$1="Peak","-",'Base Hours'!G115*BaseLoad!M114*'Base Hours'!$AA115)</f>
        <v>-</v>
      </c>
      <c r="H115" s="417" t="str">
        <f aca="false">IF($A$1="Peak","-",'Base Hours'!H115*BaseLoad!N114*'Base Hours'!$AA115)</f>
        <v>-</v>
      </c>
      <c r="I115" s="417" t="str">
        <f aca="false">IF($A$1="Peak","-",'Base Hours'!I115*BaseLoad!O114*'Base Hours'!$AA115)</f>
        <v>-</v>
      </c>
      <c r="J115" s="417" t="str">
        <f aca="false">IF($A$1="Peak","-",'Base Hours'!J115*BaseLoad!P114*'Base Hours'!$AA115)</f>
        <v>-</v>
      </c>
      <c r="K115" s="417" t="str">
        <f aca="false">IF($A$1="Peak","-",'Base Hours'!K115*BaseLoad!Q114*'Base Hours'!$AA115)</f>
        <v>-</v>
      </c>
      <c r="L115" s="417" t="str">
        <f aca="false">IF($A$1="Peak","-",'Base Hours'!L115*BaseLoad!R114*'Base Hours'!$AA115)</f>
        <v>-</v>
      </c>
      <c r="M115" s="417" t="str">
        <f aca="false">IF($A$1="Peak","-",'Base Hours'!M115*BaseLoad!S114*'Base Hours'!$AA115)</f>
        <v>-</v>
      </c>
      <c r="N115" s="417" t="str">
        <f aca="false">IF($A$1="Peak","-",'Base Hours'!N115*BaseLoad!T114*'Base Hours'!$AA115)</f>
        <v>-</v>
      </c>
      <c r="O115" s="417" t="str">
        <f aca="false">IF($A$1="Peak","-",'Base Hours'!O115*BaseLoad!U114*'Base Hours'!$AA115)</f>
        <v>-</v>
      </c>
      <c r="P115" s="417" t="str">
        <f aca="false">IF($A$1="Peak","-",'Base Hours'!P115*BaseLoad!V114*'Base Hours'!$AA115)</f>
        <v>-</v>
      </c>
      <c r="Q115" s="417" t="str">
        <f aca="false">IF($A$1="Peak","-",'Base Hours'!Q115*BaseLoad!W114*'Base Hours'!$AA115)</f>
        <v>-</v>
      </c>
      <c r="R115" s="417" t="str">
        <f aca="false">IF($A$1="Peak","-",'Base Hours'!R115*BaseLoad!X114*'Base Hours'!$AA115)</f>
        <v>-</v>
      </c>
      <c r="S115" s="417" t="str">
        <f aca="false">IF($A$1="Peak","-",'Base Hours'!S115*BaseLoad!Y114*'Base Hours'!$AA115)</f>
        <v>-</v>
      </c>
      <c r="T115" s="417" t="str">
        <f aca="false">IF($A$1="Peak","-",'Base Hours'!T115*BaseLoad!Z114*'Base Hours'!$AA115)</f>
        <v>-</v>
      </c>
      <c r="U115" s="417" t="str">
        <f aca="false">IF($A$1="Peak","-",'Base Hours'!U115*BaseLoad!AA114*'Base Hours'!$AA115)</f>
        <v>-</v>
      </c>
      <c r="V115" s="417" t="n">
        <f aca="false">SUM(B115:U115)-(MAX(B115:U115))</f>
        <v>0</v>
      </c>
      <c r="W115" s="417"/>
      <c r="X115" s="417"/>
      <c r="Y115" s="418"/>
      <c r="Z115" s="418" t="n">
        <f aca="false">(BaseLoad!C114*'Base Hours'!V115*'Base Hours'!$AA115)*-1</f>
        <v>-0</v>
      </c>
      <c r="AA115" s="418"/>
      <c r="AB115" s="418" t="n">
        <f aca="false">(BaseLoad!D114*'Base Hours'!V115*'Base Hours'!$AA115)*-1</f>
        <v>-0</v>
      </c>
      <c r="AC115" s="418"/>
      <c r="AD115" s="418" t="n">
        <f aca="false">(BaseLoad!E114*'Base Hours'!V115*'Base Hours'!$AA115)*-1</f>
        <v>-0</v>
      </c>
      <c r="AE115" s="418"/>
      <c r="AF115" s="418" t="n">
        <f aca="false">(BaseLoad!F114*'Base Hours'!V115*'Base Hours'!$AA115)*-1</f>
        <v>-0</v>
      </c>
      <c r="AG115" s="418"/>
    </row>
    <row r="116" customFormat="false" ht="12.75" hidden="false" customHeight="false" outlineLevel="0" collapsed="false">
      <c r="A116" s="400" t="n">
        <f aca="false">A115+30.417</f>
        <v>39764.202</v>
      </c>
      <c r="B116" s="417" t="str">
        <f aca="false">IF($A$1="Peak","-",'Base Hours'!B116*BaseLoad!H115*'Base Hours'!$AA116)</f>
        <v>-</v>
      </c>
      <c r="C116" s="417" t="str">
        <f aca="false">IF($A$1="Peak","-",'Base Hours'!C116*BaseLoad!I115*'Base Hours'!$AA116)</f>
        <v>-</v>
      </c>
      <c r="D116" s="417" t="str">
        <f aca="false">IF($A$1="Peak","-",'Base Hours'!D116*BaseLoad!J115*'Base Hours'!$AA116)</f>
        <v>-</v>
      </c>
      <c r="E116" s="417" t="str">
        <f aca="false">IF($A$1="Peak","-",'Base Hours'!E116*BaseLoad!K115*'Base Hours'!$AA116)</f>
        <v>-</v>
      </c>
      <c r="F116" s="417" t="str">
        <f aca="false">IF($A$1="Peak","-",'Base Hours'!F116*BaseLoad!L115*'Base Hours'!$AA116)</f>
        <v>-</v>
      </c>
      <c r="G116" s="417" t="str">
        <f aca="false">IF($A$1="Peak","-",'Base Hours'!G116*BaseLoad!M115*'Base Hours'!$AA116)</f>
        <v>-</v>
      </c>
      <c r="H116" s="417" t="str">
        <f aca="false">IF($A$1="Peak","-",'Base Hours'!H116*BaseLoad!N115*'Base Hours'!$AA116)</f>
        <v>-</v>
      </c>
      <c r="I116" s="417" t="str">
        <f aca="false">IF($A$1="Peak","-",'Base Hours'!I116*BaseLoad!O115*'Base Hours'!$AA116)</f>
        <v>-</v>
      </c>
      <c r="J116" s="417" t="str">
        <f aca="false">IF($A$1="Peak","-",'Base Hours'!J116*BaseLoad!P115*'Base Hours'!$AA116)</f>
        <v>-</v>
      </c>
      <c r="K116" s="417" t="str">
        <f aca="false">IF($A$1="Peak","-",'Base Hours'!K116*BaseLoad!Q115*'Base Hours'!$AA116)</f>
        <v>-</v>
      </c>
      <c r="L116" s="417" t="str">
        <f aca="false">IF($A$1="Peak","-",'Base Hours'!L116*BaseLoad!R115*'Base Hours'!$AA116)</f>
        <v>-</v>
      </c>
      <c r="M116" s="417" t="str">
        <f aca="false">IF($A$1="Peak","-",'Base Hours'!M116*BaseLoad!S115*'Base Hours'!$AA116)</f>
        <v>-</v>
      </c>
      <c r="N116" s="417" t="str">
        <f aca="false">IF($A$1="Peak","-",'Base Hours'!N116*BaseLoad!T115*'Base Hours'!$AA116)</f>
        <v>-</v>
      </c>
      <c r="O116" s="417" t="str">
        <f aca="false">IF($A$1="Peak","-",'Base Hours'!O116*BaseLoad!U115*'Base Hours'!$AA116)</f>
        <v>-</v>
      </c>
      <c r="P116" s="417" t="str">
        <f aca="false">IF($A$1="Peak","-",'Base Hours'!P116*BaseLoad!V115*'Base Hours'!$AA116)</f>
        <v>-</v>
      </c>
      <c r="Q116" s="417" t="str">
        <f aca="false">IF($A$1="Peak","-",'Base Hours'!Q116*BaseLoad!W115*'Base Hours'!$AA116)</f>
        <v>-</v>
      </c>
      <c r="R116" s="417" t="str">
        <f aca="false">IF($A$1="Peak","-",'Base Hours'!R116*BaseLoad!X115*'Base Hours'!$AA116)</f>
        <v>-</v>
      </c>
      <c r="S116" s="417" t="str">
        <f aca="false">IF($A$1="Peak","-",'Base Hours'!S116*BaseLoad!Y115*'Base Hours'!$AA116)</f>
        <v>-</v>
      </c>
      <c r="T116" s="417" t="str">
        <f aca="false">IF($A$1="Peak","-",'Base Hours'!T116*BaseLoad!Z115*'Base Hours'!$AA116)</f>
        <v>-</v>
      </c>
      <c r="U116" s="417" t="str">
        <f aca="false">IF($A$1="Peak","-",'Base Hours'!U116*BaseLoad!AA115*'Base Hours'!$AA116)</f>
        <v>-</v>
      </c>
      <c r="V116" s="417" t="n">
        <f aca="false">SUM(B116:U116)-(MAX(B116:U116))</f>
        <v>0</v>
      </c>
      <c r="W116" s="417"/>
      <c r="X116" s="417"/>
      <c r="Y116" s="418"/>
      <c r="Z116" s="418" t="n">
        <f aca="false">(BaseLoad!C115*'Base Hours'!V116*'Base Hours'!$AA116)*-1</f>
        <v>-0</v>
      </c>
      <c r="AA116" s="418"/>
      <c r="AB116" s="418" t="n">
        <f aca="false">(BaseLoad!D115*'Base Hours'!V116*'Base Hours'!$AA116)*-1</f>
        <v>-0</v>
      </c>
      <c r="AC116" s="418"/>
      <c r="AD116" s="418" t="n">
        <f aca="false">(BaseLoad!E115*'Base Hours'!V116*'Base Hours'!$AA116)*-1</f>
        <v>-0</v>
      </c>
      <c r="AE116" s="418"/>
      <c r="AF116" s="418" t="n">
        <f aca="false">(BaseLoad!F115*'Base Hours'!V116*'Base Hours'!$AA116)*-1</f>
        <v>-0</v>
      </c>
      <c r="AG116" s="418"/>
    </row>
    <row r="117" customFormat="false" ht="12.75" hidden="false" customHeight="false" outlineLevel="0" collapsed="false">
      <c r="A117" s="400" t="n">
        <f aca="false">A116+30.417</f>
        <v>39794.619</v>
      </c>
      <c r="B117" s="417" t="str">
        <f aca="false">IF($A$1="Peak","-",'Base Hours'!B117*BaseLoad!H116*'Base Hours'!$AA117)</f>
        <v>-</v>
      </c>
      <c r="C117" s="417" t="str">
        <f aca="false">IF($A$1="Peak","-",'Base Hours'!C117*BaseLoad!I116*'Base Hours'!$AA117)</f>
        <v>-</v>
      </c>
      <c r="D117" s="417" t="str">
        <f aca="false">IF($A$1="Peak","-",'Base Hours'!D117*BaseLoad!J116*'Base Hours'!$AA117)</f>
        <v>-</v>
      </c>
      <c r="E117" s="417" t="str">
        <f aca="false">IF($A$1="Peak","-",'Base Hours'!E117*BaseLoad!K116*'Base Hours'!$AA117)</f>
        <v>-</v>
      </c>
      <c r="F117" s="417" t="str">
        <f aca="false">IF($A$1="Peak","-",'Base Hours'!F117*BaseLoad!L116*'Base Hours'!$AA117)</f>
        <v>-</v>
      </c>
      <c r="G117" s="417" t="str">
        <f aca="false">IF($A$1="Peak","-",'Base Hours'!G117*BaseLoad!M116*'Base Hours'!$AA117)</f>
        <v>-</v>
      </c>
      <c r="H117" s="417" t="str">
        <f aca="false">IF($A$1="Peak","-",'Base Hours'!H117*BaseLoad!N116*'Base Hours'!$AA117)</f>
        <v>-</v>
      </c>
      <c r="I117" s="417" t="str">
        <f aca="false">IF($A$1="Peak","-",'Base Hours'!I117*BaseLoad!O116*'Base Hours'!$AA117)</f>
        <v>-</v>
      </c>
      <c r="J117" s="417" t="str">
        <f aca="false">IF($A$1="Peak","-",'Base Hours'!J117*BaseLoad!P116*'Base Hours'!$AA117)</f>
        <v>-</v>
      </c>
      <c r="K117" s="417" t="str">
        <f aca="false">IF($A$1="Peak","-",'Base Hours'!K117*BaseLoad!Q116*'Base Hours'!$AA117)</f>
        <v>-</v>
      </c>
      <c r="L117" s="417" t="str">
        <f aca="false">IF($A$1="Peak","-",'Base Hours'!L117*BaseLoad!R116*'Base Hours'!$AA117)</f>
        <v>-</v>
      </c>
      <c r="M117" s="417" t="str">
        <f aca="false">IF($A$1="Peak","-",'Base Hours'!M117*BaseLoad!S116*'Base Hours'!$AA117)</f>
        <v>-</v>
      </c>
      <c r="N117" s="417" t="str">
        <f aca="false">IF($A$1="Peak","-",'Base Hours'!N117*BaseLoad!T116*'Base Hours'!$AA117)</f>
        <v>-</v>
      </c>
      <c r="O117" s="417" t="str">
        <f aca="false">IF($A$1="Peak","-",'Base Hours'!O117*BaseLoad!U116*'Base Hours'!$AA117)</f>
        <v>-</v>
      </c>
      <c r="P117" s="417" t="str">
        <f aca="false">IF($A$1="Peak","-",'Base Hours'!P117*BaseLoad!V116*'Base Hours'!$AA117)</f>
        <v>-</v>
      </c>
      <c r="Q117" s="417" t="str">
        <f aca="false">IF($A$1="Peak","-",'Base Hours'!Q117*BaseLoad!W116*'Base Hours'!$AA117)</f>
        <v>-</v>
      </c>
      <c r="R117" s="417" t="str">
        <f aca="false">IF($A$1="Peak","-",'Base Hours'!R117*BaseLoad!X116*'Base Hours'!$AA117)</f>
        <v>-</v>
      </c>
      <c r="S117" s="417" t="str">
        <f aca="false">IF($A$1="Peak","-",'Base Hours'!S117*BaseLoad!Y116*'Base Hours'!$AA117)</f>
        <v>-</v>
      </c>
      <c r="T117" s="417" t="str">
        <f aca="false">IF($A$1="Peak","-",'Base Hours'!T117*BaseLoad!Z116*'Base Hours'!$AA117)</f>
        <v>-</v>
      </c>
      <c r="U117" s="417" t="str">
        <f aca="false">IF($A$1="Peak","-",'Base Hours'!U117*BaseLoad!AA116*'Base Hours'!$AA117)</f>
        <v>-</v>
      </c>
      <c r="V117" s="417" t="n">
        <f aca="false">SUM(B117:U117)-(MAX(B117:U117))</f>
        <v>0</v>
      </c>
      <c r="W117" s="417"/>
      <c r="X117" s="417"/>
      <c r="Y117" s="418" t="n">
        <f aca="false">SUM(B106:U117)</f>
        <v>0</v>
      </c>
      <c r="Z117" s="418" t="n">
        <f aca="false">(BaseLoad!C116*'Base Hours'!V117*'Base Hours'!$AA117)*-1</f>
        <v>-0</v>
      </c>
      <c r="AA117" s="418" t="n">
        <f aca="false">SUM(Z106:Z117)</f>
        <v>0</v>
      </c>
      <c r="AB117" s="418" t="n">
        <f aca="false">(BaseLoad!D116*'Base Hours'!V117*'Base Hours'!$AA117)*-1</f>
        <v>-0</v>
      </c>
      <c r="AC117" s="418" t="n">
        <f aca="false">SUM(AB106:AB117)</f>
        <v>0</v>
      </c>
      <c r="AD117" s="418" t="n">
        <f aca="false">(BaseLoad!E116*'Base Hours'!V117*'Base Hours'!$AA117)*-1</f>
        <v>-0</v>
      </c>
      <c r="AE117" s="418" t="n">
        <f aca="false">SUM(AD106:AD117)</f>
        <v>0</v>
      </c>
      <c r="AF117" s="418" t="n">
        <f aca="false">(BaseLoad!F116*'Base Hours'!V117*'Base Hours'!$AA117)*-1</f>
        <v>-0</v>
      </c>
      <c r="AG117" s="418" t="n">
        <f aca="false">SUM(AF106:AF117)</f>
        <v>0</v>
      </c>
    </row>
    <row r="118" customFormat="false" ht="12.75" hidden="false" customHeight="false" outlineLevel="0" collapsed="false">
      <c r="A118" s="400" t="n">
        <f aca="false">A117+30.417</f>
        <v>39825.036</v>
      </c>
      <c r="B118" s="417" t="str">
        <f aca="false">IF($A$1="Peak","-",'Base Hours'!B118*BaseLoad!H117*'Base Hours'!$AA118)</f>
        <v>-</v>
      </c>
      <c r="C118" s="417" t="str">
        <f aca="false">IF($A$1="Peak","-",'Base Hours'!C118*BaseLoad!I117*'Base Hours'!$AA118)</f>
        <v>-</v>
      </c>
      <c r="D118" s="417" t="str">
        <f aca="false">IF($A$1="Peak","-",'Base Hours'!D118*BaseLoad!J117*'Base Hours'!$AA118)</f>
        <v>-</v>
      </c>
      <c r="E118" s="417" t="str">
        <f aca="false">IF($A$1="Peak","-",'Base Hours'!E118*BaseLoad!K117*'Base Hours'!$AA118)</f>
        <v>-</v>
      </c>
      <c r="F118" s="417" t="str">
        <f aca="false">IF($A$1="Peak","-",'Base Hours'!F118*BaseLoad!L117*'Base Hours'!$AA118)</f>
        <v>-</v>
      </c>
      <c r="G118" s="417" t="str">
        <f aca="false">IF($A$1="Peak","-",'Base Hours'!G118*BaseLoad!M117*'Base Hours'!$AA118)</f>
        <v>-</v>
      </c>
      <c r="H118" s="417" t="str">
        <f aca="false">IF($A$1="Peak","-",'Base Hours'!H118*BaseLoad!N117*'Base Hours'!$AA118)</f>
        <v>-</v>
      </c>
      <c r="I118" s="417" t="str">
        <f aca="false">IF($A$1="Peak","-",'Base Hours'!I118*BaseLoad!O117*'Base Hours'!$AA118)</f>
        <v>-</v>
      </c>
      <c r="J118" s="417" t="str">
        <f aca="false">IF($A$1="Peak","-",'Base Hours'!J118*BaseLoad!P117*'Base Hours'!$AA118)</f>
        <v>-</v>
      </c>
      <c r="K118" s="417" t="str">
        <f aca="false">IF($A$1="Peak","-",'Base Hours'!K118*BaseLoad!Q117*'Base Hours'!$AA118)</f>
        <v>-</v>
      </c>
      <c r="L118" s="417" t="str">
        <f aca="false">IF($A$1="Peak","-",'Base Hours'!L118*BaseLoad!R117*'Base Hours'!$AA118)</f>
        <v>-</v>
      </c>
      <c r="M118" s="417" t="str">
        <f aca="false">IF($A$1="Peak","-",'Base Hours'!M118*BaseLoad!S117*'Base Hours'!$AA118)</f>
        <v>-</v>
      </c>
      <c r="N118" s="417" t="str">
        <f aca="false">IF($A$1="Peak","-",'Base Hours'!N118*BaseLoad!T117*'Base Hours'!$AA118)</f>
        <v>-</v>
      </c>
      <c r="O118" s="417" t="str">
        <f aca="false">IF($A$1="Peak","-",'Base Hours'!O118*BaseLoad!U117*'Base Hours'!$AA118)</f>
        <v>-</v>
      </c>
      <c r="P118" s="417" t="str">
        <f aca="false">IF($A$1="Peak","-",'Base Hours'!P118*BaseLoad!V117*'Base Hours'!$AA118)</f>
        <v>-</v>
      </c>
      <c r="Q118" s="417" t="str">
        <f aca="false">IF($A$1="Peak","-",'Base Hours'!Q118*BaseLoad!W117*'Base Hours'!$AA118)</f>
        <v>-</v>
      </c>
      <c r="R118" s="417" t="str">
        <f aca="false">IF($A$1="Peak","-",'Base Hours'!R118*BaseLoad!X117*'Base Hours'!$AA118)</f>
        <v>-</v>
      </c>
      <c r="S118" s="417" t="str">
        <f aca="false">IF($A$1="Peak","-",'Base Hours'!S118*BaseLoad!Y117*'Base Hours'!$AA118)</f>
        <v>-</v>
      </c>
      <c r="T118" s="417" t="str">
        <f aca="false">IF($A$1="Peak","-",'Base Hours'!T118*BaseLoad!Z117*'Base Hours'!$AA118)</f>
        <v>-</v>
      </c>
      <c r="U118" s="417" t="str">
        <f aca="false">IF($A$1="Peak","-",'Base Hours'!U118*BaseLoad!AA117*'Base Hours'!$AA118)</f>
        <v>-</v>
      </c>
      <c r="V118" s="417" t="n">
        <f aca="false">SUM(B118:U118)-(MAX(B118:U118))</f>
        <v>0</v>
      </c>
      <c r="W118" s="417"/>
      <c r="X118" s="417"/>
      <c r="Y118" s="418"/>
      <c r="Z118" s="418" t="n">
        <f aca="false">(BaseLoad!C117*'Base Hours'!V118*'Base Hours'!$AA118)*-1</f>
        <v>-0</v>
      </c>
      <c r="AA118" s="418"/>
      <c r="AB118" s="418" t="n">
        <f aca="false">(BaseLoad!D117*'Base Hours'!V118*'Base Hours'!$AA118)*-1</f>
        <v>-0</v>
      </c>
      <c r="AC118" s="418"/>
      <c r="AD118" s="418" t="n">
        <f aca="false">(BaseLoad!E117*'Base Hours'!V118*'Base Hours'!$AA118)*-1</f>
        <v>-0</v>
      </c>
      <c r="AE118" s="418"/>
      <c r="AF118" s="418" t="n">
        <f aca="false">(BaseLoad!F117*'Base Hours'!V118*'Base Hours'!$AA118)*-1</f>
        <v>-0</v>
      </c>
      <c r="AG118" s="418"/>
    </row>
    <row r="119" customFormat="false" ht="12.75" hidden="false" customHeight="false" outlineLevel="0" collapsed="false">
      <c r="A119" s="400" t="n">
        <f aca="false">A118+30.417</f>
        <v>39855.453</v>
      </c>
      <c r="B119" s="417" t="str">
        <f aca="false">IF($A$1="Peak","-",'Base Hours'!B119*BaseLoad!H118*'Base Hours'!$AA119)</f>
        <v>-</v>
      </c>
      <c r="C119" s="417" t="str">
        <f aca="false">IF($A$1="Peak","-",'Base Hours'!C119*BaseLoad!I118*'Base Hours'!$AA119)</f>
        <v>-</v>
      </c>
      <c r="D119" s="417" t="str">
        <f aca="false">IF($A$1="Peak","-",'Base Hours'!D119*BaseLoad!J118*'Base Hours'!$AA119)</f>
        <v>-</v>
      </c>
      <c r="E119" s="417" t="str">
        <f aca="false">IF($A$1="Peak","-",'Base Hours'!E119*BaseLoad!K118*'Base Hours'!$AA119)</f>
        <v>-</v>
      </c>
      <c r="F119" s="417" t="str">
        <f aca="false">IF($A$1="Peak","-",'Base Hours'!F119*BaseLoad!L118*'Base Hours'!$AA119)</f>
        <v>-</v>
      </c>
      <c r="G119" s="417" t="str">
        <f aca="false">IF($A$1="Peak","-",'Base Hours'!G119*BaseLoad!M118*'Base Hours'!$AA119)</f>
        <v>-</v>
      </c>
      <c r="H119" s="417" t="str">
        <f aca="false">IF($A$1="Peak","-",'Base Hours'!H119*BaseLoad!N118*'Base Hours'!$AA119)</f>
        <v>-</v>
      </c>
      <c r="I119" s="417" t="str">
        <f aca="false">IF($A$1="Peak","-",'Base Hours'!I119*BaseLoad!O118*'Base Hours'!$AA119)</f>
        <v>-</v>
      </c>
      <c r="J119" s="417" t="str">
        <f aca="false">IF($A$1="Peak","-",'Base Hours'!J119*BaseLoad!P118*'Base Hours'!$AA119)</f>
        <v>-</v>
      </c>
      <c r="K119" s="417" t="str">
        <f aca="false">IF($A$1="Peak","-",'Base Hours'!K119*BaseLoad!Q118*'Base Hours'!$AA119)</f>
        <v>-</v>
      </c>
      <c r="L119" s="417" t="str">
        <f aca="false">IF($A$1="Peak","-",'Base Hours'!L119*BaseLoad!R118*'Base Hours'!$AA119)</f>
        <v>-</v>
      </c>
      <c r="M119" s="417" t="str">
        <f aca="false">IF($A$1="Peak","-",'Base Hours'!M119*BaseLoad!S118*'Base Hours'!$AA119)</f>
        <v>-</v>
      </c>
      <c r="N119" s="417" t="str">
        <f aca="false">IF($A$1="Peak","-",'Base Hours'!N119*BaseLoad!T118*'Base Hours'!$AA119)</f>
        <v>-</v>
      </c>
      <c r="O119" s="417" t="str">
        <f aca="false">IF($A$1="Peak","-",'Base Hours'!O119*BaseLoad!U118*'Base Hours'!$AA119)</f>
        <v>-</v>
      </c>
      <c r="P119" s="417" t="str">
        <f aca="false">IF($A$1="Peak","-",'Base Hours'!P119*BaseLoad!V118*'Base Hours'!$AA119)</f>
        <v>-</v>
      </c>
      <c r="Q119" s="417" t="str">
        <f aca="false">IF($A$1="Peak","-",'Base Hours'!Q119*BaseLoad!W118*'Base Hours'!$AA119)</f>
        <v>-</v>
      </c>
      <c r="R119" s="417" t="str">
        <f aca="false">IF($A$1="Peak","-",'Base Hours'!R119*BaseLoad!X118*'Base Hours'!$AA119)</f>
        <v>-</v>
      </c>
      <c r="S119" s="417" t="str">
        <f aca="false">IF($A$1="Peak","-",'Base Hours'!S119*BaseLoad!Y118*'Base Hours'!$AA119)</f>
        <v>-</v>
      </c>
      <c r="T119" s="417" t="str">
        <f aca="false">IF($A$1="Peak","-",'Base Hours'!T119*BaseLoad!Z118*'Base Hours'!$AA119)</f>
        <v>-</v>
      </c>
      <c r="U119" s="417" t="str">
        <f aca="false">IF($A$1="Peak","-",'Base Hours'!U119*BaseLoad!AA118*'Base Hours'!$AA119)</f>
        <v>-</v>
      </c>
      <c r="V119" s="417" t="n">
        <f aca="false">SUM(B119:U119)-(MAX(B119:U119))</f>
        <v>0</v>
      </c>
      <c r="W119" s="417"/>
      <c r="X119" s="417"/>
      <c r="Y119" s="418"/>
      <c r="Z119" s="418" t="n">
        <f aca="false">(BaseLoad!C118*'Base Hours'!V119*'Base Hours'!$AA119)*-1</f>
        <v>-0</v>
      </c>
      <c r="AA119" s="418"/>
      <c r="AB119" s="418" t="n">
        <f aca="false">(BaseLoad!D118*'Base Hours'!V119*'Base Hours'!$AA119)*-1</f>
        <v>-0</v>
      </c>
      <c r="AC119" s="418"/>
      <c r="AD119" s="418" t="n">
        <f aca="false">(BaseLoad!E118*'Base Hours'!V119*'Base Hours'!$AA119)*-1</f>
        <v>-0</v>
      </c>
      <c r="AE119" s="418"/>
      <c r="AF119" s="418" t="n">
        <f aca="false">(BaseLoad!F118*'Base Hours'!V119*'Base Hours'!$AA119)*-1</f>
        <v>-0</v>
      </c>
      <c r="AG119" s="418"/>
    </row>
    <row r="120" customFormat="false" ht="12.75" hidden="false" customHeight="false" outlineLevel="0" collapsed="false">
      <c r="A120" s="400" t="n">
        <f aca="false">A119+30.417</f>
        <v>39885.87</v>
      </c>
      <c r="B120" s="417" t="str">
        <f aca="false">IF($A$1="Peak","-",'Base Hours'!B120*BaseLoad!H119*'Base Hours'!$AA120)</f>
        <v>-</v>
      </c>
      <c r="C120" s="417" t="str">
        <f aca="false">IF($A$1="Peak","-",'Base Hours'!C120*BaseLoad!I119*'Base Hours'!$AA120)</f>
        <v>-</v>
      </c>
      <c r="D120" s="417" t="str">
        <f aca="false">IF($A$1="Peak","-",'Base Hours'!D120*BaseLoad!J119*'Base Hours'!$AA120)</f>
        <v>-</v>
      </c>
      <c r="E120" s="417" t="str">
        <f aca="false">IF($A$1="Peak","-",'Base Hours'!E120*BaseLoad!K119*'Base Hours'!$AA120)</f>
        <v>-</v>
      </c>
      <c r="F120" s="417" t="str">
        <f aca="false">IF($A$1="Peak","-",'Base Hours'!F120*BaseLoad!L119*'Base Hours'!$AA120)</f>
        <v>-</v>
      </c>
      <c r="G120" s="417" t="str">
        <f aca="false">IF($A$1="Peak","-",'Base Hours'!G120*BaseLoad!M119*'Base Hours'!$AA120)</f>
        <v>-</v>
      </c>
      <c r="H120" s="417" t="str">
        <f aca="false">IF($A$1="Peak","-",'Base Hours'!H120*BaseLoad!N119*'Base Hours'!$AA120)</f>
        <v>-</v>
      </c>
      <c r="I120" s="417" t="str">
        <f aca="false">IF($A$1="Peak","-",'Base Hours'!I120*BaseLoad!O119*'Base Hours'!$AA120)</f>
        <v>-</v>
      </c>
      <c r="J120" s="417" t="str">
        <f aca="false">IF($A$1="Peak","-",'Base Hours'!J120*BaseLoad!P119*'Base Hours'!$AA120)</f>
        <v>-</v>
      </c>
      <c r="K120" s="417" t="str">
        <f aca="false">IF($A$1="Peak","-",'Base Hours'!K120*BaseLoad!Q119*'Base Hours'!$AA120)</f>
        <v>-</v>
      </c>
      <c r="L120" s="417" t="str">
        <f aca="false">IF($A$1="Peak","-",'Base Hours'!L120*BaseLoad!R119*'Base Hours'!$AA120)</f>
        <v>-</v>
      </c>
      <c r="M120" s="417" t="str">
        <f aca="false">IF($A$1="Peak","-",'Base Hours'!M120*BaseLoad!S119*'Base Hours'!$AA120)</f>
        <v>-</v>
      </c>
      <c r="N120" s="417" t="str">
        <f aca="false">IF($A$1="Peak","-",'Base Hours'!N120*BaseLoad!T119*'Base Hours'!$AA120)</f>
        <v>-</v>
      </c>
      <c r="O120" s="417" t="str">
        <f aca="false">IF($A$1="Peak","-",'Base Hours'!O120*BaseLoad!U119*'Base Hours'!$AA120)</f>
        <v>-</v>
      </c>
      <c r="P120" s="417" t="str">
        <f aca="false">IF($A$1="Peak","-",'Base Hours'!P120*BaseLoad!V119*'Base Hours'!$AA120)</f>
        <v>-</v>
      </c>
      <c r="Q120" s="417" t="str">
        <f aca="false">IF($A$1="Peak","-",'Base Hours'!Q120*BaseLoad!W119*'Base Hours'!$AA120)</f>
        <v>-</v>
      </c>
      <c r="R120" s="417" t="str">
        <f aca="false">IF($A$1="Peak","-",'Base Hours'!R120*BaseLoad!X119*'Base Hours'!$AA120)</f>
        <v>-</v>
      </c>
      <c r="S120" s="417" t="str">
        <f aca="false">IF($A$1="Peak","-",'Base Hours'!S120*BaseLoad!Y119*'Base Hours'!$AA120)</f>
        <v>-</v>
      </c>
      <c r="T120" s="417" t="str">
        <f aca="false">IF($A$1="Peak","-",'Base Hours'!T120*BaseLoad!Z119*'Base Hours'!$AA120)</f>
        <v>-</v>
      </c>
      <c r="U120" s="417" t="str">
        <f aca="false">IF($A$1="Peak","-",'Base Hours'!U120*BaseLoad!AA119*'Base Hours'!$AA120)</f>
        <v>-</v>
      </c>
      <c r="V120" s="417" t="n">
        <f aca="false">SUM(B120:U120)-(MAX(B120:U120))</f>
        <v>0</v>
      </c>
      <c r="W120" s="417"/>
      <c r="X120" s="417"/>
      <c r="Y120" s="418"/>
      <c r="Z120" s="418" t="n">
        <f aca="false">(BaseLoad!C119*'Base Hours'!V120*'Base Hours'!$AA120)*-1</f>
        <v>-0</v>
      </c>
      <c r="AA120" s="418"/>
      <c r="AB120" s="418" t="n">
        <f aca="false">(BaseLoad!D119*'Base Hours'!V120*'Base Hours'!$AA120)*-1</f>
        <v>-0</v>
      </c>
      <c r="AC120" s="418"/>
      <c r="AD120" s="418" t="n">
        <f aca="false">(BaseLoad!E119*'Base Hours'!V120*'Base Hours'!$AA120)*-1</f>
        <v>-0</v>
      </c>
      <c r="AE120" s="418"/>
      <c r="AF120" s="418" t="n">
        <f aca="false">(BaseLoad!F119*'Base Hours'!V120*'Base Hours'!$AA120)*-1</f>
        <v>-0</v>
      </c>
      <c r="AG120" s="418"/>
    </row>
    <row r="121" customFormat="false" ht="12.75" hidden="false" customHeight="false" outlineLevel="0" collapsed="false">
      <c r="A121" s="400" t="n">
        <f aca="false">A120+30.417</f>
        <v>39916.287</v>
      </c>
      <c r="B121" s="417" t="str">
        <f aca="false">IF($A$1="Peak","-",'Base Hours'!B121*BaseLoad!H120*'Base Hours'!$AA121)</f>
        <v>-</v>
      </c>
      <c r="C121" s="417" t="str">
        <f aca="false">IF($A$1="Peak","-",'Base Hours'!C121*BaseLoad!I120*'Base Hours'!$AA121)</f>
        <v>-</v>
      </c>
      <c r="D121" s="417" t="str">
        <f aca="false">IF($A$1="Peak","-",'Base Hours'!D121*BaseLoad!J120*'Base Hours'!$AA121)</f>
        <v>-</v>
      </c>
      <c r="E121" s="417" t="str">
        <f aca="false">IF($A$1="Peak","-",'Base Hours'!E121*BaseLoad!K120*'Base Hours'!$AA121)</f>
        <v>-</v>
      </c>
      <c r="F121" s="417" t="str">
        <f aca="false">IF($A$1="Peak","-",'Base Hours'!F121*BaseLoad!L120*'Base Hours'!$AA121)</f>
        <v>-</v>
      </c>
      <c r="G121" s="417" t="str">
        <f aca="false">IF($A$1="Peak","-",'Base Hours'!G121*BaseLoad!M120*'Base Hours'!$AA121)</f>
        <v>-</v>
      </c>
      <c r="H121" s="417" t="str">
        <f aca="false">IF($A$1="Peak","-",'Base Hours'!H121*BaseLoad!N120*'Base Hours'!$AA121)</f>
        <v>-</v>
      </c>
      <c r="I121" s="417" t="str">
        <f aca="false">IF($A$1="Peak","-",'Base Hours'!I121*BaseLoad!O120*'Base Hours'!$AA121)</f>
        <v>-</v>
      </c>
      <c r="J121" s="417" t="str">
        <f aca="false">IF($A$1="Peak","-",'Base Hours'!J121*BaseLoad!P120*'Base Hours'!$AA121)</f>
        <v>-</v>
      </c>
      <c r="K121" s="417" t="str">
        <f aca="false">IF($A$1="Peak","-",'Base Hours'!K121*BaseLoad!Q120*'Base Hours'!$AA121)</f>
        <v>-</v>
      </c>
      <c r="L121" s="417" t="str">
        <f aca="false">IF($A$1="Peak","-",'Base Hours'!L121*BaseLoad!R120*'Base Hours'!$AA121)</f>
        <v>-</v>
      </c>
      <c r="M121" s="417" t="str">
        <f aca="false">IF($A$1="Peak","-",'Base Hours'!M121*BaseLoad!S120*'Base Hours'!$AA121)</f>
        <v>-</v>
      </c>
      <c r="N121" s="417" t="str">
        <f aca="false">IF($A$1="Peak","-",'Base Hours'!N121*BaseLoad!T120*'Base Hours'!$AA121)</f>
        <v>-</v>
      </c>
      <c r="O121" s="417" t="str">
        <f aca="false">IF($A$1="Peak","-",'Base Hours'!O121*BaseLoad!U120*'Base Hours'!$AA121)</f>
        <v>-</v>
      </c>
      <c r="P121" s="417" t="str">
        <f aca="false">IF($A$1="Peak","-",'Base Hours'!P121*BaseLoad!V120*'Base Hours'!$AA121)</f>
        <v>-</v>
      </c>
      <c r="Q121" s="417" t="str">
        <f aca="false">IF($A$1="Peak","-",'Base Hours'!Q121*BaseLoad!W120*'Base Hours'!$AA121)</f>
        <v>-</v>
      </c>
      <c r="R121" s="417" t="str">
        <f aca="false">IF($A$1="Peak","-",'Base Hours'!R121*BaseLoad!X120*'Base Hours'!$AA121)</f>
        <v>-</v>
      </c>
      <c r="S121" s="417" t="str">
        <f aca="false">IF($A$1="Peak","-",'Base Hours'!S121*BaseLoad!Y120*'Base Hours'!$AA121)</f>
        <v>-</v>
      </c>
      <c r="T121" s="417" t="str">
        <f aca="false">IF($A$1="Peak","-",'Base Hours'!T121*BaseLoad!Z120*'Base Hours'!$AA121)</f>
        <v>-</v>
      </c>
      <c r="U121" s="417" t="str">
        <f aca="false">IF($A$1="Peak","-",'Base Hours'!U121*BaseLoad!AA120*'Base Hours'!$AA121)</f>
        <v>-</v>
      </c>
      <c r="V121" s="417" t="n">
        <f aca="false">SUM(B121:U121)-(MAX(B121:U121))</f>
        <v>0</v>
      </c>
      <c r="W121" s="417"/>
      <c r="X121" s="417"/>
      <c r="Y121" s="418"/>
      <c r="Z121" s="418" t="n">
        <f aca="false">(BaseLoad!C120*'Base Hours'!V121*'Base Hours'!$AA121)*-1</f>
        <v>-0</v>
      </c>
      <c r="AA121" s="418"/>
      <c r="AB121" s="418" t="n">
        <f aca="false">(BaseLoad!D120*'Base Hours'!V121*'Base Hours'!$AA121)*-1</f>
        <v>-0</v>
      </c>
      <c r="AC121" s="418"/>
      <c r="AD121" s="418" t="n">
        <f aca="false">(BaseLoad!E120*'Base Hours'!V121*'Base Hours'!$AA121)*-1</f>
        <v>-0</v>
      </c>
      <c r="AE121" s="418"/>
      <c r="AF121" s="418" t="n">
        <f aca="false">(BaseLoad!F120*'Base Hours'!V121*'Base Hours'!$AA121)*-1</f>
        <v>-0</v>
      </c>
      <c r="AG121" s="418"/>
    </row>
    <row r="122" customFormat="false" ht="12.75" hidden="false" customHeight="false" outlineLevel="0" collapsed="false">
      <c r="A122" s="400" t="n">
        <f aca="false">A121+30.417</f>
        <v>39946.704</v>
      </c>
      <c r="B122" s="417" t="str">
        <f aca="false">IF($A$1="Peak","-",'Base Hours'!B122*BaseLoad!H121*'Base Hours'!$AA122)</f>
        <v>-</v>
      </c>
      <c r="C122" s="417" t="str">
        <f aca="false">IF($A$1="Peak","-",'Base Hours'!C122*BaseLoad!I121*'Base Hours'!$AA122)</f>
        <v>-</v>
      </c>
      <c r="D122" s="417" t="str">
        <f aca="false">IF($A$1="Peak","-",'Base Hours'!D122*BaseLoad!J121*'Base Hours'!$AA122)</f>
        <v>-</v>
      </c>
      <c r="E122" s="417" t="str">
        <f aca="false">IF($A$1="Peak","-",'Base Hours'!E122*BaseLoad!K121*'Base Hours'!$AA122)</f>
        <v>-</v>
      </c>
      <c r="F122" s="417" t="str">
        <f aca="false">IF($A$1="Peak","-",'Base Hours'!F122*BaseLoad!L121*'Base Hours'!$AA122)</f>
        <v>-</v>
      </c>
      <c r="G122" s="417" t="str">
        <f aca="false">IF($A$1="Peak","-",'Base Hours'!G122*BaseLoad!M121*'Base Hours'!$AA122)</f>
        <v>-</v>
      </c>
      <c r="H122" s="417" t="str">
        <f aca="false">IF($A$1="Peak","-",'Base Hours'!H122*BaseLoad!N121*'Base Hours'!$AA122)</f>
        <v>-</v>
      </c>
      <c r="I122" s="417" t="str">
        <f aca="false">IF($A$1="Peak","-",'Base Hours'!I122*BaseLoad!O121*'Base Hours'!$AA122)</f>
        <v>-</v>
      </c>
      <c r="J122" s="417" t="str">
        <f aca="false">IF($A$1="Peak","-",'Base Hours'!J122*BaseLoad!P121*'Base Hours'!$AA122)</f>
        <v>-</v>
      </c>
      <c r="K122" s="417" t="str">
        <f aca="false">IF($A$1="Peak","-",'Base Hours'!K122*BaseLoad!Q121*'Base Hours'!$AA122)</f>
        <v>-</v>
      </c>
      <c r="L122" s="417" t="str">
        <f aca="false">IF($A$1="Peak","-",'Base Hours'!L122*BaseLoad!R121*'Base Hours'!$AA122)</f>
        <v>-</v>
      </c>
      <c r="M122" s="417" t="str">
        <f aca="false">IF($A$1="Peak","-",'Base Hours'!M122*BaseLoad!S121*'Base Hours'!$AA122)</f>
        <v>-</v>
      </c>
      <c r="N122" s="417" t="str">
        <f aca="false">IF($A$1="Peak","-",'Base Hours'!N122*BaseLoad!T121*'Base Hours'!$AA122)</f>
        <v>-</v>
      </c>
      <c r="O122" s="417" t="str">
        <f aca="false">IF($A$1="Peak","-",'Base Hours'!O122*BaseLoad!U121*'Base Hours'!$AA122)</f>
        <v>-</v>
      </c>
      <c r="P122" s="417" t="str">
        <f aca="false">IF($A$1="Peak","-",'Base Hours'!P122*BaseLoad!V121*'Base Hours'!$AA122)</f>
        <v>-</v>
      </c>
      <c r="Q122" s="417" t="str">
        <f aca="false">IF($A$1="Peak","-",'Base Hours'!Q122*BaseLoad!W121*'Base Hours'!$AA122)</f>
        <v>-</v>
      </c>
      <c r="R122" s="417" t="str">
        <f aca="false">IF($A$1="Peak","-",'Base Hours'!R122*BaseLoad!X121*'Base Hours'!$AA122)</f>
        <v>-</v>
      </c>
      <c r="S122" s="417" t="str">
        <f aca="false">IF($A$1="Peak","-",'Base Hours'!S122*BaseLoad!Y121*'Base Hours'!$AA122)</f>
        <v>-</v>
      </c>
      <c r="T122" s="417" t="str">
        <f aca="false">IF($A$1="Peak","-",'Base Hours'!T122*BaseLoad!Z121*'Base Hours'!$AA122)</f>
        <v>-</v>
      </c>
      <c r="U122" s="417" t="str">
        <f aca="false">IF($A$1="Peak","-",'Base Hours'!U122*BaseLoad!AA121*'Base Hours'!$AA122)</f>
        <v>-</v>
      </c>
      <c r="V122" s="417" t="n">
        <f aca="false">SUM(B122:U122)-(MAX(B122:U122))</f>
        <v>0</v>
      </c>
      <c r="W122" s="417"/>
      <c r="X122" s="417"/>
      <c r="Y122" s="418"/>
      <c r="Z122" s="418" t="n">
        <f aca="false">(BaseLoad!C121*'Base Hours'!V122*'Base Hours'!$AA122)*-1</f>
        <v>-0</v>
      </c>
      <c r="AA122" s="418"/>
      <c r="AB122" s="418" t="n">
        <f aca="false">(BaseLoad!D121*'Base Hours'!V122*'Base Hours'!$AA122)*-1</f>
        <v>-0</v>
      </c>
      <c r="AC122" s="418"/>
      <c r="AD122" s="418" t="n">
        <f aca="false">(BaseLoad!E121*'Base Hours'!V122*'Base Hours'!$AA122)*-1</f>
        <v>-0</v>
      </c>
      <c r="AE122" s="418"/>
      <c r="AF122" s="418" t="n">
        <f aca="false">(BaseLoad!F121*'Base Hours'!V122*'Base Hours'!$AA122)*-1</f>
        <v>-0</v>
      </c>
      <c r="AG122" s="418"/>
    </row>
    <row r="123" customFormat="false" ht="12.75" hidden="false" customHeight="false" outlineLevel="0" collapsed="false">
      <c r="A123" s="400" t="n">
        <f aca="false">A122+30.417</f>
        <v>39977.121</v>
      </c>
      <c r="B123" s="417" t="str">
        <f aca="false">IF($A$1="Peak","-",'Base Hours'!B123*BaseLoad!H122*'Base Hours'!$AA123)</f>
        <v>-</v>
      </c>
      <c r="C123" s="417" t="str">
        <f aca="false">IF($A$1="Peak","-",'Base Hours'!C123*BaseLoad!I122*'Base Hours'!$AA123)</f>
        <v>-</v>
      </c>
      <c r="D123" s="417" t="str">
        <f aca="false">IF($A$1="Peak","-",'Base Hours'!D123*BaseLoad!J122*'Base Hours'!$AA123)</f>
        <v>-</v>
      </c>
      <c r="E123" s="417" t="str">
        <f aca="false">IF($A$1="Peak","-",'Base Hours'!E123*BaseLoad!K122*'Base Hours'!$AA123)</f>
        <v>-</v>
      </c>
      <c r="F123" s="417" t="str">
        <f aca="false">IF($A$1="Peak","-",'Base Hours'!F123*BaseLoad!L122*'Base Hours'!$AA123)</f>
        <v>-</v>
      </c>
      <c r="G123" s="417" t="str">
        <f aca="false">IF($A$1="Peak","-",'Base Hours'!G123*BaseLoad!M122*'Base Hours'!$AA123)</f>
        <v>-</v>
      </c>
      <c r="H123" s="417" t="str">
        <f aca="false">IF($A$1="Peak","-",'Base Hours'!H123*BaseLoad!N122*'Base Hours'!$AA123)</f>
        <v>-</v>
      </c>
      <c r="I123" s="417" t="str">
        <f aca="false">IF($A$1="Peak","-",'Base Hours'!I123*BaseLoad!O122*'Base Hours'!$AA123)</f>
        <v>-</v>
      </c>
      <c r="J123" s="417" t="str">
        <f aca="false">IF($A$1="Peak","-",'Base Hours'!J123*BaseLoad!P122*'Base Hours'!$AA123)</f>
        <v>-</v>
      </c>
      <c r="K123" s="417" t="str">
        <f aca="false">IF($A$1="Peak","-",'Base Hours'!K123*BaseLoad!Q122*'Base Hours'!$AA123)</f>
        <v>-</v>
      </c>
      <c r="L123" s="417" t="str">
        <f aca="false">IF($A$1="Peak","-",'Base Hours'!L123*BaseLoad!R122*'Base Hours'!$AA123)</f>
        <v>-</v>
      </c>
      <c r="M123" s="417" t="str">
        <f aca="false">IF($A$1="Peak","-",'Base Hours'!M123*BaseLoad!S122*'Base Hours'!$AA123)</f>
        <v>-</v>
      </c>
      <c r="N123" s="417" t="str">
        <f aca="false">IF($A$1="Peak","-",'Base Hours'!N123*BaseLoad!T122*'Base Hours'!$AA123)</f>
        <v>-</v>
      </c>
      <c r="O123" s="417" t="str">
        <f aca="false">IF($A$1="Peak","-",'Base Hours'!O123*BaseLoad!U122*'Base Hours'!$AA123)</f>
        <v>-</v>
      </c>
      <c r="P123" s="417" t="str">
        <f aca="false">IF($A$1="Peak","-",'Base Hours'!P123*BaseLoad!V122*'Base Hours'!$AA123)</f>
        <v>-</v>
      </c>
      <c r="Q123" s="417" t="str">
        <f aca="false">IF($A$1="Peak","-",'Base Hours'!Q123*BaseLoad!W122*'Base Hours'!$AA123)</f>
        <v>-</v>
      </c>
      <c r="R123" s="417" t="str">
        <f aca="false">IF($A$1="Peak","-",'Base Hours'!R123*BaseLoad!X122*'Base Hours'!$AA123)</f>
        <v>-</v>
      </c>
      <c r="S123" s="417" t="str">
        <f aca="false">IF($A$1="Peak","-",'Base Hours'!S123*BaseLoad!Y122*'Base Hours'!$AA123)</f>
        <v>-</v>
      </c>
      <c r="T123" s="417" t="str">
        <f aca="false">IF($A$1="Peak","-",'Base Hours'!T123*BaseLoad!Z122*'Base Hours'!$AA123)</f>
        <v>-</v>
      </c>
      <c r="U123" s="417" t="str">
        <f aca="false">IF($A$1="Peak","-",'Base Hours'!U123*BaseLoad!AA122*'Base Hours'!$AA123)</f>
        <v>-</v>
      </c>
      <c r="V123" s="417" t="n">
        <f aca="false">SUM(B123:U123)-(MAX(B123:U123))</f>
        <v>0</v>
      </c>
      <c r="W123" s="417"/>
      <c r="X123" s="417"/>
      <c r="Y123" s="418"/>
      <c r="Z123" s="418" t="n">
        <f aca="false">(BaseLoad!C122*'Base Hours'!V123*'Base Hours'!$AA123)*-1</f>
        <v>-0</v>
      </c>
      <c r="AA123" s="418"/>
      <c r="AB123" s="418" t="n">
        <f aca="false">(BaseLoad!D122*'Base Hours'!V123*'Base Hours'!$AA123)*-1</f>
        <v>-0</v>
      </c>
      <c r="AC123" s="418"/>
      <c r="AD123" s="418" t="n">
        <f aca="false">(BaseLoad!E122*'Base Hours'!V123*'Base Hours'!$AA123)*-1</f>
        <v>-0</v>
      </c>
      <c r="AE123" s="418"/>
      <c r="AF123" s="418" t="n">
        <f aca="false">(BaseLoad!F122*'Base Hours'!V123*'Base Hours'!$AA123)*-1</f>
        <v>-0</v>
      </c>
      <c r="AG123" s="418"/>
    </row>
    <row r="124" customFormat="false" ht="12.75" hidden="false" customHeight="false" outlineLevel="0" collapsed="false">
      <c r="A124" s="400" t="n">
        <f aca="false">A123+30.417</f>
        <v>40007.538</v>
      </c>
      <c r="B124" s="417" t="str">
        <f aca="false">IF($A$1="Peak","-",'Base Hours'!B124*BaseLoad!H123*'Base Hours'!$AA124)</f>
        <v>-</v>
      </c>
      <c r="C124" s="417" t="str">
        <f aca="false">IF($A$1="Peak","-",'Base Hours'!C124*BaseLoad!I123*'Base Hours'!$AA124)</f>
        <v>-</v>
      </c>
      <c r="D124" s="417" t="str">
        <f aca="false">IF($A$1="Peak","-",'Base Hours'!D124*BaseLoad!J123*'Base Hours'!$AA124)</f>
        <v>-</v>
      </c>
      <c r="E124" s="417" t="str">
        <f aca="false">IF($A$1="Peak","-",'Base Hours'!E124*BaseLoad!K123*'Base Hours'!$AA124)</f>
        <v>-</v>
      </c>
      <c r="F124" s="417" t="str">
        <f aca="false">IF($A$1="Peak","-",'Base Hours'!F124*BaseLoad!L123*'Base Hours'!$AA124)</f>
        <v>-</v>
      </c>
      <c r="G124" s="417" t="str">
        <f aca="false">IF($A$1="Peak","-",'Base Hours'!G124*BaseLoad!M123*'Base Hours'!$AA124)</f>
        <v>-</v>
      </c>
      <c r="H124" s="417" t="str">
        <f aca="false">IF($A$1="Peak","-",'Base Hours'!H124*BaseLoad!N123*'Base Hours'!$AA124)</f>
        <v>-</v>
      </c>
      <c r="I124" s="417" t="str">
        <f aca="false">IF($A$1="Peak","-",'Base Hours'!I124*BaseLoad!O123*'Base Hours'!$AA124)</f>
        <v>-</v>
      </c>
      <c r="J124" s="417" t="str">
        <f aca="false">IF($A$1="Peak","-",'Base Hours'!J124*BaseLoad!P123*'Base Hours'!$AA124)</f>
        <v>-</v>
      </c>
      <c r="K124" s="417" t="str">
        <f aca="false">IF($A$1="Peak","-",'Base Hours'!K124*BaseLoad!Q123*'Base Hours'!$AA124)</f>
        <v>-</v>
      </c>
      <c r="L124" s="417" t="str">
        <f aca="false">IF($A$1="Peak","-",'Base Hours'!L124*BaseLoad!R123*'Base Hours'!$AA124)</f>
        <v>-</v>
      </c>
      <c r="M124" s="417" t="str">
        <f aca="false">IF($A$1="Peak","-",'Base Hours'!M124*BaseLoad!S123*'Base Hours'!$AA124)</f>
        <v>-</v>
      </c>
      <c r="N124" s="417" t="str">
        <f aca="false">IF($A$1="Peak","-",'Base Hours'!N124*BaseLoad!T123*'Base Hours'!$AA124)</f>
        <v>-</v>
      </c>
      <c r="O124" s="417" t="str">
        <f aca="false">IF($A$1="Peak","-",'Base Hours'!O124*BaseLoad!U123*'Base Hours'!$AA124)</f>
        <v>-</v>
      </c>
      <c r="P124" s="417" t="str">
        <f aca="false">IF($A$1="Peak","-",'Base Hours'!P124*BaseLoad!V123*'Base Hours'!$AA124)</f>
        <v>-</v>
      </c>
      <c r="Q124" s="417" t="str">
        <f aca="false">IF($A$1="Peak","-",'Base Hours'!Q124*BaseLoad!W123*'Base Hours'!$AA124)</f>
        <v>-</v>
      </c>
      <c r="R124" s="417" t="str">
        <f aca="false">IF($A$1="Peak","-",'Base Hours'!R124*BaseLoad!X123*'Base Hours'!$AA124)</f>
        <v>-</v>
      </c>
      <c r="S124" s="417" t="str">
        <f aca="false">IF($A$1="Peak","-",'Base Hours'!S124*BaseLoad!Y123*'Base Hours'!$AA124)</f>
        <v>-</v>
      </c>
      <c r="T124" s="417" t="str">
        <f aca="false">IF($A$1="Peak","-",'Base Hours'!T124*BaseLoad!Z123*'Base Hours'!$AA124)</f>
        <v>-</v>
      </c>
      <c r="U124" s="417" t="str">
        <f aca="false">IF($A$1="Peak","-",'Base Hours'!U124*BaseLoad!AA123*'Base Hours'!$AA124)</f>
        <v>-</v>
      </c>
      <c r="V124" s="417" t="n">
        <f aca="false">SUM(B124:U124)-(MAX(B124:U124))</f>
        <v>0</v>
      </c>
      <c r="W124" s="417"/>
      <c r="X124" s="417"/>
      <c r="Y124" s="418"/>
      <c r="Z124" s="418" t="n">
        <f aca="false">(BaseLoad!C123*'Base Hours'!V124*'Base Hours'!$AA124)*-1</f>
        <v>-0</v>
      </c>
      <c r="AA124" s="418"/>
      <c r="AB124" s="418" t="n">
        <f aca="false">(BaseLoad!D123*'Base Hours'!V124*'Base Hours'!$AA124)*-1</f>
        <v>-0</v>
      </c>
      <c r="AC124" s="418"/>
      <c r="AD124" s="418" t="n">
        <f aca="false">(BaseLoad!E123*'Base Hours'!V124*'Base Hours'!$AA124)*-1</f>
        <v>-0</v>
      </c>
      <c r="AE124" s="418"/>
      <c r="AF124" s="418" t="n">
        <f aca="false">(BaseLoad!F123*'Base Hours'!V124*'Base Hours'!$AA124)*-1</f>
        <v>-0</v>
      </c>
      <c r="AG124" s="418"/>
    </row>
    <row r="125" customFormat="false" ht="12.75" hidden="false" customHeight="false" outlineLevel="0" collapsed="false">
      <c r="A125" s="400" t="n">
        <f aca="false">A124+30.417</f>
        <v>40037.955</v>
      </c>
      <c r="B125" s="417" t="str">
        <f aca="false">IF($A$1="Peak","-",'Base Hours'!B125*BaseLoad!H124*'Base Hours'!$AA125)</f>
        <v>-</v>
      </c>
      <c r="C125" s="417" t="str">
        <f aca="false">IF($A$1="Peak","-",'Base Hours'!C125*BaseLoad!I124*'Base Hours'!$AA125)</f>
        <v>-</v>
      </c>
      <c r="D125" s="417" t="str">
        <f aca="false">IF($A$1="Peak","-",'Base Hours'!D125*BaseLoad!J124*'Base Hours'!$AA125)</f>
        <v>-</v>
      </c>
      <c r="E125" s="417" t="str">
        <f aca="false">IF($A$1="Peak","-",'Base Hours'!E125*BaseLoad!K124*'Base Hours'!$AA125)</f>
        <v>-</v>
      </c>
      <c r="F125" s="417" t="str">
        <f aca="false">IF($A$1="Peak","-",'Base Hours'!F125*BaseLoad!L124*'Base Hours'!$AA125)</f>
        <v>-</v>
      </c>
      <c r="G125" s="417" t="str">
        <f aca="false">IF($A$1="Peak","-",'Base Hours'!G125*BaseLoad!M124*'Base Hours'!$AA125)</f>
        <v>-</v>
      </c>
      <c r="H125" s="417" t="str">
        <f aca="false">IF($A$1="Peak","-",'Base Hours'!H125*BaseLoad!N124*'Base Hours'!$AA125)</f>
        <v>-</v>
      </c>
      <c r="I125" s="417" t="str">
        <f aca="false">IF($A$1="Peak","-",'Base Hours'!I125*BaseLoad!O124*'Base Hours'!$AA125)</f>
        <v>-</v>
      </c>
      <c r="J125" s="417" t="str">
        <f aca="false">IF($A$1="Peak","-",'Base Hours'!J125*BaseLoad!P124*'Base Hours'!$AA125)</f>
        <v>-</v>
      </c>
      <c r="K125" s="417" t="str">
        <f aca="false">IF($A$1="Peak","-",'Base Hours'!K125*BaseLoad!Q124*'Base Hours'!$AA125)</f>
        <v>-</v>
      </c>
      <c r="L125" s="417" t="str">
        <f aca="false">IF($A$1="Peak","-",'Base Hours'!L125*BaseLoad!R124*'Base Hours'!$AA125)</f>
        <v>-</v>
      </c>
      <c r="M125" s="417" t="str">
        <f aca="false">IF($A$1="Peak","-",'Base Hours'!M125*BaseLoad!S124*'Base Hours'!$AA125)</f>
        <v>-</v>
      </c>
      <c r="N125" s="417" t="str">
        <f aca="false">IF($A$1="Peak","-",'Base Hours'!N125*BaseLoad!T124*'Base Hours'!$AA125)</f>
        <v>-</v>
      </c>
      <c r="O125" s="417" t="str">
        <f aca="false">IF($A$1="Peak","-",'Base Hours'!O125*BaseLoad!U124*'Base Hours'!$AA125)</f>
        <v>-</v>
      </c>
      <c r="P125" s="417" t="str">
        <f aca="false">IF($A$1="Peak","-",'Base Hours'!P125*BaseLoad!V124*'Base Hours'!$AA125)</f>
        <v>-</v>
      </c>
      <c r="Q125" s="417" t="str">
        <f aca="false">IF($A$1="Peak","-",'Base Hours'!Q125*BaseLoad!W124*'Base Hours'!$AA125)</f>
        <v>-</v>
      </c>
      <c r="R125" s="417" t="str">
        <f aca="false">IF($A$1="Peak","-",'Base Hours'!R125*BaseLoad!X124*'Base Hours'!$AA125)</f>
        <v>-</v>
      </c>
      <c r="S125" s="417" t="str">
        <f aca="false">IF($A$1="Peak","-",'Base Hours'!S125*BaseLoad!Y124*'Base Hours'!$AA125)</f>
        <v>-</v>
      </c>
      <c r="T125" s="417" t="str">
        <f aca="false">IF($A$1="Peak","-",'Base Hours'!T125*BaseLoad!Z124*'Base Hours'!$AA125)</f>
        <v>-</v>
      </c>
      <c r="U125" s="417" t="str">
        <f aca="false">IF($A$1="Peak","-",'Base Hours'!U125*BaseLoad!AA124*'Base Hours'!$AA125)</f>
        <v>-</v>
      </c>
      <c r="V125" s="417" t="n">
        <f aca="false">SUM(B125:U125)-(MAX(B125:U125))</f>
        <v>0</v>
      </c>
      <c r="W125" s="417"/>
      <c r="X125" s="417"/>
      <c r="Y125" s="418"/>
      <c r="Z125" s="418" t="n">
        <f aca="false">(BaseLoad!C124*'Base Hours'!V125*'Base Hours'!$AA125)*-1</f>
        <v>-0</v>
      </c>
      <c r="AA125" s="418"/>
      <c r="AB125" s="418" t="n">
        <f aca="false">(BaseLoad!D124*'Base Hours'!V125*'Base Hours'!$AA125)*-1</f>
        <v>-0</v>
      </c>
      <c r="AC125" s="418"/>
      <c r="AD125" s="418" t="n">
        <f aca="false">(BaseLoad!E124*'Base Hours'!V125*'Base Hours'!$AA125)*-1</f>
        <v>-0</v>
      </c>
      <c r="AE125" s="418"/>
      <c r="AF125" s="418" t="n">
        <f aca="false">(BaseLoad!F124*'Base Hours'!V125*'Base Hours'!$AA125)*-1</f>
        <v>-0</v>
      </c>
      <c r="AG125" s="418"/>
    </row>
    <row r="126" customFormat="false" ht="12.75" hidden="false" customHeight="false" outlineLevel="0" collapsed="false">
      <c r="A126" s="400" t="n">
        <f aca="false">A125+30.417</f>
        <v>40068.372</v>
      </c>
      <c r="B126" s="417" t="str">
        <f aca="false">IF($A$1="Peak","-",'Base Hours'!B126*BaseLoad!H125*'Base Hours'!$AA126)</f>
        <v>-</v>
      </c>
      <c r="C126" s="417" t="str">
        <f aca="false">IF($A$1="Peak","-",'Base Hours'!C126*BaseLoad!I125*'Base Hours'!$AA126)</f>
        <v>-</v>
      </c>
      <c r="D126" s="417" t="str">
        <f aca="false">IF($A$1="Peak","-",'Base Hours'!D126*BaseLoad!J125*'Base Hours'!$AA126)</f>
        <v>-</v>
      </c>
      <c r="E126" s="417" t="str">
        <f aca="false">IF($A$1="Peak","-",'Base Hours'!E126*BaseLoad!K125*'Base Hours'!$AA126)</f>
        <v>-</v>
      </c>
      <c r="F126" s="417" t="str">
        <f aca="false">IF($A$1="Peak","-",'Base Hours'!F126*BaseLoad!L125*'Base Hours'!$AA126)</f>
        <v>-</v>
      </c>
      <c r="G126" s="417" t="str">
        <f aca="false">IF($A$1="Peak","-",'Base Hours'!G126*BaseLoad!M125*'Base Hours'!$AA126)</f>
        <v>-</v>
      </c>
      <c r="H126" s="417" t="str">
        <f aca="false">IF($A$1="Peak","-",'Base Hours'!H126*BaseLoad!N125*'Base Hours'!$AA126)</f>
        <v>-</v>
      </c>
      <c r="I126" s="417" t="str">
        <f aca="false">IF($A$1="Peak","-",'Base Hours'!I126*BaseLoad!O125*'Base Hours'!$AA126)</f>
        <v>-</v>
      </c>
      <c r="J126" s="417" t="str">
        <f aca="false">IF($A$1="Peak","-",'Base Hours'!J126*BaseLoad!P125*'Base Hours'!$AA126)</f>
        <v>-</v>
      </c>
      <c r="K126" s="417" t="str">
        <f aca="false">IF($A$1="Peak","-",'Base Hours'!K126*BaseLoad!Q125*'Base Hours'!$AA126)</f>
        <v>-</v>
      </c>
      <c r="L126" s="417" t="str">
        <f aca="false">IF($A$1="Peak","-",'Base Hours'!L126*BaseLoad!R125*'Base Hours'!$AA126)</f>
        <v>-</v>
      </c>
      <c r="M126" s="417" t="str">
        <f aca="false">IF($A$1="Peak","-",'Base Hours'!M126*BaseLoad!S125*'Base Hours'!$AA126)</f>
        <v>-</v>
      </c>
      <c r="N126" s="417" t="str">
        <f aca="false">IF($A$1="Peak","-",'Base Hours'!N126*BaseLoad!T125*'Base Hours'!$AA126)</f>
        <v>-</v>
      </c>
      <c r="O126" s="417" t="str">
        <f aca="false">IF($A$1="Peak","-",'Base Hours'!O126*BaseLoad!U125*'Base Hours'!$AA126)</f>
        <v>-</v>
      </c>
      <c r="P126" s="417" t="str">
        <f aca="false">IF($A$1="Peak","-",'Base Hours'!P126*BaseLoad!V125*'Base Hours'!$AA126)</f>
        <v>-</v>
      </c>
      <c r="Q126" s="417" t="str">
        <f aca="false">IF($A$1="Peak","-",'Base Hours'!Q126*BaseLoad!W125*'Base Hours'!$AA126)</f>
        <v>-</v>
      </c>
      <c r="R126" s="417" t="str">
        <f aca="false">IF($A$1="Peak","-",'Base Hours'!R126*BaseLoad!X125*'Base Hours'!$AA126)</f>
        <v>-</v>
      </c>
      <c r="S126" s="417" t="str">
        <f aca="false">IF($A$1="Peak","-",'Base Hours'!S126*BaseLoad!Y125*'Base Hours'!$AA126)</f>
        <v>-</v>
      </c>
      <c r="T126" s="417" t="str">
        <f aca="false">IF($A$1="Peak","-",'Base Hours'!T126*BaseLoad!Z125*'Base Hours'!$AA126)</f>
        <v>-</v>
      </c>
      <c r="U126" s="417" t="str">
        <f aca="false">IF($A$1="Peak","-",'Base Hours'!U126*BaseLoad!AA125*'Base Hours'!$AA126)</f>
        <v>-</v>
      </c>
      <c r="V126" s="417" t="n">
        <f aca="false">SUM(B126:U126)-(MAX(B126:U126))</f>
        <v>0</v>
      </c>
      <c r="W126" s="417"/>
      <c r="X126" s="417"/>
      <c r="Y126" s="418"/>
      <c r="Z126" s="418" t="n">
        <f aca="false">(BaseLoad!C125*'Base Hours'!V126*'Base Hours'!$AA126)*-1</f>
        <v>-0</v>
      </c>
      <c r="AA126" s="418"/>
      <c r="AB126" s="418" t="n">
        <f aca="false">(BaseLoad!D125*'Base Hours'!V126*'Base Hours'!$AA126)*-1</f>
        <v>-0</v>
      </c>
      <c r="AC126" s="418"/>
      <c r="AD126" s="418" t="n">
        <f aca="false">(BaseLoad!E125*'Base Hours'!V126*'Base Hours'!$AA126)*-1</f>
        <v>-0</v>
      </c>
      <c r="AE126" s="418"/>
      <c r="AF126" s="418" t="n">
        <f aca="false">(BaseLoad!F125*'Base Hours'!V126*'Base Hours'!$AA126)*-1</f>
        <v>-0</v>
      </c>
      <c r="AG126" s="418"/>
    </row>
    <row r="127" customFormat="false" ht="12.75" hidden="false" customHeight="false" outlineLevel="0" collapsed="false">
      <c r="A127" s="400" t="n">
        <f aca="false">A126+30.417</f>
        <v>40098.789</v>
      </c>
      <c r="B127" s="417" t="str">
        <f aca="false">IF($A$1="Peak","-",'Base Hours'!B127*BaseLoad!H126*'Base Hours'!$AA127)</f>
        <v>-</v>
      </c>
      <c r="C127" s="417" t="str">
        <f aca="false">IF($A$1="Peak","-",'Base Hours'!C127*BaseLoad!I126*'Base Hours'!$AA127)</f>
        <v>-</v>
      </c>
      <c r="D127" s="417" t="str">
        <f aca="false">IF($A$1="Peak","-",'Base Hours'!D127*BaseLoad!J126*'Base Hours'!$AA127)</f>
        <v>-</v>
      </c>
      <c r="E127" s="417" t="str">
        <f aca="false">IF($A$1="Peak","-",'Base Hours'!E127*BaseLoad!K126*'Base Hours'!$AA127)</f>
        <v>-</v>
      </c>
      <c r="F127" s="417" t="str">
        <f aca="false">IF($A$1="Peak","-",'Base Hours'!F127*BaseLoad!L126*'Base Hours'!$AA127)</f>
        <v>-</v>
      </c>
      <c r="G127" s="417" t="str">
        <f aca="false">IF($A$1="Peak","-",'Base Hours'!G127*BaseLoad!M126*'Base Hours'!$AA127)</f>
        <v>-</v>
      </c>
      <c r="H127" s="417" t="str">
        <f aca="false">IF($A$1="Peak","-",'Base Hours'!H127*BaseLoad!N126*'Base Hours'!$AA127)</f>
        <v>-</v>
      </c>
      <c r="I127" s="417" t="str">
        <f aca="false">IF($A$1="Peak","-",'Base Hours'!I127*BaseLoad!O126*'Base Hours'!$AA127)</f>
        <v>-</v>
      </c>
      <c r="J127" s="417" t="str">
        <f aca="false">IF($A$1="Peak","-",'Base Hours'!J127*BaseLoad!P126*'Base Hours'!$AA127)</f>
        <v>-</v>
      </c>
      <c r="K127" s="417" t="str">
        <f aca="false">IF($A$1="Peak","-",'Base Hours'!K127*BaseLoad!Q126*'Base Hours'!$AA127)</f>
        <v>-</v>
      </c>
      <c r="L127" s="417" t="str">
        <f aca="false">IF($A$1="Peak","-",'Base Hours'!L127*BaseLoad!R126*'Base Hours'!$AA127)</f>
        <v>-</v>
      </c>
      <c r="M127" s="417" t="str">
        <f aca="false">IF($A$1="Peak","-",'Base Hours'!M127*BaseLoad!S126*'Base Hours'!$AA127)</f>
        <v>-</v>
      </c>
      <c r="N127" s="417" t="str">
        <f aca="false">IF($A$1="Peak","-",'Base Hours'!N127*BaseLoad!T126*'Base Hours'!$AA127)</f>
        <v>-</v>
      </c>
      <c r="O127" s="417" t="str">
        <f aca="false">IF($A$1="Peak","-",'Base Hours'!O127*BaseLoad!U126*'Base Hours'!$AA127)</f>
        <v>-</v>
      </c>
      <c r="P127" s="417" t="str">
        <f aca="false">IF($A$1="Peak","-",'Base Hours'!P127*BaseLoad!V126*'Base Hours'!$AA127)</f>
        <v>-</v>
      </c>
      <c r="Q127" s="417" t="str">
        <f aca="false">IF($A$1="Peak","-",'Base Hours'!Q127*BaseLoad!W126*'Base Hours'!$AA127)</f>
        <v>-</v>
      </c>
      <c r="R127" s="417" t="str">
        <f aca="false">IF($A$1="Peak","-",'Base Hours'!R127*BaseLoad!X126*'Base Hours'!$AA127)</f>
        <v>-</v>
      </c>
      <c r="S127" s="417" t="str">
        <f aca="false">IF($A$1="Peak","-",'Base Hours'!S127*BaseLoad!Y126*'Base Hours'!$AA127)</f>
        <v>-</v>
      </c>
      <c r="T127" s="417" t="str">
        <f aca="false">IF($A$1="Peak","-",'Base Hours'!T127*BaseLoad!Z126*'Base Hours'!$AA127)</f>
        <v>-</v>
      </c>
      <c r="U127" s="417" t="str">
        <f aca="false">IF($A$1="Peak","-",'Base Hours'!U127*BaseLoad!AA126*'Base Hours'!$AA127)</f>
        <v>-</v>
      </c>
      <c r="V127" s="417" t="n">
        <f aca="false">SUM(B127:U127)-(MAX(B127:U127))</f>
        <v>0</v>
      </c>
      <c r="W127" s="417"/>
      <c r="X127" s="417"/>
      <c r="Y127" s="418"/>
      <c r="Z127" s="418" t="n">
        <f aca="false">(BaseLoad!C126*'Base Hours'!V127*'Base Hours'!$AA127)*-1</f>
        <v>-0</v>
      </c>
      <c r="AA127" s="418"/>
      <c r="AB127" s="418" t="n">
        <f aca="false">(BaseLoad!D126*'Base Hours'!V127*'Base Hours'!$AA127)*-1</f>
        <v>-0</v>
      </c>
      <c r="AC127" s="418"/>
      <c r="AD127" s="418" t="n">
        <f aca="false">(BaseLoad!E126*'Base Hours'!V127*'Base Hours'!$AA127)*-1</f>
        <v>-0</v>
      </c>
      <c r="AE127" s="418"/>
      <c r="AF127" s="418" t="n">
        <f aca="false">(BaseLoad!F126*'Base Hours'!V127*'Base Hours'!$AA127)*-1</f>
        <v>-0</v>
      </c>
      <c r="AG127" s="418"/>
    </row>
    <row r="128" customFormat="false" ht="12.75" hidden="false" customHeight="false" outlineLevel="0" collapsed="false">
      <c r="A128" s="400" t="n">
        <f aca="false">A127+30.417</f>
        <v>40129.206</v>
      </c>
      <c r="B128" s="417" t="str">
        <f aca="false">IF($A$1="Peak","-",'Base Hours'!B128*BaseLoad!H127*'Base Hours'!$AA128)</f>
        <v>-</v>
      </c>
      <c r="C128" s="417" t="str">
        <f aca="false">IF($A$1="Peak","-",'Base Hours'!C128*BaseLoad!I127*'Base Hours'!$AA128)</f>
        <v>-</v>
      </c>
      <c r="D128" s="417" t="str">
        <f aca="false">IF($A$1="Peak","-",'Base Hours'!D128*BaseLoad!J127*'Base Hours'!$AA128)</f>
        <v>-</v>
      </c>
      <c r="E128" s="417" t="str">
        <f aca="false">IF($A$1="Peak","-",'Base Hours'!E128*BaseLoad!K127*'Base Hours'!$AA128)</f>
        <v>-</v>
      </c>
      <c r="F128" s="417" t="str">
        <f aca="false">IF($A$1="Peak","-",'Base Hours'!F128*BaseLoad!L127*'Base Hours'!$AA128)</f>
        <v>-</v>
      </c>
      <c r="G128" s="417" t="str">
        <f aca="false">IF($A$1="Peak","-",'Base Hours'!G128*BaseLoad!M127*'Base Hours'!$AA128)</f>
        <v>-</v>
      </c>
      <c r="H128" s="417" t="str">
        <f aca="false">IF($A$1="Peak","-",'Base Hours'!H128*BaseLoad!N127*'Base Hours'!$AA128)</f>
        <v>-</v>
      </c>
      <c r="I128" s="417" t="str">
        <f aca="false">IF($A$1="Peak","-",'Base Hours'!I128*BaseLoad!O127*'Base Hours'!$AA128)</f>
        <v>-</v>
      </c>
      <c r="J128" s="417" t="str">
        <f aca="false">IF($A$1="Peak","-",'Base Hours'!J128*BaseLoad!P127*'Base Hours'!$AA128)</f>
        <v>-</v>
      </c>
      <c r="K128" s="417" t="str">
        <f aca="false">IF($A$1="Peak","-",'Base Hours'!K128*BaseLoad!Q127*'Base Hours'!$AA128)</f>
        <v>-</v>
      </c>
      <c r="L128" s="417" t="str">
        <f aca="false">IF($A$1="Peak","-",'Base Hours'!L128*BaseLoad!R127*'Base Hours'!$AA128)</f>
        <v>-</v>
      </c>
      <c r="M128" s="417" t="str">
        <f aca="false">IF($A$1="Peak","-",'Base Hours'!M128*BaseLoad!S127*'Base Hours'!$AA128)</f>
        <v>-</v>
      </c>
      <c r="N128" s="417" t="str">
        <f aca="false">IF($A$1="Peak","-",'Base Hours'!N128*BaseLoad!T127*'Base Hours'!$AA128)</f>
        <v>-</v>
      </c>
      <c r="O128" s="417" t="str">
        <f aca="false">IF($A$1="Peak","-",'Base Hours'!O128*BaseLoad!U127*'Base Hours'!$AA128)</f>
        <v>-</v>
      </c>
      <c r="P128" s="417" t="str">
        <f aca="false">IF($A$1="Peak","-",'Base Hours'!P128*BaseLoad!V127*'Base Hours'!$AA128)</f>
        <v>-</v>
      </c>
      <c r="Q128" s="417" t="str">
        <f aca="false">IF($A$1="Peak","-",'Base Hours'!Q128*BaseLoad!W127*'Base Hours'!$AA128)</f>
        <v>-</v>
      </c>
      <c r="R128" s="417" t="str">
        <f aca="false">IF($A$1="Peak","-",'Base Hours'!R128*BaseLoad!X127*'Base Hours'!$AA128)</f>
        <v>-</v>
      </c>
      <c r="S128" s="417" t="str">
        <f aca="false">IF($A$1="Peak","-",'Base Hours'!S128*BaseLoad!Y127*'Base Hours'!$AA128)</f>
        <v>-</v>
      </c>
      <c r="T128" s="417" t="str">
        <f aca="false">IF($A$1="Peak","-",'Base Hours'!T128*BaseLoad!Z127*'Base Hours'!$AA128)</f>
        <v>-</v>
      </c>
      <c r="U128" s="417" t="str">
        <f aca="false">IF($A$1="Peak","-",'Base Hours'!U128*BaseLoad!AA127*'Base Hours'!$AA128)</f>
        <v>-</v>
      </c>
      <c r="V128" s="417" t="n">
        <f aca="false">SUM(B128:U128)-(MAX(B128:U128))</f>
        <v>0</v>
      </c>
      <c r="W128" s="417"/>
      <c r="X128" s="417"/>
      <c r="Y128" s="418"/>
      <c r="Z128" s="418" t="n">
        <f aca="false">(BaseLoad!C127*'Base Hours'!V128*'Base Hours'!$AA128)*-1</f>
        <v>-0</v>
      </c>
      <c r="AA128" s="418"/>
      <c r="AB128" s="418" t="n">
        <f aca="false">(BaseLoad!D127*'Base Hours'!V128*'Base Hours'!$AA128)*-1</f>
        <v>-0</v>
      </c>
      <c r="AC128" s="418"/>
      <c r="AD128" s="418" t="n">
        <f aca="false">(BaseLoad!E127*'Base Hours'!V128*'Base Hours'!$AA128)*-1</f>
        <v>-0</v>
      </c>
      <c r="AE128" s="418"/>
      <c r="AF128" s="418" t="n">
        <f aca="false">(BaseLoad!F127*'Base Hours'!V128*'Base Hours'!$AA128)*-1</f>
        <v>-0</v>
      </c>
      <c r="AG128" s="418"/>
    </row>
    <row r="129" customFormat="false" ht="12.75" hidden="false" customHeight="false" outlineLevel="0" collapsed="false">
      <c r="A129" s="400" t="n">
        <f aca="false">A128+30.417</f>
        <v>40159.623</v>
      </c>
      <c r="B129" s="417" t="str">
        <f aca="false">IF($A$1="Peak","-",'Base Hours'!B129*BaseLoad!H128*'Base Hours'!$AA129)</f>
        <v>-</v>
      </c>
      <c r="C129" s="417" t="str">
        <f aca="false">IF($A$1="Peak","-",'Base Hours'!C129*BaseLoad!I128*'Base Hours'!$AA129)</f>
        <v>-</v>
      </c>
      <c r="D129" s="417" t="str">
        <f aca="false">IF($A$1="Peak","-",'Base Hours'!D129*BaseLoad!J128*'Base Hours'!$AA129)</f>
        <v>-</v>
      </c>
      <c r="E129" s="417" t="str">
        <f aca="false">IF($A$1="Peak","-",'Base Hours'!E129*BaseLoad!K128*'Base Hours'!$AA129)</f>
        <v>-</v>
      </c>
      <c r="F129" s="417" t="str">
        <f aca="false">IF($A$1="Peak","-",'Base Hours'!F129*BaseLoad!L128*'Base Hours'!$AA129)</f>
        <v>-</v>
      </c>
      <c r="G129" s="417" t="str">
        <f aca="false">IF($A$1="Peak","-",'Base Hours'!G129*BaseLoad!M128*'Base Hours'!$AA129)</f>
        <v>-</v>
      </c>
      <c r="H129" s="417" t="str">
        <f aca="false">IF($A$1="Peak","-",'Base Hours'!H129*BaseLoad!N128*'Base Hours'!$AA129)</f>
        <v>-</v>
      </c>
      <c r="I129" s="417" t="str">
        <f aca="false">IF($A$1="Peak","-",'Base Hours'!I129*BaseLoad!O128*'Base Hours'!$AA129)</f>
        <v>-</v>
      </c>
      <c r="J129" s="417" t="str">
        <f aca="false">IF($A$1="Peak","-",'Base Hours'!J129*BaseLoad!P128*'Base Hours'!$AA129)</f>
        <v>-</v>
      </c>
      <c r="K129" s="417" t="str">
        <f aca="false">IF($A$1="Peak","-",'Base Hours'!K129*BaseLoad!Q128*'Base Hours'!$AA129)</f>
        <v>-</v>
      </c>
      <c r="L129" s="417" t="str">
        <f aca="false">IF($A$1="Peak","-",'Base Hours'!L129*BaseLoad!R128*'Base Hours'!$AA129)</f>
        <v>-</v>
      </c>
      <c r="M129" s="417" t="str">
        <f aca="false">IF($A$1="Peak","-",'Base Hours'!M129*BaseLoad!S128*'Base Hours'!$AA129)</f>
        <v>-</v>
      </c>
      <c r="N129" s="417" t="str">
        <f aca="false">IF($A$1="Peak","-",'Base Hours'!N129*BaseLoad!T128*'Base Hours'!$AA129)</f>
        <v>-</v>
      </c>
      <c r="O129" s="417" t="str">
        <f aca="false">IF($A$1="Peak","-",'Base Hours'!O129*BaseLoad!U128*'Base Hours'!$AA129)</f>
        <v>-</v>
      </c>
      <c r="P129" s="417" t="str">
        <f aca="false">IF($A$1="Peak","-",'Base Hours'!P129*BaseLoad!V128*'Base Hours'!$AA129)</f>
        <v>-</v>
      </c>
      <c r="Q129" s="417" t="str">
        <f aca="false">IF($A$1="Peak","-",'Base Hours'!Q129*BaseLoad!W128*'Base Hours'!$AA129)</f>
        <v>-</v>
      </c>
      <c r="R129" s="417" t="str">
        <f aca="false">IF($A$1="Peak","-",'Base Hours'!R129*BaseLoad!X128*'Base Hours'!$AA129)</f>
        <v>-</v>
      </c>
      <c r="S129" s="417" t="str">
        <f aca="false">IF($A$1="Peak","-",'Base Hours'!S129*BaseLoad!Y128*'Base Hours'!$AA129)</f>
        <v>-</v>
      </c>
      <c r="T129" s="417" t="str">
        <f aca="false">IF($A$1="Peak","-",'Base Hours'!T129*BaseLoad!Z128*'Base Hours'!$AA129)</f>
        <v>-</v>
      </c>
      <c r="U129" s="417" t="str">
        <f aca="false">IF($A$1="Peak","-",'Base Hours'!U129*BaseLoad!AA128*'Base Hours'!$AA129)</f>
        <v>-</v>
      </c>
      <c r="V129" s="417" t="n">
        <f aca="false">SUM(B129:U129)-(MAX(B129:U129))</f>
        <v>0</v>
      </c>
      <c r="W129" s="417"/>
      <c r="X129" s="417"/>
      <c r="Y129" s="418" t="n">
        <f aca="false">SUM(B118:U129)</f>
        <v>0</v>
      </c>
      <c r="Z129" s="418" t="n">
        <f aca="false">(BaseLoad!C128*'Base Hours'!V129*'Base Hours'!$AA129)*-1</f>
        <v>-0</v>
      </c>
      <c r="AA129" s="418" t="n">
        <f aca="false">SUM(Z118:Z129)</f>
        <v>0</v>
      </c>
      <c r="AB129" s="418" t="n">
        <f aca="false">(BaseLoad!D128*'Base Hours'!V129*'Base Hours'!$AA129)*-1</f>
        <v>-0</v>
      </c>
      <c r="AC129" s="418" t="n">
        <f aca="false">SUM(AB118:AB129)</f>
        <v>0</v>
      </c>
      <c r="AD129" s="418" t="n">
        <f aca="false">(BaseLoad!E128*'Base Hours'!V129*'Base Hours'!$AA129)*-1</f>
        <v>-0</v>
      </c>
      <c r="AE129" s="418" t="n">
        <f aca="false">SUM(AD118:AD129)</f>
        <v>0</v>
      </c>
      <c r="AF129" s="418" t="n">
        <f aca="false">(BaseLoad!F128*'Base Hours'!V129*'Base Hours'!$AA129)*-1</f>
        <v>-0</v>
      </c>
      <c r="AG129" s="418" t="n">
        <f aca="false">SUM(AF118:AF129)</f>
        <v>0</v>
      </c>
    </row>
    <row r="130" customFormat="false" ht="12.75" hidden="false" customHeight="false" outlineLevel="0" collapsed="false">
      <c r="A130" s="400" t="n">
        <f aca="false">A129+30.417</f>
        <v>40190.04</v>
      </c>
      <c r="B130" s="417" t="str">
        <f aca="false">IF($A$1="Peak","-",'Base Hours'!B130*BaseLoad!H129*'Base Hours'!$AA130)</f>
        <v>-</v>
      </c>
      <c r="C130" s="417" t="str">
        <f aca="false">IF($A$1="Peak","-",'Base Hours'!C130*BaseLoad!I129*'Base Hours'!$AA130)</f>
        <v>-</v>
      </c>
      <c r="D130" s="417" t="str">
        <f aca="false">IF($A$1="Peak","-",'Base Hours'!D130*BaseLoad!J129*'Base Hours'!$AA130)</f>
        <v>-</v>
      </c>
      <c r="E130" s="417" t="str">
        <f aca="false">IF($A$1="Peak","-",'Base Hours'!E130*BaseLoad!K129*'Base Hours'!$AA130)</f>
        <v>-</v>
      </c>
      <c r="F130" s="417" t="str">
        <f aca="false">IF($A$1="Peak","-",'Base Hours'!F130*BaseLoad!L129*'Base Hours'!$AA130)</f>
        <v>-</v>
      </c>
      <c r="G130" s="417" t="str">
        <f aca="false">IF($A$1="Peak","-",'Base Hours'!G130*BaseLoad!M129*'Base Hours'!$AA130)</f>
        <v>-</v>
      </c>
      <c r="H130" s="417" t="str">
        <f aca="false">IF($A$1="Peak","-",'Base Hours'!H130*BaseLoad!N129*'Base Hours'!$AA130)</f>
        <v>-</v>
      </c>
      <c r="I130" s="417" t="str">
        <f aca="false">IF($A$1="Peak","-",'Base Hours'!I130*BaseLoad!O129*'Base Hours'!$AA130)</f>
        <v>-</v>
      </c>
      <c r="J130" s="417" t="str">
        <f aca="false">IF($A$1="Peak","-",'Base Hours'!J130*BaseLoad!P129*'Base Hours'!$AA130)</f>
        <v>-</v>
      </c>
      <c r="K130" s="417" t="str">
        <f aca="false">IF($A$1="Peak","-",'Base Hours'!K130*BaseLoad!Q129*'Base Hours'!$AA130)</f>
        <v>-</v>
      </c>
      <c r="L130" s="417" t="str">
        <f aca="false">IF($A$1="Peak","-",'Base Hours'!L130*BaseLoad!R129*'Base Hours'!$AA130)</f>
        <v>-</v>
      </c>
      <c r="M130" s="417" t="str">
        <f aca="false">IF($A$1="Peak","-",'Base Hours'!M130*BaseLoad!S129*'Base Hours'!$AA130)</f>
        <v>-</v>
      </c>
      <c r="N130" s="417" t="str">
        <f aca="false">IF($A$1="Peak","-",'Base Hours'!N130*BaseLoad!T129*'Base Hours'!$AA130)</f>
        <v>-</v>
      </c>
      <c r="O130" s="417" t="str">
        <f aca="false">IF($A$1="Peak","-",'Base Hours'!O130*BaseLoad!U129*'Base Hours'!$AA130)</f>
        <v>-</v>
      </c>
      <c r="P130" s="417" t="str">
        <f aca="false">IF($A$1="Peak","-",'Base Hours'!P130*BaseLoad!V129*'Base Hours'!$AA130)</f>
        <v>-</v>
      </c>
      <c r="Q130" s="417" t="str">
        <f aca="false">IF($A$1="Peak","-",'Base Hours'!Q130*BaseLoad!W129*'Base Hours'!$AA130)</f>
        <v>-</v>
      </c>
      <c r="R130" s="417" t="str">
        <f aca="false">IF($A$1="Peak","-",'Base Hours'!R130*BaseLoad!X129*'Base Hours'!$AA130)</f>
        <v>-</v>
      </c>
      <c r="S130" s="417" t="str">
        <f aca="false">IF($A$1="Peak","-",'Base Hours'!S130*BaseLoad!Y129*'Base Hours'!$AA130)</f>
        <v>-</v>
      </c>
      <c r="T130" s="417" t="str">
        <f aca="false">IF($A$1="Peak","-",'Base Hours'!T130*BaseLoad!Z129*'Base Hours'!$AA130)</f>
        <v>-</v>
      </c>
      <c r="U130" s="417" t="str">
        <f aca="false">IF($A$1="Peak","-",'Base Hours'!U130*BaseLoad!AA129*'Base Hours'!$AA130)</f>
        <v>-</v>
      </c>
      <c r="V130" s="417" t="n">
        <f aca="false">SUM(B130:U130)-(MAX(B130:U130))</f>
        <v>0</v>
      </c>
      <c r="W130" s="417"/>
      <c r="X130" s="417"/>
      <c r="Y130" s="418"/>
      <c r="Z130" s="418" t="n">
        <f aca="false">(BaseLoad!C129*'Base Hours'!V130*'Base Hours'!$AA130)*-1</f>
        <v>-0</v>
      </c>
      <c r="AA130" s="418"/>
      <c r="AB130" s="418" t="n">
        <f aca="false">(BaseLoad!D129*'Base Hours'!V130*'Base Hours'!$AA130)*-1</f>
        <v>-0</v>
      </c>
      <c r="AC130" s="418"/>
      <c r="AD130" s="418" t="n">
        <f aca="false">(BaseLoad!E129*'Base Hours'!V130*'Base Hours'!$AA130)*-1</f>
        <v>-0</v>
      </c>
      <c r="AE130" s="418"/>
      <c r="AF130" s="418" t="n">
        <f aca="false">(BaseLoad!F129*'Base Hours'!V130*'Base Hours'!$AA130)*-1</f>
        <v>-0</v>
      </c>
      <c r="AG130" s="418"/>
    </row>
    <row r="131" customFormat="false" ht="12.75" hidden="false" customHeight="false" outlineLevel="0" collapsed="false">
      <c r="A131" s="400" t="n">
        <f aca="false">A130+30.417</f>
        <v>40220.457</v>
      </c>
      <c r="B131" s="417" t="str">
        <f aca="false">IF($A$1="Peak","-",'Base Hours'!B131*BaseLoad!H130*'Base Hours'!$AA131)</f>
        <v>-</v>
      </c>
      <c r="C131" s="417" t="str">
        <f aca="false">IF($A$1="Peak","-",'Base Hours'!C131*BaseLoad!I130*'Base Hours'!$AA131)</f>
        <v>-</v>
      </c>
      <c r="D131" s="417" t="str">
        <f aca="false">IF($A$1="Peak","-",'Base Hours'!D131*BaseLoad!J130*'Base Hours'!$AA131)</f>
        <v>-</v>
      </c>
      <c r="E131" s="417" t="str">
        <f aca="false">IF($A$1="Peak","-",'Base Hours'!E131*BaseLoad!K130*'Base Hours'!$AA131)</f>
        <v>-</v>
      </c>
      <c r="F131" s="417" t="str">
        <f aca="false">IF($A$1="Peak","-",'Base Hours'!F131*BaseLoad!L130*'Base Hours'!$AA131)</f>
        <v>-</v>
      </c>
      <c r="G131" s="417" t="str">
        <f aca="false">IF($A$1="Peak","-",'Base Hours'!G131*BaseLoad!M130*'Base Hours'!$AA131)</f>
        <v>-</v>
      </c>
      <c r="H131" s="417" t="str">
        <f aca="false">IF($A$1="Peak","-",'Base Hours'!H131*BaseLoad!N130*'Base Hours'!$AA131)</f>
        <v>-</v>
      </c>
      <c r="I131" s="417" t="str">
        <f aca="false">IF($A$1="Peak","-",'Base Hours'!I131*BaseLoad!O130*'Base Hours'!$AA131)</f>
        <v>-</v>
      </c>
      <c r="J131" s="417" t="str">
        <f aca="false">IF($A$1="Peak","-",'Base Hours'!J131*BaseLoad!P130*'Base Hours'!$AA131)</f>
        <v>-</v>
      </c>
      <c r="K131" s="417" t="str">
        <f aca="false">IF($A$1="Peak","-",'Base Hours'!K131*BaseLoad!Q130*'Base Hours'!$AA131)</f>
        <v>-</v>
      </c>
      <c r="L131" s="417" t="str">
        <f aca="false">IF($A$1="Peak","-",'Base Hours'!L131*BaseLoad!R130*'Base Hours'!$AA131)</f>
        <v>-</v>
      </c>
      <c r="M131" s="417" t="str">
        <f aca="false">IF($A$1="Peak","-",'Base Hours'!M131*BaseLoad!S130*'Base Hours'!$AA131)</f>
        <v>-</v>
      </c>
      <c r="N131" s="417" t="str">
        <f aca="false">IF($A$1="Peak","-",'Base Hours'!N131*BaseLoad!T130*'Base Hours'!$AA131)</f>
        <v>-</v>
      </c>
      <c r="O131" s="417" t="str">
        <f aca="false">IF($A$1="Peak","-",'Base Hours'!O131*BaseLoad!U130*'Base Hours'!$AA131)</f>
        <v>-</v>
      </c>
      <c r="P131" s="417" t="str">
        <f aca="false">IF($A$1="Peak","-",'Base Hours'!P131*BaseLoad!V130*'Base Hours'!$AA131)</f>
        <v>-</v>
      </c>
      <c r="Q131" s="417" t="str">
        <f aca="false">IF($A$1="Peak","-",'Base Hours'!Q131*BaseLoad!W130*'Base Hours'!$AA131)</f>
        <v>-</v>
      </c>
      <c r="R131" s="417" t="str">
        <f aca="false">IF($A$1="Peak","-",'Base Hours'!R131*BaseLoad!X130*'Base Hours'!$AA131)</f>
        <v>-</v>
      </c>
      <c r="S131" s="417" t="str">
        <f aca="false">IF($A$1="Peak","-",'Base Hours'!S131*BaseLoad!Y130*'Base Hours'!$AA131)</f>
        <v>-</v>
      </c>
      <c r="T131" s="417" t="str">
        <f aca="false">IF($A$1="Peak","-",'Base Hours'!T131*BaseLoad!Z130*'Base Hours'!$AA131)</f>
        <v>-</v>
      </c>
      <c r="U131" s="417" t="str">
        <f aca="false">IF($A$1="Peak","-",'Base Hours'!U131*BaseLoad!AA130*'Base Hours'!$AA131)</f>
        <v>-</v>
      </c>
      <c r="V131" s="417" t="n">
        <f aca="false">SUM(B131:U131)-(MAX(B131:U131))</f>
        <v>0</v>
      </c>
      <c r="W131" s="417"/>
      <c r="X131" s="417"/>
      <c r="Y131" s="418"/>
      <c r="Z131" s="418" t="n">
        <f aca="false">(BaseLoad!C130*'Base Hours'!V131*'Base Hours'!$AA131)*-1</f>
        <v>-0</v>
      </c>
      <c r="AA131" s="418"/>
      <c r="AB131" s="418" t="n">
        <f aca="false">(BaseLoad!D130*'Base Hours'!V131*'Base Hours'!$AA131)*-1</f>
        <v>-0</v>
      </c>
      <c r="AC131" s="418"/>
      <c r="AD131" s="418" t="n">
        <f aca="false">(BaseLoad!E130*'Base Hours'!V131*'Base Hours'!$AA131)*-1</f>
        <v>-0</v>
      </c>
      <c r="AE131" s="418"/>
      <c r="AF131" s="418" t="n">
        <f aca="false">(BaseLoad!F130*'Base Hours'!V131*'Base Hours'!$AA131)*-1</f>
        <v>-0</v>
      </c>
      <c r="AG131" s="418"/>
    </row>
    <row r="132" customFormat="false" ht="12.75" hidden="false" customHeight="false" outlineLevel="0" collapsed="false">
      <c r="A132" s="400" t="n">
        <f aca="false">A131+30.417</f>
        <v>40250.874</v>
      </c>
      <c r="B132" s="417" t="str">
        <f aca="false">IF($A$1="Peak","-",'Base Hours'!B132*BaseLoad!H131*'Base Hours'!$AA132)</f>
        <v>-</v>
      </c>
      <c r="C132" s="417" t="str">
        <f aca="false">IF($A$1="Peak","-",'Base Hours'!C132*BaseLoad!I131*'Base Hours'!$AA132)</f>
        <v>-</v>
      </c>
      <c r="D132" s="417" t="str">
        <f aca="false">IF($A$1="Peak","-",'Base Hours'!D132*BaseLoad!J131*'Base Hours'!$AA132)</f>
        <v>-</v>
      </c>
      <c r="E132" s="417" t="str">
        <f aca="false">IF($A$1="Peak","-",'Base Hours'!E132*BaseLoad!K131*'Base Hours'!$AA132)</f>
        <v>-</v>
      </c>
      <c r="F132" s="417" t="str">
        <f aca="false">IF($A$1="Peak","-",'Base Hours'!F132*BaseLoad!L131*'Base Hours'!$AA132)</f>
        <v>-</v>
      </c>
      <c r="G132" s="417" t="str">
        <f aca="false">IF($A$1="Peak","-",'Base Hours'!G132*BaseLoad!M131*'Base Hours'!$AA132)</f>
        <v>-</v>
      </c>
      <c r="H132" s="417" t="str">
        <f aca="false">IF($A$1="Peak","-",'Base Hours'!H132*BaseLoad!N131*'Base Hours'!$AA132)</f>
        <v>-</v>
      </c>
      <c r="I132" s="417" t="str">
        <f aca="false">IF($A$1="Peak","-",'Base Hours'!I132*BaseLoad!O131*'Base Hours'!$AA132)</f>
        <v>-</v>
      </c>
      <c r="J132" s="417" t="str">
        <f aca="false">IF($A$1="Peak","-",'Base Hours'!J132*BaseLoad!P131*'Base Hours'!$AA132)</f>
        <v>-</v>
      </c>
      <c r="K132" s="417" t="str">
        <f aca="false">IF($A$1="Peak","-",'Base Hours'!K132*BaseLoad!Q131*'Base Hours'!$AA132)</f>
        <v>-</v>
      </c>
      <c r="L132" s="417" t="str">
        <f aca="false">IF($A$1="Peak","-",'Base Hours'!L132*BaseLoad!R131*'Base Hours'!$AA132)</f>
        <v>-</v>
      </c>
      <c r="M132" s="417" t="str">
        <f aca="false">IF($A$1="Peak","-",'Base Hours'!M132*BaseLoad!S131*'Base Hours'!$AA132)</f>
        <v>-</v>
      </c>
      <c r="N132" s="417" t="str">
        <f aca="false">IF($A$1="Peak","-",'Base Hours'!N132*BaseLoad!T131*'Base Hours'!$AA132)</f>
        <v>-</v>
      </c>
      <c r="O132" s="417" t="str">
        <f aca="false">IF($A$1="Peak","-",'Base Hours'!O132*BaseLoad!U131*'Base Hours'!$AA132)</f>
        <v>-</v>
      </c>
      <c r="P132" s="417" t="str">
        <f aca="false">IF($A$1="Peak","-",'Base Hours'!P132*BaseLoad!V131*'Base Hours'!$AA132)</f>
        <v>-</v>
      </c>
      <c r="Q132" s="417" t="str">
        <f aca="false">IF($A$1="Peak","-",'Base Hours'!Q132*BaseLoad!W131*'Base Hours'!$AA132)</f>
        <v>-</v>
      </c>
      <c r="R132" s="417" t="str">
        <f aca="false">IF($A$1="Peak","-",'Base Hours'!R132*BaseLoad!X131*'Base Hours'!$AA132)</f>
        <v>-</v>
      </c>
      <c r="S132" s="417" t="str">
        <f aca="false">IF($A$1="Peak","-",'Base Hours'!S132*BaseLoad!Y131*'Base Hours'!$AA132)</f>
        <v>-</v>
      </c>
      <c r="T132" s="417" t="str">
        <f aca="false">IF($A$1="Peak","-",'Base Hours'!T132*BaseLoad!Z131*'Base Hours'!$AA132)</f>
        <v>-</v>
      </c>
      <c r="U132" s="417" t="str">
        <f aca="false">IF($A$1="Peak","-",'Base Hours'!U132*BaseLoad!AA131*'Base Hours'!$AA132)</f>
        <v>-</v>
      </c>
      <c r="V132" s="417" t="n">
        <f aca="false">SUM(B132:U132)-(MAX(B132:U132))</f>
        <v>0</v>
      </c>
      <c r="W132" s="417"/>
      <c r="X132" s="417"/>
      <c r="Y132" s="418"/>
      <c r="Z132" s="418" t="n">
        <f aca="false">(BaseLoad!C131*'Base Hours'!V132*'Base Hours'!$AA132)*-1</f>
        <v>-0</v>
      </c>
      <c r="AA132" s="418"/>
      <c r="AB132" s="418" t="n">
        <f aca="false">(BaseLoad!D131*'Base Hours'!V132*'Base Hours'!$AA132)*-1</f>
        <v>-0</v>
      </c>
      <c r="AC132" s="418"/>
      <c r="AD132" s="418" t="n">
        <f aca="false">(BaseLoad!E131*'Base Hours'!V132*'Base Hours'!$AA132)*-1</f>
        <v>-0</v>
      </c>
      <c r="AE132" s="418"/>
      <c r="AF132" s="418" t="n">
        <f aca="false">(BaseLoad!F131*'Base Hours'!V132*'Base Hours'!$AA132)*-1</f>
        <v>-0</v>
      </c>
      <c r="AG132" s="418"/>
    </row>
    <row r="133" customFormat="false" ht="12.75" hidden="false" customHeight="false" outlineLevel="0" collapsed="false">
      <c r="A133" s="400" t="n">
        <f aca="false">A132+30.417</f>
        <v>40281.291</v>
      </c>
      <c r="B133" s="417" t="str">
        <f aca="false">IF($A$1="Peak","-",'Base Hours'!B133*BaseLoad!H132*'Base Hours'!$AA133)</f>
        <v>-</v>
      </c>
      <c r="C133" s="417" t="str">
        <f aca="false">IF($A$1="Peak","-",'Base Hours'!C133*BaseLoad!I132*'Base Hours'!$AA133)</f>
        <v>-</v>
      </c>
      <c r="D133" s="417" t="str">
        <f aca="false">IF($A$1="Peak","-",'Base Hours'!D133*BaseLoad!J132*'Base Hours'!$AA133)</f>
        <v>-</v>
      </c>
      <c r="E133" s="417" t="str">
        <f aca="false">IF($A$1="Peak","-",'Base Hours'!E133*BaseLoad!K132*'Base Hours'!$AA133)</f>
        <v>-</v>
      </c>
      <c r="F133" s="417" t="str">
        <f aca="false">IF($A$1="Peak","-",'Base Hours'!F133*BaseLoad!L132*'Base Hours'!$AA133)</f>
        <v>-</v>
      </c>
      <c r="G133" s="417" t="str">
        <f aca="false">IF($A$1="Peak","-",'Base Hours'!G133*BaseLoad!M132*'Base Hours'!$AA133)</f>
        <v>-</v>
      </c>
      <c r="H133" s="417" t="str">
        <f aca="false">IF($A$1="Peak","-",'Base Hours'!H133*BaseLoad!N132*'Base Hours'!$AA133)</f>
        <v>-</v>
      </c>
      <c r="I133" s="417" t="str">
        <f aca="false">IF($A$1="Peak","-",'Base Hours'!I133*BaseLoad!O132*'Base Hours'!$AA133)</f>
        <v>-</v>
      </c>
      <c r="J133" s="417" t="str">
        <f aca="false">IF($A$1="Peak","-",'Base Hours'!J133*BaseLoad!P132*'Base Hours'!$AA133)</f>
        <v>-</v>
      </c>
      <c r="K133" s="417" t="str">
        <f aca="false">IF($A$1="Peak","-",'Base Hours'!K133*BaseLoad!Q132*'Base Hours'!$AA133)</f>
        <v>-</v>
      </c>
      <c r="L133" s="417" t="str">
        <f aca="false">IF($A$1="Peak","-",'Base Hours'!L133*BaseLoad!R132*'Base Hours'!$AA133)</f>
        <v>-</v>
      </c>
      <c r="M133" s="417" t="str">
        <f aca="false">IF($A$1="Peak","-",'Base Hours'!M133*BaseLoad!S132*'Base Hours'!$AA133)</f>
        <v>-</v>
      </c>
      <c r="N133" s="417" t="str">
        <f aca="false">IF($A$1="Peak","-",'Base Hours'!N133*BaseLoad!T132*'Base Hours'!$AA133)</f>
        <v>-</v>
      </c>
      <c r="O133" s="417" t="str">
        <f aca="false">IF($A$1="Peak","-",'Base Hours'!O133*BaseLoad!U132*'Base Hours'!$AA133)</f>
        <v>-</v>
      </c>
      <c r="P133" s="417" t="str">
        <f aca="false">IF($A$1="Peak","-",'Base Hours'!P133*BaseLoad!V132*'Base Hours'!$AA133)</f>
        <v>-</v>
      </c>
      <c r="Q133" s="417" t="str">
        <f aca="false">IF($A$1="Peak","-",'Base Hours'!Q133*BaseLoad!W132*'Base Hours'!$AA133)</f>
        <v>-</v>
      </c>
      <c r="R133" s="417" t="str">
        <f aca="false">IF($A$1="Peak","-",'Base Hours'!R133*BaseLoad!X132*'Base Hours'!$AA133)</f>
        <v>-</v>
      </c>
      <c r="S133" s="417" t="str">
        <f aca="false">IF($A$1="Peak","-",'Base Hours'!S133*BaseLoad!Y132*'Base Hours'!$AA133)</f>
        <v>-</v>
      </c>
      <c r="T133" s="417" t="str">
        <f aca="false">IF($A$1="Peak","-",'Base Hours'!T133*BaseLoad!Z132*'Base Hours'!$AA133)</f>
        <v>-</v>
      </c>
      <c r="U133" s="417" t="str">
        <f aca="false">IF($A$1="Peak","-",'Base Hours'!U133*BaseLoad!AA132*'Base Hours'!$AA133)</f>
        <v>-</v>
      </c>
      <c r="V133" s="417" t="n">
        <f aca="false">SUM(B133:U133)-(MAX(B133:U133))</f>
        <v>0</v>
      </c>
      <c r="W133" s="417"/>
      <c r="X133" s="417"/>
      <c r="Y133" s="418"/>
      <c r="Z133" s="418" t="n">
        <f aca="false">(BaseLoad!C132*'Base Hours'!V133*'Base Hours'!$AA133)*-1</f>
        <v>-0</v>
      </c>
      <c r="AA133" s="418"/>
      <c r="AB133" s="418" t="n">
        <f aca="false">(BaseLoad!D132*'Base Hours'!V133*'Base Hours'!$AA133)*-1</f>
        <v>-0</v>
      </c>
      <c r="AC133" s="418"/>
      <c r="AD133" s="418" t="n">
        <f aca="false">(BaseLoad!E132*'Base Hours'!V133*'Base Hours'!$AA133)*-1</f>
        <v>-0</v>
      </c>
      <c r="AE133" s="418"/>
      <c r="AF133" s="418" t="n">
        <f aca="false">(BaseLoad!F132*'Base Hours'!V133*'Base Hours'!$AA133)*-1</f>
        <v>-0</v>
      </c>
      <c r="AG133" s="418"/>
    </row>
    <row r="134" customFormat="false" ht="12.75" hidden="false" customHeight="false" outlineLevel="0" collapsed="false">
      <c r="A134" s="400" t="n">
        <f aca="false">A133+30.417</f>
        <v>40311.708</v>
      </c>
      <c r="B134" s="417" t="str">
        <f aca="false">IF($A$1="Peak","-",'Base Hours'!B134*BaseLoad!H133*'Base Hours'!$AA134)</f>
        <v>-</v>
      </c>
      <c r="C134" s="417" t="str">
        <f aca="false">IF($A$1="Peak","-",'Base Hours'!C134*BaseLoad!I133*'Base Hours'!$AA134)</f>
        <v>-</v>
      </c>
      <c r="D134" s="417" t="str">
        <f aca="false">IF($A$1="Peak","-",'Base Hours'!D134*BaseLoad!J133*'Base Hours'!$AA134)</f>
        <v>-</v>
      </c>
      <c r="E134" s="417" t="str">
        <f aca="false">IF($A$1="Peak","-",'Base Hours'!E134*BaseLoad!K133*'Base Hours'!$AA134)</f>
        <v>-</v>
      </c>
      <c r="F134" s="417" t="str">
        <f aca="false">IF($A$1="Peak","-",'Base Hours'!F134*BaseLoad!L133*'Base Hours'!$AA134)</f>
        <v>-</v>
      </c>
      <c r="G134" s="417" t="str">
        <f aca="false">IF($A$1="Peak","-",'Base Hours'!G134*BaseLoad!M133*'Base Hours'!$AA134)</f>
        <v>-</v>
      </c>
      <c r="H134" s="417" t="str">
        <f aca="false">IF($A$1="Peak","-",'Base Hours'!H134*BaseLoad!N133*'Base Hours'!$AA134)</f>
        <v>-</v>
      </c>
      <c r="I134" s="417" t="str">
        <f aca="false">IF($A$1="Peak","-",'Base Hours'!I134*BaseLoad!O133*'Base Hours'!$AA134)</f>
        <v>-</v>
      </c>
      <c r="J134" s="417" t="str">
        <f aca="false">IF($A$1="Peak","-",'Base Hours'!J134*BaseLoad!P133*'Base Hours'!$AA134)</f>
        <v>-</v>
      </c>
      <c r="K134" s="417" t="str">
        <f aca="false">IF($A$1="Peak","-",'Base Hours'!K134*BaseLoad!Q133*'Base Hours'!$AA134)</f>
        <v>-</v>
      </c>
      <c r="L134" s="417" t="str">
        <f aca="false">IF($A$1="Peak","-",'Base Hours'!L134*BaseLoad!R133*'Base Hours'!$AA134)</f>
        <v>-</v>
      </c>
      <c r="M134" s="417" t="str">
        <f aca="false">IF($A$1="Peak","-",'Base Hours'!M134*BaseLoad!S133*'Base Hours'!$AA134)</f>
        <v>-</v>
      </c>
      <c r="N134" s="417" t="str">
        <f aca="false">IF($A$1="Peak","-",'Base Hours'!N134*BaseLoad!T133*'Base Hours'!$AA134)</f>
        <v>-</v>
      </c>
      <c r="O134" s="417" t="str">
        <f aca="false">IF($A$1="Peak","-",'Base Hours'!O134*BaseLoad!U133*'Base Hours'!$AA134)</f>
        <v>-</v>
      </c>
      <c r="P134" s="417" t="str">
        <f aca="false">IF($A$1="Peak","-",'Base Hours'!P134*BaseLoad!V133*'Base Hours'!$AA134)</f>
        <v>-</v>
      </c>
      <c r="Q134" s="417" t="str">
        <f aca="false">IF($A$1="Peak","-",'Base Hours'!Q134*BaseLoad!W133*'Base Hours'!$AA134)</f>
        <v>-</v>
      </c>
      <c r="R134" s="417" t="str">
        <f aca="false">IF($A$1="Peak","-",'Base Hours'!R134*BaseLoad!X133*'Base Hours'!$AA134)</f>
        <v>-</v>
      </c>
      <c r="S134" s="417" t="str">
        <f aca="false">IF($A$1="Peak","-",'Base Hours'!S134*BaseLoad!Y133*'Base Hours'!$AA134)</f>
        <v>-</v>
      </c>
      <c r="T134" s="417" t="str">
        <f aca="false">IF($A$1="Peak","-",'Base Hours'!T134*BaseLoad!Z133*'Base Hours'!$AA134)</f>
        <v>-</v>
      </c>
      <c r="U134" s="417" t="str">
        <f aca="false">IF($A$1="Peak","-",'Base Hours'!U134*BaseLoad!AA133*'Base Hours'!$AA134)</f>
        <v>-</v>
      </c>
      <c r="V134" s="417" t="n">
        <f aca="false">SUM(B134:U134)-(MAX(B134:U134))</f>
        <v>0</v>
      </c>
      <c r="W134" s="417"/>
      <c r="X134" s="417"/>
      <c r="Y134" s="418"/>
      <c r="Z134" s="418" t="n">
        <f aca="false">(BaseLoad!C133*'Base Hours'!V134*'Base Hours'!$AA134)*-1</f>
        <v>-0</v>
      </c>
      <c r="AA134" s="418"/>
      <c r="AB134" s="418" t="n">
        <f aca="false">(BaseLoad!D133*'Base Hours'!V134*'Base Hours'!$AA134)*-1</f>
        <v>-0</v>
      </c>
      <c r="AC134" s="418"/>
      <c r="AD134" s="418" t="n">
        <f aca="false">(BaseLoad!E133*'Base Hours'!V134*'Base Hours'!$AA134)*-1</f>
        <v>-0</v>
      </c>
      <c r="AE134" s="418"/>
      <c r="AF134" s="418" t="n">
        <f aca="false">(BaseLoad!F133*'Base Hours'!V134*'Base Hours'!$AA134)*-1</f>
        <v>-0</v>
      </c>
      <c r="AG134" s="418"/>
    </row>
    <row r="135" customFormat="false" ht="12.75" hidden="false" customHeight="false" outlineLevel="0" collapsed="false">
      <c r="A135" s="400" t="n">
        <f aca="false">A134+30.417</f>
        <v>40342.125</v>
      </c>
      <c r="B135" s="417" t="str">
        <f aca="false">IF($A$1="Peak","-",'Base Hours'!B135*BaseLoad!H134*'Base Hours'!$AA135)</f>
        <v>-</v>
      </c>
      <c r="C135" s="417" t="str">
        <f aca="false">IF($A$1="Peak","-",'Base Hours'!C135*BaseLoad!I134*'Base Hours'!$AA135)</f>
        <v>-</v>
      </c>
      <c r="D135" s="417" t="str">
        <f aca="false">IF($A$1="Peak","-",'Base Hours'!D135*BaseLoad!J134*'Base Hours'!$AA135)</f>
        <v>-</v>
      </c>
      <c r="E135" s="417" t="str">
        <f aca="false">IF($A$1="Peak","-",'Base Hours'!E135*BaseLoad!K134*'Base Hours'!$AA135)</f>
        <v>-</v>
      </c>
      <c r="F135" s="417" t="str">
        <f aca="false">IF($A$1="Peak","-",'Base Hours'!F135*BaseLoad!L134*'Base Hours'!$AA135)</f>
        <v>-</v>
      </c>
      <c r="G135" s="417" t="str">
        <f aca="false">IF($A$1="Peak","-",'Base Hours'!G135*BaseLoad!M134*'Base Hours'!$AA135)</f>
        <v>-</v>
      </c>
      <c r="H135" s="417" t="str">
        <f aca="false">IF($A$1="Peak","-",'Base Hours'!H135*BaseLoad!N134*'Base Hours'!$AA135)</f>
        <v>-</v>
      </c>
      <c r="I135" s="417" t="str">
        <f aca="false">IF($A$1="Peak","-",'Base Hours'!I135*BaseLoad!O134*'Base Hours'!$AA135)</f>
        <v>-</v>
      </c>
      <c r="J135" s="417" t="str">
        <f aca="false">IF($A$1="Peak","-",'Base Hours'!J135*BaseLoad!P134*'Base Hours'!$AA135)</f>
        <v>-</v>
      </c>
      <c r="K135" s="417" t="str">
        <f aca="false">IF($A$1="Peak","-",'Base Hours'!K135*BaseLoad!Q134*'Base Hours'!$AA135)</f>
        <v>-</v>
      </c>
      <c r="L135" s="417" t="str">
        <f aca="false">IF($A$1="Peak","-",'Base Hours'!L135*BaseLoad!R134*'Base Hours'!$AA135)</f>
        <v>-</v>
      </c>
      <c r="M135" s="417" t="str">
        <f aca="false">IF($A$1="Peak","-",'Base Hours'!M135*BaseLoad!S134*'Base Hours'!$AA135)</f>
        <v>-</v>
      </c>
      <c r="N135" s="417" t="str">
        <f aca="false">IF($A$1="Peak","-",'Base Hours'!N135*BaseLoad!T134*'Base Hours'!$AA135)</f>
        <v>-</v>
      </c>
      <c r="O135" s="417" t="str">
        <f aca="false">IF($A$1="Peak","-",'Base Hours'!O135*BaseLoad!U134*'Base Hours'!$AA135)</f>
        <v>-</v>
      </c>
      <c r="P135" s="417" t="str">
        <f aca="false">IF($A$1="Peak","-",'Base Hours'!P135*BaseLoad!V134*'Base Hours'!$AA135)</f>
        <v>-</v>
      </c>
      <c r="Q135" s="417" t="str">
        <f aca="false">IF($A$1="Peak","-",'Base Hours'!Q135*BaseLoad!W134*'Base Hours'!$AA135)</f>
        <v>-</v>
      </c>
      <c r="R135" s="417" t="str">
        <f aca="false">IF($A$1="Peak","-",'Base Hours'!R135*BaseLoad!X134*'Base Hours'!$AA135)</f>
        <v>-</v>
      </c>
      <c r="S135" s="417" t="str">
        <f aca="false">IF($A$1="Peak","-",'Base Hours'!S135*BaseLoad!Y134*'Base Hours'!$AA135)</f>
        <v>-</v>
      </c>
      <c r="T135" s="417" t="str">
        <f aca="false">IF($A$1="Peak","-",'Base Hours'!T135*BaseLoad!Z134*'Base Hours'!$AA135)</f>
        <v>-</v>
      </c>
      <c r="U135" s="417" t="str">
        <f aca="false">IF($A$1="Peak","-",'Base Hours'!U135*BaseLoad!AA134*'Base Hours'!$AA135)</f>
        <v>-</v>
      </c>
      <c r="V135" s="417" t="n">
        <f aca="false">SUM(B135:U135)-(MAX(B135:U135))</f>
        <v>0</v>
      </c>
      <c r="W135" s="417"/>
      <c r="X135" s="417"/>
      <c r="Y135" s="418"/>
      <c r="Z135" s="418" t="n">
        <f aca="false">(BaseLoad!C134*'Base Hours'!V135*'Base Hours'!$AA135)*-1</f>
        <v>-0</v>
      </c>
      <c r="AA135" s="418"/>
      <c r="AB135" s="418" t="n">
        <f aca="false">(BaseLoad!D134*'Base Hours'!V135*'Base Hours'!$AA135)*-1</f>
        <v>-0</v>
      </c>
      <c r="AC135" s="418"/>
      <c r="AD135" s="418" t="n">
        <f aca="false">(BaseLoad!E134*'Base Hours'!V135*'Base Hours'!$AA135)*-1</f>
        <v>-0</v>
      </c>
      <c r="AE135" s="418"/>
      <c r="AF135" s="418" t="n">
        <f aca="false">(BaseLoad!F134*'Base Hours'!V135*'Base Hours'!$AA135)*-1</f>
        <v>-0</v>
      </c>
      <c r="AG135" s="418"/>
    </row>
    <row r="136" customFormat="false" ht="12.75" hidden="false" customHeight="false" outlineLevel="0" collapsed="false">
      <c r="A136" s="400" t="n">
        <f aca="false">A135+30.417</f>
        <v>40372.542</v>
      </c>
      <c r="B136" s="417" t="str">
        <f aca="false">IF($A$1="Peak","-",'Base Hours'!B136*BaseLoad!H135*'Base Hours'!$AA136)</f>
        <v>-</v>
      </c>
      <c r="C136" s="417" t="str">
        <f aca="false">IF($A$1="Peak","-",'Base Hours'!C136*BaseLoad!I135*'Base Hours'!$AA136)</f>
        <v>-</v>
      </c>
      <c r="D136" s="417" t="str">
        <f aca="false">IF($A$1="Peak","-",'Base Hours'!D136*BaseLoad!J135*'Base Hours'!$AA136)</f>
        <v>-</v>
      </c>
      <c r="E136" s="417" t="str">
        <f aca="false">IF($A$1="Peak","-",'Base Hours'!E136*BaseLoad!K135*'Base Hours'!$AA136)</f>
        <v>-</v>
      </c>
      <c r="F136" s="417" t="str">
        <f aca="false">IF($A$1="Peak","-",'Base Hours'!F136*BaseLoad!L135*'Base Hours'!$AA136)</f>
        <v>-</v>
      </c>
      <c r="G136" s="417" t="str">
        <f aca="false">IF($A$1="Peak","-",'Base Hours'!G136*BaseLoad!M135*'Base Hours'!$AA136)</f>
        <v>-</v>
      </c>
      <c r="H136" s="417" t="str">
        <f aca="false">IF($A$1="Peak","-",'Base Hours'!H136*BaseLoad!N135*'Base Hours'!$AA136)</f>
        <v>-</v>
      </c>
      <c r="I136" s="417" t="str">
        <f aca="false">IF($A$1="Peak","-",'Base Hours'!I136*BaseLoad!O135*'Base Hours'!$AA136)</f>
        <v>-</v>
      </c>
      <c r="J136" s="417" t="str">
        <f aca="false">IF($A$1="Peak","-",'Base Hours'!J136*BaseLoad!P135*'Base Hours'!$AA136)</f>
        <v>-</v>
      </c>
      <c r="K136" s="417" t="str">
        <f aca="false">IF($A$1="Peak","-",'Base Hours'!K136*BaseLoad!Q135*'Base Hours'!$AA136)</f>
        <v>-</v>
      </c>
      <c r="L136" s="417" t="str">
        <f aca="false">IF($A$1="Peak","-",'Base Hours'!L136*BaseLoad!R135*'Base Hours'!$AA136)</f>
        <v>-</v>
      </c>
      <c r="M136" s="417" t="str">
        <f aca="false">IF($A$1="Peak","-",'Base Hours'!M136*BaseLoad!S135*'Base Hours'!$AA136)</f>
        <v>-</v>
      </c>
      <c r="N136" s="417" t="str">
        <f aca="false">IF($A$1="Peak","-",'Base Hours'!N136*BaseLoad!T135*'Base Hours'!$AA136)</f>
        <v>-</v>
      </c>
      <c r="O136" s="417" t="str">
        <f aca="false">IF($A$1="Peak","-",'Base Hours'!O136*BaseLoad!U135*'Base Hours'!$AA136)</f>
        <v>-</v>
      </c>
      <c r="P136" s="417" t="str">
        <f aca="false">IF($A$1="Peak","-",'Base Hours'!P136*BaseLoad!V135*'Base Hours'!$AA136)</f>
        <v>-</v>
      </c>
      <c r="Q136" s="417" t="str">
        <f aca="false">IF($A$1="Peak","-",'Base Hours'!Q136*BaseLoad!W135*'Base Hours'!$AA136)</f>
        <v>-</v>
      </c>
      <c r="R136" s="417" t="str">
        <f aca="false">IF($A$1="Peak","-",'Base Hours'!R136*BaseLoad!X135*'Base Hours'!$AA136)</f>
        <v>-</v>
      </c>
      <c r="S136" s="417" t="str">
        <f aca="false">IF($A$1="Peak","-",'Base Hours'!S136*BaseLoad!Y135*'Base Hours'!$AA136)</f>
        <v>-</v>
      </c>
      <c r="T136" s="417" t="str">
        <f aca="false">IF($A$1="Peak","-",'Base Hours'!T136*BaseLoad!Z135*'Base Hours'!$AA136)</f>
        <v>-</v>
      </c>
      <c r="U136" s="417" t="str">
        <f aca="false">IF($A$1="Peak","-",'Base Hours'!U136*BaseLoad!AA135*'Base Hours'!$AA136)</f>
        <v>-</v>
      </c>
      <c r="V136" s="417" t="n">
        <f aca="false">SUM(B136:U136)-(MAX(B136:U136))</f>
        <v>0</v>
      </c>
      <c r="W136" s="417"/>
      <c r="X136" s="417"/>
      <c r="Y136" s="418"/>
      <c r="Z136" s="418" t="n">
        <f aca="false">(BaseLoad!C135*'Base Hours'!V136*'Base Hours'!$AA136)*-1</f>
        <v>-0</v>
      </c>
      <c r="AA136" s="418"/>
      <c r="AB136" s="418" t="n">
        <f aca="false">(BaseLoad!D135*'Base Hours'!V136*'Base Hours'!$AA136)*-1</f>
        <v>-0</v>
      </c>
      <c r="AC136" s="418"/>
      <c r="AD136" s="418" t="n">
        <f aca="false">(BaseLoad!E135*'Base Hours'!V136*'Base Hours'!$AA136)*-1</f>
        <v>-0</v>
      </c>
      <c r="AE136" s="418"/>
      <c r="AF136" s="418" t="n">
        <f aca="false">(BaseLoad!F135*'Base Hours'!V136*'Base Hours'!$AA136)*-1</f>
        <v>-0</v>
      </c>
      <c r="AG136" s="418"/>
    </row>
    <row r="137" customFormat="false" ht="12.75" hidden="false" customHeight="false" outlineLevel="0" collapsed="false">
      <c r="A137" s="400" t="n">
        <f aca="false">A136+30.417</f>
        <v>40402.959</v>
      </c>
      <c r="B137" s="417" t="str">
        <f aca="false">IF($A$1="Peak","-",'Base Hours'!B137*BaseLoad!H136*'Base Hours'!$AA137)</f>
        <v>-</v>
      </c>
      <c r="C137" s="417" t="str">
        <f aca="false">IF($A$1="Peak","-",'Base Hours'!C137*BaseLoad!I136*'Base Hours'!$AA137)</f>
        <v>-</v>
      </c>
      <c r="D137" s="417" t="str">
        <f aca="false">IF($A$1="Peak","-",'Base Hours'!D137*BaseLoad!J136*'Base Hours'!$AA137)</f>
        <v>-</v>
      </c>
      <c r="E137" s="417" t="str">
        <f aca="false">IF($A$1="Peak","-",'Base Hours'!E137*BaseLoad!K136*'Base Hours'!$AA137)</f>
        <v>-</v>
      </c>
      <c r="F137" s="417" t="str">
        <f aca="false">IF($A$1="Peak","-",'Base Hours'!F137*BaseLoad!L136*'Base Hours'!$AA137)</f>
        <v>-</v>
      </c>
      <c r="G137" s="417" t="str">
        <f aca="false">IF($A$1="Peak","-",'Base Hours'!G137*BaseLoad!M136*'Base Hours'!$AA137)</f>
        <v>-</v>
      </c>
      <c r="H137" s="417" t="str">
        <f aca="false">IF($A$1="Peak","-",'Base Hours'!H137*BaseLoad!N136*'Base Hours'!$AA137)</f>
        <v>-</v>
      </c>
      <c r="I137" s="417" t="str">
        <f aca="false">IF($A$1="Peak","-",'Base Hours'!I137*BaseLoad!O136*'Base Hours'!$AA137)</f>
        <v>-</v>
      </c>
      <c r="J137" s="417" t="str">
        <f aca="false">IF($A$1="Peak","-",'Base Hours'!J137*BaseLoad!P136*'Base Hours'!$AA137)</f>
        <v>-</v>
      </c>
      <c r="K137" s="417" t="str">
        <f aca="false">IF($A$1="Peak","-",'Base Hours'!K137*BaseLoad!Q136*'Base Hours'!$AA137)</f>
        <v>-</v>
      </c>
      <c r="L137" s="417" t="str">
        <f aca="false">IF($A$1="Peak","-",'Base Hours'!L137*BaseLoad!R136*'Base Hours'!$AA137)</f>
        <v>-</v>
      </c>
      <c r="M137" s="417" t="str">
        <f aca="false">IF($A$1="Peak","-",'Base Hours'!M137*BaseLoad!S136*'Base Hours'!$AA137)</f>
        <v>-</v>
      </c>
      <c r="N137" s="417" t="str">
        <f aca="false">IF($A$1="Peak","-",'Base Hours'!N137*BaseLoad!T136*'Base Hours'!$AA137)</f>
        <v>-</v>
      </c>
      <c r="O137" s="417" t="str">
        <f aca="false">IF($A$1="Peak","-",'Base Hours'!O137*BaseLoad!U136*'Base Hours'!$AA137)</f>
        <v>-</v>
      </c>
      <c r="P137" s="417" t="str">
        <f aca="false">IF($A$1="Peak","-",'Base Hours'!P137*BaseLoad!V136*'Base Hours'!$AA137)</f>
        <v>-</v>
      </c>
      <c r="Q137" s="417" t="str">
        <f aca="false">IF($A$1="Peak","-",'Base Hours'!Q137*BaseLoad!W136*'Base Hours'!$AA137)</f>
        <v>-</v>
      </c>
      <c r="R137" s="417" t="str">
        <f aca="false">IF($A$1="Peak","-",'Base Hours'!R137*BaseLoad!X136*'Base Hours'!$AA137)</f>
        <v>-</v>
      </c>
      <c r="S137" s="417" t="str">
        <f aca="false">IF($A$1="Peak","-",'Base Hours'!S137*BaseLoad!Y136*'Base Hours'!$AA137)</f>
        <v>-</v>
      </c>
      <c r="T137" s="417" t="str">
        <f aca="false">IF($A$1="Peak","-",'Base Hours'!T137*BaseLoad!Z136*'Base Hours'!$AA137)</f>
        <v>-</v>
      </c>
      <c r="U137" s="417" t="str">
        <f aca="false">IF($A$1="Peak","-",'Base Hours'!U137*BaseLoad!AA136*'Base Hours'!$AA137)</f>
        <v>-</v>
      </c>
      <c r="V137" s="417" t="n">
        <f aca="false">SUM(B137:U137)-(MAX(B137:U137))</f>
        <v>0</v>
      </c>
      <c r="W137" s="417"/>
      <c r="X137" s="417"/>
      <c r="Y137" s="418"/>
      <c r="Z137" s="418" t="n">
        <f aca="false">(BaseLoad!C136*'Base Hours'!V137*'Base Hours'!$AA137)*-1</f>
        <v>-0</v>
      </c>
      <c r="AA137" s="418"/>
      <c r="AB137" s="418" t="n">
        <f aca="false">(BaseLoad!D136*'Base Hours'!V137*'Base Hours'!$AA137)*-1</f>
        <v>-0</v>
      </c>
      <c r="AC137" s="418"/>
      <c r="AD137" s="418" t="n">
        <f aca="false">(BaseLoad!E136*'Base Hours'!V137*'Base Hours'!$AA137)*-1</f>
        <v>-0</v>
      </c>
      <c r="AE137" s="418"/>
      <c r="AF137" s="418" t="n">
        <f aca="false">(BaseLoad!F136*'Base Hours'!V137*'Base Hours'!$AA137)*-1</f>
        <v>-0</v>
      </c>
      <c r="AG137" s="418"/>
    </row>
    <row r="138" customFormat="false" ht="12.75" hidden="false" customHeight="false" outlineLevel="0" collapsed="false">
      <c r="A138" s="400" t="n">
        <f aca="false">A137+30.417</f>
        <v>40433.376</v>
      </c>
      <c r="B138" s="417" t="str">
        <f aca="false">IF($A$1="Peak","-",'Base Hours'!B138*BaseLoad!H137*'Base Hours'!$AA138)</f>
        <v>-</v>
      </c>
      <c r="C138" s="417" t="str">
        <f aca="false">IF($A$1="Peak","-",'Base Hours'!C138*BaseLoad!I137*'Base Hours'!$AA138)</f>
        <v>-</v>
      </c>
      <c r="D138" s="417" t="str">
        <f aca="false">IF($A$1="Peak","-",'Base Hours'!D138*BaseLoad!J137*'Base Hours'!$AA138)</f>
        <v>-</v>
      </c>
      <c r="E138" s="417" t="str">
        <f aca="false">IF($A$1="Peak","-",'Base Hours'!E138*BaseLoad!K137*'Base Hours'!$AA138)</f>
        <v>-</v>
      </c>
      <c r="F138" s="417" t="str">
        <f aca="false">IF($A$1="Peak","-",'Base Hours'!F138*BaseLoad!L137*'Base Hours'!$AA138)</f>
        <v>-</v>
      </c>
      <c r="G138" s="417" t="str">
        <f aca="false">IF($A$1="Peak","-",'Base Hours'!G138*BaseLoad!M137*'Base Hours'!$AA138)</f>
        <v>-</v>
      </c>
      <c r="H138" s="417" t="str">
        <f aca="false">IF($A$1="Peak","-",'Base Hours'!H138*BaseLoad!N137*'Base Hours'!$AA138)</f>
        <v>-</v>
      </c>
      <c r="I138" s="417" t="str">
        <f aca="false">IF($A$1="Peak","-",'Base Hours'!I138*BaseLoad!O137*'Base Hours'!$AA138)</f>
        <v>-</v>
      </c>
      <c r="J138" s="417" t="str">
        <f aca="false">IF($A$1="Peak","-",'Base Hours'!J138*BaseLoad!P137*'Base Hours'!$AA138)</f>
        <v>-</v>
      </c>
      <c r="K138" s="417" t="str">
        <f aca="false">IF($A$1="Peak","-",'Base Hours'!K138*BaseLoad!Q137*'Base Hours'!$AA138)</f>
        <v>-</v>
      </c>
      <c r="L138" s="417" t="str">
        <f aca="false">IF($A$1="Peak","-",'Base Hours'!L138*BaseLoad!R137*'Base Hours'!$AA138)</f>
        <v>-</v>
      </c>
      <c r="M138" s="417" t="str">
        <f aca="false">IF($A$1="Peak","-",'Base Hours'!M138*BaseLoad!S137*'Base Hours'!$AA138)</f>
        <v>-</v>
      </c>
      <c r="N138" s="417" t="str">
        <f aca="false">IF($A$1="Peak","-",'Base Hours'!N138*BaseLoad!T137*'Base Hours'!$AA138)</f>
        <v>-</v>
      </c>
      <c r="O138" s="417" t="str">
        <f aca="false">IF($A$1="Peak","-",'Base Hours'!O138*BaseLoad!U137*'Base Hours'!$AA138)</f>
        <v>-</v>
      </c>
      <c r="P138" s="417" t="str">
        <f aca="false">IF($A$1="Peak","-",'Base Hours'!P138*BaseLoad!V137*'Base Hours'!$AA138)</f>
        <v>-</v>
      </c>
      <c r="Q138" s="417" t="str">
        <f aca="false">IF($A$1="Peak","-",'Base Hours'!Q138*BaseLoad!W137*'Base Hours'!$AA138)</f>
        <v>-</v>
      </c>
      <c r="R138" s="417" t="str">
        <f aca="false">IF($A$1="Peak","-",'Base Hours'!R138*BaseLoad!X137*'Base Hours'!$AA138)</f>
        <v>-</v>
      </c>
      <c r="S138" s="417" t="str">
        <f aca="false">IF($A$1="Peak","-",'Base Hours'!S138*BaseLoad!Y137*'Base Hours'!$AA138)</f>
        <v>-</v>
      </c>
      <c r="T138" s="417" t="str">
        <f aca="false">IF($A$1="Peak","-",'Base Hours'!T138*BaseLoad!Z137*'Base Hours'!$AA138)</f>
        <v>-</v>
      </c>
      <c r="U138" s="417" t="str">
        <f aca="false">IF($A$1="Peak","-",'Base Hours'!U138*BaseLoad!AA137*'Base Hours'!$AA138)</f>
        <v>-</v>
      </c>
      <c r="V138" s="417" t="n">
        <f aca="false">SUM(B138:U138)-(MAX(B138:U138))</f>
        <v>0</v>
      </c>
      <c r="W138" s="417"/>
      <c r="X138" s="417"/>
      <c r="Y138" s="418"/>
      <c r="Z138" s="418" t="n">
        <f aca="false">(BaseLoad!C137*'Base Hours'!V138*'Base Hours'!$AA138)*-1</f>
        <v>-0</v>
      </c>
      <c r="AA138" s="418"/>
      <c r="AB138" s="418" t="n">
        <f aca="false">(BaseLoad!D137*'Base Hours'!V138*'Base Hours'!$AA138)*-1</f>
        <v>-0</v>
      </c>
      <c r="AC138" s="418"/>
      <c r="AD138" s="418" t="n">
        <f aca="false">(BaseLoad!E137*'Base Hours'!V138*'Base Hours'!$AA138)*-1</f>
        <v>-0</v>
      </c>
      <c r="AE138" s="418"/>
      <c r="AF138" s="418" t="n">
        <f aca="false">(BaseLoad!F137*'Base Hours'!V138*'Base Hours'!$AA138)*-1</f>
        <v>-0</v>
      </c>
      <c r="AG138" s="418"/>
    </row>
    <row r="139" customFormat="false" ht="12.75" hidden="false" customHeight="false" outlineLevel="0" collapsed="false">
      <c r="A139" s="400" t="n">
        <f aca="false">A138+30.417</f>
        <v>40463.793</v>
      </c>
      <c r="B139" s="417" t="str">
        <f aca="false">IF($A$1="Peak","-",'Base Hours'!B139*BaseLoad!H138*'Base Hours'!$AA139)</f>
        <v>-</v>
      </c>
      <c r="C139" s="417" t="str">
        <f aca="false">IF($A$1="Peak","-",'Base Hours'!C139*BaseLoad!I138*'Base Hours'!$AA139)</f>
        <v>-</v>
      </c>
      <c r="D139" s="417" t="str">
        <f aca="false">IF($A$1="Peak","-",'Base Hours'!D139*BaseLoad!J138*'Base Hours'!$AA139)</f>
        <v>-</v>
      </c>
      <c r="E139" s="417" t="str">
        <f aca="false">IF($A$1="Peak","-",'Base Hours'!E139*BaseLoad!K138*'Base Hours'!$AA139)</f>
        <v>-</v>
      </c>
      <c r="F139" s="417" t="str">
        <f aca="false">IF($A$1="Peak","-",'Base Hours'!F139*BaseLoad!L138*'Base Hours'!$AA139)</f>
        <v>-</v>
      </c>
      <c r="G139" s="417" t="str">
        <f aca="false">IF($A$1="Peak","-",'Base Hours'!G139*BaseLoad!M138*'Base Hours'!$AA139)</f>
        <v>-</v>
      </c>
      <c r="H139" s="417" t="str">
        <f aca="false">IF($A$1="Peak","-",'Base Hours'!H139*BaseLoad!N138*'Base Hours'!$AA139)</f>
        <v>-</v>
      </c>
      <c r="I139" s="417" t="str">
        <f aca="false">IF($A$1="Peak","-",'Base Hours'!I139*BaseLoad!O138*'Base Hours'!$AA139)</f>
        <v>-</v>
      </c>
      <c r="J139" s="417" t="str">
        <f aca="false">IF($A$1="Peak","-",'Base Hours'!J139*BaseLoad!P138*'Base Hours'!$AA139)</f>
        <v>-</v>
      </c>
      <c r="K139" s="417" t="str">
        <f aca="false">IF($A$1="Peak","-",'Base Hours'!K139*BaseLoad!Q138*'Base Hours'!$AA139)</f>
        <v>-</v>
      </c>
      <c r="L139" s="417" t="str">
        <f aca="false">IF($A$1="Peak","-",'Base Hours'!L139*BaseLoad!R138*'Base Hours'!$AA139)</f>
        <v>-</v>
      </c>
      <c r="M139" s="417" t="str">
        <f aca="false">IF($A$1="Peak","-",'Base Hours'!M139*BaseLoad!S138*'Base Hours'!$AA139)</f>
        <v>-</v>
      </c>
      <c r="N139" s="417" t="str">
        <f aca="false">IF($A$1="Peak","-",'Base Hours'!N139*BaseLoad!T138*'Base Hours'!$AA139)</f>
        <v>-</v>
      </c>
      <c r="O139" s="417" t="str">
        <f aca="false">IF($A$1="Peak","-",'Base Hours'!O139*BaseLoad!U138*'Base Hours'!$AA139)</f>
        <v>-</v>
      </c>
      <c r="P139" s="417" t="str">
        <f aca="false">IF($A$1="Peak","-",'Base Hours'!P139*BaseLoad!V138*'Base Hours'!$AA139)</f>
        <v>-</v>
      </c>
      <c r="Q139" s="417" t="str">
        <f aca="false">IF($A$1="Peak","-",'Base Hours'!Q139*BaseLoad!W138*'Base Hours'!$AA139)</f>
        <v>-</v>
      </c>
      <c r="R139" s="417" t="str">
        <f aca="false">IF($A$1="Peak","-",'Base Hours'!R139*BaseLoad!X138*'Base Hours'!$AA139)</f>
        <v>-</v>
      </c>
      <c r="S139" s="417" t="str">
        <f aca="false">IF($A$1="Peak","-",'Base Hours'!S139*BaseLoad!Y138*'Base Hours'!$AA139)</f>
        <v>-</v>
      </c>
      <c r="T139" s="417" t="str">
        <f aca="false">IF($A$1="Peak","-",'Base Hours'!T139*BaseLoad!Z138*'Base Hours'!$AA139)</f>
        <v>-</v>
      </c>
      <c r="U139" s="417" t="str">
        <f aca="false">IF($A$1="Peak","-",'Base Hours'!U139*BaseLoad!AA138*'Base Hours'!$AA139)</f>
        <v>-</v>
      </c>
      <c r="V139" s="417" t="n">
        <f aca="false">SUM(B139:U139)-(MAX(B139:U139))</f>
        <v>0</v>
      </c>
      <c r="W139" s="417"/>
      <c r="X139" s="417"/>
      <c r="Y139" s="418"/>
      <c r="Z139" s="418" t="n">
        <f aca="false">(BaseLoad!C138*'Base Hours'!V139*'Base Hours'!$AA139)*-1</f>
        <v>-0</v>
      </c>
      <c r="AA139" s="418"/>
      <c r="AB139" s="418" t="n">
        <f aca="false">(BaseLoad!D138*'Base Hours'!V139*'Base Hours'!$AA139)*-1</f>
        <v>-0</v>
      </c>
      <c r="AC139" s="418"/>
      <c r="AD139" s="418" t="n">
        <f aca="false">(BaseLoad!E138*'Base Hours'!V139*'Base Hours'!$AA139)*-1</f>
        <v>-0</v>
      </c>
      <c r="AE139" s="418"/>
      <c r="AF139" s="418" t="n">
        <f aca="false">(BaseLoad!F138*'Base Hours'!V139*'Base Hours'!$AA139)*-1</f>
        <v>-0</v>
      </c>
      <c r="AG139" s="418"/>
    </row>
    <row r="140" customFormat="false" ht="12.75" hidden="false" customHeight="false" outlineLevel="0" collapsed="false">
      <c r="A140" s="400" t="n">
        <f aca="false">A139+30.417</f>
        <v>40494.21</v>
      </c>
      <c r="B140" s="417" t="str">
        <f aca="false">IF($A$1="Peak","-",'Base Hours'!B140*BaseLoad!H139*'Base Hours'!$AA140)</f>
        <v>-</v>
      </c>
      <c r="C140" s="417" t="str">
        <f aca="false">IF($A$1="Peak","-",'Base Hours'!C140*BaseLoad!I139*'Base Hours'!$AA140)</f>
        <v>-</v>
      </c>
      <c r="D140" s="417" t="str">
        <f aca="false">IF($A$1="Peak","-",'Base Hours'!D140*BaseLoad!J139*'Base Hours'!$AA140)</f>
        <v>-</v>
      </c>
      <c r="E140" s="417" t="str">
        <f aca="false">IF($A$1="Peak","-",'Base Hours'!E140*BaseLoad!K139*'Base Hours'!$AA140)</f>
        <v>-</v>
      </c>
      <c r="F140" s="417" t="str">
        <f aca="false">IF($A$1="Peak","-",'Base Hours'!F140*BaseLoad!L139*'Base Hours'!$AA140)</f>
        <v>-</v>
      </c>
      <c r="G140" s="417" t="str">
        <f aca="false">IF($A$1="Peak","-",'Base Hours'!G140*BaseLoad!M139*'Base Hours'!$AA140)</f>
        <v>-</v>
      </c>
      <c r="H140" s="417" t="str">
        <f aca="false">IF($A$1="Peak","-",'Base Hours'!H140*BaseLoad!N139*'Base Hours'!$AA140)</f>
        <v>-</v>
      </c>
      <c r="I140" s="417" t="str">
        <f aca="false">IF($A$1="Peak","-",'Base Hours'!I140*BaseLoad!O139*'Base Hours'!$AA140)</f>
        <v>-</v>
      </c>
      <c r="J140" s="417" t="str">
        <f aca="false">IF($A$1="Peak","-",'Base Hours'!J140*BaseLoad!P139*'Base Hours'!$AA140)</f>
        <v>-</v>
      </c>
      <c r="K140" s="417" t="str">
        <f aca="false">IF($A$1="Peak","-",'Base Hours'!K140*BaseLoad!Q139*'Base Hours'!$AA140)</f>
        <v>-</v>
      </c>
      <c r="L140" s="417" t="str">
        <f aca="false">IF($A$1="Peak","-",'Base Hours'!L140*BaseLoad!R139*'Base Hours'!$AA140)</f>
        <v>-</v>
      </c>
      <c r="M140" s="417" t="str">
        <f aca="false">IF($A$1="Peak","-",'Base Hours'!M140*BaseLoad!S139*'Base Hours'!$AA140)</f>
        <v>-</v>
      </c>
      <c r="N140" s="417" t="str">
        <f aca="false">IF($A$1="Peak","-",'Base Hours'!N140*BaseLoad!T139*'Base Hours'!$AA140)</f>
        <v>-</v>
      </c>
      <c r="O140" s="417" t="str">
        <f aca="false">IF($A$1="Peak","-",'Base Hours'!O140*BaseLoad!U139*'Base Hours'!$AA140)</f>
        <v>-</v>
      </c>
      <c r="P140" s="417" t="str">
        <f aca="false">IF($A$1="Peak","-",'Base Hours'!P140*BaseLoad!V139*'Base Hours'!$AA140)</f>
        <v>-</v>
      </c>
      <c r="Q140" s="417" t="str">
        <f aca="false">IF($A$1="Peak","-",'Base Hours'!Q140*BaseLoad!W139*'Base Hours'!$AA140)</f>
        <v>-</v>
      </c>
      <c r="R140" s="417" t="str">
        <f aca="false">IF($A$1="Peak","-",'Base Hours'!R140*BaseLoad!X139*'Base Hours'!$AA140)</f>
        <v>-</v>
      </c>
      <c r="S140" s="417" t="str">
        <f aca="false">IF($A$1="Peak","-",'Base Hours'!S140*BaseLoad!Y139*'Base Hours'!$AA140)</f>
        <v>-</v>
      </c>
      <c r="T140" s="417" t="str">
        <f aca="false">IF($A$1="Peak","-",'Base Hours'!T140*BaseLoad!Z139*'Base Hours'!$AA140)</f>
        <v>-</v>
      </c>
      <c r="U140" s="417" t="str">
        <f aca="false">IF($A$1="Peak","-",'Base Hours'!U140*BaseLoad!AA139*'Base Hours'!$AA140)</f>
        <v>-</v>
      </c>
      <c r="V140" s="417" t="n">
        <f aca="false">SUM(B140:U140)-(MAX(B140:U140))</f>
        <v>0</v>
      </c>
      <c r="W140" s="417"/>
      <c r="X140" s="417"/>
      <c r="Y140" s="418"/>
      <c r="Z140" s="418" t="n">
        <f aca="false">(BaseLoad!C139*'Base Hours'!V140*'Base Hours'!$AA140)*-1</f>
        <v>-0</v>
      </c>
      <c r="AA140" s="418"/>
      <c r="AB140" s="418" t="n">
        <f aca="false">(BaseLoad!D139*'Base Hours'!V140*'Base Hours'!$AA140)*-1</f>
        <v>-0</v>
      </c>
      <c r="AC140" s="418"/>
      <c r="AD140" s="418" t="n">
        <f aca="false">(BaseLoad!E139*'Base Hours'!V140*'Base Hours'!$AA140)*-1</f>
        <v>-0</v>
      </c>
      <c r="AE140" s="418"/>
      <c r="AF140" s="418" t="n">
        <f aca="false">(BaseLoad!F139*'Base Hours'!V140*'Base Hours'!$AA140)*-1</f>
        <v>-0</v>
      </c>
      <c r="AG140" s="418"/>
    </row>
    <row r="141" customFormat="false" ht="12.75" hidden="false" customHeight="false" outlineLevel="0" collapsed="false">
      <c r="A141" s="400" t="n">
        <f aca="false">A140+30.417</f>
        <v>40524.627</v>
      </c>
      <c r="B141" s="417" t="str">
        <f aca="false">IF($A$1="Peak","-",'Base Hours'!B141*BaseLoad!H140*'Base Hours'!$AA141)</f>
        <v>-</v>
      </c>
      <c r="C141" s="417" t="str">
        <f aca="false">IF($A$1="Peak","-",'Base Hours'!C141*BaseLoad!I140*'Base Hours'!$AA141)</f>
        <v>-</v>
      </c>
      <c r="D141" s="417" t="str">
        <f aca="false">IF($A$1="Peak","-",'Base Hours'!D141*BaseLoad!J140*'Base Hours'!$AA141)</f>
        <v>-</v>
      </c>
      <c r="E141" s="417" t="str">
        <f aca="false">IF($A$1="Peak","-",'Base Hours'!E141*BaseLoad!K140*'Base Hours'!$AA141)</f>
        <v>-</v>
      </c>
      <c r="F141" s="417" t="str">
        <f aca="false">IF($A$1="Peak","-",'Base Hours'!F141*BaseLoad!L140*'Base Hours'!$AA141)</f>
        <v>-</v>
      </c>
      <c r="G141" s="417" t="str">
        <f aca="false">IF($A$1="Peak","-",'Base Hours'!G141*BaseLoad!M140*'Base Hours'!$AA141)</f>
        <v>-</v>
      </c>
      <c r="H141" s="417" t="str">
        <f aca="false">IF($A$1="Peak","-",'Base Hours'!H141*BaseLoad!N140*'Base Hours'!$AA141)</f>
        <v>-</v>
      </c>
      <c r="I141" s="417" t="str">
        <f aca="false">IF($A$1="Peak","-",'Base Hours'!I141*BaseLoad!O140*'Base Hours'!$AA141)</f>
        <v>-</v>
      </c>
      <c r="J141" s="417" t="str">
        <f aca="false">IF($A$1="Peak","-",'Base Hours'!J141*BaseLoad!P140*'Base Hours'!$AA141)</f>
        <v>-</v>
      </c>
      <c r="K141" s="417" t="str">
        <f aca="false">IF($A$1="Peak","-",'Base Hours'!K141*BaseLoad!Q140*'Base Hours'!$AA141)</f>
        <v>-</v>
      </c>
      <c r="L141" s="417" t="str">
        <f aca="false">IF($A$1="Peak","-",'Base Hours'!L141*BaseLoad!R140*'Base Hours'!$AA141)</f>
        <v>-</v>
      </c>
      <c r="M141" s="417" t="str">
        <f aca="false">IF($A$1="Peak","-",'Base Hours'!M141*BaseLoad!S140*'Base Hours'!$AA141)</f>
        <v>-</v>
      </c>
      <c r="N141" s="417" t="str">
        <f aca="false">IF($A$1="Peak","-",'Base Hours'!N141*BaseLoad!T140*'Base Hours'!$AA141)</f>
        <v>-</v>
      </c>
      <c r="O141" s="417" t="str">
        <f aca="false">IF($A$1="Peak","-",'Base Hours'!O141*BaseLoad!U140*'Base Hours'!$AA141)</f>
        <v>-</v>
      </c>
      <c r="P141" s="417" t="str">
        <f aca="false">IF($A$1="Peak","-",'Base Hours'!P141*BaseLoad!V140*'Base Hours'!$AA141)</f>
        <v>-</v>
      </c>
      <c r="Q141" s="417" t="str">
        <f aca="false">IF($A$1="Peak","-",'Base Hours'!Q141*BaseLoad!W140*'Base Hours'!$AA141)</f>
        <v>-</v>
      </c>
      <c r="R141" s="417" t="str">
        <f aca="false">IF($A$1="Peak","-",'Base Hours'!R141*BaseLoad!X140*'Base Hours'!$AA141)</f>
        <v>-</v>
      </c>
      <c r="S141" s="417" t="str">
        <f aca="false">IF($A$1="Peak","-",'Base Hours'!S141*BaseLoad!Y140*'Base Hours'!$AA141)</f>
        <v>-</v>
      </c>
      <c r="T141" s="417" t="str">
        <f aca="false">IF($A$1="Peak","-",'Base Hours'!T141*BaseLoad!Z140*'Base Hours'!$AA141)</f>
        <v>-</v>
      </c>
      <c r="U141" s="417" t="str">
        <f aca="false">IF($A$1="Peak","-",'Base Hours'!U141*BaseLoad!AA140*'Base Hours'!$AA141)</f>
        <v>-</v>
      </c>
      <c r="V141" s="417" t="n">
        <f aca="false">SUM(B141:U141)-(MAX(B141:U141))</f>
        <v>0</v>
      </c>
      <c r="W141" s="417"/>
      <c r="X141" s="417"/>
      <c r="Y141" s="418" t="n">
        <f aca="false">SUM(B130:U141)</f>
        <v>0</v>
      </c>
      <c r="Z141" s="418" t="n">
        <f aca="false">(BaseLoad!C140*'Base Hours'!V141*'Base Hours'!$AA141)*-1</f>
        <v>-0</v>
      </c>
      <c r="AA141" s="418" t="n">
        <f aca="false">SUM(Z130:Z141)</f>
        <v>0</v>
      </c>
      <c r="AB141" s="418" t="n">
        <f aca="false">(BaseLoad!D140*'Base Hours'!V141*'Base Hours'!$AA141)*-1</f>
        <v>-0</v>
      </c>
      <c r="AC141" s="418" t="n">
        <f aca="false">SUM(AB130:AB141)</f>
        <v>0</v>
      </c>
      <c r="AD141" s="418" t="n">
        <f aca="false">(BaseLoad!E140*'Base Hours'!V141*'Base Hours'!$AA141)*-1</f>
        <v>-0</v>
      </c>
      <c r="AE141" s="418" t="n">
        <f aca="false">SUM(AD130:AD141)</f>
        <v>0</v>
      </c>
      <c r="AF141" s="418" t="n">
        <f aca="false">(BaseLoad!F140*'Base Hours'!V141*'Base Hours'!$AA141)*-1</f>
        <v>-0</v>
      </c>
      <c r="AG141" s="418" t="n">
        <f aca="false">SUM(AF130:AF141)</f>
        <v>0</v>
      </c>
    </row>
    <row r="142" customFormat="false" ht="12.75" hidden="false" customHeight="false" outlineLevel="0" collapsed="false">
      <c r="A142" s="400" t="n">
        <f aca="false">A141+30.417</f>
        <v>40555.044</v>
      </c>
      <c r="B142" s="417" t="str">
        <f aca="false">IF($A$1="Peak","-",'Base Hours'!B142*BaseLoad!H141*'Base Hours'!$AA142)</f>
        <v>-</v>
      </c>
      <c r="C142" s="417" t="str">
        <f aca="false">IF($A$1="Peak","-",'Base Hours'!C142*BaseLoad!I141*'Base Hours'!$AA142)</f>
        <v>-</v>
      </c>
      <c r="D142" s="417" t="str">
        <f aca="false">IF($A$1="Peak","-",'Base Hours'!D142*BaseLoad!J141*'Base Hours'!$AA142)</f>
        <v>-</v>
      </c>
      <c r="E142" s="417" t="str">
        <f aca="false">IF($A$1="Peak","-",'Base Hours'!E142*BaseLoad!K141*'Base Hours'!$AA142)</f>
        <v>-</v>
      </c>
      <c r="F142" s="417" t="str">
        <f aca="false">IF($A$1="Peak","-",'Base Hours'!F142*BaseLoad!L141*'Base Hours'!$AA142)</f>
        <v>-</v>
      </c>
      <c r="G142" s="417" t="str">
        <f aca="false">IF($A$1="Peak","-",'Base Hours'!G142*BaseLoad!M141*'Base Hours'!$AA142)</f>
        <v>-</v>
      </c>
      <c r="H142" s="417" t="str">
        <f aca="false">IF($A$1="Peak","-",'Base Hours'!H142*BaseLoad!N141*'Base Hours'!$AA142)</f>
        <v>-</v>
      </c>
      <c r="I142" s="417" t="str">
        <f aca="false">IF($A$1="Peak","-",'Base Hours'!I142*BaseLoad!O141*'Base Hours'!$AA142)</f>
        <v>-</v>
      </c>
      <c r="J142" s="417" t="str">
        <f aca="false">IF($A$1="Peak","-",'Base Hours'!J142*BaseLoad!P141*'Base Hours'!$AA142)</f>
        <v>-</v>
      </c>
      <c r="K142" s="417" t="str">
        <f aca="false">IF($A$1="Peak","-",'Base Hours'!K142*BaseLoad!Q141*'Base Hours'!$AA142)</f>
        <v>-</v>
      </c>
      <c r="L142" s="417" t="str">
        <f aca="false">IF($A$1="Peak","-",'Base Hours'!L142*BaseLoad!R141*'Base Hours'!$AA142)</f>
        <v>-</v>
      </c>
      <c r="M142" s="417" t="str">
        <f aca="false">IF($A$1="Peak","-",'Base Hours'!M142*BaseLoad!S141*'Base Hours'!$AA142)</f>
        <v>-</v>
      </c>
      <c r="N142" s="417" t="str">
        <f aca="false">IF($A$1="Peak","-",'Base Hours'!N142*BaseLoad!T141*'Base Hours'!$AA142)</f>
        <v>-</v>
      </c>
      <c r="O142" s="417" t="str">
        <f aca="false">IF($A$1="Peak","-",'Base Hours'!O142*BaseLoad!U141*'Base Hours'!$AA142)</f>
        <v>-</v>
      </c>
      <c r="P142" s="417" t="str">
        <f aca="false">IF($A$1="Peak","-",'Base Hours'!P142*BaseLoad!V141*'Base Hours'!$AA142)</f>
        <v>-</v>
      </c>
      <c r="Q142" s="417" t="str">
        <f aca="false">IF($A$1="Peak","-",'Base Hours'!Q142*BaseLoad!W141*'Base Hours'!$AA142)</f>
        <v>-</v>
      </c>
      <c r="R142" s="417" t="str">
        <f aca="false">IF($A$1="Peak","-",'Base Hours'!R142*BaseLoad!X141*'Base Hours'!$AA142)</f>
        <v>-</v>
      </c>
      <c r="S142" s="417" t="str">
        <f aca="false">IF($A$1="Peak","-",'Base Hours'!S142*BaseLoad!Y141*'Base Hours'!$AA142)</f>
        <v>-</v>
      </c>
      <c r="T142" s="417" t="str">
        <f aca="false">IF($A$1="Peak","-",'Base Hours'!T142*BaseLoad!Z141*'Base Hours'!$AA142)</f>
        <v>-</v>
      </c>
      <c r="U142" s="417" t="str">
        <f aca="false">IF($A$1="Peak","-",'Base Hours'!U142*BaseLoad!AA141*'Base Hours'!$AA142)</f>
        <v>-</v>
      </c>
      <c r="V142" s="417" t="n">
        <f aca="false">SUM(B142:U142)-(MAX(B142:U142))</f>
        <v>0</v>
      </c>
      <c r="W142" s="417"/>
      <c r="X142" s="417"/>
      <c r="Y142" s="418"/>
      <c r="Z142" s="418" t="n">
        <f aca="false">(BaseLoad!C141*'Base Hours'!V142*'Base Hours'!$AA142)*-1</f>
        <v>-0</v>
      </c>
      <c r="AA142" s="418"/>
      <c r="AB142" s="418" t="n">
        <f aca="false">(BaseLoad!D141*'Base Hours'!V142*'Base Hours'!$AA142)*-1</f>
        <v>-0</v>
      </c>
      <c r="AC142" s="418"/>
      <c r="AD142" s="418" t="n">
        <f aca="false">(BaseLoad!E141*'Base Hours'!V142*'Base Hours'!$AA142)*-1</f>
        <v>-0</v>
      </c>
      <c r="AE142" s="418"/>
      <c r="AF142" s="418" t="n">
        <f aca="false">(BaseLoad!F141*'Base Hours'!V142*'Base Hours'!$AA142)*-1</f>
        <v>-0</v>
      </c>
      <c r="AG142" s="418"/>
    </row>
    <row r="143" customFormat="false" ht="12.75" hidden="false" customHeight="false" outlineLevel="0" collapsed="false">
      <c r="A143" s="400" t="n">
        <f aca="false">A142+30.417</f>
        <v>40585.461</v>
      </c>
      <c r="B143" s="417" t="str">
        <f aca="false">IF($A$1="Peak","-",'Base Hours'!B143*BaseLoad!H142*'Base Hours'!$AA143)</f>
        <v>-</v>
      </c>
      <c r="C143" s="417" t="str">
        <f aca="false">IF($A$1="Peak","-",'Base Hours'!C143*BaseLoad!I142*'Base Hours'!$AA143)</f>
        <v>-</v>
      </c>
      <c r="D143" s="417" t="str">
        <f aca="false">IF($A$1="Peak","-",'Base Hours'!D143*BaseLoad!J142*'Base Hours'!$AA143)</f>
        <v>-</v>
      </c>
      <c r="E143" s="417" t="str">
        <f aca="false">IF($A$1="Peak","-",'Base Hours'!E143*BaseLoad!K142*'Base Hours'!$AA143)</f>
        <v>-</v>
      </c>
      <c r="F143" s="417" t="str">
        <f aca="false">IF($A$1="Peak","-",'Base Hours'!F143*BaseLoad!L142*'Base Hours'!$AA143)</f>
        <v>-</v>
      </c>
      <c r="G143" s="417" t="str">
        <f aca="false">IF($A$1="Peak","-",'Base Hours'!G143*BaseLoad!M142*'Base Hours'!$AA143)</f>
        <v>-</v>
      </c>
      <c r="H143" s="417" t="str">
        <f aca="false">IF($A$1="Peak","-",'Base Hours'!H143*BaseLoad!N142*'Base Hours'!$AA143)</f>
        <v>-</v>
      </c>
      <c r="I143" s="417" t="str">
        <f aca="false">IF($A$1="Peak","-",'Base Hours'!I143*BaseLoad!O142*'Base Hours'!$AA143)</f>
        <v>-</v>
      </c>
      <c r="J143" s="417" t="str">
        <f aca="false">IF($A$1="Peak","-",'Base Hours'!J143*BaseLoad!P142*'Base Hours'!$AA143)</f>
        <v>-</v>
      </c>
      <c r="K143" s="417" t="str">
        <f aca="false">IF($A$1="Peak","-",'Base Hours'!K143*BaseLoad!Q142*'Base Hours'!$AA143)</f>
        <v>-</v>
      </c>
      <c r="L143" s="417" t="str">
        <f aca="false">IF($A$1="Peak","-",'Base Hours'!L143*BaseLoad!R142*'Base Hours'!$AA143)</f>
        <v>-</v>
      </c>
      <c r="M143" s="417" t="str">
        <f aca="false">IF($A$1="Peak","-",'Base Hours'!M143*BaseLoad!S142*'Base Hours'!$AA143)</f>
        <v>-</v>
      </c>
      <c r="N143" s="417" t="str">
        <f aca="false">IF($A$1="Peak","-",'Base Hours'!N143*BaseLoad!T142*'Base Hours'!$AA143)</f>
        <v>-</v>
      </c>
      <c r="O143" s="417" t="str">
        <f aca="false">IF($A$1="Peak","-",'Base Hours'!O143*BaseLoad!U142*'Base Hours'!$AA143)</f>
        <v>-</v>
      </c>
      <c r="P143" s="417" t="str">
        <f aca="false">IF($A$1="Peak","-",'Base Hours'!P143*BaseLoad!V142*'Base Hours'!$AA143)</f>
        <v>-</v>
      </c>
      <c r="Q143" s="417" t="str">
        <f aca="false">IF($A$1="Peak","-",'Base Hours'!Q143*BaseLoad!W142*'Base Hours'!$AA143)</f>
        <v>-</v>
      </c>
      <c r="R143" s="417" t="str">
        <f aca="false">IF($A$1="Peak","-",'Base Hours'!R143*BaseLoad!X142*'Base Hours'!$AA143)</f>
        <v>-</v>
      </c>
      <c r="S143" s="417" t="str">
        <f aca="false">IF($A$1="Peak","-",'Base Hours'!S143*BaseLoad!Y142*'Base Hours'!$AA143)</f>
        <v>-</v>
      </c>
      <c r="T143" s="417" t="str">
        <f aca="false">IF($A$1="Peak","-",'Base Hours'!T143*BaseLoad!Z142*'Base Hours'!$AA143)</f>
        <v>-</v>
      </c>
      <c r="U143" s="417" t="str">
        <f aca="false">IF($A$1="Peak","-",'Base Hours'!U143*BaseLoad!AA142*'Base Hours'!$AA143)</f>
        <v>-</v>
      </c>
      <c r="V143" s="417" t="n">
        <f aca="false">SUM(B143:U143)-(MAX(B143:U143))</f>
        <v>0</v>
      </c>
      <c r="W143" s="417"/>
      <c r="X143" s="417"/>
      <c r="Y143" s="418"/>
      <c r="Z143" s="418" t="n">
        <f aca="false">(BaseLoad!C142*'Base Hours'!V143*'Base Hours'!$AA143)*-1</f>
        <v>-0</v>
      </c>
      <c r="AA143" s="418"/>
      <c r="AB143" s="418" t="n">
        <f aca="false">(BaseLoad!D142*'Base Hours'!V143*'Base Hours'!$AA143)*-1</f>
        <v>-0</v>
      </c>
      <c r="AC143" s="418"/>
      <c r="AD143" s="418" t="n">
        <f aca="false">(BaseLoad!E142*'Base Hours'!V143*'Base Hours'!$AA143)*-1</f>
        <v>-0</v>
      </c>
      <c r="AE143" s="418"/>
      <c r="AF143" s="418" t="n">
        <f aca="false">(BaseLoad!F142*'Base Hours'!V143*'Base Hours'!$AA143)*-1</f>
        <v>-0</v>
      </c>
      <c r="AG143" s="418"/>
    </row>
    <row r="144" customFormat="false" ht="12.75" hidden="false" customHeight="false" outlineLevel="0" collapsed="false">
      <c r="A144" s="400" t="n">
        <f aca="false">A143+30.417</f>
        <v>40615.878</v>
      </c>
      <c r="B144" s="417" t="str">
        <f aca="false">IF($A$1="Peak","-",'Base Hours'!B144*BaseLoad!H143*'Base Hours'!$AA144)</f>
        <v>-</v>
      </c>
      <c r="C144" s="417" t="str">
        <f aca="false">IF($A$1="Peak","-",'Base Hours'!C144*BaseLoad!I143*'Base Hours'!$AA144)</f>
        <v>-</v>
      </c>
      <c r="D144" s="417" t="str">
        <f aca="false">IF($A$1="Peak","-",'Base Hours'!D144*BaseLoad!J143*'Base Hours'!$AA144)</f>
        <v>-</v>
      </c>
      <c r="E144" s="417" t="str">
        <f aca="false">IF($A$1="Peak","-",'Base Hours'!E144*BaseLoad!K143*'Base Hours'!$AA144)</f>
        <v>-</v>
      </c>
      <c r="F144" s="417" t="str">
        <f aca="false">IF($A$1="Peak","-",'Base Hours'!F144*BaseLoad!L143*'Base Hours'!$AA144)</f>
        <v>-</v>
      </c>
      <c r="G144" s="417" t="str">
        <f aca="false">IF($A$1="Peak","-",'Base Hours'!G144*BaseLoad!M143*'Base Hours'!$AA144)</f>
        <v>-</v>
      </c>
      <c r="H144" s="417" t="str">
        <f aca="false">IF($A$1="Peak","-",'Base Hours'!H144*BaseLoad!N143*'Base Hours'!$AA144)</f>
        <v>-</v>
      </c>
      <c r="I144" s="417" t="str">
        <f aca="false">IF($A$1="Peak","-",'Base Hours'!I144*BaseLoad!O143*'Base Hours'!$AA144)</f>
        <v>-</v>
      </c>
      <c r="J144" s="417" t="str">
        <f aca="false">IF($A$1="Peak","-",'Base Hours'!J144*BaseLoad!P143*'Base Hours'!$AA144)</f>
        <v>-</v>
      </c>
      <c r="K144" s="417" t="str">
        <f aca="false">IF($A$1="Peak","-",'Base Hours'!K144*BaseLoad!Q143*'Base Hours'!$AA144)</f>
        <v>-</v>
      </c>
      <c r="L144" s="417" t="str">
        <f aca="false">IF($A$1="Peak","-",'Base Hours'!L144*BaseLoad!R143*'Base Hours'!$AA144)</f>
        <v>-</v>
      </c>
      <c r="M144" s="417" t="str">
        <f aca="false">IF($A$1="Peak","-",'Base Hours'!M144*BaseLoad!S143*'Base Hours'!$AA144)</f>
        <v>-</v>
      </c>
      <c r="N144" s="417" t="str">
        <f aca="false">IF($A$1="Peak","-",'Base Hours'!N144*BaseLoad!T143*'Base Hours'!$AA144)</f>
        <v>-</v>
      </c>
      <c r="O144" s="417" t="str">
        <f aca="false">IF($A$1="Peak","-",'Base Hours'!O144*BaseLoad!U143*'Base Hours'!$AA144)</f>
        <v>-</v>
      </c>
      <c r="P144" s="417" t="str">
        <f aca="false">IF($A$1="Peak","-",'Base Hours'!P144*BaseLoad!V143*'Base Hours'!$AA144)</f>
        <v>-</v>
      </c>
      <c r="Q144" s="417" t="str">
        <f aca="false">IF($A$1="Peak","-",'Base Hours'!Q144*BaseLoad!W143*'Base Hours'!$AA144)</f>
        <v>-</v>
      </c>
      <c r="R144" s="417" t="str">
        <f aca="false">IF($A$1="Peak","-",'Base Hours'!R144*BaseLoad!X143*'Base Hours'!$AA144)</f>
        <v>-</v>
      </c>
      <c r="S144" s="417" t="str">
        <f aca="false">IF($A$1="Peak","-",'Base Hours'!S144*BaseLoad!Y143*'Base Hours'!$AA144)</f>
        <v>-</v>
      </c>
      <c r="T144" s="417" t="str">
        <f aca="false">IF($A$1="Peak","-",'Base Hours'!T144*BaseLoad!Z143*'Base Hours'!$AA144)</f>
        <v>-</v>
      </c>
      <c r="U144" s="417" t="str">
        <f aca="false">IF($A$1="Peak","-",'Base Hours'!U144*BaseLoad!AA143*'Base Hours'!$AA144)</f>
        <v>-</v>
      </c>
      <c r="V144" s="417" t="n">
        <f aca="false">SUM(B144:U144)-(MAX(B144:U144))</f>
        <v>0</v>
      </c>
      <c r="W144" s="417"/>
      <c r="X144" s="417"/>
      <c r="Y144" s="418"/>
      <c r="Z144" s="418" t="n">
        <f aca="false">(BaseLoad!C143*'Base Hours'!V144*'Base Hours'!$AA144)*-1</f>
        <v>-0</v>
      </c>
      <c r="AA144" s="418"/>
      <c r="AB144" s="418" t="n">
        <f aca="false">(BaseLoad!D143*'Base Hours'!V144*'Base Hours'!$AA144)*-1</f>
        <v>-0</v>
      </c>
      <c r="AC144" s="418"/>
      <c r="AD144" s="418" t="n">
        <f aca="false">(BaseLoad!E143*'Base Hours'!V144*'Base Hours'!$AA144)*-1</f>
        <v>-0</v>
      </c>
      <c r="AE144" s="418"/>
      <c r="AF144" s="418" t="n">
        <f aca="false">(BaseLoad!F143*'Base Hours'!V144*'Base Hours'!$AA144)*-1</f>
        <v>-0</v>
      </c>
      <c r="AG144" s="418"/>
    </row>
    <row r="145" customFormat="false" ht="12.75" hidden="false" customHeight="false" outlineLevel="0" collapsed="false">
      <c r="A145" s="400" t="n">
        <f aca="false">A144+30.417</f>
        <v>40646.295</v>
      </c>
      <c r="B145" s="417" t="str">
        <f aca="false">IF($A$1="Peak","-",'Base Hours'!B145*BaseLoad!H144*'Base Hours'!$AA145)</f>
        <v>-</v>
      </c>
      <c r="C145" s="417" t="str">
        <f aca="false">IF($A$1="Peak","-",'Base Hours'!C145*BaseLoad!I144*'Base Hours'!$AA145)</f>
        <v>-</v>
      </c>
      <c r="D145" s="417" t="str">
        <f aca="false">IF($A$1="Peak","-",'Base Hours'!D145*BaseLoad!J144*'Base Hours'!$AA145)</f>
        <v>-</v>
      </c>
      <c r="E145" s="417" t="str">
        <f aca="false">IF($A$1="Peak","-",'Base Hours'!E145*BaseLoad!K144*'Base Hours'!$AA145)</f>
        <v>-</v>
      </c>
      <c r="F145" s="417" t="str">
        <f aca="false">IF($A$1="Peak","-",'Base Hours'!F145*BaseLoad!L144*'Base Hours'!$AA145)</f>
        <v>-</v>
      </c>
      <c r="G145" s="417" t="str">
        <f aca="false">IF($A$1="Peak","-",'Base Hours'!G145*BaseLoad!M144*'Base Hours'!$AA145)</f>
        <v>-</v>
      </c>
      <c r="H145" s="417" t="str">
        <f aca="false">IF($A$1="Peak","-",'Base Hours'!H145*BaseLoad!N144*'Base Hours'!$AA145)</f>
        <v>-</v>
      </c>
      <c r="I145" s="417" t="str">
        <f aca="false">IF($A$1="Peak","-",'Base Hours'!I145*BaseLoad!O144*'Base Hours'!$AA145)</f>
        <v>-</v>
      </c>
      <c r="J145" s="417" t="str">
        <f aca="false">IF($A$1="Peak","-",'Base Hours'!J145*BaseLoad!P144*'Base Hours'!$AA145)</f>
        <v>-</v>
      </c>
      <c r="K145" s="417" t="str">
        <f aca="false">IF($A$1="Peak","-",'Base Hours'!K145*BaseLoad!Q144*'Base Hours'!$AA145)</f>
        <v>-</v>
      </c>
      <c r="L145" s="417" t="str">
        <f aca="false">IF($A$1="Peak","-",'Base Hours'!L145*BaseLoad!R144*'Base Hours'!$AA145)</f>
        <v>-</v>
      </c>
      <c r="M145" s="417" t="str">
        <f aca="false">IF($A$1="Peak","-",'Base Hours'!M145*BaseLoad!S144*'Base Hours'!$AA145)</f>
        <v>-</v>
      </c>
      <c r="N145" s="417" t="str">
        <f aca="false">IF($A$1="Peak","-",'Base Hours'!N145*BaseLoad!T144*'Base Hours'!$AA145)</f>
        <v>-</v>
      </c>
      <c r="O145" s="417" t="str">
        <f aca="false">IF($A$1="Peak","-",'Base Hours'!O145*BaseLoad!U144*'Base Hours'!$AA145)</f>
        <v>-</v>
      </c>
      <c r="P145" s="417" t="str">
        <f aca="false">IF($A$1="Peak","-",'Base Hours'!P145*BaseLoad!V144*'Base Hours'!$AA145)</f>
        <v>-</v>
      </c>
      <c r="Q145" s="417" t="str">
        <f aca="false">IF($A$1="Peak","-",'Base Hours'!Q145*BaseLoad!W144*'Base Hours'!$AA145)</f>
        <v>-</v>
      </c>
      <c r="R145" s="417" t="str">
        <f aca="false">IF($A$1="Peak","-",'Base Hours'!R145*BaseLoad!X144*'Base Hours'!$AA145)</f>
        <v>-</v>
      </c>
      <c r="S145" s="417" t="str">
        <f aca="false">IF($A$1="Peak","-",'Base Hours'!S145*BaseLoad!Y144*'Base Hours'!$AA145)</f>
        <v>-</v>
      </c>
      <c r="T145" s="417" t="str">
        <f aca="false">IF($A$1="Peak","-",'Base Hours'!T145*BaseLoad!Z144*'Base Hours'!$AA145)</f>
        <v>-</v>
      </c>
      <c r="U145" s="417" t="str">
        <f aca="false">IF($A$1="Peak","-",'Base Hours'!U145*BaseLoad!AA144*'Base Hours'!$AA145)</f>
        <v>-</v>
      </c>
      <c r="V145" s="417" t="n">
        <f aca="false">SUM(B145:U145)-(MAX(B145:U145))</f>
        <v>0</v>
      </c>
      <c r="W145" s="417"/>
      <c r="X145" s="417"/>
      <c r="Y145" s="418"/>
      <c r="Z145" s="418" t="n">
        <f aca="false">(BaseLoad!C144*'Base Hours'!V145*'Base Hours'!$AA145)*-1</f>
        <v>-0</v>
      </c>
      <c r="AA145" s="418"/>
      <c r="AB145" s="418" t="n">
        <f aca="false">(BaseLoad!D144*'Base Hours'!V145*'Base Hours'!$AA145)*-1</f>
        <v>-0</v>
      </c>
      <c r="AC145" s="418"/>
      <c r="AD145" s="418" t="n">
        <f aca="false">(BaseLoad!E144*'Base Hours'!V145*'Base Hours'!$AA145)*-1</f>
        <v>-0</v>
      </c>
      <c r="AE145" s="418"/>
      <c r="AF145" s="418" t="n">
        <f aca="false">(BaseLoad!F144*'Base Hours'!V145*'Base Hours'!$AA145)*-1</f>
        <v>-0</v>
      </c>
      <c r="AG145" s="418"/>
    </row>
    <row r="146" customFormat="false" ht="12.75" hidden="false" customHeight="false" outlineLevel="0" collapsed="false">
      <c r="A146" s="400" t="n">
        <f aca="false">A145+30.417</f>
        <v>40676.712</v>
      </c>
      <c r="B146" s="417" t="str">
        <f aca="false">IF($A$1="Peak","-",'Base Hours'!B146*BaseLoad!H145*'Base Hours'!$AA146)</f>
        <v>-</v>
      </c>
      <c r="C146" s="417" t="str">
        <f aca="false">IF($A$1="Peak","-",'Base Hours'!C146*BaseLoad!I145*'Base Hours'!$AA146)</f>
        <v>-</v>
      </c>
      <c r="D146" s="417" t="str">
        <f aca="false">IF($A$1="Peak","-",'Base Hours'!D146*BaseLoad!J145*'Base Hours'!$AA146)</f>
        <v>-</v>
      </c>
      <c r="E146" s="417" t="str">
        <f aca="false">IF($A$1="Peak","-",'Base Hours'!E146*BaseLoad!K145*'Base Hours'!$AA146)</f>
        <v>-</v>
      </c>
      <c r="F146" s="417" t="str">
        <f aca="false">IF($A$1="Peak","-",'Base Hours'!F146*BaseLoad!L145*'Base Hours'!$AA146)</f>
        <v>-</v>
      </c>
      <c r="G146" s="417" t="str">
        <f aca="false">IF($A$1="Peak","-",'Base Hours'!G146*BaseLoad!M145*'Base Hours'!$AA146)</f>
        <v>-</v>
      </c>
      <c r="H146" s="417" t="str">
        <f aca="false">IF($A$1="Peak","-",'Base Hours'!H146*BaseLoad!N145*'Base Hours'!$AA146)</f>
        <v>-</v>
      </c>
      <c r="I146" s="417" t="str">
        <f aca="false">IF($A$1="Peak","-",'Base Hours'!I146*BaseLoad!O145*'Base Hours'!$AA146)</f>
        <v>-</v>
      </c>
      <c r="J146" s="417" t="str">
        <f aca="false">IF($A$1="Peak","-",'Base Hours'!J146*BaseLoad!P145*'Base Hours'!$AA146)</f>
        <v>-</v>
      </c>
      <c r="K146" s="417" t="str">
        <f aca="false">IF($A$1="Peak","-",'Base Hours'!K146*BaseLoad!Q145*'Base Hours'!$AA146)</f>
        <v>-</v>
      </c>
      <c r="L146" s="417" t="str">
        <f aca="false">IF($A$1="Peak","-",'Base Hours'!L146*BaseLoad!R145*'Base Hours'!$AA146)</f>
        <v>-</v>
      </c>
      <c r="M146" s="417" t="str">
        <f aca="false">IF($A$1="Peak","-",'Base Hours'!M146*BaseLoad!S145*'Base Hours'!$AA146)</f>
        <v>-</v>
      </c>
      <c r="N146" s="417" t="str">
        <f aca="false">IF($A$1="Peak","-",'Base Hours'!N146*BaseLoad!T145*'Base Hours'!$AA146)</f>
        <v>-</v>
      </c>
      <c r="O146" s="417" t="str">
        <f aca="false">IF($A$1="Peak","-",'Base Hours'!O146*BaseLoad!U145*'Base Hours'!$AA146)</f>
        <v>-</v>
      </c>
      <c r="P146" s="417" t="str">
        <f aca="false">IF($A$1="Peak","-",'Base Hours'!P146*BaseLoad!V145*'Base Hours'!$AA146)</f>
        <v>-</v>
      </c>
      <c r="Q146" s="417" t="str">
        <f aca="false">IF($A$1="Peak","-",'Base Hours'!Q146*BaseLoad!W145*'Base Hours'!$AA146)</f>
        <v>-</v>
      </c>
      <c r="R146" s="417" t="str">
        <f aca="false">IF($A$1="Peak","-",'Base Hours'!R146*BaseLoad!X145*'Base Hours'!$AA146)</f>
        <v>-</v>
      </c>
      <c r="S146" s="417" t="str">
        <f aca="false">IF($A$1="Peak","-",'Base Hours'!S146*BaseLoad!Y145*'Base Hours'!$AA146)</f>
        <v>-</v>
      </c>
      <c r="T146" s="417" t="str">
        <f aca="false">IF($A$1="Peak","-",'Base Hours'!T146*BaseLoad!Z145*'Base Hours'!$AA146)</f>
        <v>-</v>
      </c>
      <c r="U146" s="417" t="str">
        <f aca="false">IF($A$1="Peak","-",'Base Hours'!U146*BaseLoad!AA145*'Base Hours'!$AA146)</f>
        <v>-</v>
      </c>
      <c r="V146" s="417" t="n">
        <f aca="false">SUM(B146:U146)-(MAX(B146:U146))</f>
        <v>0</v>
      </c>
      <c r="W146" s="417"/>
      <c r="X146" s="417"/>
      <c r="Y146" s="418"/>
      <c r="Z146" s="418" t="n">
        <f aca="false">(BaseLoad!C145*'Base Hours'!V146*'Base Hours'!$AA146)*-1</f>
        <v>-0</v>
      </c>
      <c r="AA146" s="418"/>
      <c r="AB146" s="418" t="n">
        <f aca="false">(BaseLoad!D145*'Base Hours'!V146*'Base Hours'!$AA146)*-1</f>
        <v>-0</v>
      </c>
      <c r="AC146" s="418"/>
      <c r="AD146" s="418" t="n">
        <f aca="false">(BaseLoad!E145*'Base Hours'!V146*'Base Hours'!$AA146)*-1</f>
        <v>-0</v>
      </c>
      <c r="AE146" s="418"/>
      <c r="AF146" s="418" t="n">
        <f aca="false">(BaseLoad!F145*'Base Hours'!V146*'Base Hours'!$AA146)*-1</f>
        <v>-0</v>
      </c>
      <c r="AG146" s="418"/>
    </row>
    <row r="147" customFormat="false" ht="12.75" hidden="false" customHeight="false" outlineLevel="0" collapsed="false">
      <c r="A147" s="400" t="n">
        <f aca="false">A146+30.417</f>
        <v>40707.129</v>
      </c>
      <c r="B147" s="417" t="str">
        <f aca="false">IF($A$1="Peak","-",'Base Hours'!B147*BaseLoad!H146*'Base Hours'!$AA147)</f>
        <v>-</v>
      </c>
      <c r="C147" s="417" t="str">
        <f aca="false">IF($A$1="Peak","-",'Base Hours'!C147*BaseLoad!I146*'Base Hours'!$AA147)</f>
        <v>-</v>
      </c>
      <c r="D147" s="417" t="str">
        <f aca="false">IF($A$1="Peak","-",'Base Hours'!D147*BaseLoad!J146*'Base Hours'!$AA147)</f>
        <v>-</v>
      </c>
      <c r="E147" s="417" t="str">
        <f aca="false">IF($A$1="Peak","-",'Base Hours'!E147*BaseLoad!K146*'Base Hours'!$AA147)</f>
        <v>-</v>
      </c>
      <c r="F147" s="417" t="str">
        <f aca="false">IF($A$1="Peak","-",'Base Hours'!F147*BaseLoad!L146*'Base Hours'!$AA147)</f>
        <v>-</v>
      </c>
      <c r="G147" s="417" t="str">
        <f aca="false">IF($A$1="Peak","-",'Base Hours'!G147*BaseLoad!M146*'Base Hours'!$AA147)</f>
        <v>-</v>
      </c>
      <c r="H147" s="417" t="str">
        <f aca="false">IF($A$1="Peak","-",'Base Hours'!H147*BaseLoad!N146*'Base Hours'!$AA147)</f>
        <v>-</v>
      </c>
      <c r="I147" s="417" t="str">
        <f aca="false">IF($A$1="Peak","-",'Base Hours'!I147*BaseLoad!O146*'Base Hours'!$AA147)</f>
        <v>-</v>
      </c>
      <c r="J147" s="417" t="str">
        <f aca="false">IF($A$1="Peak","-",'Base Hours'!J147*BaseLoad!P146*'Base Hours'!$AA147)</f>
        <v>-</v>
      </c>
      <c r="K147" s="417" t="str">
        <f aca="false">IF($A$1="Peak","-",'Base Hours'!K147*BaseLoad!Q146*'Base Hours'!$AA147)</f>
        <v>-</v>
      </c>
      <c r="L147" s="417" t="str">
        <f aca="false">IF($A$1="Peak","-",'Base Hours'!L147*BaseLoad!R146*'Base Hours'!$AA147)</f>
        <v>-</v>
      </c>
      <c r="M147" s="417" t="str">
        <f aca="false">IF($A$1="Peak","-",'Base Hours'!M147*BaseLoad!S146*'Base Hours'!$AA147)</f>
        <v>-</v>
      </c>
      <c r="N147" s="417" t="str">
        <f aca="false">IF($A$1="Peak","-",'Base Hours'!N147*BaseLoad!T146*'Base Hours'!$AA147)</f>
        <v>-</v>
      </c>
      <c r="O147" s="417" t="str">
        <f aca="false">IF($A$1="Peak","-",'Base Hours'!O147*BaseLoad!U146*'Base Hours'!$AA147)</f>
        <v>-</v>
      </c>
      <c r="P147" s="417" t="str">
        <f aca="false">IF($A$1="Peak","-",'Base Hours'!P147*BaseLoad!V146*'Base Hours'!$AA147)</f>
        <v>-</v>
      </c>
      <c r="Q147" s="417" t="str">
        <f aca="false">IF($A$1="Peak","-",'Base Hours'!Q147*BaseLoad!W146*'Base Hours'!$AA147)</f>
        <v>-</v>
      </c>
      <c r="R147" s="417" t="str">
        <f aca="false">IF($A$1="Peak","-",'Base Hours'!R147*BaseLoad!X146*'Base Hours'!$AA147)</f>
        <v>-</v>
      </c>
      <c r="S147" s="417" t="str">
        <f aca="false">IF($A$1="Peak","-",'Base Hours'!S147*BaseLoad!Y146*'Base Hours'!$AA147)</f>
        <v>-</v>
      </c>
      <c r="T147" s="417" t="str">
        <f aca="false">IF($A$1="Peak","-",'Base Hours'!T147*BaseLoad!Z146*'Base Hours'!$AA147)</f>
        <v>-</v>
      </c>
      <c r="U147" s="417" t="str">
        <f aca="false">IF($A$1="Peak","-",'Base Hours'!U147*BaseLoad!AA146*'Base Hours'!$AA147)</f>
        <v>-</v>
      </c>
      <c r="V147" s="417" t="n">
        <f aca="false">SUM(B147:U147)-(MAX(B147:U147))</f>
        <v>0</v>
      </c>
      <c r="W147" s="417"/>
      <c r="X147" s="417"/>
      <c r="Y147" s="418"/>
      <c r="Z147" s="418" t="n">
        <f aca="false">(BaseLoad!C146*'Base Hours'!V147*'Base Hours'!$AA147)*-1</f>
        <v>-0</v>
      </c>
      <c r="AA147" s="418"/>
      <c r="AB147" s="418" t="n">
        <f aca="false">(BaseLoad!D146*'Base Hours'!V147*'Base Hours'!$AA147)*-1</f>
        <v>-0</v>
      </c>
      <c r="AC147" s="418"/>
      <c r="AD147" s="418" t="n">
        <f aca="false">(BaseLoad!E146*'Base Hours'!V147*'Base Hours'!$AA147)*-1</f>
        <v>-0</v>
      </c>
      <c r="AE147" s="418"/>
      <c r="AF147" s="418" t="n">
        <f aca="false">(BaseLoad!F146*'Base Hours'!V147*'Base Hours'!$AA147)*-1</f>
        <v>-0</v>
      </c>
      <c r="AG147" s="418"/>
    </row>
    <row r="148" customFormat="false" ht="12.75" hidden="false" customHeight="false" outlineLevel="0" collapsed="false">
      <c r="A148" s="400" t="n">
        <f aca="false">A147+30.417</f>
        <v>40737.546</v>
      </c>
      <c r="B148" s="417" t="str">
        <f aca="false">IF($A$1="Peak","-",'Base Hours'!B148*BaseLoad!H147*'Base Hours'!$AA148)</f>
        <v>-</v>
      </c>
      <c r="C148" s="417" t="str">
        <f aca="false">IF($A$1="Peak","-",'Base Hours'!C148*BaseLoad!I147*'Base Hours'!$AA148)</f>
        <v>-</v>
      </c>
      <c r="D148" s="417" t="str">
        <f aca="false">IF($A$1="Peak","-",'Base Hours'!D148*BaseLoad!J147*'Base Hours'!$AA148)</f>
        <v>-</v>
      </c>
      <c r="E148" s="417" t="str">
        <f aca="false">IF($A$1="Peak","-",'Base Hours'!E148*BaseLoad!K147*'Base Hours'!$AA148)</f>
        <v>-</v>
      </c>
      <c r="F148" s="417" t="str">
        <f aca="false">IF($A$1="Peak","-",'Base Hours'!F148*BaseLoad!L147*'Base Hours'!$AA148)</f>
        <v>-</v>
      </c>
      <c r="G148" s="417" t="str">
        <f aca="false">IF($A$1="Peak","-",'Base Hours'!G148*BaseLoad!M147*'Base Hours'!$AA148)</f>
        <v>-</v>
      </c>
      <c r="H148" s="417" t="str">
        <f aca="false">IF($A$1="Peak","-",'Base Hours'!H148*BaseLoad!N147*'Base Hours'!$AA148)</f>
        <v>-</v>
      </c>
      <c r="I148" s="417" t="str">
        <f aca="false">IF($A$1="Peak","-",'Base Hours'!I148*BaseLoad!O147*'Base Hours'!$AA148)</f>
        <v>-</v>
      </c>
      <c r="J148" s="417" t="str">
        <f aca="false">IF($A$1="Peak","-",'Base Hours'!J148*BaseLoad!P147*'Base Hours'!$AA148)</f>
        <v>-</v>
      </c>
      <c r="K148" s="417" t="str">
        <f aca="false">IF($A$1="Peak","-",'Base Hours'!K148*BaseLoad!Q147*'Base Hours'!$AA148)</f>
        <v>-</v>
      </c>
      <c r="L148" s="417" t="str">
        <f aca="false">IF($A$1="Peak","-",'Base Hours'!L148*BaseLoad!R147*'Base Hours'!$AA148)</f>
        <v>-</v>
      </c>
      <c r="M148" s="417" t="str">
        <f aca="false">IF($A$1="Peak","-",'Base Hours'!M148*BaseLoad!S147*'Base Hours'!$AA148)</f>
        <v>-</v>
      </c>
      <c r="N148" s="417" t="str">
        <f aca="false">IF($A$1="Peak","-",'Base Hours'!N148*BaseLoad!T147*'Base Hours'!$AA148)</f>
        <v>-</v>
      </c>
      <c r="O148" s="417" t="str">
        <f aca="false">IF($A$1="Peak","-",'Base Hours'!O148*BaseLoad!U147*'Base Hours'!$AA148)</f>
        <v>-</v>
      </c>
      <c r="P148" s="417" t="str">
        <f aca="false">IF($A$1="Peak","-",'Base Hours'!P148*BaseLoad!V147*'Base Hours'!$AA148)</f>
        <v>-</v>
      </c>
      <c r="Q148" s="417" t="str">
        <f aca="false">IF($A$1="Peak","-",'Base Hours'!Q148*BaseLoad!W147*'Base Hours'!$AA148)</f>
        <v>-</v>
      </c>
      <c r="R148" s="417" t="str">
        <f aca="false">IF($A$1="Peak","-",'Base Hours'!R148*BaseLoad!X147*'Base Hours'!$AA148)</f>
        <v>-</v>
      </c>
      <c r="S148" s="417" t="str">
        <f aca="false">IF($A$1="Peak","-",'Base Hours'!S148*BaseLoad!Y147*'Base Hours'!$AA148)</f>
        <v>-</v>
      </c>
      <c r="T148" s="417" t="str">
        <f aca="false">IF($A$1="Peak","-",'Base Hours'!T148*BaseLoad!Z147*'Base Hours'!$AA148)</f>
        <v>-</v>
      </c>
      <c r="U148" s="417" t="str">
        <f aca="false">IF($A$1="Peak","-",'Base Hours'!U148*BaseLoad!AA147*'Base Hours'!$AA148)</f>
        <v>-</v>
      </c>
      <c r="V148" s="417" t="n">
        <f aca="false">SUM(B148:U148)-(MAX(B148:U148))</f>
        <v>0</v>
      </c>
      <c r="W148" s="417"/>
      <c r="X148" s="417"/>
      <c r="Y148" s="418"/>
      <c r="Z148" s="418" t="n">
        <f aca="false">(BaseLoad!C147*'Base Hours'!V148*'Base Hours'!$AA148)*-1</f>
        <v>-0</v>
      </c>
      <c r="AA148" s="418"/>
      <c r="AB148" s="418" t="n">
        <f aca="false">(BaseLoad!D147*'Base Hours'!V148*'Base Hours'!$AA148)*-1</f>
        <v>-0</v>
      </c>
      <c r="AC148" s="418"/>
      <c r="AD148" s="418" t="n">
        <f aca="false">(BaseLoad!E147*'Base Hours'!V148*'Base Hours'!$AA148)*-1</f>
        <v>-0</v>
      </c>
      <c r="AE148" s="418"/>
      <c r="AF148" s="418" t="n">
        <f aca="false">(BaseLoad!F147*'Base Hours'!V148*'Base Hours'!$AA148)*-1</f>
        <v>-0</v>
      </c>
      <c r="AG148" s="418"/>
    </row>
    <row r="149" customFormat="false" ht="12.75" hidden="false" customHeight="false" outlineLevel="0" collapsed="false">
      <c r="A149" s="400" t="n">
        <f aca="false">A148+30.417</f>
        <v>40767.963</v>
      </c>
      <c r="B149" s="417" t="str">
        <f aca="false">IF($A$1="Peak","-",'Base Hours'!B149*BaseLoad!H148*'Base Hours'!$AA149)</f>
        <v>-</v>
      </c>
      <c r="C149" s="417" t="str">
        <f aca="false">IF($A$1="Peak","-",'Base Hours'!C149*BaseLoad!I148*'Base Hours'!$AA149)</f>
        <v>-</v>
      </c>
      <c r="D149" s="417" t="str">
        <f aca="false">IF($A$1="Peak","-",'Base Hours'!D149*BaseLoad!J148*'Base Hours'!$AA149)</f>
        <v>-</v>
      </c>
      <c r="E149" s="417" t="str">
        <f aca="false">IF($A$1="Peak","-",'Base Hours'!E149*BaseLoad!K148*'Base Hours'!$AA149)</f>
        <v>-</v>
      </c>
      <c r="F149" s="417" t="str">
        <f aca="false">IF($A$1="Peak","-",'Base Hours'!F149*BaseLoad!L148*'Base Hours'!$AA149)</f>
        <v>-</v>
      </c>
      <c r="G149" s="417" t="str">
        <f aca="false">IF($A$1="Peak","-",'Base Hours'!G149*BaseLoad!M148*'Base Hours'!$AA149)</f>
        <v>-</v>
      </c>
      <c r="H149" s="417" t="str">
        <f aca="false">IF($A$1="Peak","-",'Base Hours'!H149*BaseLoad!N148*'Base Hours'!$AA149)</f>
        <v>-</v>
      </c>
      <c r="I149" s="417" t="str">
        <f aca="false">IF($A$1="Peak","-",'Base Hours'!I149*BaseLoad!O148*'Base Hours'!$AA149)</f>
        <v>-</v>
      </c>
      <c r="J149" s="417" t="str">
        <f aca="false">IF($A$1="Peak","-",'Base Hours'!J149*BaseLoad!P148*'Base Hours'!$AA149)</f>
        <v>-</v>
      </c>
      <c r="K149" s="417" t="str">
        <f aca="false">IF($A$1="Peak","-",'Base Hours'!K149*BaseLoad!Q148*'Base Hours'!$AA149)</f>
        <v>-</v>
      </c>
      <c r="L149" s="417" t="str">
        <f aca="false">IF($A$1="Peak","-",'Base Hours'!L149*BaseLoad!R148*'Base Hours'!$AA149)</f>
        <v>-</v>
      </c>
      <c r="M149" s="417" t="str">
        <f aca="false">IF($A$1="Peak","-",'Base Hours'!M149*BaseLoad!S148*'Base Hours'!$AA149)</f>
        <v>-</v>
      </c>
      <c r="N149" s="417" t="str">
        <f aca="false">IF($A$1="Peak","-",'Base Hours'!N149*BaseLoad!T148*'Base Hours'!$AA149)</f>
        <v>-</v>
      </c>
      <c r="O149" s="417" t="str">
        <f aca="false">IF($A$1="Peak","-",'Base Hours'!O149*BaseLoad!U148*'Base Hours'!$AA149)</f>
        <v>-</v>
      </c>
      <c r="P149" s="417" t="str">
        <f aca="false">IF($A$1="Peak","-",'Base Hours'!P149*BaseLoad!V148*'Base Hours'!$AA149)</f>
        <v>-</v>
      </c>
      <c r="Q149" s="417" t="str">
        <f aca="false">IF($A$1="Peak","-",'Base Hours'!Q149*BaseLoad!W148*'Base Hours'!$AA149)</f>
        <v>-</v>
      </c>
      <c r="R149" s="417" t="str">
        <f aca="false">IF($A$1="Peak","-",'Base Hours'!R149*BaseLoad!X148*'Base Hours'!$AA149)</f>
        <v>-</v>
      </c>
      <c r="S149" s="417" t="str">
        <f aca="false">IF($A$1="Peak","-",'Base Hours'!S149*BaseLoad!Y148*'Base Hours'!$AA149)</f>
        <v>-</v>
      </c>
      <c r="T149" s="417" t="str">
        <f aca="false">IF($A$1="Peak","-",'Base Hours'!T149*BaseLoad!Z148*'Base Hours'!$AA149)</f>
        <v>-</v>
      </c>
      <c r="U149" s="417" t="str">
        <f aca="false">IF($A$1="Peak","-",'Base Hours'!U149*BaseLoad!AA148*'Base Hours'!$AA149)</f>
        <v>-</v>
      </c>
      <c r="V149" s="417" t="n">
        <f aca="false">SUM(B149:U149)-(MAX(B149:U149))</f>
        <v>0</v>
      </c>
      <c r="W149" s="417"/>
      <c r="X149" s="417"/>
      <c r="Y149" s="418"/>
      <c r="Z149" s="418" t="n">
        <f aca="false">(BaseLoad!C148*'Base Hours'!V149*'Base Hours'!$AA149)*-1</f>
        <v>-0</v>
      </c>
      <c r="AA149" s="418"/>
      <c r="AB149" s="418" t="n">
        <f aca="false">(BaseLoad!D148*'Base Hours'!V149*'Base Hours'!$AA149)*-1</f>
        <v>-0</v>
      </c>
      <c r="AC149" s="418"/>
      <c r="AD149" s="418" t="n">
        <f aca="false">(BaseLoad!E148*'Base Hours'!V149*'Base Hours'!$AA149)*-1</f>
        <v>-0</v>
      </c>
      <c r="AE149" s="418"/>
      <c r="AF149" s="418" t="n">
        <f aca="false">(BaseLoad!F148*'Base Hours'!V149*'Base Hours'!$AA149)*-1</f>
        <v>-0</v>
      </c>
      <c r="AG149" s="418"/>
    </row>
    <row r="150" customFormat="false" ht="12.75" hidden="false" customHeight="false" outlineLevel="0" collapsed="false">
      <c r="A150" s="400" t="n">
        <f aca="false">A149+30.417</f>
        <v>40798.38</v>
      </c>
      <c r="B150" s="417" t="str">
        <f aca="false">IF($A$1="Peak","-",'Base Hours'!B150*BaseLoad!H149*'Base Hours'!$AA150)</f>
        <v>-</v>
      </c>
      <c r="C150" s="417" t="str">
        <f aca="false">IF($A$1="Peak","-",'Base Hours'!C150*BaseLoad!I149*'Base Hours'!$AA150)</f>
        <v>-</v>
      </c>
      <c r="D150" s="417" t="str">
        <f aca="false">IF($A$1="Peak","-",'Base Hours'!D150*BaseLoad!J149*'Base Hours'!$AA150)</f>
        <v>-</v>
      </c>
      <c r="E150" s="417" t="str">
        <f aca="false">IF($A$1="Peak","-",'Base Hours'!E150*BaseLoad!K149*'Base Hours'!$AA150)</f>
        <v>-</v>
      </c>
      <c r="F150" s="417" t="str">
        <f aca="false">IF($A$1="Peak","-",'Base Hours'!F150*BaseLoad!L149*'Base Hours'!$AA150)</f>
        <v>-</v>
      </c>
      <c r="G150" s="417" t="str">
        <f aca="false">IF($A$1="Peak","-",'Base Hours'!G150*BaseLoad!M149*'Base Hours'!$AA150)</f>
        <v>-</v>
      </c>
      <c r="H150" s="417" t="str">
        <f aca="false">IF($A$1="Peak","-",'Base Hours'!H150*BaseLoad!N149*'Base Hours'!$AA150)</f>
        <v>-</v>
      </c>
      <c r="I150" s="417" t="str">
        <f aca="false">IF($A$1="Peak","-",'Base Hours'!I150*BaseLoad!O149*'Base Hours'!$AA150)</f>
        <v>-</v>
      </c>
      <c r="J150" s="417" t="str">
        <f aca="false">IF($A$1="Peak","-",'Base Hours'!J150*BaseLoad!P149*'Base Hours'!$AA150)</f>
        <v>-</v>
      </c>
      <c r="K150" s="417" t="str">
        <f aca="false">IF($A$1="Peak","-",'Base Hours'!K150*BaseLoad!Q149*'Base Hours'!$AA150)</f>
        <v>-</v>
      </c>
      <c r="L150" s="417" t="str">
        <f aca="false">IF($A$1="Peak","-",'Base Hours'!L150*BaseLoad!R149*'Base Hours'!$AA150)</f>
        <v>-</v>
      </c>
      <c r="M150" s="417" t="str">
        <f aca="false">IF($A$1="Peak","-",'Base Hours'!M150*BaseLoad!S149*'Base Hours'!$AA150)</f>
        <v>-</v>
      </c>
      <c r="N150" s="417" t="str">
        <f aca="false">IF($A$1="Peak","-",'Base Hours'!N150*BaseLoad!T149*'Base Hours'!$AA150)</f>
        <v>-</v>
      </c>
      <c r="O150" s="417" t="str">
        <f aca="false">IF($A$1="Peak","-",'Base Hours'!O150*BaseLoad!U149*'Base Hours'!$AA150)</f>
        <v>-</v>
      </c>
      <c r="P150" s="417" t="str">
        <f aca="false">IF($A$1="Peak","-",'Base Hours'!P150*BaseLoad!V149*'Base Hours'!$AA150)</f>
        <v>-</v>
      </c>
      <c r="Q150" s="417" t="str">
        <f aca="false">IF($A$1="Peak","-",'Base Hours'!Q150*BaseLoad!W149*'Base Hours'!$AA150)</f>
        <v>-</v>
      </c>
      <c r="R150" s="417" t="str">
        <f aca="false">IF($A$1="Peak","-",'Base Hours'!R150*BaseLoad!X149*'Base Hours'!$AA150)</f>
        <v>-</v>
      </c>
      <c r="S150" s="417" t="str">
        <f aca="false">IF($A$1="Peak","-",'Base Hours'!S150*BaseLoad!Y149*'Base Hours'!$AA150)</f>
        <v>-</v>
      </c>
      <c r="T150" s="417" t="str">
        <f aca="false">IF($A$1="Peak","-",'Base Hours'!T150*BaseLoad!Z149*'Base Hours'!$AA150)</f>
        <v>-</v>
      </c>
      <c r="U150" s="417" t="str">
        <f aca="false">IF($A$1="Peak","-",'Base Hours'!U150*BaseLoad!AA149*'Base Hours'!$AA150)</f>
        <v>-</v>
      </c>
      <c r="V150" s="417" t="n">
        <f aca="false">SUM(B150:U150)-(MAX(B150:U150))</f>
        <v>0</v>
      </c>
      <c r="W150" s="417"/>
      <c r="X150" s="417"/>
      <c r="Y150" s="418"/>
      <c r="Z150" s="418" t="n">
        <f aca="false">(BaseLoad!C149*'Base Hours'!V150*'Base Hours'!$AA150)*-1</f>
        <v>-0</v>
      </c>
      <c r="AA150" s="418"/>
      <c r="AB150" s="418" t="n">
        <f aca="false">(BaseLoad!D149*'Base Hours'!V150*'Base Hours'!$AA150)*-1</f>
        <v>-0</v>
      </c>
      <c r="AC150" s="418"/>
      <c r="AD150" s="418" t="n">
        <f aca="false">(BaseLoad!E149*'Base Hours'!V150*'Base Hours'!$AA150)*-1</f>
        <v>-0</v>
      </c>
      <c r="AE150" s="418"/>
      <c r="AF150" s="418" t="n">
        <f aca="false">(BaseLoad!F149*'Base Hours'!V150*'Base Hours'!$AA150)*-1</f>
        <v>-0</v>
      </c>
      <c r="AG150" s="418"/>
    </row>
    <row r="151" customFormat="false" ht="12.75" hidden="false" customHeight="false" outlineLevel="0" collapsed="false">
      <c r="A151" s="400" t="n">
        <f aca="false">A150+30.417</f>
        <v>40828.797</v>
      </c>
      <c r="B151" s="417" t="str">
        <f aca="false">IF($A$1="Peak","-",'Base Hours'!B151*BaseLoad!H150*'Base Hours'!$AA151)</f>
        <v>-</v>
      </c>
      <c r="C151" s="417" t="str">
        <f aca="false">IF($A$1="Peak","-",'Base Hours'!C151*BaseLoad!I150*'Base Hours'!$AA151)</f>
        <v>-</v>
      </c>
      <c r="D151" s="417" t="str">
        <f aca="false">IF($A$1="Peak","-",'Base Hours'!D151*BaseLoad!J150*'Base Hours'!$AA151)</f>
        <v>-</v>
      </c>
      <c r="E151" s="417" t="str">
        <f aca="false">IF($A$1="Peak","-",'Base Hours'!E151*BaseLoad!K150*'Base Hours'!$AA151)</f>
        <v>-</v>
      </c>
      <c r="F151" s="417" t="str">
        <f aca="false">IF($A$1="Peak","-",'Base Hours'!F151*BaseLoad!L150*'Base Hours'!$AA151)</f>
        <v>-</v>
      </c>
      <c r="G151" s="417" t="str">
        <f aca="false">IF($A$1="Peak","-",'Base Hours'!G151*BaseLoad!M150*'Base Hours'!$AA151)</f>
        <v>-</v>
      </c>
      <c r="H151" s="417" t="str">
        <f aca="false">IF($A$1="Peak","-",'Base Hours'!H151*BaseLoad!N150*'Base Hours'!$AA151)</f>
        <v>-</v>
      </c>
      <c r="I151" s="417" t="str">
        <f aca="false">IF($A$1="Peak","-",'Base Hours'!I151*BaseLoad!O150*'Base Hours'!$AA151)</f>
        <v>-</v>
      </c>
      <c r="J151" s="417" t="str">
        <f aca="false">IF($A$1="Peak","-",'Base Hours'!J151*BaseLoad!P150*'Base Hours'!$AA151)</f>
        <v>-</v>
      </c>
      <c r="K151" s="417" t="str">
        <f aca="false">IF($A$1="Peak","-",'Base Hours'!K151*BaseLoad!Q150*'Base Hours'!$AA151)</f>
        <v>-</v>
      </c>
      <c r="L151" s="417" t="str">
        <f aca="false">IF($A$1="Peak","-",'Base Hours'!L151*BaseLoad!R150*'Base Hours'!$AA151)</f>
        <v>-</v>
      </c>
      <c r="M151" s="417" t="str">
        <f aca="false">IF($A$1="Peak","-",'Base Hours'!M151*BaseLoad!S150*'Base Hours'!$AA151)</f>
        <v>-</v>
      </c>
      <c r="N151" s="417" t="str">
        <f aca="false">IF($A$1="Peak","-",'Base Hours'!N151*BaseLoad!T150*'Base Hours'!$AA151)</f>
        <v>-</v>
      </c>
      <c r="O151" s="417" t="str">
        <f aca="false">IF($A$1="Peak","-",'Base Hours'!O151*BaseLoad!U150*'Base Hours'!$AA151)</f>
        <v>-</v>
      </c>
      <c r="P151" s="417" t="str">
        <f aca="false">IF($A$1="Peak","-",'Base Hours'!P151*BaseLoad!V150*'Base Hours'!$AA151)</f>
        <v>-</v>
      </c>
      <c r="Q151" s="417" t="str">
        <f aca="false">IF($A$1="Peak","-",'Base Hours'!Q151*BaseLoad!W150*'Base Hours'!$AA151)</f>
        <v>-</v>
      </c>
      <c r="R151" s="417" t="str">
        <f aca="false">IF($A$1="Peak","-",'Base Hours'!R151*BaseLoad!X150*'Base Hours'!$AA151)</f>
        <v>-</v>
      </c>
      <c r="S151" s="417" t="str">
        <f aca="false">IF($A$1="Peak","-",'Base Hours'!S151*BaseLoad!Y150*'Base Hours'!$AA151)</f>
        <v>-</v>
      </c>
      <c r="T151" s="417" t="str">
        <f aca="false">IF($A$1="Peak","-",'Base Hours'!T151*BaseLoad!Z150*'Base Hours'!$AA151)</f>
        <v>-</v>
      </c>
      <c r="U151" s="417" t="str">
        <f aca="false">IF($A$1="Peak","-",'Base Hours'!U151*BaseLoad!AA150*'Base Hours'!$AA151)</f>
        <v>-</v>
      </c>
      <c r="V151" s="417" t="n">
        <f aca="false">SUM(B151:U151)-(MAX(B151:U151))</f>
        <v>0</v>
      </c>
      <c r="W151" s="417"/>
      <c r="X151" s="417"/>
      <c r="Y151" s="418"/>
      <c r="Z151" s="418" t="n">
        <f aca="false">(BaseLoad!C150*'Base Hours'!V151*'Base Hours'!$AA151)*-1</f>
        <v>-0</v>
      </c>
      <c r="AA151" s="418"/>
      <c r="AB151" s="418" t="n">
        <f aca="false">(BaseLoad!D150*'Base Hours'!V151*'Base Hours'!$AA151)*-1</f>
        <v>-0</v>
      </c>
      <c r="AC151" s="418"/>
      <c r="AD151" s="418" t="n">
        <f aca="false">(BaseLoad!E150*'Base Hours'!V151*'Base Hours'!$AA151)*-1</f>
        <v>-0</v>
      </c>
      <c r="AE151" s="418"/>
      <c r="AF151" s="418" t="n">
        <f aca="false">(BaseLoad!F150*'Base Hours'!V151*'Base Hours'!$AA151)*-1</f>
        <v>-0</v>
      </c>
      <c r="AG151" s="418"/>
    </row>
    <row r="152" customFormat="false" ht="12.75" hidden="false" customHeight="false" outlineLevel="0" collapsed="false">
      <c r="A152" s="400" t="n">
        <f aca="false">A151+30.417</f>
        <v>40859.214</v>
      </c>
      <c r="B152" s="417" t="str">
        <f aca="false">IF($A$1="Peak","-",'Base Hours'!B152*BaseLoad!H151*'Base Hours'!$AA152)</f>
        <v>-</v>
      </c>
      <c r="C152" s="417" t="str">
        <f aca="false">IF($A$1="Peak","-",'Base Hours'!C152*BaseLoad!I151*'Base Hours'!$AA152)</f>
        <v>-</v>
      </c>
      <c r="D152" s="417" t="str">
        <f aca="false">IF($A$1="Peak","-",'Base Hours'!D152*BaseLoad!J151*'Base Hours'!$AA152)</f>
        <v>-</v>
      </c>
      <c r="E152" s="417" t="str">
        <f aca="false">IF($A$1="Peak","-",'Base Hours'!E152*BaseLoad!K151*'Base Hours'!$AA152)</f>
        <v>-</v>
      </c>
      <c r="F152" s="417" t="str">
        <f aca="false">IF($A$1="Peak","-",'Base Hours'!F152*BaseLoad!L151*'Base Hours'!$AA152)</f>
        <v>-</v>
      </c>
      <c r="G152" s="417" t="str">
        <f aca="false">IF($A$1="Peak","-",'Base Hours'!G152*BaseLoad!M151*'Base Hours'!$AA152)</f>
        <v>-</v>
      </c>
      <c r="H152" s="417" t="str">
        <f aca="false">IF($A$1="Peak","-",'Base Hours'!H152*BaseLoad!N151*'Base Hours'!$AA152)</f>
        <v>-</v>
      </c>
      <c r="I152" s="417" t="str">
        <f aca="false">IF($A$1="Peak","-",'Base Hours'!I152*BaseLoad!O151*'Base Hours'!$AA152)</f>
        <v>-</v>
      </c>
      <c r="J152" s="417" t="str">
        <f aca="false">IF($A$1="Peak","-",'Base Hours'!J152*BaseLoad!P151*'Base Hours'!$AA152)</f>
        <v>-</v>
      </c>
      <c r="K152" s="417" t="str">
        <f aca="false">IF($A$1="Peak","-",'Base Hours'!K152*BaseLoad!Q151*'Base Hours'!$AA152)</f>
        <v>-</v>
      </c>
      <c r="L152" s="417" t="str">
        <f aca="false">IF($A$1="Peak","-",'Base Hours'!L152*BaseLoad!R151*'Base Hours'!$AA152)</f>
        <v>-</v>
      </c>
      <c r="M152" s="417" t="str">
        <f aca="false">IF($A$1="Peak","-",'Base Hours'!M152*BaseLoad!S151*'Base Hours'!$AA152)</f>
        <v>-</v>
      </c>
      <c r="N152" s="417" t="str">
        <f aca="false">IF($A$1="Peak","-",'Base Hours'!N152*BaseLoad!T151*'Base Hours'!$AA152)</f>
        <v>-</v>
      </c>
      <c r="O152" s="417" t="str">
        <f aca="false">IF($A$1="Peak","-",'Base Hours'!O152*BaseLoad!U151*'Base Hours'!$AA152)</f>
        <v>-</v>
      </c>
      <c r="P152" s="417" t="str">
        <f aca="false">IF($A$1="Peak","-",'Base Hours'!P152*BaseLoad!V151*'Base Hours'!$AA152)</f>
        <v>-</v>
      </c>
      <c r="Q152" s="417" t="str">
        <f aca="false">IF($A$1="Peak","-",'Base Hours'!Q152*BaseLoad!W151*'Base Hours'!$AA152)</f>
        <v>-</v>
      </c>
      <c r="R152" s="417" t="str">
        <f aca="false">IF($A$1="Peak","-",'Base Hours'!R152*BaseLoad!X151*'Base Hours'!$AA152)</f>
        <v>-</v>
      </c>
      <c r="S152" s="417" t="str">
        <f aca="false">IF($A$1="Peak","-",'Base Hours'!S152*BaseLoad!Y151*'Base Hours'!$AA152)</f>
        <v>-</v>
      </c>
      <c r="T152" s="417" t="str">
        <f aca="false">IF($A$1="Peak","-",'Base Hours'!T152*BaseLoad!Z151*'Base Hours'!$AA152)</f>
        <v>-</v>
      </c>
      <c r="U152" s="417" t="str">
        <f aca="false">IF($A$1="Peak","-",'Base Hours'!U152*BaseLoad!AA151*'Base Hours'!$AA152)</f>
        <v>-</v>
      </c>
      <c r="V152" s="417" t="n">
        <f aca="false">SUM(B152:U152)-(MAX(B152:U152))</f>
        <v>0</v>
      </c>
      <c r="W152" s="417"/>
      <c r="X152" s="417"/>
      <c r="Y152" s="418"/>
      <c r="Z152" s="418" t="n">
        <f aca="false">(BaseLoad!C151*'Base Hours'!V152*'Base Hours'!$AA152)*-1</f>
        <v>-0</v>
      </c>
      <c r="AA152" s="418"/>
      <c r="AB152" s="418" t="n">
        <f aca="false">(BaseLoad!D151*'Base Hours'!V152*'Base Hours'!$AA152)*-1</f>
        <v>-0</v>
      </c>
      <c r="AC152" s="418"/>
      <c r="AD152" s="418" t="n">
        <f aca="false">(BaseLoad!E151*'Base Hours'!V152*'Base Hours'!$AA152)*-1</f>
        <v>-0</v>
      </c>
      <c r="AE152" s="418"/>
      <c r="AF152" s="418" t="n">
        <f aca="false">(BaseLoad!F151*'Base Hours'!V152*'Base Hours'!$AA152)*-1</f>
        <v>-0</v>
      </c>
      <c r="AG152" s="418"/>
    </row>
    <row r="153" customFormat="false" ht="12.75" hidden="false" customHeight="false" outlineLevel="0" collapsed="false">
      <c r="A153" s="400" t="n">
        <f aca="false">A152+30.417</f>
        <v>40889.631</v>
      </c>
      <c r="B153" s="417" t="str">
        <f aca="false">IF($A$1="Peak","-",'Base Hours'!B153*BaseLoad!H152*'Base Hours'!$AA153)</f>
        <v>-</v>
      </c>
      <c r="C153" s="417" t="str">
        <f aca="false">IF($A$1="Peak","-",'Base Hours'!C153*BaseLoad!I152*'Base Hours'!$AA153)</f>
        <v>-</v>
      </c>
      <c r="D153" s="417" t="str">
        <f aca="false">IF($A$1="Peak","-",'Base Hours'!D153*BaseLoad!J152*'Base Hours'!$AA153)</f>
        <v>-</v>
      </c>
      <c r="E153" s="417" t="str">
        <f aca="false">IF($A$1="Peak","-",'Base Hours'!E153*BaseLoad!K152*'Base Hours'!$AA153)</f>
        <v>-</v>
      </c>
      <c r="F153" s="417" t="str">
        <f aca="false">IF($A$1="Peak","-",'Base Hours'!F153*BaseLoad!L152*'Base Hours'!$AA153)</f>
        <v>-</v>
      </c>
      <c r="G153" s="417" t="str">
        <f aca="false">IF($A$1="Peak","-",'Base Hours'!G153*BaseLoad!M152*'Base Hours'!$AA153)</f>
        <v>-</v>
      </c>
      <c r="H153" s="417" t="str">
        <f aca="false">IF($A$1="Peak","-",'Base Hours'!H153*BaseLoad!N152*'Base Hours'!$AA153)</f>
        <v>-</v>
      </c>
      <c r="I153" s="417" t="str">
        <f aca="false">IF($A$1="Peak","-",'Base Hours'!I153*BaseLoad!O152*'Base Hours'!$AA153)</f>
        <v>-</v>
      </c>
      <c r="J153" s="417" t="str">
        <f aca="false">IF($A$1="Peak","-",'Base Hours'!J153*BaseLoad!P152*'Base Hours'!$AA153)</f>
        <v>-</v>
      </c>
      <c r="K153" s="417" t="str">
        <f aca="false">IF($A$1="Peak","-",'Base Hours'!K153*BaseLoad!Q152*'Base Hours'!$AA153)</f>
        <v>-</v>
      </c>
      <c r="L153" s="417" t="str">
        <f aca="false">IF($A$1="Peak","-",'Base Hours'!L153*BaseLoad!R152*'Base Hours'!$AA153)</f>
        <v>-</v>
      </c>
      <c r="M153" s="417" t="str">
        <f aca="false">IF($A$1="Peak","-",'Base Hours'!M153*BaseLoad!S152*'Base Hours'!$AA153)</f>
        <v>-</v>
      </c>
      <c r="N153" s="417" t="str">
        <f aca="false">IF($A$1="Peak","-",'Base Hours'!N153*BaseLoad!T152*'Base Hours'!$AA153)</f>
        <v>-</v>
      </c>
      <c r="O153" s="417" t="str">
        <f aca="false">IF($A$1="Peak","-",'Base Hours'!O153*BaseLoad!U152*'Base Hours'!$AA153)</f>
        <v>-</v>
      </c>
      <c r="P153" s="417" t="str">
        <f aca="false">IF($A$1="Peak","-",'Base Hours'!P153*BaseLoad!V152*'Base Hours'!$AA153)</f>
        <v>-</v>
      </c>
      <c r="Q153" s="417" t="str">
        <f aca="false">IF($A$1="Peak","-",'Base Hours'!Q153*BaseLoad!W152*'Base Hours'!$AA153)</f>
        <v>-</v>
      </c>
      <c r="R153" s="417" t="str">
        <f aca="false">IF($A$1="Peak","-",'Base Hours'!R153*BaseLoad!X152*'Base Hours'!$AA153)</f>
        <v>-</v>
      </c>
      <c r="S153" s="417" t="str">
        <f aca="false">IF($A$1="Peak","-",'Base Hours'!S153*BaseLoad!Y152*'Base Hours'!$AA153)</f>
        <v>-</v>
      </c>
      <c r="T153" s="417" t="str">
        <f aca="false">IF($A$1="Peak","-",'Base Hours'!T153*BaseLoad!Z152*'Base Hours'!$AA153)</f>
        <v>-</v>
      </c>
      <c r="U153" s="417" t="str">
        <f aca="false">IF($A$1="Peak","-",'Base Hours'!U153*BaseLoad!AA152*'Base Hours'!$AA153)</f>
        <v>-</v>
      </c>
      <c r="V153" s="417" t="n">
        <f aca="false">SUM(B153:U153)-(MAX(B153:U153))</f>
        <v>0</v>
      </c>
      <c r="W153" s="417"/>
      <c r="X153" s="417"/>
      <c r="Y153" s="418" t="n">
        <f aca="false">SUM(B142:U153)</f>
        <v>0</v>
      </c>
      <c r="Z153" s="418" t="n">
        <f aca="false">(BaseLoad!C152*'Base Hours'!V153*'Base Hours'!$AA153)*-1</f>
        <v>-0</v>
      </c>
      <c r="AA153" s="418" t="n">
        <f aca="false">SUM(Z142:Z153)</f>
        <v>0</v>
      </c>
      <c r="AB153" s="418" t="n">
        <f aca="false">(BaseLoad!D152*'Base Hours'!V153*'Base Hours'!$AA153)*-1</f>
        <v>-0</v>
      </c>
      <c r="AC153" s="418" t="n">
        <f aca="false">SUM(AB142:AB153)</f>
        <v>0</v>
      </c>
      <c r="AD153" s="418" t="n">
        <f aca="false">(BaseLoad!E152*'Base Hours'!V153*'Base Hours'!$AA153)*-1</f>
        <v>-0</v>
      </c>
      <c r="AE153" s="418" t="n">
        <f aca="false">SUM(AD142:AD153)</f>
        <v>0</v>
      </c>
      <c r="AF153" s="418" t="n">
        <f aca="false">(BaseLoad!F152*'Base Hours'!V153*'Base Hours'!$AA153)*-1</f>
        <v>-0</v>
      </c>
      <c r="AG153" s="418" t="n">
        <f aca="false">SUM(AF142:AF153)</f>
        <v>0</v>
      </c>
    </row>
    <row r="154" customFormat="false" ht="12.75" hidden="false" customHeight="false" outlineLevel="0" collapsed="false">
      <c r="A154" s="400" t="n">
        <f aca="false">A153+30.417</f>
        <v>40920.048</v>
      </c>
      <c r="B154" s="417" t="str">
        <f aca="false">IF($A$1="Peak","-",'Base Hours'!B154*BaseLoad!H153*'Base Hours'!$AA154)</f>
        <v>-</v>
      </c>
      <c r="C154" s="417" t="str">
        <f aca="false">IF($A$1="Peak","-",'Base Hours'!C154*BaseLoad!I153*'Base Hours'!$AA154)</f>
        <v>-</v>
      </c>
      <c r="D154" s="417" t="str">
        <f aca="false">IF($A$1="Peak","-",'Base Hours'!D154*BaseLoad!J153*'Base Hours'!$AA154)</f>
        <v>-</v>
      </c>
      <c r="E154" s="417" t="str">
        <f aca="false">IF($A$1="Peak","-",'Base Hours'!E154*BaseLoad!K153*'Base Hours'!$AA154)</f>
        <v>-</v>
      </c>
      <c r="F154" s="417" t="str">
        <f aca="false">IF($A$1="Peak","-",'Base Hours'!F154*BaseLoad!L153*'Base Hours'!$AA154)</f>
        <v>-</v>
      </c>
      <c r="G154" s="417" t="str">
        <f aca="false">IF($A$1="Peak","-",'Base Hours'!G154*BaseLoad!M153*'Base Hours'!$AA154)</f>
        <v>-</v>
      </c>
      <c r="H154" s="417" t="str">
        <f aca="false">IF($A$1="Peak","-",'Base Hours'!H154*BaseLoad!N153*'Base Hours'!$AA154)</f>
        <v>-</v>
      </c>
      <c r="I154" s="417" t="str">
        <f aca="false">IF($A$1="Peak","-",'Base Hours'!I154*BaseLoad!O153*'Base Hours'!$AA154)</f>
        <v>-</v>
      </c>
      <c r="J154" s="417" t="str">
        <f aca="false">IF($A$1="Peak","-",'Base Hours'!J154*BaseLoad!P153*'Base Hours'!$AA154)</f>
        <v>-</v>
      </c>
      <c r="K154" s="417" t="str">
        <f aca="false">IF($A$1="Peak","-",'Base Hours'!K154*BaseLoad!Q153*'Base Hours'!$AA154)</f>
        <v>-</v>
      </c>
      <c r="L154" s="417" t="str">
        <f aca="false">IF($A$1="Peak","-",'Base Hours'!L154*BaseLoad!R153*'Base Hours'!$AA154)</f>
        <v>-</v>
      </c>
      <c r="M154" s="417" t="str">
        <f aca="false">IF($A$1="Peak","-",'Base Hours'!M154*BaseLoad!S153*'Base Hours'!$AA154)</f>
        <v>-</v>
      </c>
      <c r="N154" s="417" t="str">
        <f aca="false">IF($A$1="Peak","-",'Base Hours'!N154*BaseLoad!T153*'Base Hours'!$AA154)</f>
        <v>-</v>
      </c>
      <c r="O154" s="417" t="str">
        <f aca="false">IF($A$1="Peak","-",'Base Hours'!O154*BaseLoad!U153*'Base Hours'!$AA154)</f>
        <v>-</v>
      </c>
      <c r="P154" s="417" t="str">
        <f aca="false">IF($A$1="Peak","-",'Base Hours'!P154*BaseLoad!V153*'Base Hours'!$AA154)</f>
        <v>-</v>
      </c>
      <c r="Q154" s="417" t="str">
        <f aca="false">IF($A$1="Peak","-",'Base Hours'!Q154*BaseLoad!W153*'Base Hours'!$AA154)</f>
        <v>-</v>
      </c>
      <c r="R154" s="417" t="str">
        <f aca="false">IF($A$1="Peak","-",'Base Hours'!R154*BaseLoad!X153*'Base Hours'!$AA154)</f>
        <v>-</v>
      </c>
      <c r="S154" s="417" t="str">
        <f aca="false">IF($A$1="Peak","-",'Base Hours'!S154*BaseLoad!Y153*'Base Hours'!$AA154)</f>
        <v>-</v>
      </c>
      <c r="T154" s="417" t="str">
        <f aca="false">IF($A$1="Peak","-",'Base Hours'!T154*BaseLoad!Z153*'Base Hours'!$AA154)</f>
        <v>-</v>
      </c>
      <c r="U154" s="417" t="str">
        <f aca="false">IF($A$1="Peak","-",'Base Hours'!U154*BaseLoad!AA153*'Base Hours'!$AA154)</f>
        <v>-</v>
      </c>
      <c r="V154" s="417" t="n">
        <f aca="false">SUM(B154:U154)-(MAX(B154:U154))</f>
        <v>0</v>
      </c>
      <c r="W154" s="417"/>
      <c r="X154" s="417"/>
      <c r="Y154" s="418"/>
      <c r="Z154" s="418" t="n">
        <f aca="false">(BaseLoad!C153*'Base Hours'!V154*'Base Hours'!$AA154)*-1</f>
        <v>-0</v>
      </c>
      <c r="AA154" s="418"/>
      <c r="AB154" s="418" t="n">
        <f aca="false">(BaseLoad!D153*'Base Hours'!V154*'Base Hours'!$AA154)*-1</f>
        <v>-0</v>
      </c>
      <c r="AC154" s="418"/>
      <c r="AD154" s="418" t="n">
        <f aca="false">(BaseLoad!E153*'Base Hours'!V154*'Base Hours'!$AA154)*-1</f>
        <v>-0</v>
      </c>
      <c r="AE154" s="418"/>
      <c r="AF154" s="418" t="n">
        <f aca="false">(BaseLoad!F153*'Base Hours'!V154*'Base Hours'!$AA154)*-1</f>
        <v>-0</v>
      </c>
      <c r="AG154" s="418"/>
    </row>
    <row r="155" customFormat="false" ht="12.75" hidden="false" customHeight="false" outlineLevel="0" collapsed="false">
      <c r="A155" s="400" t="n">
        <f aca="false">A154+30.417</f>
        <v>40950.465</v>
      </c>
      <c r="B155" s="417" t="str">
        <f aca="false">IF($A$1="Peak","-",'Base Hours'!B155*BaseLoad!H154*'Base Hours'!$AA155)</f>
        <v>-</v>
      </c>
      <c r="C155" s="417" t="str">
        <f aca="false">IF($A$1="Peak","-",'Base Hours'!C155*BaseLoad!I154*'Base Hours'!$AA155)</f>
        <v>-</v>
      </c>
      <c r="D155" s="417" t="str">
        <f aca="false">IF($A$1="Peak","-",'Base Hours'!D155*BaseLoad!J154*'Base Hours'!$AA155)</f>
        <v>-</v>
      </c>
      <c r="E155" s="417" t="str">
        <f aca="false">IF($A$1="Peak","-",'Base Hours'!E155*BaseLoad!K154*'Base Hours'!$AA155)</f>
        <v>-</v>
      </c>
      <c r="F155" s="417" t="str">
        <f aca="false">IF($A$1="Peak","-",'Base Hours'!F155*BaseLoad!L154*'Base Hours'!$AA155)</f>
        <v>-</v>
      </c>
      <c r="G155" s="417" t="str">
        <f aca="false">IF($A$1="Peak","-",'Base Hours'!G155*BaseLoad!M154*'Base Hours'!$AA155)</f>
        <v>-</v>
      </c>
      <c r="H155" s="417" t="str">
        <f aca="false">IF($A$1="Peak","-",'Base Hours'!H155*BaseLoad!N154*'Base Hours'!$AA155)</f>
        <v>-</v>
      </c>
      <c r="I155" s="417" t="str">
        <f aca="false">IF($A$1="Peak","-",'Base Hours'!I155*BaseLoad!O154*'Base Hours'!$AA155)</f>
        <v>-</v>
      </c>
      <c r="J155" s="417" t="str">
        <f aca="false">IF($A$1="Peak","-",'Base Hours'!J155*BaseLoad!P154*'Base Hours'!$AA155)</f>
        <v>-</v>
      </c>
      <c r="K155" s="417" t="str">
        <f aca="false">IF($A$1="Peak","-",'Base Hours'!K155*BaseLoad!Q154*'Base Hours'!$AA155)</f>
        <v>-</v>
      </c>
      <c r="L155" s="417" t="str">
        <f aca="false">IF($A$1="Peak","-",'Base Hours'!L155*BaseLoad!R154*'Base Hours'!$AA155)</f>
        <v>-</v>
      </c>
      <c r="M155" s="417" t="str">
        <f aca="false">IF($A$1="Peak","-",'Base Hours'!M155*BaseLoad!S154*'Base Hours'!$AA155)</f>
        <v>-</v>
      </c>
      <c r="N155" s="417" t="str">
        <f aca="false">IF($A$1="Peak","-",'Base Hours'!N155*BaseLoad!T154*'Base Hours'!$AA155)</f>
        <v>-</v>
      </c>
      <c r="O155" s="417" t="str">
        <f aca="false">IF($A$1="Peak","-",'Base Hours'!O155*BaseLoad!U154*'Base Hours'!$AA155)</f>
        <v>-</v>
      </c>
      <c r="P155" s="417" t="str">
        <f aca="false">IF($A$1="Peak","-",'Base Hours'!P155*BaseLoad!V154*'Base Hours'!$AA155)</f>
        <v>-</v>
      </c>
      <c r="Q155" s="417" t="str">
        <f aca="false">IF($A$1="Peak","-",'Base Hours'!Q155*BaseLoad!W154*'Base Hours'!$AA155)</f>
        <v>-</v>
      </c>
      <c r="R155" s="417" t="str">
        <f aca="false">IF($A$1="Peak","-",'Base Hours'!R155*BaseLoad!X154*'Base Hours'!$AA155)</f>
        <v>-</v>
      </c>
      <c r="S155" s="417" t="str">
        <f aca="false">IF($A$1="Peak","-",'Base Hours'!S155*BaseLoad!Y154*'Base Hours'!$AA155)</f>
        <v>-</v>
      </c>
      <c r="T155" s="417" t="str">
        <f aca="false">IF($A$1="Peak","-",'Base Hours'!T155*BaseLoad!Z154*'Base Hours'!$AA155)</f>
        <v>-</v>
      </c>
      <c r="U155" s="417" t="str">
        <f aca="false">IF($A$1="Peak","-",'Base Hours'!U155*BaseLoad!AA154*'Base Hours'!$AA155)</f>
        <v>-</v>
      </c>
      <c r="V155" s="417" t="n">
        <f aca="false">SUM(B155:U155)-(MAX(B155:U155))</f>
        <v>0</v>
      </c>
      <c r="W155" s="417"/>
      <c r="X155" s="417"/>
      <c r="Y155" s="418"/>
      <c r="Z155" s="418" t="n">
        <f aca="false">(BaseLoad!C154*'Base Hours'!V155*'Base Hours'!$AA155)*-1</f>
        <v>-0</v>
      </c>
      <c r="AA155" s="418"/>
      <c r="AB155" s="418" t="n">
        <f aca="false">(BaseLoad!D154*'Base Hours'!V155*'Base Hours'!$AA155)*-1</f>
        <v>-0</v>
      </c>
      <c r="AC155" s="418"/>
      <c r="AD155" s="418" t="n">
        <f aca="false">(BaseLoad!E154*'Base Hours'!V155*'Base Hours'!$AA155)*-1</f>
        <v>-0</v>
      </c>
      <c r="AE155" s="418"/>
      <c r="AF155" s="418" t="n">
        <f aca="false">(BaseLoad!F154*'Base Hours'!V155*'Base Hours'!$AA155)*-1</f>
        <v>-0</v>
      </c>
      <c r="AG155" s="418"/>
    </row>
    <row r="156" customFormat="false" ht="12.75" hidden="false" customHeight="false" outlineLevel="0" collapsed="false">
      <c r="A156" s="400" t="n">
        <f aca="false">A155+30.417</f>
        <v>40980.882</v>
      </c>
      <c r="B156" s="417" t="str">
        <f aca="false">IF($A$1="Peak","-",'Base Hours'!B156*BaseLoad!H155*'Base Hours'!$AA156)</f>
        <v>-</v>
      </c>
      <c r="C156" s="417" t="str">
        <f aca="false">IF($A$1="Peak","-",'Base Hours'!C156*BaseLoad!I155*'Base Hours'!$AA156)</f>
        <v>-</v>
      </c>
      <c r="D156" s="417" t="str">
        <f aca="false">IF($A$1="Peak","-",'Base Hours'!D156*BaseLoad!J155*'Base Hours'!$AA156)</f>
        <v>-</v>
      </c>
      <c r="E156" s="417" t="str">
        <f aca="false">IF($A$1="Peak","-",'Base Hours'!E156*BaseLoad!K155*'Base Hours'!$AA156)</f>
        <v>-</v>
      </c>
      <c r="F156" s="417" t="str">
        <f aca="false">IF($A$1="Peak","-",'Base Hours'!F156*BaseLoad!L155*'Base Hours'!$AA156)</f>
        <v>-</v>
      </c>
      <c r="G156" s="417" t="str">
        <f aca="false">IF($A$1="Peak","-",'Base Hours'!G156*BaseLoad!M155*'Base Hours'!$AA156)</f>
        <v>-</v>
      </c>
      <c r="H156" s="417" t="str">
        <f aca="false">IF($A$1="Peak","-",'Base Hours'!H156*BaseLoad!N155*'Base Hours'!$AA156)</f>
        <v>-</v>
      </c>
      <c r="I156" s="417" t="str">
        <f aca="false">IF($A$1="Peak","-",'Base Hours'!I156*BaseLoad!O155*'Base Hours'!$AA156)</f>
        <v>-</v>
      </c>
      <c r="J156" s="417" t="str">
        <f aca="false">IF($A$1="Peak","-",'Base Hours'!J156*BaseLoad!P155*'Base Hours'!$AA156)</f>
        <v>-</v>
      </c>
      <c r="K156" s="417" t="str">
        <f aca="false">IF($A$1="Peak","-",'Base Hours'!K156*BaseLoad!Q155*'Base Hours'!$AA156)</f>
        <v>-</v>
      </c>
      <c r="L156" s="417" t="str">
        <f aca="false">IF($A$1="Peak","-",'Base Hours'!L156*BaseLoad!R155*'Base Hours'!$AA156)</f>
        <v>-</v>
      </c>
      <c r="M156" s="417" t="str">
        <f aca="false">IF($A$1="Peak","-",'Base Hours'!M156*BaseLoad!S155*'Base Hours'!$AA156)</f>
        <v>-</v>
      </c>
      <c r="N156" s="417" t="str">
        <f aca="false">IF($A$1="Peak","-",'Base Hours'!N156*BaseLoad!T155*'Base Hours'!$AA156)</f>
        <v>-</v>
      </c>
      <c r="O156" s="417" t="str">
        <f aca="false">IF($A$1="Peak","-",'Base Hours'!O156*BaseLoad!U155*'Base Hours'!$AA156)</f>
        <v>-</v>
      </c>
      <c r="P156" s="417" t="str">
        <f aca="false">IF($A$1="Peak","-",'Base Hours'!P156*BaseLoad!V155*'Base Hours'!$AA156)</f>
        <v>-</v>
      </c>
      <c r="Q156" s="417" t="str">
        <f aca="false">IF($A$1="Peak","-",'Base Hours'!Q156*BaseLoad!W155*'Base Hours'!$AA156)</f>
        <v>-</v>
      </c>
      <c r="R156" s="417" t="str">
        <f aca="false">IF($A$1="Peak","-",'Base Hours'!R156*BaseLoad!X155*'Base Hours'!$AA156)</f>
        <v>-</v>
      </c>
      <c r="S156" s="417" t="str">
        <f aca="false">IF($A$1="Peak","-",'Base Hours'!S156*BaseLoad!Y155*'Base Hours'!$AA156)</f>
        <v>-</v>
      </c>
      <c r="T156" s="417" t="str">
        <f aca="false">IF($A$1="Peak","-",'Base Hours'!T156*BaseLoad!Z155*'Base Hours'!$AA156)</f>
        <v>-</v>
      </c>
      <c r="U156" s="417" t="str">
        <f aca="false">IF($A$1="Peak","-",'Base Hours'!U156*BaseLoad!AA155*'Base Hours'!$AA156)</f>
        <v>-</v>
      </c>
      <c r="V156" s="417" t="n">
        <f aca="false">SUM(B156:U156)-(MAX(B156:U156))</f>
        <v>0</v>
      </c>
      <c r="W156" s="417"/>
      <c r="X156" s="417"/>
      <c r="Y156" s="418"/>
      <c r="Z156" s="418" t="n">
        <f aca="false">(BaseLoad!C155*'Base Hours'!V156*'Base Hours'!$AA156)*-1</f>
        <v>-0</v>
      </c>
      <c r="AA156" s="418"/>
      <c r="AB156" s="418" t="n">
        <f aca="false">(BaseLoad!D155*'Base Hours'!V156*'Base Hours'!$AA156)*-1</f>
        <v>-0</v>
      </c>
      <c r="AC156" s="418"/>
      <c r="AD156" s="418" t="n">
        <f aca="false">(BaseLoad!E155*'Base Hours'!V156*'Base Hours'!$AA156)*-1</f>
        <v>-0</v>
      </c>
      <c r="AE156" s="418"/>
      <c r="AF156" s="418" t="n">
        <f aca="false">(BaseLoad!F155*'Base Hours'!V156*'Base Hours'!$AA156)*-1</f>
        <v>-0</v>
      </c>
      <c r="AG156" s="418"/>
    </row>
    <row r="157" customFormat="false" ht="12.75" hidden="false" customHeight="false" outlineLevel="0" collapsed="false">
      <c r="A157" s="400" t="n">
        <f aca="false">A156+30.417</f>
        <v>41011.299</v>
      </c>
      <c r="B157" s="417" t="str">
        <f aca="false">IF($A$1="Peak","-",'Base Hours'!B157*BaseLoad!H156*'Base Hours'!$AA157)</f>
        <v>-</v>
      </c>
      <c r="C157" s="417" t="str">
        <f aca="false">IF($A$1="Peak","-",'Base Hours'!C157*BaseLoad!I156*'Base Hours'!$AA157)</f>
        <v>-</v>
      </c>
      <c r="D157" s="417" t="str">
        <f aca="false">IF($A$1="Peak","-",'Base Hours'!D157*BaseLoad!J156*'Base Hours'!$AA157)</f>
        <v>-</v>
      </c>
      <c r="E157" s="417" t="str">
        <f aca="false">IF($A$1="Peak","-",'Base Hours'!E157*BaseLoad!K156*'Base Hours'!$AA157)</f>
        <v>-</v>
      </c>
      <c r="F157" s="417" t="str">
        <f aca="false">IF($A$1="Peak","-",'Base Hours'!F157*BaseLoad!L156*'Base Hours'!$AA157)</f>
        <v>-</v>
      </c>
      <c r="G157" s="417" t="str">
        <f aca="false">IF($A$1="Peak","-",'Base Hours'!G157*BaseLoad!M156*'Base Hours'!$AA157)</f>
        <v>-</v>
      </c>
      <c r="H157" s="417" t="str">
        <f aca="false">IF($A$1="Peak","-",'Base Hours'!H157*BaseLoad!N156*'Base Hours'!$AA157)</f>
        <v>-</v>
      </c>
      <c r="I157" s="417" t="str">
        <f aca="false">IF($A$1="Peak","-",'Base Hours'!I157*BaseLoad!O156*'Base Hours'!$AA157)</f>
        <v>-</v>
      </c>
      <c r="J157" s="417" t="str">
        <f aca="false">IF($A$1="Peak","-",'Base Hours'!J157*BaseLoad!P156*'Base Hours'!$AA157)</f>
        <v>-</v>
      </c>
      <c r="K157" s="417" t="str">
        <f aca="false">IF($A$1="Peak","-",'Base Hours'!K157*BaseLoad!Q156*'Base Hours'!$AA157)</f>
        <v>-</v>
      </c>
      <c r="L157" s="417" t="str">
        <f aca="false">IF($A$1="Peak","-",'Base Hours'!L157*BaseLoad!R156*'Base Hours'!$AA157)</f>
        <v>-</v>
      </c>
      <c r="M157" s="417" t="str">
        <f aca="false">IF($A$1="Peak","-",'Base Hours'!M157*BaseLoad!S156*'Base Hours'!$AA157)</f>
        <v>-</v>
      </c>
      <c r="N157" s="417" t="str">
        <f aca="false">IF($A$1="Peak","-",'Base Hours'!N157*BaseLoad!T156*'Base Hours'!$AA157)</f>
        <v>-</v>
      </c>
      <c r="O157" s="417" t="str">
        <f aca="false">IF($A$1="Peak","-",'Base Hours'!O157*BaseLoad!U156*'Base Hours'!$AA157)</f>
        <v>-</v>
      </c>
      <c r="P157" s="417" t="str">
        <f aca="false">IF($A$1="Peak","-",'Base Hours'!P157*BaseLoad!V156*'Base Hours'!$AA157)</f>
        <v>-</v>
      </c>
      <c r="Q157" s="417" t="str">
        <f aca="false">IF($A$1="Peak","-",'Base Hours'!Q157*BaseLoad!W156*'Base Hours'!$AA157)</f>
        <v>-</v>
      </c>
      <c r="R157" s="417" t="str">
        <f aca="false">IF($A$1="Peak","-",'Base Hours'!R157*BaseLoad!X156*'Base Hours'!$AA157)</f>
        <v>-</v>
      </c>
      <c r="S157" s="417" t="str">
        <f aca="false">IF($A$1="Peak","-",'Base Hours'!S157*BaseLoad!Y156*'Base Hours'!$AA157)</f>
        <v>-</v>
      </c>
      <c r="T157" s="417" t="str">
        <f aca="false">IF($A$1="Peak","-",'Base Hours'!T157*BaseLoad!Z156*'Base Hours'!$AA157)</f>
        <v>-</v>
      </c>
      <c r="U157" s="417" t="str">
        <f aca="false">IF($A$1="Peak","-",'Base Hours'!U157*BaseLoad!AA156*'Base Hours'!$AA157)</f>
        <v>-</v>
      </c>
      <c r="V157" s="417" t="n">
        <f aca="false">SUM(B157:U157)-(MAX(B157:U157))</f>
        <v>0</v>
      </c>
      <c r="W157" s="417"/>
      <c r="X157" s="417"/>
      <c r="Y157" s="418"/>
      <c r="Z157" s="418" t="n">
        <f aca="false">(BaseLoad!C156*'Base Hours'!V157*'Base Hours'!$AA157)*-1</f>
        <v>-0</v>
      </c>
      <c r="AA157" s="418"/>
      <c r="AB157" s="418" t="n">
        <f aca="false">(BaseLoad!D156*'Base Hours'!V157*'Base Hours'!$AA157)*-1</f>
        <v>-0</v>
      </c>
      <c r="AC157" s="418"/>
      <c r="AD157" s="418" t="n">
        <f aca="false">(BaseLoad!E156*'Base Hours'!V157*'Base Hours'!$AA157)*-1</f>
        <v>-0</v>
      </c>
      <c r="AE157" s="418"/>
      <c r="AF157" s="418" t="n">
        <f aca="false">(BaseLoad!F156*'Base Hours'!V157*'Base Hours'!$AA157)*-1</f>
        <v>-0</v>
      </c>
      <c r="AG157" s="418"/>
    </row>
    <row r="158" customFormat="false" ht="12.75" hidden="false" customHeight="false" outlineLevel="0" collapsed="false">
      <c r="A158" s="400" t="n">
        <f aca="false">A157+30.417</f>
        <v>41041.716</v>
      </c>
      <c r="B158" s="417" t="str">
        <f aca="false">IF($A$1="Peak","-",'Base Hours'!B158*BaseLoad!H157*'Base Hours'!$AA158)</f>
        <v>-</v>
      </c>
      <c r="C158" s="417" t="str">
        <f aca="false">IF($A$1="Peak","-",'Base Hours'!C158*BaseLoad!I157*'Base Hours'!$AA158)</f>
        <v>-</v>
      </c>
      <c r="D158" s="417" t="str">
        <f aca="false">IF($A$1="Peak","-",'Base Hours'!D158*BaseLoad!J157*'Base Hours'!$AA158)</f>
        <v>-</v>
      </c>
      <c r="E158" s="417" t="str">
        <f aca="false">IF($A$1="Peak","-",'Base Hours'!E158*BaseLoad!K157*'Base Hours'!$AA158)</f>
        <v>-</v>
      </c>
      <c r="F158" s="417" t="str">
        <f aca="false">IF($A$1="Peak","-",'Base Hours'!F158*BaseLoad!L157*'Base Hours'!$AA158)</f>
        <v>-</v>
      </c>
      <c r="G158" s="417" t="str">
        <f aca="false">IF($A$1="Peak","-",'Base Hours'!G158*BaseLoad!M157*'Base Hours'!$AA158)</f>
        <v>-</v>
      </c>
      <c r="H158" s="417" t="str">
        <f aca="false">IF($A$1="Peak","-",'Base Hours'!H158*BaseLoad!N157*'Base Hours'!$AA158)</f>
        <v>-</v>
      </c>
      <c r="I158" s="417" t="str">
        <f aca="false">IF($A$1="Peak","-",'Base Hours'!I158*BaseLoad!O157*'Base Hours'!$AA158)</f>
        <v>-</v>
      </c>
      <c r="J158" s="417" t="str">
        <f aca="false">IF($A$1="Peak","-",'Base Hours'!J158*BaseLoad!P157*'Base Hours'!$AA158)</f>
        <v>-</v>
      </c>
      <c r="K158" s="417" t="str">
        <f aca="false">IF($A$1="Peak","-",'Base Hours'!K158*BaseLoad!Q157*'Base Hours'!$AA158)</f>
        <v>-</v>
      </c>
      <c r="L158" s="417" t="str">
        <f aca="false">IF($A$1="Peak","-",'Base Hours'!L158*BaseLoad!R157*'Base Hours'!$AA158)</f>
        <v>-</v>
      </c>
      <c r="M158" s="417" t="str">
        <f aca="false">IF($A$1="Peak","-",'Base Hours'!M158*BaseLoad!S157*'Base Hours'!$AA158)</f>
        <v>-</v>
      </c>
      <c r="N158" s="417" t="str">
        <f aca="false">IF($A$1="Peak","-",'Base Hours'!N158*BaseLoad!T157*'Base Hours'!$AA158)</f>
        <v>-</v>
      </c>
      <c r="O158" s="417" t="str">
        <f aca="false">IF($A$1="Peak","-",'Base Hours'!O158*BaseLoad!U157*'Base Hours'!$AA158)</f>
        <v>-</v>
      </c>
      <c r="P158" s="417" t="str">
        <f aca="false">IF($A$1="Peak","-",'Base Hours'!P158*BaseLoad!V157*'Base Hours'!$AA158)</f>
        <v>-</v>
      </c>
      <c r="Q158" s="417" t="str">
        <f aca="false">IF($A$1="Peak","-",'Base Hours'!Q158*BaseLoad!W157*'Base Hours'!$AA158)</f>
        <v>-</v>
      </c>
      <c r="R158" s="417" t="str">
        <f aca="false">IF($A$1="Peak","-",'Base Hours'!R158*BaseLoad!X157*'Base Hours'!$AA158)</f>
        <v>-</v>
      </c>
      <c r="S158" s="417" t="str">
        <f aca="false">IF($A$1="Peak","-",'Base Hours'!S158*BaseLoad!Y157*'Base Hours'!$AA158)</f>
        <v>-</v>
      </c>
      <c r="T158" s="417" t="str">
        <f aca="false">IF($A$1="Peak","-",'Base Hours'!T158*BaseLoad!Z157*'Base Hours'!$AA158)</f>
        <v>-</v>
      </c>
      <c r="U158" s="417" t="str">
        <f aca="false">IF($A$1="Peak","-",'Base Hours'!U158*BaseLoad!AA157*'Base Hours'!$AA158)</f>
        <v>-</v>
      </c>
      <c r="V158" s="417" t="n">
        <f aca="false">SUM(B158:U158)-(MAX(B158:U158))</f>
        <v>0</v>
      </c>
      <c r="W158" s="417"/>
      <c r="X158" s="417"/>
      <c r="Y158" s="418"/>
      <c r="Z158" s="418" t="n">
        <f aca="false">(BaseLoad!C157*'Base Hours'!V158*'Base Hours'!$AA158)*-1</f>
        <v>-0</v>
      </c>
      <c r="AA158" s="418"/>
      <c r="AB158" s="418" t="n">
        <f aca="false">(BaseLoad!D157*'Base Hours'!V158*'Base Hours'!$AA158)*-1</f>
        <v>-0</v>
      </c>
      <c r="AC158" s="418"/>
      <c r="AD158" s="418" t="n">
        <f aca="false">(BaseLoad!E157*'Base Hours'!V158*'Base Hours'!$AA158)*-1</f>
        <v>-0</v>
      </c>
      <c r="AE158" s="418"/>
      <c r="AF158" s="418" t="n">
        <f aca="false">(BaseLoad!F157*'Base Hours'!V158*'Base Hours'!$AA158)*-1</f>
        <v>-0</v>
      </c>
      <c r="AG158" s="418"/>
    </row>
    <row r="159" customFormat="false" ht="12.75" hidden="false" customHeight="false" outlineLevel="0" collapsed="false">
      <c r="A159" s="400" t="n">
        <f aca="false">A158+30.417</f>
        <v>41072.133</v>
      </c>
      <c r="B159" s="417" t="str">
        <f aca="false">IF($A$1="Peak","-",'Base Hours'!B159*BaseLoad!H158*'Base Hours'!$AA159)</f>
        <v>-</v>
      </c>
      <c r="C159" s="417" t="str">
        <f aca="false">IF($A$1="Peak","-",'Base Hours'!C159*BaseLoad!I158*'Base Hours'!$AA159)</f>
        <v>-</v>
      </c>
      <c r="D159" s="417" t="str">
        <f aca="false">IF($A$1="Peak","-",'Base Hours'!D159*BaseLoad!J158*'Base Hours'!$AA159)</f>
        <v>-</v>
      </c>
      <c r="E159" s="417" t="str">
        <f aca="false">IF($A$1="Peak","-",'Base Hours'!E159*BaseLoad!K158*'Base Hours'!$AA159)</f>
        <v>-</v>
      </c>
      <c r="F159" s="417" t="str">
        <f aca="false">IF($A$1="Peak","-",'Base Hours'!F159*BaseLoad!L158*'Base Hours'!$AA159)</f>
        <v>-</v>
      </c>
      <c r="G159" s="417" t="str">
        <f aca="false">IF($A$1="Peak","-",'Base Hours'!G159*BaseLoad!M158*'Base Hours'!$AA159)</f>
        <v>-</v>
      </c>
      <c r="H159" s="417" t="str">
        <f aca="false">IF($A$1="Peak","-",'Base Hours'!H159*BaseLoad!N158*'Base Hours'!$AA159)</f>
        <v>-</v>
      </c>
      <c r="I159" s="417" t="str">
        <f aca="false">IF($A$1="Peak","-",'Base Hours'!I159*BaseLoad!O158*'Base Hours'!$AA159)</f>
        <v>-</v>
      </c>
      <c r="J159" s="417" t="str">
        <f aca="false">IF($A$1="Peak","-",'Base Hours'!J159*BaseLoad!P158*'Base Hours'!$AA159)</f>
        <v>-</v>
      </c>
      <c r="K159" s="417" t="str">
        <f aca="false">IF($A$1="Peak","-",'Base Hours'!K159*BaseLoad!Q158*'Base Hours'!$AA159)</f>
        <v>-</v>
      </c>
      <c r="L159" s="417" t="str">
        <f aca="false">IF($A$1="Peak","-",'Base Hours'!L159*BaseLoad!R158*'Base Hours'!$AA159)</f>
        <v>-</v>
      </c>
      <c r="M159" s="417" t="str">
        <f aca="false">IF($A$1="Peak","-",'Base Hours'!M159*BaseLoad!S158*'Base Hours'!$AA159)</f>
        <v>-</v>
      </c>
      <c r="N159" s="417" t="str">
        <f aca="false">IF($A$1="Peak","-",'Base Hours'!N159*BaseLoad!T158*'Base Hours'!$AA159)</f>
        <v>-</v>
      </c>
      <c r="O159" s="417" t="str">
        <f aca="false">IF($A$1="Peak","-",'Base Hours'!O159*BaseLoad!U158*'Base Hours'!$AA159)</f>
        <v>-</v>
      </c>
      <c r="P159" s="417" t="str">
        <f aca="false">IF($A$1="Peak","-",'Base Hours'!P159*BaseLoad!V158*'Base Hours'!$AA159)</f>
        <v>-</v>
      </c>
      <c r="Q159" s="417" t="str">
        <f aca="false">IF($A$1="Peak","-",'Base Hours'!Q159*BaseLoad!W158*'Base Hours'!$AA159)</f>
        <v>-</v>
      </c>
      <c r="R159" s="417" t="str">
        <f aca="false">IF($A$1="Peak","-",'Base Hours'!R159*BaseLoad!X158*'Base Hours'!$AA159)</f>
        <v>-</v>
      </c>
      <c r="S159" s="417" t="str">
        <f aca="false">IF($A$1="Peak","-",'Base Hours'!S159*BaseLoad!Y158*'Base Hours'!$AA159)</f>
        <v>-</v>
      </c>
      <c r="T159" s="417" t="str">
        <f aca="false">IF($A$1="Peak","-",'Base Hours'!T159*BaseLoad!Z158*'Base Hours'!$AA159)</f>
        <v>-</v>
      </c>
      <c r="U159" s="417" t="str">
        <f aca="false">IF($A$1="Peak","-",'Base Hours'!U159*BaseLoad!AA158*'Base Hours'!$AA159)</f>
        <v>-</v>
      </c>
      <c r="V159" s="417" t="n">
        <f aca="false">SUM(B159:U159)-(MAX(B159:U159))</f>
        <v>0</v>
      </c>
      <c r="W159" s="417"/>
      <c r="X159" s="417"/>
      <c r="Y159" s="418"/>
      <c r="Z159" s="418" t="n">
        <f aca="false">(BaseLoad!C158*'Base Hours'!V159*'Base Hours'!$AA159)*-1</f>
        <v>-0</v>
      </c>
      <c r="AA159" s="418"/>
      <c r="AB159" s="418" t="n">
        <f aca="false">(BaseLoad!D158*'Base Hours'!V159*'Base Hours'!$AA159)*-1</f>
        <v>-0</v>
      </c>
      <c r="AC159" s="418"/>
      <c r="AD159" s="418" t="n">
        <f aca="false">(BaseLoad!E158*'Base Hours'!V159*'Base Hours'!$AA159)*-1</f>
        <v>-0</v>
      </c>
      <c r="AE159" s="418"/>
      <c r="AF159" s="418" t="n">
        <f aca="false">(BaseLoad!F158*'Base Hours'!V159*'Base Hours'!$AA159)*-1</f>
        <v>-0</v>
      </c>
      <c r="AG159" s="418"/>
    </row>
    <row r="160" customFormat="false" ht="12.75" hidden="false" customHeight="false" outlineLevel="0" collapsed="false">
      <c r="A160" s="400" t="n">
        <f aca="false">A159+30.417</f>
        <v>41102.55</v>
      </c>
      <c r="B160" s="417" t="str">
        <f aca="false">IF($A$1="Peak","-",'Base Hours'!B160*BaseLoad!H159*'Base Hours'!$AA160)</f>
        <v>-</v>
      </c>
      <c r="C160" s="417" t="str">
        <f aca="false">IF($A$1="Peak","-",'Base Hours'!C160*BaseLoad!I159*'Base Hours'!$AA160)</f>
        <v>-</v>
      </c>
      <c r="D160" s="417" t="str">
        <f aca="false">IF($A$1="Peak","-",'Base Hours'!D160*BaseLoad!J159*'Base Hours'!$AA160)</f>
        <v>-</v>
      </c>
      <c r="E160" s="417" t="str">
        <f aca="false">IF($A$1="Peak","-",'Base Hours'!E160*BaseLoad!K159*'Base Hours'!$AA160)</f>
        <v>-</v>
      </c>
      <c r="F160" s="417" t="str">
        <f aca="false">IF($A$1="Peak","-",'Base Hours'!F160*BaseLoad!L159*'Base Hours'!$AA160)</f>
        <v>-</v>
      </c>
      <c r="G160" s="417" t="str">
        <f aca="false">IF($A$1="Peak","-",'Base Hours'!G160*BaseLoad!M159*'Base Hours'!$AA160)</f>
        <v>-</v>
      </c>
      <c r="H160" s="417" t="str">
        <f aca="false">IF($A$1="Peak","-",'Base Hours'!H160*BaseLoad!N159*'Base Hours'!$AA160)</f>
        <v>-</v>
      </c>
      <c r="I160" s="417" t="str">
        <f aca="false">IF($A$1="Peak","-",'Base Hours'!I160*BaseLoad!O159*'Base Hours'!$AA160)</f>
        <v>-</v>
      </c>
      <c r="J160" s="417" t="str">
        <f aca="false">IF($A$1="Peak","-",'Base Hours'!J160*BaseLoad!P159*'Base Hours'!$AA160)</f>
        <v>-</v>
      </c>
      <c r="K160" s="417" t="str">
        <f aca="false">IF($A$1="Peak","-",'Base Hours'!K160*BaseLoad!Q159*'Base Hours'!$AA160)</f>
        <v>-</v>
      </c>
      <c r="L160" s="417" t="str">
        <f aca="false">IF($A$1="Peak","-",'Base Hours'!L160*BaseLoad!R159*'Base Hours'!$AA160)</f>
        <v>-</v>
      </c>
      <c r="M160" s="417" t="str">
        <f aca="false">IF($A$1="Peak","-",'Base Hours'!M160*BaseLoad!S159*'Base Hours'!$AA160)</f>
        <v>-</v>
      </c>
      <c r="N160" s="417" t="str">
        <f aca="false">IF($A$1="Peak","-",'Base Hours'!N160*BaseLoad!T159*'Base Hours'!$AA160)</f>
        <v>-</v>
      </c>
      <c r="O160" s="417" t="str">
        <f aca="false">IF($A$1="Peak","-",'Base Hours'!O160*BaseLoad!U159*'Base Hours'!$AA160)</f>
        <v>-</v>
      </c>
      <c r="P160" s="417" t="str">
        <f aca="false">IF($A$1="Peak","-",'Base Hours'!P160*BaseLoad!V159*'Base Hours'!$AA160)</f>
        <v>-</v>
      </c>
      <c r="Q160" s="417" t="str">
        <f aca="false">IF($A$1="Peak","-",'Base Hours'!Q160*BaseLoad!W159*'Base Hours'!$AA160)</f>
        <v>-</v>
      </c>
      <c r="R160" s="417" t="str">
        <f aca="false">IF($A$1="Peak","-",'Base Hours'!R160*BaseLoad!X159*'Base Hours'!$AA160)</f>
        <v>-</v>
      </c>
      <c r="S160" s="417" t="str">
        <f aca="false">IF($A$1="Peak","-",'Base Hours'!S160*BaseLoad!Y159*'Base Hours'!$AA160)</f>
        <v>-</v>
      </c>
      <c r="T160" s="417" t="str">
        <f aca="false">IF($A$1="Peak","-",'Base Hours'!T160*BaseLoad!Z159*'Base Hours'!$AA160)</f>
        <v>-</v>
      </c>
      <c r="U160" s="417" t="str">
        <f aca="false">IF($A$1="Peak","-",'Base Hours'!U160*BaseLoad!AA159*'Base Hours'!$AA160)</f>
        <v>-</v>
      </c>
      <c r="V160" s="417" t="n">
        <f aca="false">SUM(B160:U160)-(MAX(B160:U160))</f>
        <v>0</v>
      </c>
      <c r="W160" s="417"/>
      <c r="X160" s="417"/>
      <c r="Y160" s="418"/>
      <c r="Z160" s="418" t="n">
        <f aca="false">(BaseLoad!C159*'Base Hours'!V160*'Base Hours'!$AA160)*-1</f>
        <v>-0</v>
      </c>
      <c r="AA160" s="418"/>
      <c r="AB160" s="418" t="n">
        <f aca="false">(BaseLoad!D159*'Base Hours'!V160*'Base Hours'!$AA160)*-1</f>
        <v>-0</v>
      </c>
      <c r="AC160" s="418"/>
      <c r="AD160" s="418" t="n">
        <f aca="false">(BaseLoad!E159*'Base Hours'!V160*'Base Hours'!$AA160)*-1</f>
        <v>-0</v>
      </c>
      <c r="AE160" s="418"/>
      <c r="AF160" s="418" t="n">
        <f aca="false">(BaseLoad!F159*'Base Hours'!V160*'Base Hours'!$AA160)*-1</f>
        <v>-0</v>
      </c>
      <c r="AG160" s="418"/>
    </row>
    <row r="161" customFormat="false" ht="12.75" hidden="false" customHeight="false" outlineLevel="0" collapsed="false">
      <c r="A161" s="400" t="n">
        <f aca="false">A160+30.417</f>
        <v>41132.967</v>
      </c>
      <c r="B161" s="417" t="str">
        <f aca="false">IF($A$1="Peak","-",'Base Hours'!B161*BaseLoad!H160*'Base Hours'!$AA161)</f>
        <v>-</v>
      </c>
      <c r="C161" s="417" t="str">
        <f aca="false">IF($A$1="Peak","-",'Base Hours'!C161*BaseLoad!I160*'Base Hours'!$AA161)</f>
        <v>-</v>
      </c>
      <c r="D161" s="417" t="str">
        <f aca="false">IF($A$1="Peak","-",'Base Hours'!D161*BaseLoad!J160*'Base Hours'!$AA161)</f>
        <v>-</v>
      </c>
      <c r="E161" s="417" t="str">
        <f aca="false">IF($A$1="Peak","-",'Base Hours'!E161*BaseLoad!K160*'Base Hours'!$AA161)</f>
        <v>-</v>
      </c>
      <c r="F161" s="417" t="str">
        <f aca="false">IF($A$1="Peak","-",'Base Hours'!F161*BaseLoad!L160*'Base Hours'!$AA161)</f>
        <v>-</v>
      </c>
      <c r="G161" s="417" t="str">
        <f aca="false">IF($A$1="Peak","-",'Base Hours'!G161*BaseLoad!M160*'Base Hours'!$AA161)</f>
        <v>-</v>
      </c>
      <c r="H161" s="417" t="str">
        <f aca="false">IF($A$1="Peak","-",'Base Hours'!H161*BaseLoad!N160*'Base Hours'!$AA161)</f>
        <v>-</v>
      </c>
      <c r="I161" s="417" t="str">
        <f aca="false">IF($A$1="Peak","-",'Base Hours'!I161*BaseLoad!O160*'Base Hours'!$AA161)</f>
        <v>-</v>
      </c>
      <c r="J161" s="417" t="str">
        <f aca="false">IF($A$1="Peak","-",'Base Hours'!J161*BaseLoad!P160*'Base Hours'!$AA161)</f>
        <v>-</v>
      </c>
      <c r="K161" s="417" t="str">
        <f aca="false">IF($A$1="Peak","-",'Base Hours'!K161*BaseLoad!Q160*'Base Hours'!$AA161)</f>
        <v>-</v>
      </c>
      <c r="L161" s="417" t="str">
        <f aca="false">IF($A$1="Peak","-",'Base Hours'!L161*BaseLoad!R160*'Base Hours'!$AA161)</f>
        <v>-</v>
      </c>
      <c r="M161" s="417" t="str">
        <f aca="false">IF($A$1="Peak","-",'Base Hours'!M161*BaseLoad!S160*'Base Hours'!$AA161)</f>
        <v>-</v>
      </c>
      <c r="N161" s="417" t="str">
        <f aca="false">IF($A$1="Peak","-",'Base Hours'!N161*BaseLoad!T160*'Base Hours'!$AA161)</f>
        <v>-</v>
      </c>
      <c r="O161" s="417" t="str">
        <f aca="false">IF($A$1="Peak","-",'Base Hours'!O161*BaseLoad!U160*'Base Hours'!$AA161)</f>
        <v>-</v>
      </c>
      <c r="P161" s="417" t="str">
        <f aca="false">IF($A$1="Peak","-",'Base Hours'!P161*BaseLoad!V160*'Base Hours'!$AA161)</f>
        <v>-</v>
      </c>
      <c r="Q161" s="417" t="str">
        <f aca="false">IF($A$1="Peak","-",'Base Hours'!Q161*BaseLoad!W160*'Base Hours'!$AA161)</f>
        <v>-</v>
      </c>
      <c r="R161" s="417" t="str">
        <f aca="false">IF($A$1="Peak","-",'Base Hours'!R161*BaseLoad!X160*'Base Hours'!$AA161)</f>
        <v>-</v>
      </c>
      <c r="S161" s="417" t="str">
        <f aca="false">IF($A$1="Peak","-",'Base Hours'!S161*BaseLoad!Y160*'Base Hours'!$AA161)</f>
        <v>-</v>
      </c>
      <c r="T161" s="417" t="str">
        <f aca="false">IF($A$1="Peak","-",'Base Hours'!T161*BaseLoad!Z160*'Base Hours'!$AA161)</f>
        <v>-</v>
      </c>
      <c r="U161" s="417" t="str">
        <f aca="false">IF($A$1="Peak","-",'Base Hours'!U161*BaseLoad!AA160*'Base Hours'!$AA161)</f>
        <v>-</v>
      </c>
      <c r="V161" s="417" t="n">
        <f aca="false">SUM(B161:U161)-(MAX(B161:U161))</f>
        <v>0</v>
      </c>
      <c r="W161" s="417"/>
      <c r="X161" s="417"/>
      <c r="Y161" s="418"/>
      <c r="Z161" s="418" t="n">
        <f aca="false">(BaseLoad!C160*'Base Hours'!V161*'Base Hours'!$AA161)*-1</f>
        <v>-0</v>
      </c>
      <c r="AA161" s="418"/>
      <c r="AB161" s="418" t="n">
        <f aca="false">(BaseLoad!D160*'Base Hours'!V161*'Base Hours'!$AA161)*-1</f>
        <v>-0</v>
      </c>
      <c r="AC161" s="418"/>
      <c r="AD161" s="418" t="n">
        <f aca="false">(BaseLoad!E160*'Base Hours'!V161*'Base Hours'!$AA161)*-1</f>
        <v>-0</v>
      </c>
      <c r="AE161" s="418"/>
      <c r="AF161" s="418" t="n">
        <f aca="false">(BaseLoad!F160*'Base Hours'!V161*'Base Hours'!$AA161)*-1</f>
        <v>-0</v>
      </c>
      <c r="AG161" s="418"/>
    </row>
    <row r="162" customFormat="false" ht="12.75" hidden="false" customHeight="false" outlineLevel="0" collapsed="false">
      <c r="A162" s="400" t="n">
        <f aca="false">A161+30.417</f>
        <v>41163.384</v>
      </c>
      <c r="B162" s="417" t="str">
        <f aca="false">IF($A$1="Peak","-",'Base Hours'!B162*BaseLoad!H161*'Base Hours'!$AA162)</f>
        <v>-</v>
      </c>
      <c r="C162" s="417" t="str">
        <f aca="false">IF($A$1="Peak","-",'Base Hours'!C162*BaseLoad!I161*'Base Hours'!$AA162)</f>
        <v>-</v>
      </c>
      <c r="D162" s="417" t="str">
        <f aca="false">IF($A$1="Peak","-",'Base Hours'!D162*BaseLoad!J161*'Base Hours'!$AA162)</f>
        <v>-</v>
      </c>
      <c r="E162" s="417" t="str">
        <f aca="false">IF($A$1="Peak","-",'Base Hours'!E162*BaseLoad!K161*'Base Hours'!$AA162)</f>
        <v>-</v>
      </c>
      <c r="F162" s="417" t="str">
        <f aca="false">IF($A$1="Peak","-",'Base Hours'!F162*BaseLoad!L161*'Base Hours'!$AA162)</f>
        <v>-</v>
      </c>
      <c r="G162" s="417" t="str">
        <f aca="false">IF($A$1="Peak","-",'Base Hours'!G162*BaseLoad!M161*'Base Hours'!$AA162)</f>
        <v>-</v>
      </c>
      <c r="H162" s="417" t="str">
        <f aca="false">IF($A$1="Peak","-",'Base Hours'!H162*BaseLoad!N161*'Base Hours'!$AA162)</f>
        <v>-</v>
      </c>
      <c r="I162" s="417" t="str">
        <f aca="false">IF($A$1="Peak","-",'Base Hours'!I162*BaseLoad!O161*'Base Hours'!$AA162)</f>
        <v>-</v>
      </c>
      <c r="J162" s="417" t="str">
        <f aca="false">IF($A$1="Peak","-",'Base Hours'!J162*BaseLoad!P161*'Base Hours'!$AA162)</f>
        <v>-</v>
      </c>
      <c r="K162" s="417" t="str">
        <f aca="false">IF($A$1="Peak","-",'Base Hours'!K162*BaseLoad!Q161*'Base Hours'!$AA162)</f>
        <v>-</v>
      </c>
      <c r="L162" s="417" t="str">
        <f aca="false">IF($A$1="Peak","-",'Base Hours'!L162*BaseLoad!R161*'Base Hours'!$AA162)</f>
        <v>-</v>
      </c>
      <c r="M162" s="417" t="str">
        <f aca="false">IF($A$1="Peak","-",'Base Hours'!M162*BaseLoad!S161*'Base Hours'!$AA162)</f>
        <v>-</v>
      </c>
      <c r="N162" s="417" t="str">
        <f aca="false">IF($A$1="Peak","-",'Base Hours'!N162*BaseLoad!T161*'Base Hours'!$AA162)</f>
        <v>-</v>
      </c>
      <c r="O162" s="417" t="str">
        <f aca="false">IF($A$1="Peak","-",'Base Hours'!O162*BaseLoad!U161*'Base Hours'!$AA162)</f>
        <v>-</v>
      </c>
      <c r="P162" s="417" t="str">
        <f aca="false">IF($A$1="Peak","-",'Base Hours'!P162*BaseLoad!V161*'Base Hours'!$AA162)</f>
        <v>-</v>
      </c>
      <c r="Q162" s="417" t="str">
        <f aca="false">IF($A$1="Peak","-",'Base Hours'!Q162*BaseLoad!W161*'Base Hours'!$AA162)</f>
        <v>-</v>
      </c>
      <c r="R162" s="417" t="str">
        <f aca="false">IF($A$1="Peak","-",'Base Hours'!R162*BaseLoad!X161*'Base Hours'!$AA162)</f>
        <v>-</v>
      </c>
      <c r="S162" s="417" t="str">
        <f aca="false">IF($A$1="Peak","-",'Base Hours'!S162*BaseLoad!Y161*'Base Hours'!$AA162)</f>
        <v>-</v>
      </c>
      <c r="T162" s="417" t="str">
        <f aca="false">IF($A$1="Peak","-",'Base Hours'!T162*BaseLoad!Z161*'Base Hours'!$AA162)</f>
        <v>-</v>
      </c>
      <c r="U162" s="417" t="str">
        <f aca="false">IF($A$1="Peak","-",'Base Hours'!U162*BaseLoad!AA161*'Base Hours'!$AA162)</f>
        <v>-</v>
      </c>
      <c r="V162" s="417" t="n">
        <f aca="false">SUM(B162:U162)-(MAX(B162:U162))</f>
        <v>0</v>
      </c>
      <c r="W162" s="417"/>
      <c r="X162" s="417"/>
      <c r="Y162" s="418"/>
      <c r="Z162" s="418" t="n">
        <f aca="false">(BaseLoad!C161*'Base Hours'!V162*'Base Hours'!$AA162)*-1</f>
        <v>-0</v>
      </c>
      <c r="AA162" s="418"/>
      <c r="AB162" s="418" t="n">
        <f aca="false">(BaseLoad!D161*'Base Hours'!V162*'Base Hours'!$AA162)*-1</f>
        <v>-0</v>
      </c>
      <c r="AC162" s="418"/>
      <c r="AD162" s="418" t="n">
        <f aca="false">(BaseLoad!E161*'Base Hours'!V162*'Base Hours'!$AA162)*-1</f>
        <v>-0</v>
      </c>
      <c r="AE162" s="418"/>
      <c r="AF162" s="418" t="n">
        <f aca="false">(BaseLoad!F161*'Base Hours'!V162*'Base Hours'!$AA162)*-1</f>
        <v>-0</v>
      </c>
      <c r="AG162" s="418"/>
    </row>
    <row r="163" customFormat="false" ht="12.75" hidden="false" customHeight="false" outlineLevel="0" collapsed="false">
      <c r="A163" s="400" t="n">
        <f aca="false">A162+30.417</f>
        <v>41193.801</v>
      </c>
      <c r="B163" s="417" t="str">
        <f aca="false">IF($A$1="Peak","-",'Base Hours'!B163*BaseLoad!H162*'Base Hours'!$AA163)</f>
        <v>-</v>
      </c>
      <c r="C163" s="417" t="str">
        <f aca="false">IF($A$1="Peak","-",'Base Hours'!C163*BaseLoad!I162*'Base Hours'!$AA163)</f>
        <v>-</v>
      </c>
      <c r="D163" s="417" t="str">
        <f aca="false">IF($A$1="Peak","-",'Base Hours'!D163*BaseLoad!J162*'Base Hours'!$AA163)</f>
        <v>-</v>
      </c>
      <c r="E163" s="417" t="str">
        <f aca="false">IF($A$1="Peak","-",'Base Hours'!E163*BaseLoad!K162*'Base Hours'!$AA163)</f>
        <v>-</v>
      </c>
      <c r="F163" s="417" t="str">
        <f aca="false">IF($A$1="Peak","-",'Base Hours'!F163*BaseLoad!L162*'Base Hours'!$AA163)</f>
        <v>-</v>
      </c>
      <c r="G163" s="417" t="str">
        <f aca="false">IF($A$1="Peak","-",'Base Hours'!G163*BaseLoad!M162*'Base Hours'!$AA163)</f>
        <v>-</v>
      </c>
      <c r="H163" s="417" t="str">
        <f aca="false">IF($A$1="Peak","-",'Base Hours'!H163*BaseLoad!N162*'Base Hours'!$AA163)</f>
        <v>-</v>
      </c>
      <c r="I163" s="417" t="str">
        <f aca="false">IF($A$1="Peak","-",'Base Hours'!I163*BaseLoad!O162*'Base Hours'!$AA163)</f>
        <v>-</v>
      </c>
      <c r="J163" s="417" t="str">
        <f aca="false">IF($A$1="Peak","-",'Base Hours'!J163*BaseLoad!P162*'Base Hours'!$AA163)</f>
        <v>-</v>
      </c>
      <c r="K163" s="417" t="str">
        <f aca="false">IF($A$1="Peak","-",'Base Hours'!K163*BaseLoad!Q162*'Base Hours'!$AA163)</f>
        <v>-</v>
      </c>
      <c r="L163" s="417" t="str">
        <f aca="false">IF($A$1="Peak","-",'Base Hours'!L163*BaseLoad!R162*'Base Hours'!$AA163)</f>
        <v>-</v>
      </c>
      <c r="M163" s="417" t="str">
        <f aca="false">IF($A$1="Peak","-",'Base Hours'!M163*BaseLoad!S162*'Base Hours'!$AA163)</f>
        <v>-</v>
      </c>
      <c r="N163" s="417" t="str">
        <f aca="false">IF($A$1="Peak","-",'Base Hours'!N163*BaseLoad!T162*'Base Hours'!$AA163)</f>
        <v>-</v>
      </c>
      <c r="O163" s="417" t="str">
        <f aca="false">IF($A$1="Peak","-",'Base Hours'!O163*BaseLoad!U162*'Base Hours'!$AA163)</f>
        <v>-</v>
      </c>
      <c r="P163" s="417" t="str">
        <f aca="false">IF($A$1="Peak","-",'Base Hours'!P163*BaseLoad!V162*'Base Hours'!$AA163)</f>
        <v>-</v>
      </c>
      <c r="Q163" s="417" t="str">
        <f aca="false">IF($A$1="Peak","-",'Base Hours'!Q163*BaseLoad!W162*'Base Hours'!$AA163)</f>
        <v>-</v>
      </c>
      <c r="R163" s="417" t="str">
        <f aca="false">IF($A$1="Peak","-",'Base Hours'!R163*BaseLoad!X162*'Base Hours'!$AA163)</f>
        <v>-</v>
      </c>
      <c r="S163" s="417" t="str">
        <f aca="false">IF($A$1="Peak","-",'Base Hours'!S163*BaseLoad!Y162*'Base Hours'!$AA163)</f>
        <v>-</v>
      </c>
      <c r="T163" s="417" t="str">
        <f aca="false">IF($A$1="Peak","-",'Base Hours'!T163*BaseLoad!Z162*'Base Hours'!$AA163)</f>
        <v>-</v>
      </c>
      <c r="U163" s="417" t="str">
        <f aca="false">IF($A$1="Peak","-",'Base Hours'!U163*BaseLoad!AA162*'Base Hours'!$AA163)</f>
        <v>-</v>
      </c>
      <c r="V163" s="417" t="n">
        <f aca="false">SUM(B163:U163)-(MAX(B163:U163))</f>
        <v>0</v>
      </c>
      <c r="W163" s="417"/>
      <c r="X163" s="417"/>
      <c r="Y163" s="418"/>
      <c r="Z163" s="418" t="n">
        <f aca="false">(BaseLoad!C162*'Base Hours'!V163*'Base Hours'!$AA163)*-1</f>
        <v>-0</v>
      </c>
      <c r="AA163" s="418"/>
      <c r="AB163" s="418" t="n">
        <f aca="false">(BaseLoad!D162*'Base Hours'!V163*'Base Hours'!$AA163)*-1</f>
        <v>-0</v>
      </c>
      <c r="AC163" s="418"/>
      <c r="AD163" s="418" t="n">
        <f aca="false">(BaseLoad!E162*'Base Hours'!V163*'Base Hours'!$AA163)*-1</f>
        <v>-0</v>
      </c>
      <c r="AE163" s="418"/>
      <c r="AF163" s="418" t="n">
        <f aca="false">(BaseLoad!F162*'Base Hours'!V163*'Base Hours'!$AA163)*-1</f>
        <v>-0</v>
      </c>
      <c r="AG163" s="418"/>
    </row>
    <row r="164" customFormat="false" ht="12.75" hidden="false" customHeight="false" outlineLevel="0" collapsed="false">
      <c r="A164" s="400" t="n">
        <f aca="false">A163+30.417</f>
        <v>41224.218</v>
      </c>
      <c r="B164" s="417" t="str">
        <f aca="false">IF($A$1="Peak","-",'Base Hours'!B164*BaseLoad!H163*'Base Hours'!$AA164)</f>
        <v>-</v>
      </c>
      <c r="C164" s="417" t="str">
        <f aca="false">IF($A$1="Peak","-",'Base Hours'!C164*BaseLoad!I163*'Base Hours'!$AA164)</f>
        <v>-</v>
      </c>
      <c r="D164" s="417" t="str">
        <f aca="false">IF($A$1="Peak","-",'Base Hours'!D164*BaseLoad!J163*'Base Hours'!$AA164)</f>
        <v>-</v>
      </c>
      <c r="E164" s="417" t="str">
        <f aca="false">IF($A$1="Peak","-",'Base Hours'!E164*BaseLoad!K163*'Base Hours'!$AA164)</f>
        <v>-</v>
      </c>
      <c r="F164" s="417" t="str">
        <f aca="false">IF($A$1="Peak","-",'Base Hours'!F164*BaseLoad!L163*'Base Hours'!$AA164)</f>
        <v>-</v>
      </c>
      <c r="G164" s="417" t="str">
        <f aca="false">IF($A$1="Peak","-",'Base Hours'!G164*BaseLoad!M163*'Base Hours'!$AA164)</f>
        <v>-</v>
      </c>
      <c r="H164" s="417" t="str">
        <f aca="false">IF($A$1="Peak","-",'Base Hours'!H164*BaseLoad!N163*'Base Hours'!$AA164)</f>
        <v>-</v>
      </c>
      <c r="I164" s="417" t="str">
        <f aca="false">IF($A$1="Peak","-",'Base Hours'!I164*BaseLoad!O163*'Base Hours'!$AA164)</f>
        <v>-</v>
      </c>
      <c r="J164" s="417" t="str">
        <f aca="false">IF($A$1="Peak","-",'Base Hours'!J164*BaseLoad!P163*'Base Hours'!$AA164)</f>
        <v>-</v>
      </c>
      <c r="K164" s="417" t="str">
        <f aca="false">IF($A$1="Peak","-",'Base Hours'!K164*BaseLoad!Q163*'Base Hours'!$AA164)</f>
        <v>-</v>
      </c>
      <c r="L164" s="417" t="str">
        <f aca="false">IF($A$1="Peak","-",'Base Hours'!L164*BaseLoad!R163*'Base Hours'!$AA164)</f>
        <v>-</v>
      </c>
      <c r="M164" s="417" t="str">
        <f aca="false">IF($A$1="Peak","-",'Base Hours'!M164*BaseLoad!S163*'Base Hours'!$AA164)</f>
        <v>-</v>
      </c>
      <c r="N164" s="417" t="str">
        <f aca="false">IF($A$1="Peak","-",'Base Hours'!N164*BaseLoad!T163*'Base Hours'!$AA164)</f>
        <v>-</v>
      </c>
      <c r="O164" s="417" t="str">
        <f aca="false">IF($A$1="Peak","-",'Base Hours'!O164*BaseLoad!U163*'Base Hours'!$AA164)</f>
        <v>-</v>
      </c>
      <c r="P164" s="417" t="str">
        <f aca="false">IF($A$1="Peak","-",'Base Hours'!P164*BaseLoad!V163*'Base Hours'!$AA164)</f>
        <v>-</v>
      </c>
      <c r="Q164" s="417" t="str">
        <f aca="false">IF($A$1="Peak","-",'Base Hours'!Q164*BaseLoad!W163*'Base Hours'!$AA164)</f>
        <v>-</v>
      </c>
      <c r="R164" s="417" t="str">
        <f aca="false">IF($A$1="Peak","-",'Base Hours'!R164*BaseLoad!X163*'Base Hours'!$AA164)</f>
        <v>-</v>
      </c>
      <c r="S164" s="417" t="str">
        <f aca="false">IF($A$1="Peak","-",'Base Hours'!S164*BaseLoad!Y163*'Base Hours'!$AA164)</f>
        <v>-</v>
      </c>
      <c r="T164" s="417" t="str">
        <f aca="false">IF($A$1="Peak","-",'Base Hours'!T164*BaseLoad!Z163*'Base Hours'!$AA164)</f>
        <v>-</v>
      </c>
      <c r="U164" s="417" t="str">
        <f aca="false">IF($A$1="Peak","-",'Base Hours'!U164*BaseLoad!AA163*'Base Hours'!$AA164)</f>
        <v>-</v>
      </c>
      <c r="V164" s="417" t="n">
        <f aca="false">SUM(B164:U164)-(MAX(B164:U164))</f>
        <v>0</v>
      </c>
      <c r="W164" s="417"/>
      <c r="X164" s="417"/>
      <c r="Y164" s="418"/>
      <c r="Z164" s="418" t="n">
        <f aca="false">(BaseLoad!C163*'Base Hours'!V164*'Base Hours'!$AA164)*-1</f>
        <v>-0</v>
      </c>
      <c r="AA164" s="418"/>
      <c r="AB164" s="418" t="n">
        <f aca="false">(BaseLoad!D163*'Base Hours'!V164*'Base Hours'!$AA164)*-1</f>
        <v>-0</v>
      </c>
      <c r="AC164" s="418"/>
      <c r="AD164" s="418" t="n">
        <f aca="false">(BaseLoad!E163*'Base Hours'!V164*'Base Hours'!$AA164)*-1</f>
        <v>-0</v>
      </c>
      <c r="AE164" s="418"/>
      <c r="AF164" s="418" t="n">
        <f aca="false">(BaseLoad!F163*'Base Hours'!V164*'Base Hours'!$AA164)*-1</f>
        <v>-0</v>
      </c>
      <c r="AG164" s="418"/>
    </row>
    <row r="165" customFormat="false" ht="12.75" hidden="false" customHeight="false" outlineLevel="0" collapsed="false">
      <c r="A165" s="400" t="n">
        <f aca="false">A164+30.417</f>
        <v>41254.635</v>
      </c>
      <c r="B165" s="417" t="str">
        <f aca="false">IF($A$1="Peak","-",'Base Hours'!B165*BaseLoad!H164*'Base Hours'!$AA165)</f>
        <v>-</v>
      </c>
      <c r="C165" s="417" t="str">
        <f aca="false">IF($A$1="Peak","-",'Base Hours'!C165*BaseLoad!I164*'Base Hours'!$AA165)</f>
        <v>-</v>
      </c>
      <c r="D165" s="417" t="str">
        <f aca="false">IF($A$1="Peak","-",'Base Hours'!D165*BaseLoad!J164*'Base Hours'!$AA165)</f>
        <v>-</v>
      </c>
      <c r="E165" s="417" t="str">
        <f aca="false">IF($A$1="Peak","-",'Base Hours'!E165*BaseLoad!K164*'Base Hours'!$AA165)</f>
        <v>-</v>
      </c>
      <c r="F165" s="417" t="str">
        <f aca="false">IF($A$1="Peak","-",'Base Hours'!F165*BaseLoad!L164*'Base Hours'!$AA165)</f>
        <v>-</v>
      </c>
      <c r="G165" s="417" t="str">
        <f aca="false">IF($A$1="Peak","-",'Base Hours'!G165*BaseLoad!M164*'Base Hours'!$AA165)</f>
        <v>-</v>
      </c>
      <c r="H165" s="417" t="str">
        <f aca="false">IF($A$1="Peak","-",'Base Hours'!H165*BaseLoad!N164*'Base Hours'!$AA165)</f>
        <v>-</v>
      </c>
      <c r="I165" s="417" t="str">
        <f aca="false">IF($A$1="Peak","-",'Base Hours'!I165*BaseLoad!O164*'Base Hours'!$AA165)</f>
        <v>-</v>
      </c>
      <c r="J165" s="417" t="str">
        <f aca="false">IF($A$1="Peak","-",'Base Hours'!J165*BaseLoad!P164*'Base Hours'!$AA165)</f>
        <v>-</v>
      </c>
      <c r="K165" s="417" t="str">
        <f aca="false">IF($A$1="Peak","-",'Base Hours'!K165*BaseLoad!Q164*'Base Hours'!$AA165)</f>
        <v>-</v>
      </c>
      <c r="L165" s="417" t="str">
        <f aca="false">IF($A$1="Peak","-",'Base Hours'!L165*BaseLoad!R164*'Base Hours'!$AA165)</f>
        <v>-</v>
      </c>
      <c r="M165" s="417" t="str">
        <f aca="false">IF($A$1="Peak","-",'Base Hours'!M165*BaseLoad!S164*'Base Hours'!$AA165)</f>
        <v>-</v>
      </c>
      <c r="N165" s="417" t="str">
        <f aca="false">IF($A$1="Peak","-",'Base Hours'!N165*BaseLoad!T164*'Base Hours'!$AA165)</f>
        <v>-</v>
      </c>
      <c r="O165" s="417" t="str">
        <f aca="false">IF($A$1="Peak","-",'Base Hours'!O165*BaseLoad!U164*'Base Hours'!$AA165)</f>
        <v>-</v>
      </c>
      <c r="P165" s="417" t="str">
        <f aca="false">IF($A$1="Peak","-",'Base Hours'!P165*BaseLoad!V164*'Base Hours'!$AA165)</f>
        <v>-</v>
      </c>
      <c r="Q165" s="417" t="str">
        <f aca="false">IF($A$1="Peak","-",'Base Hours'!Q165*BaseLoad!W164*'Base Hours'!$AA165)</f>
        <v>-</v>
      </c>
      <c r="R165" s="417" t="str">
        <f aca="false">IF($A$1="Peak","-",'Base Hours'!R165*BaseLoad!X164*'Base Hours'!$AA165)</f>
        <v>-</v>
      </c>
      <c r="S165" s="417" t="str">
        <f aca="false">IF($A$1="Peak","-",'Base Hours'!S165*BaseLoad!Y164*'Base Hours'!$AA165)</f>
        <v>-</v>
      </c>
      <c r="T165" s="417" t="str">
        <f aca="false">IF($A$1="Peak","-",'Base Hours'!T165*BaseLoad!Z164*'Base Hours'!$AA165)</f>
        <v>-</v>
      </c>
      <c r="U165" s="417" t="str">
        <f aca="false">IF($A$1="Peak","-",'Base Hours'!U165*BaseLoad!AA164*'Base Hours'!$AA165)</f>
        <v>-</v>
      </c>
      <c r="V165" s="417" t="n">
        <f aca="false">SUM(B165:U165)-(MAX(B165:U165))</f>
        <v>0</v>
      </c>
      <c r="W165" s="417"/>
      <c r="X165" s="417"/>
      <c r="Y165" s="418" t="n">
        <f aca="false">SUM(B154:U165)</f>
        <v>0</v>
      </c>
      <c r="Z165" s="418" t="n">
        <f aca="false">(BaseLoad!C164*'Base Hours'!V165*'Base Hours'!$AA165)*-1</f>
        <v>-0</v>
      </c>
      <c r="AA165" s="418" t="n">
        <f aca="false">SUM(Z154:Z165)</f>
        <v>0</v>
      </c>
      <c r="AB165" s="418" t="n">
        <f aca="false">(BaseLoad!D164*'Base Hours'!V165*'Base Hours'!$AA165)*-1</f>
        <v>-0</v>
      </c>
      <c r="AC165" s="418" t="n">
        <f aca="false">SUM(AB154:AB165)</f>
        <v>0</v>
      </c>
      <c r="AD165" s="418" t="n">
        <f aca="false">(BaseLoad!E164*'Base Hours'!V165*'Base Hours'!$AA165)*-1</f>
        <v>-0</v>
      </c>
      <c r="AE165" s="418" t="n">
        <f aca="false">SUM(AD154:AD165)</f>
        <v>0</v>
      </c>
      <c r="AF165" s="418" t="n">
        <f aca="false">(BaseLoad!F164*'Base Hours'!V165*'Base Hours'!$AA165)*-1</f>
        <v>-0</v>
      </c>
      <c r="AG165" s="418" t="n">
        <f aca="false">SUM(AF154:AF165)</f>
        <v>0</v>
      </c>
    </row>
    <row r="166" customFormat="false" ht="12.75" hidden="false" customHeight="false" outlineLevel="0" collapsed="false">
      <c r="A166" s="400" t="n">
        <f aca="false">A165+30.417</f>
        <v>41285.052</v>
      </c>
      <c r="B166" s="417" t="str">
        <f aca="false">IF($A$1="Peak","-",'Base Hours'!B166*BaseLoad!H165*'Base Hours'!$AA166)</f>
        <v>-</v>
      </c>
      <c r="C166" s="417" t="str">
        <f aca="false">IF($A$1="Peak","-",'Base Hours'!C166*BaseLoad!I165*'Base Hours'!$AA166)</f>
        <v>-</v>
      </c>
      <c r="D166" s="417" t="str">
        <f aca="false">IF($A$1="Peak","-",'Base Hours'!D166*BaseLoad!J165*'Base Hours'!$AA166)</f>
        <v>-</v>
      </c>
      <c r="E166" s="417" t="str">
        <f aca="false">IF($A$1="Peak","-",'Base Hours'!E166*BaseLoad!K165*'Base Hours'!$AA166)</f>
        <v>-</v>
      </c>
      <c r="F166" s="417" t="str">
        <f aca="false">IF($A$1="Peak","-",'Base Hours'!F166*BaseLoad!L165*'Base Hours'!$AA166)</f>
        <v>-</v>
      </c>
      <c r="G166" s="417" t="str">
        <f aca="false">IF($A$1="Peak","-",'Base Hours'!G166*BaseLoad!M165*'Base Hours'!$AA166)</f>
        <v>-</v>
      </c>
      <c r="H166" s="417" t="str">
        <f aca="false">IF($A$1="Peak","-",'Base Hours'!H166*BaseLoad!N165*'Base Hours'!$AA166)</f>
        <v>-</v>
      </c>
      <c r="I166" s="417" t="str">
        <f aca="false">IF($A$1="Peak","-",'Base Hours'!I166*BaseLoad!O165*'Base Hours'!$AA166)</f>
        <v>-</v>
      </c>
      <c r="J166" s="417" t="str">
        <f aca="false">IF($A$1="Peak","-",'Base Hours'!J166*BaseLoad!P165*'Base Hours'!$AA166)</f>
        <v>-</v>
      </c>
      <c r="K166" s="417" t="str">
        <f aca="false">IF($A$1="Peak","-",'Base Hours'!K166*BaseLoad!Q165*'Base Hours'!$AA166)</f>
        <v>-</v>
      </c>
      <c r="L166" s="417" t="str">
        <f aca="false">IF($A$1="Peak","-",'Base Hours'!L166*BaseLoad!R165*'Base Hours'!$AA166)</f>
        <v>-</v>
      </c>
      <c r="M166" s="417" t="str">
        <f aca="false">IF($A$1="Peak","-",'Base Hours'!M166*BaseLoad!S165*'Base Hours'!$AA166)</f>
        <v>-</v>
      </c>
      <c r="N166" s="417" t="str">
        <f aca="false">IF($A$1="Peak","-",'Base Hours'!N166*BaseLoad!T165*'Base Hours'!$AA166)</f>
        <v>-</v>
      </c>
      <c r="O166" s="417" t="str">
        <f aca="false">IF($A$1="Peak","-",'Base Hours'!O166*BaseLoad!U165*'Base Hours'!$AA166)</f>
        <v>-</v>
      </c>
      <c r="P166" s="417" t="str">
        <f aca="false">IF($A$1="Peak","-",'Base Hours'!P166*BaseLoad!V165*'Base Hours'!$AA166)</f>
        <v>-</v>
      </c>
      <c r="Q166" s="417" t="str">
        <f aca="false">IF($A$1="Peak","-",'Base Hours'!Q166*BaseLoad!W165*'Base Hours'!$AA166)</f>
        <v>-</v>
      </c>
      <c r="R166" s="417" t="str">
        <f aca="false">IF($A$1="Peak","-",'Base Hours'!R166*BaseLoad!X165*'Base Hours'!$AA166)</f>
        <v>-</v>
      </c>
      <c r="S166" s="417" t="str">
        <f aca="false">IF($A$1="Peak","-",'Base Hours'!S166*BaseLoad!Y165*'Base Hours'!$AA166)</f>
        <v>-</v>
      </c>
      <c r="T166" s="417" t="str">
        <f aca="false">IF($A$1="Peak","-",'Base Hours'!T166*BaseLoad!Z165*'Base Hours'!$AA166)</f>
        <v>-</v>
      </c>
      <c r="U166" s="417" t="str">
        <f aca="false">IF($A$1="Peak","-",'Base Hours'!U166*BaseLoad!AA165*'Base Hours'!$AA166)</f>
        <v>-</v>
      </c>
      <c r="V166" s="417" t="n">
        <f aca="false">SUM(B166:U166)-(MAX(B166:U166))</f>
        <v>0</v>
      </c>
      <c r="W166" s="417"/>
      <c r="X166" s="417"/>
      <c r="Y166" s="418"/>
      <c r="Z166" s="418" t="n">
        <f aca="false">(BaseLoad!C165*'Base Hours'!V166*'Base Hours'!$AA166)*-1</f>
        <v>-0</v>
      </c>
      <c r="AA166" s="418"/>
      <c r="AB166" s="418" t="n">
        <f aca="false">(BaseLoad!D165*'Base Hours'!V166*'Base Hours'!$AA166)*-1</f>
        <v>-0</v>
      </c>
      <c r="AC166" s="418"/>
      <c r="AD166" s="418" t="n">
        <f aca="false">(BaseLoad!E165*'Base Hours'!V166*'Base Hours'!$AA166)*-1</f>
        <v>-0</v>
      </c>
      <c r="AE166" s="418"/>
      <c r="AF166" s="418" t="n">
        <f aca="false">(BaseLoad!F165*'Base Hours'!V166*'Base Hours'!$AA166)*-1</f>
        <v>-0</v>
      </c>
      <c r="AG166" s="418"/>
    </row>
    <row r="167" customFormat="false" ht="12.75" hidden="false" customHeight="false" outlineLevel="0" collapsed="false">
      <c r="A167" s="400" t="n">
        <f aca="false">A166+30.417</f>
        <v>41315.469</v>
      </c>
      <c r="B167" s="417" t="str">
        <f aca="false">IF($A$1="Peak","-",'Base Hours'!B167*BaseLoad!H166*'Base Hours'!$AA167)</f>
        <v>-</v>
      </c>
      <c r="C167" s="417" t="str">
        <f aca="false">IF($A$1="Peak","-",'Base Hours'!C167*BaseLoad!I166*'Base Hours'!$AA167)</f>
        <v>-</v>
      </c>
      <c r="D167" s="417" t="str">
        <f aca="false">IF($A$1="Peak","-",'Base Hours'!D167*BaseLoad!J166*'Base Hours'!$AA167)</f>
        <v>-</v>
      </c>
      <c r="E167" s="417" t="str">
        <f aca="false">IF($A$1="Peak","-",'Base Hours'!E167*BaseLoad!K166*'Base Hours'!$AA167)</f>
        <v>-</v>
      </c>
      <c r="F167" s="417" t="str">
        <f aca="false">IF($A$1="Peak","-",'Base Hours'!F167*BaseLoad!L166*'Base Hours'!$AA167)</f>
        <v>-</v>
      </c>
      <c r="G167" s="417" t="str">
        <f aca="false">IF($A$1="Peak","-",'Base Hours'!G167*BaseLoad!M166*'Base Hours'!$AA167)</f>
        <v>-</v>
      </c>
      <c r="H167" s="417" t="str">
        <f aca="false">IF($A$1="Peak","-",'Base Hours'!H167*BaseLoad!N166*'Base Hours'!$AA167)</f>
        <v>-</v>
      </c>
      <c r="I167" s="417" t="str">
        <f aca="false">IF($A$1="Peak","-",'Base Hours'!I167*BaseLoad!O166*'Base Hours'!$AA167)</f>
        <v>-</v>
      </c>
      <c r="J167" s="417" t="str">
        <f aca="false">IF($A$1="Peak","-",'Base Hours'!J167*BaseLoad!P166*'Base Hours'!$AA167)</f>
        <v>-</v>
      </c>
      <c r="K167" s="417" t="str">
        <f aca="false">IF($A$1="Peak","-",'Base Hours'!K167*BaseLoad!Q166*'Base Hours'!$AA167)</f>
        <v>-</v>
      </c>
      <c r="L167" s="417" t="str">
        <f aca="false">IF($A$1="Peak","-",'Base Hours'!L167*BaseLoad!R166*'Base Hours'!$AA167)</f>
        <v>-</v>
      </c>
      <c r="M167" s="417" t="str">
        <f aca="false">IF($A$1="Peak","-",'Base Hours'!M167*BaseLoad!S166*'Base Hours'!$AA167)</f>
        <v>-</v>
      </c>
      <c r="N167" s="417" t="str">
        <f aca="false">IF($A$1="Peak","-",'Base Hours'!N167*BaseLoad!T166*'Base Hours'!$AA167)</f>
        <v>-</v>
      </c>
      <c r="O167" s="417" t="str">
        <f aca="false">IF($A$1="Peak","-",'Base Hours'!O167*BaseLoad!U166*'Base Hours'!$AA167)</f>
        <v>-</v>
      </c>
      <c r="P167" s="417" t="str">
        <f aca="false">IF($A$1="Peak","-",'Base Hours'!P167*BaseLoad!V166*'Base Hours'!$AA167)</f>
        <v>-</v>
      </c>
      <c r="Q167" s="417" t="str">
        <f aca="false">IF($A$1="Peak","-",'Base Hours'!Q167*BaseLoad!W166*'Base Hours'!$AA167)</f>
        <v>-</v>
      </c>
      <c r="R167" s="417" t="str">
        <f aca="false">IF($A$1="Peak","-",'Base Hours'!R167*BaseLoad!X166*'Base Hours'!$AA167)</f>
        <v>-</v>
      </c>
      <c r="S167" s="417" t="str">
        <f aca="false">IF($A$1="Peak","-",'Base Hours'!S167*BaseLoad!Y166*'Base Hours'!$AA167)</f>
        <v>-</v>
      </c>
      <c r="T167" s="417" t="str">
        <f aca="false">IF($A$1="Peak","-",'Base Hours'!T167*BaseLoad!Z166*'Base Hours'!$AA167)</f>
        <v>-</v>
      </c>
      <c r="U167" s="417" t="str">
        <f aca="false">IF($A$1="Peak","-",'Base Hours'!U167*BaseLoad!AA166*'Base Hours'!$AA167)</f>
        <v>-</v>
      </c>
      <c r="V167" s="417" t="n">
        <f aca="false">SUM(B167:U167)-(MAX(B167:U167))</f>
        <v>0</v>
      </c>
      <c r="W167" s="417"/>
      <c r="X167" s="417"/>
      <c r="Y167" s="418"/>
      <c r="Z167" s="418" t="n">
        <f aca="false">(BaseLoad!C166*'Base Hours'!V167*'Base Hours'!$AA167)*-1</f>
        <v>-0</v>
      </c>
      <c r="AA167" s="418"/>
      <c r="AB167" s="418" t="n">
        <f aca="false">(BaseLoad!D166*'Base Hours'!V167*'Base Hours'!$AA167)*-1</f>
        <v>-0</v>
      </c>
      <c r="AC167" s="418"/>
      <c r="AD167" s="418" t="n">
        <f aca="false">(BaseLoad!E166*'Base Hours'!V167*'Base Hours'!$AA167)*-1</f>
        <v>-0</v>
      </c>
      <c r="AE167" s="418"/>
      <c r="AF167" s="418" t="n">
        <f aca="false">(BaseLoad!F166*'Base Hours'!V167*'Base Hours'!$AA167)*-1</f>
        <v>-0</v>
      </c>
      <c r="AG167" s="418"/>
    </row>
    <row r="168" customFormat="false" ht="12.75" hidden="false" customHeight="false" outlineLevel="0" collapsed="false">
      <c r="A168" s="400" t="n">
        <f aca="false">A167+30.417</f>
        <v>41345.886</v>
      </c>
      <c r="B168" s="417" t="str">
        <f aca="false">IF($A$1="Peak","-",'Base Hours'!B168*BaseLoad!H167*'Base Hours'!$AA168)</f>
        <v>-</v>
      </c>
      <c r="C168" s="417" t="str">
        <f aca="false">IF($A$1="Peak","-",'Base Hours'!C168*BaseLoad!I167*'Base Hours'!$AA168)</f>
        <v>-</v>
      </c>
      <c r="D168" s="417" t="str">
        <f aca="false">IF($A$1="Peak","-",'Base Hours'!D168*BaseLoad!J167*'Base Hours'!$AA168)</f>
        <v>-</v>
      </c>
      <c r="E168" s="417" t="str">
        <f aca="false">IF($A$1="Peak","-",'Base Hours'!E168*BaseLoad!K167*'Base Hours'!$AA168)</f>
        <v>-</v>
      </c>
      <c r="F168" s="417" t="str">
        <f aca="false">IF($A$1="Peak","-",'Base Hours'!F168*BaseLoad!L167*'Base Hours'!$AA168)</f>
        <v>-</v>
      </c>
      <c r="G168" s="417" t="str">
        <f aca="false">IF($A$1="Peak","-",'Base Hours'!G168*BaseLoad!M167*'Base Hours'!$AA168)</f>
        <v>-</v>
      </c>
      <c r="H168" s="417" t="str">
        <f aca="false">IF($A$1="Peak","-",'Base Hours'!H168*BaseLoad!N167*'Base Hours'!$AA168)</f>
        <v>-</v>
      </c>
      <c r="I168" s="417" t="str">
        <f aca="false">IF($A$1="Peak","-",'Base Hours'!I168*BaseLoad!O167*'Base Hours'!$AA168)</f>
        <v>-</v>
      </c>
      <c r="J168" s="417" t="str">
        <f aca="false">IF($A$1="Peak","-",'Base Hours'!J168*BaseLoad!P167*'Base Hours'!$AA168)</f>
        <v>-</v>
      </c>
      <c r="K168" s="417" t="str">
        <f aca="false">IF($A$1="Peak","-",'Base Hours'!K168*BaseLoad!Q167*'Base Hours'!$AA168)</f>
        <v>-</v>
      </c>
      <c r="L168" s="417" t="str">
        <f aca="false">IF($A$1="Peak","-",'Base Hours'!L168*BaseLoad!R167*'Base Hours'!$AA168)</f>
        <v>-</v>
      </c>
      <c r="M168" s="417" t="str">
        <f aca="false">IF($A$1="Peak","-",'Base Hours'!M168*BaseLoad!S167*'Base Hours'!$AA168)</f>
        <v>-</v>
      </c>
      <c r="N168" s="417" t="str">
        <f aca="false">IF($A$1="Peak","-",'Base Hours'!N168*BaseLoad!T167*'Base Hours'!$AA168)</f>
        <v>-</v>
      </c>
      <c r="O168" s="417" t="str">
        <f aca="false">IF($A$1="Peak","-",'Base Hours'!O168*BaseLoad!U167*'Base Hours'!$AA168)</f>
        <v>-</v>
      </c>
      <c r="P168" s="417" t="str">
        <f aca="false">IF($A$1="Peak","-",'Base Hours'!P168*BaseLoad!V167*'Base Hours'!$AA168)</f>
        <v>-</v>
      </c>
      <c r="Q168" s="417" t="str">
        <f aca="false">IF($A$1="Peak","-",'Base Hours'!Q168*BaseLoad!W167*'Base Hours'!$AA168)</f>
        <v>-</v>
      </c>
      <c r="R168" s="417" t="str">
        <f aca="false">IF($A$1="Peak","-",'Base Hours'!R168*BaseLoad!X167*'Base Hours'!$AA168)</f>
        <v>-</v>
      </c>
      <c r="S168" s="417" t="str">
        <f aca="false">IF($A$1="Peak","-",'Base Hours'!S168*BaseLoad!Y167*'Base Hours'!$AA168)</f>
        <v>-</v>
      </c>
      <c r="T168" s="417" t="str">
        <f aca="false">IF($A$1="Peak","-",'Base Hours'!T168*BaseLoad!Z167*'Base Hours'!$AA168)</f>
        <v>-</v>
      </c>
      <c r="U168" s="417" t="str">
        <f aca="false">IF($A$1="Peak","-",'Base Hours'!U168*BaseLoad!AA167*'Base Hours'!$AA168)</f>
        <v>-</v>
      </c>
      <c r="V168" s="417" t="n">
        <f aca="false">SUM(B168:U168)-(MAX(B168:U168))</f>
        <v>0</v>
      </c>
      <c r="W168" s="417"/>
      <c r="X168" s="417"/>
      <c r="Y168" s="418"/>
      <c r="Z168" s="418" t="n">
        <f aca="false">(BaseLoad!C167*'Base Hours'!V168*'Base Hours'!$AA168)*-1</f>
        <v>-0</v>
      </c>
      <c r="AA168" s="418"/>
      <c r="AB168" s="418" t="n">
        <f aca="false">(BaseLoad!D167*'Base Hours'!V168*'Base Hours'!$AA168)*-1</f>
        <v>-0</v>
      </c>
      <c r="AC168" s="418"/>
      <c r="AD168" s="418" t="n">
        <f aca="false">(BaseLoad!E167*'Base Hours'!V168*'Base Hours'!$AA168)*-1</f>
        <v>-0</v>
      </c>
      <c r="AE168" s="418"/>
      <c r="AF168" s="418" t="n">
        <f aca="false">(BaseLoad!F167*'Base Hours'!V168*'Base Hours'!$AA168)*-1</f>
        <v>-0</v>
      </c>
      <c r="AG168" s="418"/>
    </row>
    <row r="169" customFormat="false" ht="12.75" hidden="false" customHeight="false" outlineLevel="0" collapsed="false">
      <c r="A169" s="400" t="n">
        <f aca="false">A168+30.417</f>
        <v>41376.303</v>
      </c>
      <c r="B169" s="417" t="str">
        <f aca="false">IF($A$1="Peak","-",'Base Hours'!B169*BaseLoad!H168*'Base Hours'!$AA169)</f>
        <v>-</v>
      </c>
      <c r="C169" s="417" t="str">
        <f aca="false">IF($A$1="Peak","-",'Base Hours'!C169*BaseLoad!I168*'Base Hours'!$AA169)</f>
        <v>-</v>
      </c>
      <c r="D169" s="417" t="str">
        <f aca="false">IF($A$1="Peak","-",'Base Hours'!D169*BaseLoad!J168*'Base Hours'!$AA169)</f>
        <v>-</v>
      </c>
      <c r="E169" s="417" t="str">
        <f aca="false">IF($A$1="Peak","-",'Base Hours'!E169*BaseLoad!K168*'Base Hours'!$AA169)</f>
        <v>-</v>
      </c>
      <c r="F169" s="417" t="str">
        <f aca="false">IF($A$1="Peak","-",'Base Hours'!F169*BaseLoad!L168*'Base Hours'!$AA169)</f>
        <v>-</v>
      </c>
      <c r="G169" s="417" t="str">
        <f aca="false">IF($A$1="Peak","-",'Base Hours'!G169*BaseLoad!M168*'Base Hours'!$AA169)</f>
        <v>-</v>
      </c>
      <c r="H169" s="417" t="str">
        <f aca="false">IF($A$1="Peak","-",'Base Hours'!H169*BaseLoad!N168*'Base Hours'!$AA169)</f>
        <v>-</v>
      </c>
      <c r="I169" s="417" t="str">
        <f aca="false">IF($A$1="Peak","-",'Base Hours'!I169*BaseLoad!O168*'Base Hours'!$AA169)</f>
        <v>-</v>
      </c>
      <c r="J169" s="417" t="str">
        <f aca="false">IF($A$1="Peak","-",'Base Hours'!J169*BaseLoad!P168*'Base Hours'!$AA169)</f>
        <v>-</v>
      </c>
      <c r="K169" s="417" t="str">
        <f aca="false">IF($A$1="Peak","-",'Base Hours'!K169*BaseLoad!Q168*'Base Hours'!$AA169)</f>
        <v>-</v>
      </c>
      <c r="L169" s="417" t="str">
        <f aca="false">IF($A$1="Peak","-",'Base Hours'!L169*BaseLoad!R168*'Base Hours'!$AA169)</f>
        <v>-</v>
      </c>
      <c r="M169" s="417" t="str">
        <f aca="false">IF($A$1="Peak","-",'Base Hours'!M169*BaseLoad!S168*'Base Hours'!$AA169)</f>
        <v>-</v>
      </c>
      <c r="N169" s="417" t="str">
        <f aca="false">IF($A$1="Peak","-",'Base Hours'!N169*BaseLoad!T168*'Base Hours'!$AA169)</f>
        <v>-</v>
      </c>
      <c r="O169" s="417" t="str">
        <f aca="false">IF($A$1="Peak","-",'Base Hours'!O169*BaseLoad!U168*'Base Hours'!$AA169)</f>
        <v>-</v>
      </c>
      <c r="P169" s="417" t="str">
        <f aca="false">IF($A$1="Peak","-",'Base Hours'!P169*BaseLoad!V168*'Base Hours'!$AA169)</f>
        <v>-</v>
      </c>
      <c r="Q169" s="417" t="str">
        <f aca="false">IF($A$1="Peak","-",'Base Hours'!Q169*BaseLoad!W168*'Base Hours'!$AA169)</f>
        <v>-</v>
      </c>
      <c r="R169" s="417" t="str">
        <f aca="false">IF($A$1="Peak","-",'Base Hours'!R169*BaseLoad!X168*'Base Hours'!$AA169)</f>
        <v>-</v>
      </c>
      <c r="S169" s="417" t="str">
        <f aca="false">IF($A$1="Peak","-",'Base Hours'!S169*BaseLoad!Y168*'Base Hours'!$AA169)</f>
        <v>-</v>
      </c>
      <c r="T169" s="417" t="str">
        <f aca="false">IF($A$1="Peak","-",'Base Hours'!T169*BaseLoad!Z168*'Base Hours'!$AA169)</f>
        <v>-</v>
      </c>
      <c r="U169" s="417" t="str">
        <f aca="false">IF($A$1="Peak","-",'Base Hours'!U169*BaseLoad!AA168*'Base Hours'!$AA169)</f>
        <v>-</v>
      </c>
      <c r="V169" s="417" t="n">
        <f aca="false">SUM(B169:U169)-(MAX(B169:U169))</f>
        <v>0</v>
      </c>
      <c r="W169" s="417"/>
      <c r="X169" s="417"/>
      <c r="Y169" s="418"/>
      <c r="Z169" s="418" t="n">
        <f aca="false">(BaseLoad!C168*'Base Hours'!V169*'Base Hours'!$AA169)*-1</f>
        <v>-0</v>
      </c>
      <c r="AA169" s="418"/>
      <c r="AB169" s="418" t="n">
        <f aca="false">(BaseLoad!D168*'Base Hours'!V169*'Base Hours'!$AA169)*-1</f>
        <v>-0</v>
      </c>
      <c r="AC169" s="418"/>
      <c r="AD169" s="418" t="n">
        <f aca="false">(BaseLoad!E168*'Base Hours'!V169*'Base Hours'!$AA169)*-1</f>
        <v>-0</v>
      </c>
      <c r="AE169" s="418"/>
      <c r="AF169" s="418" t="n">
        <f aca="false">(BaseLoad!F168*'Base Hours'!V169*'Base Hours'!$AA169)*-1</f>
        <v>-0</v>
      </c>
      <c r="AG169" s="418"/>
    </row>
    <row r="170" customFormat="false" ht="12.75" hidden="false" customHeight="false" outlineLevel="0" collapsed="false">
      <c r="A170" s="400" t="n">
        <f aca="false">A169+30.417</f>
        <v>41406.72</v>
      </c>
      <c r="B170" s="417" t="str">
        <f aca="false">IF($A$1="Peak","-",'Base Hours'!B170*BaseLoad!H169*'Base Hours'!$AA170)</f>
        <v>-</v>
      </c>
      <c r="C170" s="417" t="str">
        <f aca="false">IF($A$1="Peak","-",'Base Hours'!C170*BaseLoad!I169*'Base Hours'!$AA170)</f>
        <v>-</v>
      </c>
      <c r="D170" s="417" t="str">
        <f aca="false">IF($A$1="Peak","-",'Base Hours'!D170*BaseLoad!J169*'Base Hours'!$AA170)</f>
        <v>-</v>
      </c>
      <c r="E170" s="417" t="str">
        <f aca="false">IF($A$1="Peak","-",'Base Hours'!E170*BaseLoad!K169*'Base Hours'!$AA170)</f>
        <v>-</v>
      </c>
      <c r="F170" s="417" t="str">
        <f aca="false">IF($A$1="Peak","-",'Base Hours'!F170*BaseLoad!L169*'Base Hours'!$AA170)</f>
        <v>-</v>
      </c>
      <c r="G170" s="417" t="str">
        <f aca="false">IF($A$1="Peak","-",'Base Hours'!G170*BaseLoad!M169*'Base Hours'!$AA170)</f>
        <v>-</v>
      </c>
      <c r="H170" s="417" t="str">
        <f aca="false">IF($A$1="Peak","-",'Base Hours'!H170*BaseLoad!N169*'Base Hours'!$AA170)</f>
        <v>-</v>
      </c>
      <c r="I170" s="417" t="str">
        <f aca="false">IF($A$1="Peak","-",'Base Hours'!I170*BaseLoad!O169*'Base Hours'!$AA170)</f>
        <v>-</v>
      </c>
      <c r="J170" s="417" t="str">
        <f aca="false">IF($A$1="Peak","-",'Base Hours'!J170*BaseLoad!P169*'Base Hours'!$AA170)</f>
        <v>-</v>
      </c>
      <c r="K170" s="417" t="str">
        <f aca="false">IF($A$1="Peak","-",'Base Hours'!K170*BaseLoad!Q169*'Base Hours'!$AA170)</f>
        <v>-</v>
      </c>
      <c r="L170" s="417" t="str">
        <f aca="false">IF($A$1="Peak","-",'Base Hours'!L170*BaseLoad!R169*'Base Hours'!$AA170)</f>
        <v>-</v>
      </c>
      <c r="M170" s="417" t="str">
        <f aca="false">IF($A$1="Peak","-",'Base Hours'!M170*BaseLoad!S169*'Base Hours'!$AA170)</f>
        <v>-</v>
      </c>
      <c r="N170" s="417" t="str">
        <f aca="false">IF($A$1="Peak","-",'Base Hours'!N170*BaseLoad!T169*'Base Hours'!$AA170)</f>
        <v>-</v>
      </c>
      <c r="O170" s="417" t="str">
        <f aca="false">IF($A$1="Peak","-",'Base Hours'!O170*BaseLoad!U169*'Base Hours'!$AA170)</f>
        <v>-</v>
      </c>
      <c r="P170" s="417" t="str">
        <f aca="false">IF($A$1="Peak","-",'Base Hours'!P170*BaseLoad!V169*'Base Hours'!$AA170)</f>
        <v>-</v>
      </c>
      <c r="Q170" s="417" t="str">
        <f aca="false">IF($A$1="Peak","-",'Base Hours'!Q170*BaseLoad!W169*'Base Hours'!$AA170)</f>
        <v>-</v>
      </c>
      <c r="R170" s="417" t="str">
        <f aca="false">IF($A$1="Peak","-",'Base Hours'!R170*BaseLoad!X169*'Base Hours'!$AA170)</f>
        <v>-</v>
      </c>
      <c r="S170" s="417" t="str">
        <f aca="false">IF($A$1="Peak","-",'Base Hours'!S170*BaseLoad!Y169*'Base Hours'!$AA170)</f>
        <v>-</v>
      </c>
      <c r="T170" s="417" t="str">
        <f aca="false">IF($A$1="Peak","-",'Base Hours'!T170*BaseLoad!Z169*'Base Hours'!$AA170)</f>
        <v>-</v>
      </c>
      <c r="U170" s="417" t="str">
        <f aca="false">IF($A$1="Peak","-",'Base Hours'!U170*BaseLoad!AA169*'Base Hours'!$AA170)</f>
        <v>-</v>
      </c>
      <c r="V170" s="417" t="n">
        <f aca="false">SUM(B170:U170)-(MAX(B170:U170))</f>
        <v>0</v>
      </c>
      <c r="W170" s="417"/>
      <c r="X170" s="417"/>
      <c r="Y170" s="418"/>
      <c r="Z170" s="418" t="n">
        <f aca="false">(BaseLoad!C169*'Base Hours'!V170*'Base Hours'!$AA170)*-1</f>
        <v>-0</v>
      </c>
      <c r="AA170" s="418"/>
      <c r="AB170" s="418" t="n">
        <f aca="false">(BaseLoad!D169*'Base Hours'!V170*'Base Hours'!$AA170)*-1</f>
        <v>-0</v>
      </c>
      <c r="AC170" s="418"/>
      <c r="AD170" s="418" t="n">
        <f aca="false">(BaseLoad!E169*'Base Hours'!V170*'Base Hours'!$AA170)*-1</f>
        <v>-0</v>
      </c>
      <c r="AE170" s="418"/>
      <c r="AF170" s="418" t="n">
        <f aca="false">(BaseLoad!F169*'Base Hours'!V170*'Base Hours'!$AA170)*-1</f>
        <v>-0</v>
      </c>
      <c r="AG170" s="418"/>
    </row>
    <row r="171" customFormat="false" ht="12.75" hidden="false" customHeight="false" outlineLevel="0" collapsed="false">
      <c r="A171" s="400" t="n">
        <f aca="false">A170+30.417</f>
        <v>41437.137</v>
      </c>
      <c r="B171" s="417" t="str">
        <f aca="false">IF($A$1="Peak","-",'Base Hours'!B171*BaseLoad!H170*'Base Hours'!$AA171)</f>
        <v>-</v>
      </c>
      <c r="C171" s="417" t="str">
        <f aca="false">IF($A$1="Peak","-",'Base Hours'!C171*BaseLoad!I170*'Base Hours'!$AA171)</f>
        <v>-</v>
      </c>
      <c r="D171" s="417" t="str">
        <f aca="false">IF($A$1="Peak","-",'Base Hours'!D171*BaseLoad!J170*'Base Hours'!$AA171)</f>
        <v>-</v>
      </c>
      <c r="E171" s="417" t="str">
        <f aca="false">IF($A$1="Peak","-",'Base Hours'!E171*BaseLoad!K170*'Base Hours'!$AA171)</f>
        <v>-</v>
      </c>
      <c r="F171" s="417" t="str">
        <f aca="false">IF($A$1="Peak","-",'Base Hours'!F171*BaseLoad!L170*'Base Hours'!$AA171)</f>
        <v>-</v>
      </c>
      <c r="G171" s="417" t="str">
        <f aca="false">IF($A$1="Peak","-",'Base Hours'!G171*BaseLoad!M170*'Base Hours'!$AA171)</f>
        <v>-</v>
      </c>
      <c r="H171" s="417" t="str">
        <f aca="false">IF($A$1="Peak","-",'Base Hours'!H171*BaseLoad!N170*'Base Hours'!$AA171)</f>
        <v>-</v>
      </c>
      <c r="I171" s="417" t="str">
        <f aca="false">IF($A$1="Peak","-",'Base Hours'!I171*BaseLoad!O170*'Base Hours'!$AA171)</f>
        <v>-</v>
      </c>
      <c r="J171" s="417" t="str">
        <f aca="false">IF($A$1="Peak","-",'Base Hours'!J171*BaseLoad!P170*'Base Hours'!$AA171)</f>
        <v>-</v>
      </c>
      <c r="K171" s="417" t="str">
        <f aca="false">IF($A$1="Peak","-",'Base Hours'!K171*BaseLoad!Q170*'Base Hours'!$AA171)</f>
        <v>-</v>
      </c>
      <c r="L171" s="417" t="str">
        <f aca="false">IF($A$1="Peak","-",'Base Hours'!L171*BaseLoad!R170*'Base Hours'!$AA171)</f>
        <v>-</v>
      </c>
      <c r="M171" s="417" t="str">
        <f aca="false">IF($A$1="Peak","-",'Base Hours'!M171*BaseLoad!S170*'Base Hours'!$AA171)</f>
        <v>-</v>
      </c>
      <c r="N171" s="417" t="str">
        <f aca="false">IF($A$1="Peak","-",'Base Hours'!N171*BaseLoad!T170*'Base Hours'!$AA171)</f>
        <v>-</v>
      </c>
      <c r="O171" s="417" t="str">
        <f aca="false">IF($A$1="Peak","-",'Base Hours'!O171*BaseLoad!U170*'Base Hours'!$AA171)</f>
        <v>-</v>
      </c>
      <c r="P171" s="417" t="str">
        <f aca="false">IF($A$1="Peak","-",'Base Hours'!P171*BaseLoad!V170*'Base Hours'!$AA171)</f>
        <v>-</v>
      </c>
      <c r="Q171" s="417" t="str">
        <f aca="false">IF($A$1="Peak","-",'Base Hours'!Q171*BaseLoad!W170*'Base Hours'!$AA171)</f>
        <v>-</v>
      </c>
      <c r="R171" s="417" t="str">
        <f aca="false">IF($A$1="Peak","-",'Base Hours'!R171*BaseLoad!X170*'Base Hours'!$AA171)</f>
        <v>-</v>
      </c>
      <c r="S171" s="417" t="str">
        <f aca="false">IF($A$1="Peak","-",'Base Hours'!S171*BaseLoad!Y170*'Base Hours'!$AA171)</f>
        <v>-</v>
      </c>
      <c r="T171" s="417" t="str">
        <f aca="false">IF($A$1="Peak","-",'Base Hours'!T171*BaseLoad!Z170*'Base Hours'!$AA171)</f>
        <v>-</v>
      </c>
      <c r="U171" s="417" t="str">
        <f aca="false">IF($A$1="Peak","-",'Base Hours'!U171*BaseLoad!AA170*'Base Hours'!$AA171)</f>
        <v>-</v>
      </c>
      <c r="V171" s="417" t="n">
        <f aca="false">SUM(B171:U171)-(MAX(B171:U171))</f>
        <v>0</v>
      </c>
      <c r="W171" s="417"/>
      <c r="X171" s="417"/>
      <c r="Y171" s="418"/>
      <c r="Z171" s="418" t="n">
        <f aca="false">(BaseLoad!C170*'Base Hours'!V171*'Base Hours'!$AA171)*-1</f>
        <v>-0</v>
      </c>
      <c r="AA171" s="418"/>
      <c r="AB171" s="418" t="n">
        <f aca="false">(BaseLoad!D170*'Base Hours'!V171*'Base Hours'!$AA171)*-1</f>
        <v>-0</v>
      </c>
      <c r="AC171" s="418"/>
      <c r="AD171" s="418" t="n">
        <f aca="false">(BaseLoad!E170*'Base Hours'!V171*'Base Hours'!$AA171)*-1</f>
        <v>-0</v>
      </c>
      <c r="AE171" s="418"/>
      <c r="AF171" s="418" t="n">
        <f aca="false">(BaseLoad!F170*'Base Hours'!V171*'Base Hours'!$AA171)*-1</f>
        <v>-0</v>
      </c>
      <c r="AG171" s="418"/>
    </row>
    <row r="172" customFormat="false" ht="12.75" hidden="false" customHeight="false" outlineLevel="0" collapsed="false">
      <c r="A172" s="400" t="n">
        <f aca="false">A171+30.417</f>
        <v>41467.554</v>
      </c>
      <c r="B172" s="417" t="str">
        <f aca="false">IF($A$1="Peak","-",'Base Hours'!B172*BaseLoad!H171*'Base Hours'!$AA172)</f>
        <v>-</v>
      </c>
      <c r="C172" s="417" t="str">
        <f aca="false">IF($A$1="Peak","-",'Base Hours'!C172*BaseLoad!I171*'Base Hours'!$AA172)</f>
        <v>-</v>
      </c>
      <c r="D172" s="417" t="str">
        <f aca="false">IF($A$1="Peak","-",'Base Hours'!D172*BaseLoad!J171*'Base Hours'!$AA172)</f>
        <v>-</v>
      </c>
      <c r="E172" s="417" t="str">
        <f aca="false">IF($A$1="Peak","-",'Base Hours'!E172*BaseLoad!K171*'Base Hours'!$AA172)</f>
        <v>-</v>
      </c>
      <c r="F172" s="417" t="str">
        <f aca="false">IF($A$1="Peak","-",'Base Hours'!F172*BaseLoad!L171*'Base Hours'!$AA172)</f>
        <v>-</v>
      </c>
      <c r="G172" s="417" t="str">
        <f aca="false">IF($A$1="Peak","-",'Base Hours'!G172*BaseLoad!M171*'Base Hours'!$AA172)</f>
        <v>-</v>
      </c>
      <c r="H172" s="417" t="str">
        <f aca="false">IF($A$1="Peak","-",'Base Hours'!H172*BaseLoad!N171*'Base Hours'!$AA172)</f>
        <v>-</v>
      </c>
      <c r="I172" s="417" t="str">
        <f aca="false">IF($A$1="Peak","-",'Base Hours'!I172*BaseLoad!O171*'Base Hours'!$AA172)</f>
        <v>-</v>
      </c>
      <c r="J172" s="417" t="str">
        <f aca="false">IF($A$1="Peak","-",'Base Hours'!J172*BaseLoad!P171*'Base Hours'!$AA172)</f>
        <v>-</v>
      </c>
      <c r="K172" s="417" t="str">
        <f aca="false">IF($A$1="Peak","-",'Base Hours'!K172*BaseLoad!Q171*'Base Hours'!$AA172)</f>
        <v>-</v>
      </c>
      <c r="L172" s="417" t="str">
        <f aca="false">IF($A$1="Peak","-",'Base Hours'!L172*BaseLoad!R171*'Base Hours'!$AA172)</f>
        <v>-</v>
      </c>
      <c r="M172" s="417" t="str">
        <f aca="false">IF($A$1="Peak","-",'Base Hours'!M172*BaseLoad!S171*'Base Hours'!$AA172)</f>
        <v>-</v>
      </c>
      <c r="N172" s="417" t="str">
        <f aca="false">IF($A$1="Peak","-",'Base Hours'!N172*BaseLoad!T171*'Base Hours'!$AA172)</f>
        <v>-</v>
      </c>
      <c r="O172" s="417" t="str">
        <f aca="false">IF($A$1="Peak","-",'Base Hours'!O172*BaseLoad!U171*'Base Hours'!$AA172)</f>
        <v>-</v>
      </c>
      <c r="P172" s="417" t="str">
        <f aca="false">IF($A$1="Peak","-",'Base Hours'!P172*BaseLoad!V171*'Base Hours'!$AA172)</f>
        <v>-</v>
      </c>
      <c r="Q172" s="417" t="str">
        <f aca="false">IF($A$1="Peak","-",'Base Hours'!Q172*BaseLoad!W171*'Base Hours'!$AA172)</f>
        <v>-</v>
      </c>
      <c r="R172" s="417" t="str">
        <f aca="false">IF($A$1="Peak","-",'Base Hours'!R172*BaseLoad!X171*'Base Hours'!$AA172)</f>
        <v>-</v>
      </c>
      <c r="S172" s="417" t="str">
        <f aca="false">IF($A$1="Peak","-",'Base Hours'!S172*BaseLoad!Y171*'Base Hours'!$AA172)</f>
        <v>-</v>
      </c>
      <c r="T172" s="417" t="str">
        <f aca="false">IF($A$1="Peak","-",'Base Hours'!T172*BaseLoad!Z171*'Base Hours'!$AA172)</f>
        <v>-</v>
      </c>
      <c r="U172" s="417" t="str">
        <f aca="false">IF($A$1="Peak","-",'Base Hours'!U172*BaseLoad!AA171*'Base Hours'!$AA172)</f>
        <v>-</v>
      </c>
      <c r="V172" s="417" t="n">
        <f aca="false">SUM(B172:U172)-(MAX(B172:U172))</f>
        <v>0</v>
      </c>
      <c r="W172" s="417"/>
      <c r="X172" s="417"/>
      <c r="Y172" s="418"/>
      <c r="Z172" s="418" t="n">
        <f aca="false">(BaseLoad!C171*'Base Hours'!V172*'Base Hours'!$AA172)*-1</f>
        <v>-0</v>
      </c>
      <c r="AA172" s="418"/>
      <c r="AB172" s="418" t="n">
        <f aca="false">(BaseLoad!D171*'Base Hours'!V172*'Base Hours'!$AA172)*-1</f>
        <v>-0</v>
      </c>
      <c r="AC172" s="418"/>
      <c r="AD172" s="418" t="n">
        <f aca="false">(BaseLoad!E171*'Base Hours'!V172*'Base Hours'!$AA172)*-1</f>
        <v>-0</v>
      </c>
      <c r="AE172" s="418"/>
      <c r="AF172" s="418" t="n">
        <f aca="false">(BaseLoad!F171*'Base Hours'!V172*'Base Hours'!$AA172)*-1</f>
        <v>-0</v>
      </c>
      <c r="AG172" s="418"/>
    </row>
    <row r="173" customFormat="false" ht="12.75" hidden="false" customHeight="false" outlineLevel="0" collapsed="false">
      <c r="A173" s="400" t="n">
        <f aca="false">A172+30.417</f>
        <v>41497.971</v>
      </c>
      <c r="B173" s="417" t="str">
        <f aca="false">IF($A$1="Peak","-",'Base Hours'!B173*BaseLoad!H172*'Base Hours'!$AA173)</f>
        <v>-</v>
      </c>
      <c r="C173" s="417" t="str">
        <f aca="false">IF($A$1="Peak","-",'Base Hours'!C173*BaseLoad!I172*'Base Hours'!$AA173)</f>
        <v>-</v>
      </c>
      <c r="D173" s="417" t="str">
        <f aca="false">IF($A$1="Peak","-",'Base Hours'!D173*BaseLoad!J172*'Base Hours'!$AA173)</f>
        <v>-</v>
      </c>
      <c r="E173" s="417" t="str">
        <f aca="false">IF($A$1="Peak","-",'Base Hours'!E173*BaseLoad!K172*'Base Hours'!$AA173)</f>
        <v>-</v>
      </c>
      <c r="F173" s="417" t="str">
        <f aca="false">IF($A$1="Peak","-",'Base Hours'!F173*BaseLoad!L172*'Base Hours'!$AA173)</f>
        <v>-</v>
      </c>
      <c r="G173" s="417" t="str">
        <f aca="false">IF($A$1="Peak","-",'Base Hours'!G173*BaseLoad!M172*'Base Hours'!$AA173)</f>
        <v>-</v>
      </c>
      <c r="H173" s="417" t="str">
        <f aca="false">IF($A$1="Peak","-",'Base Hours'!H173*BaseLoad!N172*'Base Hours'!$AA173)</f>
        <v>-</v>
      </c>
      <c r="I173" s="417" t="str">
        <f aca="false">IF($A$1="Peak","-",'Base Hours'!I173*BaseLoad!O172*'Base Hours'!$AA173)</f>
        <v>-</v>
      </c>
      <c r="J173" s="417" t="str">
        <f aca="false">IF($A$1="Peak","-",'Base Hours'!J173*BaseLoad!P172*'Base Hours'!$AA173)</f>
        <v>-</v>
      </c>
      <c r="K173" s="417" t="str">
        <f aca="false">IF($A$1="Peak","-",'Base Hours'!K173*BaseLoad!Q172*'Base Hours'!$AA173)</f>
        <v>-</v>
      </c>
      <c r="L173" s="417" t="str">
        <f aca="false">IF($A$1="Peak","-",'Base Hours'!L173*BaseLoad!R172*'Base Hours'!$AA173)</f>
        <v>-</v>
      </c>
      <c r="M173" s="417" t="str">
        <f aca="false">IF($A$1="Peak","-",'Base Hours'!M173*BaseLoad!S172*'Base Hours'!$AA173)</f>
        <v>-</v>
      </c>
      <c r="N173" s="417" t="str">
        <f aca="false">IF($A$1="Peak","-",'Base Hours'!N173*BaseLoad!T172*'Base Hours'!$AA173)</f>
        <v>-</v>
      </c>
      <c r="O173" s="417" t="str">
        <f aca="false">IF($A$1="Peak","-",'Base Hours'!O173*BaseLoad!U172*'Base Hours'!$AA173)</f>
        <v>-</v>
      </c>
      <c r="P173" s="417" t="str">
        <f aca="false">IF($A$1="Peak","-",'Base Hours'!P173*BaseLoad!V172*'Base Hours'!$AA173)</f>
        <v>-</v>
      </c>
      <c r="Q173" s="417" t="str">
        <f aca="false">IF($A$1="Peak","-",'Base Hours'!Q173*BaseLoad!W172*'Base Hours'!$AA173)</f>
        <v>-</v>
      </c>
      <c r="R173" s="417" t="str">
        <f aca="false">IF($A$1="Peak","-",'Base Hours'!R173*BaseLoad!X172*'Base Hours'!$AA173)</f>
        <v>-</v>
      </c>
      <c r="S173" s="417" t="str">
        <f aca="false">IF($A$1="Peak","-",'Base Hours'!S173*BaseLoad!Y172*'Base Hours'!$AA173)</f>
        <v>-</v>
      </c>
      <c r="T173" s="417" t="str">
        <f aca="false">IF($A$1="Peak","-",'Base Hours'!T173*BaseLoad!Z172*'Base Hours'!$AA173)</f>
        <v>-</v>
      </c>
      <c r="U173" s="417" t="str">
        <f aca="false">IF($A$1="Peak","-",'Base Hours'!U173*BaseLoad!AA172*'Base Hours'!$AA173)</f>
        <v>-</v>
      </c>
      <c r="V173" s="417" t="n">
        <f aca="false">SUM(B173:U173)-(MAX(B173:U173))</f>
        <v>0</v>
      </c>
      <c r="W173" s="417"/>
      <c r="X173" s="417"/>
      <c r="Y173" s="418"/>
      <c r="Z173" s="418" t="n">
        <f aca="false">(BaseLoad!C172*'Base Hours'!V173*'Base Hours'!$AA173)*-1</f>
        <v>-0</v>
      </c>
      <c r="AA173" s="418"/>
      <c r="AB173" s="418" t="n">
        <f aca="false">(BaseLoad!D172*'Base Hours'!V173*'Base Hours'!$AA173)*-1</f>
        <v>-0</v>
      </c>
      <c r="AC173" s="418"/>
      <c r="AD173" s="418" t="n">
        <f aca="false">(BaseLoad!E172*'Base Hours'!V173*'Base Hours'!$AA173)*-1</f>
        <v>-0</v>
      </c>
      <c r="AE173" s="418"/>
      <c r="AF173" s="418" t="n">
        <f aca="false">(BaseLoad!F172*'Base Hours'!V173*'Base Hours'!$AA173)*-1</f>
        <v>-0</v>
      </c>
      <c r="AG173" s="418"/>
    </row>
    <row r="174" customFormat="false" ht="12.75" hidden="false" customHeight="false" outlineLevel="0" collapsed="false">
      <c r="A174" s="400" t="n">
        <f aca="false">A173+30.417</f>
        <v>41528.388</v>
      </c>
      <c r="B174" s="417" t="str">
        <f aca="false">IF($A$1="Peak","-",'Base Hours'!B174*BaseLoad!H173*'Base Hours'!$AA174)</f>
        <v>-</v>
      </c>
      <c r="C174" s="417" t="str">
        <f aca="false">IF($A$1="Peak","-",'Base Hours'!C174*BaseLoad!I173*'Base Hours'!$AA174)</f>
        <v>-</v>
      </c>
      <c r="D174" s="417" t="str">
        <f aca="false">IF($A$1="Peak","-",'Base Hours'!D174*BaseLoad!J173*'Base Hours'!$AA174)</f>
        <v>-</v>
      </c>
      <c r="E174" s="417" t="str">
        <f aca="false">IF($A$1="Peak","-",'Base Hours'!E174*BaseLoad!K173*'Base Hours'!$AA174)</f>
        <v>-</v>
      </c>
      <c r="F174" s="417" t="str">
        <f aca="false">IF($A$1="Peak","-",'Base Hours'!F174*BaseLoad!L173*'Base Hours'!$AA174)</f>
        <v>-</v>
      </c>
      <c r="G174" s="417" t="str">
        <f aca="false">IF($A$1="Peak","-",'Base Hours'!G174*BaseLoad!M173*'Base Hours'!$AA174)</f>
        <v>-</v>
      </c>
      <c r="H174" s="417" t="str">
        <f aca="false">IF($A$1="Peak","-",'Base Hours'!H174*BaseLoad!N173*'Base Hours'!$AA174)</f>
        <v>-</v>
      </c>
      <c r="I174" s="417" t="str">
        <f aca="false">IF($A$1="Peak","-",'Base Hours'!I174*BaseLoad!O173*'Base Hours'!$AA174)</f>
        <v>-</v>
      </c>
      <c r="J174" s="417" t="str">
        <f aca="false">IF($A$1="Peak","-",'Base Hours'!J174*BaseLoad!P173*'Base Hours'!$AA174)</f>
        <v>-</v>
      </c>
      <c r="K174" s="417" t="str">
        <f aca="false">IF($A$1="Peak","-",'Base Hours'!K174*BaseLoad!Q173*'Base Hours'!$AA174)</f>
        <v>-</v>
      </c>
      <c r="L174" s="417" t="str">
        <f aca="false">IF($A$1="Peak","-",'Base Hours'!L174*BaseLoad!R173*'Base Hours'!$AA174)</f>
        <v>-</v>
      </c>
      <c r="M174" s="417" t="str">
        <f aca="false">IF($A$1="Peak","-",'Base Hours'!M174*BaseLoad!S173*'Base Hours'!$AA174)</f>
        <v>-</v>
      </c>
      <c r="N174" s="417" t="str">
        <f aca="false">IF($A$1="Peak","-",'Base Hours'!N174*BaseLoad!T173*'Base Hours'!$AA174)</f>
        <v>-</v>
      </c>
      <c r="O174" s="417" t="str">
        <f aca="false">IF($A$1="Peak","-",'Base Hours'!O174*BaseLoad!U173*'Base Hours'!$AA174)</f>
        <v>-</v>
      </c>
      <c r="P174" s="417" t="str">
        <f aca="false">IF($A$1="Peak","-",'Base Hours'!P174*BaseLoad!V173*'Base Hours'!$AA174)</f>
        <v>-</v>
      </c>
      <c r="Q174" s="417" t="str">
        <f aca="false">IF($A$1="Peak","-",'Base Hours'!Q174*BaseLoad!W173*'Base Hours'!$AA174)</f>
        <v>-</v>
      </c>
      <c r="R174" s="417" t="str">
        <f aca="false">IF($A$1="Peak","-",'Base Hours'!R174*BaseLoad!X173*'Base Hours'!$AA174)</f>
        <v>-</v>
      </c>
      <c r="S174" s="417" t="str">
        <f aca="false">IF($A$1="Peak","-",'Base Hours'!S174*BaseLoad!Y173*'Base Hours'!$AA174)</f>
        <v>-</v>
      </c>
      <c r="T174" s="417" t="str">
        <f aca="false">IF($A$1="Peak","-",'Base Hours'!T174*BaseLoad!Z173*'Base Hours'!$AA174)</f>
        <v>-</v>
      </c>
      <c r="U174" s="417" t="str">
        <f aca="false">IF($A$1="Peak","-",'Base Hours'!U174*BaseLoad!AA173*'Base Hours'!$AA174)</f>
        <v>-</v>
      </c>
      <c r="V174" s="417" t="n">
        <f aca="false">SUM(B174:U174)-(MAX(B174:U174))</f>
        <v>0</v>
      </c>
      <c r="W174" s="417"/>
      <c r="X174" s="417"/>
      <c r="Y174" s="418"/>
      <c r="Z174" s="418" t="n">
        <f aca="false">(BaseLoad!C173*'Base Hours'!V174*'Base Hours'!$AA174)*-1</f>
        <v>-0</v>
      </c>
      <c r="AA174" s="418"/>
      <c r="AB174" s="418" t="n">
        <f aca="false">(BaseLoad!D173*'Base Hours'!V174*'Base Hours'!$AA174)*-1</f>
        <v>-0</v>
      </c>
      <c r="AC174" s="418"/>
      <c r="AD174" s="418" t="n">
        <f aca="false">(BaseLoad!E173*'Base Hours'!V174*'Base Hours'!$AA174)*-1</f>
        <v>-0</v>
      </c>
      <c r="AE174" s="418"/>
      <c r="AF174" s="418" t="n">
        <f aca="false">(BaseLoad!F173*'Base Hours'!V174*'Base Hours'!$AA174)*-1</f>
        <v>-0</v>
      </c>
      <c r="AG174" s="418"/>
    </row>
    <row r="175" customFormat="false" ht="12.75" hidden="false" customHeight="false" outlineLevel="0" collapsed="false">
      <c r="A175" s="400" t="n">
        <f aca="false">A174+30.417</f>
        <v>41558.805</v>
      </c>
      <c r="B175" s="417" t="str">
        <f aca="false">IF($A$1="Peak","-",'Base Hours'!B175*BaseLoad!H174*'Base Hours'!$AA175)</f>
        <v>-</v>
      </c>
      <c r="C175" s="417" t="str">
        <f aca="false">IF($A$1="Peak","-",'Base Hours'!C175*BaseLoad!I174*'Base Hours'!$AA175)</f>
        <v>-</v>
      </c>
      <c r="D175" s="417" t="str">
        <f aca="false">IF($A$1="Peak","-",'Base Hours'!D175*BaseLoad!J174*'Base Hours'!$AA175)</f>
        <v>-</v>
      </c>
      <c r="E175" s="417" t="str">
        <f aca="false">IF($A$1="Peak","-",'Base Hours'!E175*BaseLoad!K174*'Base Hours'!$AA175)</f>
        <v>-</v>
      </c>
      <c r="F175" s="417" t="str">
        <f aca="false">IF($A$1="Peak","-",'Base Hours'!F175*BaseLoad!L174*'Base Hours'!$AA175)</f>
        <v>-</v>
      </c>
      <c r="G175" s="417" t="str">
        <f aca="false">IF($A$1="Peak","-",'Base Hours'!G175*BaseLoad!M174*'Base Hours'!$AA175)</f>
        <v>-</v>
      </c>
      <c r="H175" s="417" t="str">
        <f aca="false">IF($A$1="Peak","-",'Base Hours'!H175*BaseLoad!N174*'Base Hours'!$AA175)</f>
        <v>-</v>
      </c>
      <c r="I175" s="417" t="str">
        <f aca="false">IF($A$1="Peak","-",'Base Hours'!I175*BaseLoad!O174*'Base Hours'!$AA175)</f>
        <v>-</v>
      </c>
      <c r="J175" s="417" t="str">
        <f aca="false">IF($A$1="Peak","-",'Base Hours'!J175*BaseLoad!P174*'Base Hours'!$AA175)</f>
        <v>-</v>
      </c>
      <c r="K175" s="417" t="str">
        <f aca="false">IF($A$1="Peak","-",'Base Hours'!K175*BaseLoad!Q174*'Base Hours'!$AA175)</f>
        <v>-</v>
      </c>
      <c r="L175" s="417" t="str">
        <f aca="false">IF($A$1="Peak","-",'Base Hours'!L175*BaseLoad!R174*'Base Hours'!$AA175)</f>
        <v>-</v>
      </c>
      <c r="M175" s="417" t="str">
        <f aca="false">IF($A$1="Peak","-",'Base Hours'!M175*BaseLoad!S174*'Base Hours'!$AA175)</f>
        <v>-</v>
      </c>
      <c r="N175" s="417" t="str">
        <f aca="false">IF($A$1="Peak","-",'Base Hours'!N175*BaseLoad!T174*'Base Hours'!$AA175)</f>
        <v>-</v>
      </c>
      <c r="O175" s="417" t="str">
        <f aca="false">IF($A$1="Peak","-",'Base Hours'!O175*BaseLoad!U174*'Base Hours'!$AA175)</f>
        <v>-</v>
      </c>
      <c r="P175" s="417" t="str">
        <f aca="false">IF($A$1="Peak","-",'Base Hours'!P175*BaseLoad!V174*'Base Hours'!$AA175)</f>
        <v>-</v>
      </c>
      <c r="Q175" s="417" t="str">
        <f aca="false">IF($A$1="Peak","-",'Base Hours'!Q175*BaseLoad!W174*'Base Hours'!$AA175)</f>
        <v>-</v>
      </c>
      <c r="R175" s="417" t="str">
        <f aca="false">IF($A$1="Peak","-",'Base Hours'!R175*BaseLoad!X174*'Base Hours'!$AA175)</f>
        <v>-</v>
      </c>
      <c r="S175" s="417" t="str">
        <f aca="false">IF($A$1="Peak","-",'Base Hours'!S175*BaseLoad!Y174*'Base Hours'!$AA175)</f>
        <v>-</v>
      </c>
      <c r="T175" s="417" t="str">
        <f aca="false">IF($A$1="Peak","-",'Base Hours'!T175*BaseLoad!Z174*'Base Hours'!$AA175)</f>
        <v>-</v>
      </c>
      <c r="U175" s="417" t="str">
        <f aca="false">IF($A$1="Peak","-",'Base Hours'!U175*BaseLoad!AA174*'Base Hours'!$AA175)</f>
        <v>-</v>
      </c>
      <c r="V175" s="417" t="n">
        <f aca="false">SUM(B175:U175)-(MAX(B175:U175))</f>
        <v>0</v>
      </c>
      <c r="W175" s="417"/>
      <c r="X175" s="417"/>
      <c r="Y175" s="418"/>
      <c r="Z175" s="418" t="n">
        <f aca="false">(BaseLoad!C174*'Base Hours'!V175*'Base Hours'!$AA175)*-1</f>
        <v>-0</v>
      </c>
      <c r="AA175" s="418"/>
      <c r="AB175" s="418" t="n">
        <f aca="false">(BaseLoad!D174*'Base Hours'!V175*'Base Hours'!$AA175)*-1</f>
        <v>-0</v>
      </c>
      <c r="AC175" s="418"/>
      <c r="AD175" s="418" t="n">
        <f aca="false">(BaseLoad!E174*'Base Hours'!V175*'Base Hours'!$AA175)*-1</f>
        <v>-0</v>
      </c>
      <c r="AE175" s="418"/>
      <c r="AF175" s="418" t="n">
        <f aca="false">(BaseLoad!F174*'Base Hours'!V175*'Base Hours'!$AA175)*-1</f>
        <v>-0</v>
      </c>
      <c r="AG175" s="418"/>
    </row>
    <row r="176" customFormat="false" ht="12.75" hidden="false" customHeight="false" outlineLevel="0" collapsed="false">
      <c r="A176" s="400" t="n">
        <f aca="false">A175+30.417</f>
        <v>41589.222</v>
      </c>
      <c r="B176" s="417" t="str">
        <f aca="false">IF($A$1="Peak","-",'Base Hours'!B176*BaseLoad!H175*'Base Hours'!$AA176)</f>
        <v>-</v>
      </c>
      <c r="C176" s="417" t="str">
        <f aca="false">IF($A$1="Peak","-",'Base Hours'!C176*BaseLoad!I175*'Base Hours'!$AA176)</f>
        <v>-</v>
      </c>
      <c r="D176" s="417" t="str">
        <f aca="false">IF($A$1="Peak","-",'Base Hours'!D176*BaseLoad!J175*'Base Hours'!$AA176)</f>
        <v>-</v>
      </c>
      <c r="E176" s="417" t="str">
        <f aca="false">IF($A$1="Peak","-",'Base Hours'!E176*BaseLoad!K175*'Base Hours'!$AA176)</f>
        <v>-</v>
      </c>
      <c r="F176" s="417" t="str">
        <f aca="false">IF($A$1="Peak","-",'Base Hours'!F176*BaseLoad!L175*'Base Hours'!$AA176)</f>
        <v>-</v>
      </c>
      <c r="G176" s="417" t="str">
        <f aca="false">IF($A$1="Peak","-",'Base Hours'!G176*BaseLoad!M175*'Base Hours'!$AA176)</f>
        <v>-</v>
      </c>
      <c r="H176" s="417" t="str">
        <f aca="false">IF($A$1="Peak","-",'Base Hours'!H176*BaseLoad!N175*'Base Hours'!$AA176)</f>
        <v>-</v>
      </c>
      <c r="I176" s="417" t="str">
        <f aca="false">IF($A$1="Peak","-",'Base Hours'!I176*BaseLoad!O175*'Base Hours'!$AA176)</f>
        <v>-</v>
      </c>
      <c r="J176" s="417" t="str">
        <f aca="false">IF($A$1="Peak","-",'Base Hours'!J176*BaseLoad!P175*'Base Hours'!$AA176)</f>
        <v>-</v>
      </c>
      <c r="K176" s="417" t="str">
        <f aca="false">IF($A$1="Peak","-",'Base Hours'!K176*BaseLoad!Q175*'Base Hours'!$AA176)</f>
        <v>-</v>
      </c>
      <c r="L176" s="417" t="str">
        <f aca="false">IF($A$1="Peak","-",'Base Hours'!L176*BaseLoad!R175*'Base Hours'!$AA176)</f>
        <v>-</v>
      </c>
      <c r="M176" s="417" t="str">
        <f aca="false">IF($A$1="Peak","-",'Base Hours'!M176*BaseLoad!S175*'Base Hours'!$AA176)</f>
        <v>-</v>
      </c>
      <c r="N176" s="417" t="str">
        <f aca="false">IF($A$1="Peak","-",'Base Hours'!N176*BaseLoad!T175*'Base Hours'!$AA176)</f>
        <v>-</v>
      </c>
      <c r="O176" s="417" t="str">
        <f aca="false">IF($A$1="Peak","-",'Base Hours'!O176*BaseLoad!U175*'Base Hours'!$AA176)</f>
        <v>-</v>
      </c>
      <c r="P176" s="417" t="str">
        <f aca="false">IF($A$1="Peak","-",'Base Hours'!P176*BaseLoad!V175*'Base Hours'!$AA176)</f>
        <v>-</v>
      </c>
      <c r="Q176" s="417" t="str">
        <f aca="false">IF($A$1="Peak","-",'Base Hours'!Q176*BaseLoad!W175*'Base Hours'!$AA176)</f>
        <v>-</v>
      </c>
      <c r="R176" s="417" t="str">
        <f aca="false">IF($A$1="Peak","-",'Base Hours'!R176*BaseLoad!X175*'Base Hours'!$AA176)</f>
        <v>-</v>
      </c>
      <c r="S176" s="417" t="str">
        <f aca="false">IF($A$1="Peak","-",'Base Hours'!S176*BaseLoad!Y175*'Base Hours'!$AA176)</f>
        <v>-</v>
      </c>
      <c r="T176" s="417" t="str">
        <f aca="false">IF($A$1="Peak","-",'Base Hours'!T176*BaseLoad!Z175*'Base Hours'!$AA176)</f>
        <v>-</v>
      </c>
      <c r="U176" s="417" t="str">
        <f aca="false">IF($A$1="Peak","-",'Base Hours'!U176*BaseLoad!AA175*'Base Hours'!$AA176)</f>
        <v>-</v>
      </c>
      <c r="V176" s="417" t="n">
        <f aca="false">SUM(B176:U176)-(MAX(B176:U176))</f>
        <v>0</v>
      </c>
      <c r="W176" s="417"/>
      <c r="X176" s="417"/>
      <c r="Y176" s="418"/>
      <c r="Z176" s="418" t="n">
        <f aca="false">(BaseLoad!C175*'Base Hours'!V176*'Base Hours'!$AA176)*-1</f>
        <v>-0</v>
      </c>
      <c r="AA176" s="418"/>
      <c r="AB176" s="418" t="n">
        <f aca="false">(BaseLoad!D175*'Base Hours'!V176*'Base Hours'!$AA176)*-1</f>
        <v>-0</v>
      </c>
      <c r="AC176" s="418"/>
      <c r="AD176" s="418" t="n">
        <f aca="false">(BaseLoad!E175*'Base Hours'!V176*'Base Hours'!$AA176)*-1</f>
        <v>-0</v>
      </c>
      <c r="AE176" s="418"/>
      <c r="AF176" s="418" t="n">
        <f aca="false">(BaseLoad!F175*'Base Hours'!V176*'Base Hours'!$AA176)*-1</f>
        <v>-0</v>
      </c>
      <c r="AG176" s="418"/>
    </row>
    <row r="177" customFormat="false" ht="12.75" hidden="false" customHeight="false" outlineLevel="0" collapsed="false">
      <c r="A177" s="400" t="n">
        <f aca="false">A176+30.417</f>
        <v>41619.639</v>
      </c>
      <c r="B177" s="417" t="str">
        <f aca="false">IF($A$1="Peak","-",'Base Hours'!B177*BaseLoad!H176*'Base Hours'!$AA177)</f>
        <v>-</v>
      </c>
      <c r="C177" s="417" t="str">
        <f aca="false">IF($A$1="Peak","-",'Base Hours'!C177*BaseLoad!I176*'Base Hours'!$AA177)</f>
        <v>-</v>
      </c>
      <c r="D177" s="417" t="str">
        <f aca="false">IF($A$1="Peak","-",'Base Hours'!D177*BaseLoad!J176*'Base Hours'!$AA177)</f>
        <v>-</v>
      </c>
      <c r="E177" s="417" t="str">
        <f aca="false">IF($A$1="Peak","-",'Base Hours'!E177*BaseLoad!K176*'Base Hours'!$AA177)</f>
        <v>-</v>
      </c>
      <c r="F177" s="417" t="str">
        <f aca="false">IF($A$1="Peak","-",'Base Hours'!F177*BaseLoad!L176*'Base Hours'!$AA177)</f>
        <v>-</v>
      </c>
      <c r="G177" s="417" t="str">
        <f aca="false">IF($A$1="Peak","-",'Base Hours'!G177*BaseLoad!M176*'Base Hours'!$AA177)</f>
        <v>-</v>
      </c>
      <c r="H177" s="417" t="str">
        <f aca="false">IF($A$1="Peak","-",'Base Hours'!H177*BaseLoad!N176*'Base Hours'!$AA177)</f>
        <v>-</v>
      </c>
      <c r="I177" s="417" t="str">
        <f aca="false">IF($A$1="Peak","-",'Base Hours'!I177*BaseLoad!O176*'Base Hours'!$AA177)</f>
        <v>-</v>
      </c>
      <c r="J177" s="417" t="str">
        <f aca="false">IF($A$1="Peak","-",'Base Hours'!J177*BaseLoad!P176*'Base Hours'!$AA177)</f>
        <v>-</v>
      </c>
      <c r="K177" s="417" t="str">
        <f aca="false">IF($A$1="Peak","-",'Base Hours'!K177*BaseLoad!Q176*'Base Hours'!$AA177)</f>
        <v>-</v>
      </c>
      <c r="L177" s="417" t="str">
        <f aca="false">IF($A$1="Peak","-",'Base Hours'!L177*BaseLoad!R176*'Base Hours'!$AA177)</f>
        <v>-</v>
      </c>
      <c r="M177" s="417" t="str">
        <f aca="false">IF($A$1="Peak","-",'Base Hours'!M177*BaseLoad!S176*'Base Hours'!$AA177)</f>
        <v>-</v>
      </c>
      <c r="N177" s="417" t="str">
        <f aca="false">IF($A$1="Peak","-",'Base Hours'!N177*BaseLoad!T176*'Base Hours'!$AA177)</f>
        <v>-</v>
      </c>
      <c r="O177" s="417" t="str">
        <f aca="false">IF($A$1="Peak","-",'Base Hours'!O177*BaseLoad!U176*'Base Hours'!$AA177)</f>
        <v>-</v>
      </c>
      <c r="P177" s="417" t="str">
        <f aca="false">IF($A$1="Peak","-",'Base Hours'!P177*BaseLoad!V176*'Base Hours'!$AA177)</f>
        <v>-</v>
      </c>
      <c r="Q177" s="417" t="str">
        <f aca="false">IF($A$1="Peak","-",'Base Hours'!Q177*BaseLoad!W176*'Base Hours'!$AA177)</f>
        <v>-</v>
      </c>
      <c r="R177" s="417" t="str">
        <f aca="false">IF($A$1="Peak","-",'Base Hours'!R177*BaseLoad!X176*'Base Hours'!$AA177)</f>
        <v>-</v>
      </c>
      <c r="S177" s="417" t="str">
        <f aca="false">IF($A$1="Peak","-",'Base Hours'!S177*BaseLoad!Y176*'Base Hours'!$AA177)</f>
        <v>-</v>
      </c>
      <c r="T177" s="417" t="str">
        <f aca="false">IF($A$1="Peak","-",'Base Hours'!T177*BaseLoad!Z176*'Base Hours'!$AA177)</f>
        <v>-</v>
      </c>
      <c r="U177" s="417" t="str">
        <f aca="false">IF($A$1="Peak","-",'Base Hours'!U177*BaseLoad!AA176*'Base Hours'!$AA177)</f>
        <v>-</v>
      </c>
      <c r="V177" s="417" t="n">
        <f aca="false">SUM(B177:U177)-(MAX(B177:U177))</f>
        <v>0</v>
      </c>
      <c r="W177" s="417"/>
      <c r="X177" s="417"/>
      <c r="Y177" s="418" t="n">
        <f aca="false">SUM(B166:U177)</f>
        <v>0</v>
      </c>
      <c r="Z177" s="418" t="n">
        <f aca="false">(BaseLoad!C176*'Base Hours'!V177*'Base Hours'!$AA177)*-1</f>
        <v>-0</v>
      </c>
      <c r="AA177" s="418" t="n">
        <f aca="false">SUM(Z166:Z177)</f>
        <v>0</v>
      </c>
      <c r="AB177" s="418" t="n">
        <f aca="false">(BaseLoad!D176*'Base Hours'!V177*'Base Hours'!$AA177)*-1</f>
        <v>-0</v>
      </c>
      <c r="AC177" s="418" t="n">
        <f aca="false">SUM(AB166:AB177)</f>
        <v>0</v>
      </c>
      <c r="AD177" s="418" t="n">
        <f aca="false">(BaseLoad!E176*'Base Hours'!V177*'Base Hours'!$AA177)*-1</f>
        <v>-0</v>
      </c>
      <c r="AE177" s="418" t="n">
        <f aca="false">SUM(AD166:AD177)</f>
        <v>0</v>
      </c>
      <c r="AF177" s="418" t="n">
        <f aca="false">(BaseLoad!F176*'Base Hours'!V177*'Base Hours'!$AA177)*-1</f>
        <v>-0</v>
      </c>
      <c r="AG177" s="418" t="n">
        <f aca="false">SUM(AF166:AF177)</f>
        <v>0</v>
      </c>
    </row>
    <row r="178" customFormat="false" ht="12.75" hidden="false" customHeight="false" outlineLevel="0" collapsed="false">
      <c r="A178" s="400" t="n">
        <f aca="false">A177+30.417</f>
        <v>41650.056</v>
      </c>
      <c r="B178" s="417" t="str">
        <f aca="false">IF($A$1="Peak","-",'Base Hours'!B178*BaseLoad!H177*'Base Hours'!$AA178)</f>
        <v>-</v>
      </c>
      <c r="C178" s="417" t="str">
        <f aca="false">IF($A$1="Peak","-",'Base Hours'!C178*BaseLoad!I177*'Base Hours'!$AA178)</f>
        <v>-</v>
      </c>
      <c r="D178" s="417" t="str">
        <f aca="false">IF($A$1="Peak","-",'Base Hours'!D178*BaseLoad!J177*'Base Hours'!$AA178)</f>
        <v>-</v>
      </c>
      <c r="E178" s="417" t="str">
        <f aca="false">IF($A$1="Peak","-",'Base Hours'!E178*BaseLoad!K177*'Base Hours'!$AA178)</f>
        <v>-</v>
      </c>
      <c r="F178" s="417" t="str">
        <f aca="false">IF($A$1="Peak","-",'Base Hours'!F178*BaseLoad!L177*'Base Hours'!$AA178)</f>
        <v>-</v>
      </c>
      <c r="G178" s="417" t="str">
        <f aca="false">IF($A$1="Peak","-",'Base Hours'!G178*BaseLoad!M177*'Base Hours'!$AA178)</f>
        <v>-</v>
      </c>
      <c r="H178" s="417" t="str">
        <f aca="false">IF($A$1="Peak","-",'Base Hours'!H178*BaseLoad!N177*'Base Hours'!$AA178)</f>
        <v>-</v>
      </c>
      <c r="I178" s="417" t="str">
        <f aca="false">IF($A$1="Peak","-",'Base Hours'!I178*BaseLoad!O177*'Base Hours'!$AA178)</f>
        <v>-</v>
      </c>
      <c r="J178" s="417" t="str">
        <f aca="false">IF($A$1="Peak","-",'Base Hours'!J178*BaseLoad!P177*'Base Hours'!$AA178)</f>
        <v>-</v>
      </c>
      <c r="K178" s="417" t="str">
        <f aca="false">IF($A$1="Peak","-",'Base Hours'!K178*BaseLoad!Q177*'Base Hours'!$AA178)</f>
        <v>-</v>
      </c>
      <c r="L178" s="417" t="str">
        <f aca="false">IF($A$1="Peak","-",'Base Hours'!L178*BaseLoad!R177*'Base Hours'!$AA178)</f>
        <v>-</v>
      </c>
      <c r="M178" s="417" t="str">
        <f aca="false">IF($A$1="Peak","-",'Base Hours'!M178*BaseLoad!S177*'Base Hours'!$AA178)</f>
        <v>-</v>
      </c>
      <c r="N178" s="417" t="str">
        <f aca="false">IF($A$1="Peak","-",'Base Hours'!N178*BaseLoad!T177*'Base Hours'!$AA178)</f>
        <v>-</v>
      </c>
      <c r="O178" s="417" t="str">
        <f aca="false">IF($A$1="Peak","-",'Base Hours'!O178*BaseLoad!U177*'Base Hours'!$AA178)</f>
        <v>-</v>
      </c>
      <c r="P178" s="417" t="str">
        <f aca="false">IF($A$1="Peak","-",'Base Hours'!P178*BaseLoad!V177*'Base Hours'!$AA178)</f>
        <v>-</v>
      </c>
      <c r="Q178" s="417" t="str">
        <f aca="false">IF($A$1="Peak","-",'Base Hours'!Q178*BaseLoad!W177*'Base Hours'!$AA178)</f>
        <v>-</v>
      </c>
      <c r="R178" s="417" t="str">
        <f aca="false">IF($A$1="Peak","-",'Base Hours'!R178*BaseLoad!X177*'Base Hours'!$AA178)</f>
        <v>-</v>
      </c>
      <c r="S178" s="417" t="str">
        <f aca="false">IF($A$1="Peak","-",'Base Hours'!S178*BaseLoad!Y177*'Base Hours'!$AA178)</f>
        <v>-</v>
      </c>
      <c r="T178" s="417" t="str">
        <f aca="false">IF($A$1="Peak","-",'Base Hours'!T178*BaseLoad!Z177*'Base Hours'!$AA178)</f>
        <v>-</v>
      </c>
      <c r="U178" s="417" t="str">
        <f aca="false">IF($A$1="Peak","-",'Base Hours'!U178*BaseLoad!AA177*'Base Hours'!$AA178)</f>
        <v>-</v>
      </c>
      <c r="V178" s="417" t="n">
        <f aca="false">SUM(B178:U178)-(MAX(B178:U178))</f>
        <v>0</v>
      </c>
      <c r="W178" s="417"/>
      <c r="X178" s="417"/>
      <c r="Y178" s="418"/>
      <c r="Z178" s="418" t="n">
        <f aca="false">(BaseLoad!C177*'Base Hours'!V178*'Base Hours'!$AA178)*-1</f>
        <v>-0</v>
      </c>
      <c r="AA178" s="418"/>
      <c r="AB178" s="418" t="n">
        <f aca="false">(BaseLoad!D177*'Base Hours'!V178*'Base Hours'!$AA178)*-1</f>
        <v>-0</v>
      </c>
      <c r="AC178" s="418"/>
      <c r="AD178" s="418" t="n">
        <f aca="false">(BaseLoad!E177*'Base Hours'!V178*'Base Hours'!$AA178)*-1</f>
        <v>-0</v>
      </c>
      <c r="AE178" s="418"/>
      <c r="AF178" s="418" t="n">
        <f aca="false">(BaseLoad!F177*'Base Hours'!V178*'Base Hours'!$AA178)*-1</f>
        <v>-0</v>
      </c>
      <c r="AG178" s="418"/>
    </row>
    <row r="179" customFormat="false" ht="12.75" hidden="false" customHeight="false" outlineLevel="0" collapsed="false">
      <c r="A179" s="400" t="n">
        <f aca="false">A178+30.417</f>
        <v>41680.473</v>
      </c>
      <c r="B179" s="417" t="str">
        <f aca="false">IF($A$1="Peak","-",'Base Hours'!B179*BaseLoad!H178*'Base Hours'!$AA179)</f>
        <v>-</v>
      </c>
      <c r="C179" s="417" t="str">
        <f aca="false">IF($A$1="Peak","-",'Base Hours'!C179*BaseLoad!I178*'Base Hours'!$AA179)</f>
        <v>-</v>
      </c>
      <c r="D179" s="417" t="str">
        <f aca="false">IF($A$1="Peak","-",'Base Hours'!D179*BaseLoad!J178*'Base Hours'!$AA179)</f>
        <v>-</v>
      </c>
      <c r="E179" s="417" t="str">
        <f aca="false">IF($A$1="Peak","-",'Base Hours'!E179*BaseLoad!K178*'Base Hours'!$AA179)</f>
        <v>-</v>
      </c>
      <c r="F179" s="417" t="str">
        <f aca="false">IF($A$1="Peak","-",'Base Hours'!F179*BaseLoad!L178*'Base Hours'!$AA179)</f>
        <v>-</v>
      </c>
      <c r="G179" s="417" t="str">
        <f aca="false">IF($A$1="Peak","-",'Base Hours'!G179*BaseLoad!M178*'Base Hours'!$AA179)</f>
        <v>-</v>
      </c>
      <c r="H179" s="417" t="str">
        <f aca="false">IF($A$1="Peak","-",'Base Hours'!H179*BaseLoad!N178*'Base Hours'!$AA179)</f>
        <v>-</v>
      </c>
      <c r="I179" s="417" t="str">
        <f aca="false">IF($A$1="Peak","-",'Base Hours'!I179*BaseLoad!O178*'Base Hours'!$AA179)</f>
        <v>-</v>
      </c>
      <c r="J179" s="417" t="str">
        <f aca="false">IF($A$1="Peak","-",'Base Hours'!J179*BaseLoad!P178*'Base Hours'!$AA179)</f>
        <v>-</v>
      </c>
      <c r="K179" s="417" t="str">
        <f aca="false">IF($A$1="Peak","-",'Base Hours'!K179*BaseLoad!Q178*'Base Hours'!$AA179)</f>
        <v>-</v>
      </c>
      <c r="L179" s="417" t="str">
        <f aca="false">IF($A$1="Peak","-",'Base Hours'!L179*BaseLoad!R178*'Base Hours'!$AA179)</f>
        <v>-</v>
      </c>
      <c r="M179" s="417" t="str">
        <f aca="false">IF($A$1="Peak","-",'Base Hours'!M179*BaseLoad!S178*'Base Hours'!$AA179)</f>
        <v>-</v>
      </c>
      <c r="N179" s="417" t="str">
        <f aca="false">IF($A$1="Peak","-",'Base Hours'!N179*BaseLoad!T178*'Base Hours'!$AA179)</f>
        <v>-</v>
      </c>
      <c r="O179" s="417" t="str">
        <f aca="false">IF($A$1="Peak","-",'Base Hours'!O179*BaseLoad!U178*'Base Hours'!$AA179)</f>
        <v>-</v>
      </c>
      <c r="P179" s="417" t="str">
        <f aca="false">IF($A$1="Peak","-",'Base Hours'!P179*BaseLoad!V178*'Base Hours'!$AA179)</f>
        <v>-</v>
      </c>
      <c r="Q179" s="417" t="str">
        <f aca="false">IF($A$1="Peak","-",'Base Hours'!Q179*BaseLoad!W178*'Base Hours'!$AA179)</f>
        <v>-</v>
      </c>
      <c r="R179" s="417" t="str">
        <f aca="false">IF($A$1="Peak","-",'Base Hours'!R179*BaseLoad!X178*'Base Hours'!$AA179)</f>
        <v>-</v>
      </c>
      <c r="S179" s="417" t="str">
        <f aca="false">IF($A$1="Peak","-",'Base Hours'!S179*BaseLoad!Y178*'Base Hours'!$AA179)</f>
        <v>-</v>
      </c>
      <c r="T179" s="417" t="str">
        <f aca="false">IF($A$1="Peak","-",'Base Hours'!T179*BaseLoad!Z178*'Base Hours'!$AA179)</f>
        <v>-</v>
      </c>
      <c r="U179" s="417" t="str">
        <f aca="false">IF($A$1="Peak","-",'Base Hours'!U179*BaseLoad!AA178*'Base Hours'!$AA179)</f>
        <v>-</v>
      </c>
      <c r="V179" s="417" t="n">
        <f aca="false">SUM(B179:U179)-(MAX(B179:U179))</f>
        <v>0</v>
      </c>
      <c r="W179" s="417"/>
      <c r="X179" s="417"/>
      <c r="Y179" s="418"/>
      <c r="Z179" s="418" t="n">
        <f aca="false">(BaseLoad!C178*'Base Hours'!V179*'Base Hours'!$AA179)*-1</f>
        <v>-0</v>
      </c>
      <c r="AA179" s="418"/>
      <c r="AB179" s="418" t="n">
        <f aca="false">(BaseLoad!D178*'Base Hours'!V179*'Base Hours'!$AA179)*-1</f>
        <v>-0</v>
      </c>
      <c r="AC179" s="418"/>
      <c r="AD179" s="418" t="n">
        <f aca="false">(BaseLoad!E178*'Base Hours'!V179*'Base Hours'!$AA179)*-1</f>
        <v>-0</v>
      </c>
      <c r="AE179" s="418"/>
      <c r="AF179" s="418" t="n">
        <f aca="false">(BaseLoad!F178*'Base Hours'!V179*'Base Hours'!$AA179)*-1</f>
        <v>-0</v>
      </c>
      <c r="AG179" s="418"/>
    </row>
    <row r="180" customFormat="false" ht="12.75" hidden="false" customHeight="false" outlineLevel="0" collapsed="false">
      <c r="A180" s="400" t="n">
        <f aca="false">A179+30.417</f>
        <v>41710.89</v>
      </c>
      <c r="B180" s="417" t="str">
        <f aca="false">IF($A$1="Peak","-",'Base Hours'!B180*BaseLoad!H179*'Base Hours'!$AA180)</f>
        <v>-</v>
      </c>
      <c r="C180" s="417" t="str">
        <f aca="false">IF($A$1="Peak","-",'Base Hours'!C180*BaseLoad!I179*'Base Hours'!$AA180)</f>
        <v>-</v>
      </c>
      <c r="D180" s="417" t="str">
        <f aca="false">IF($A$1="Peak","-",'Base Hours'!D180*BaseLoad!J179*'Base Hours'!$AA180)</f>
        <v>-</v>
      </c>
      <c r="E180" s="417" t="str">
        <f aca="false">IF($A$1="Peak","-",'Base Hours'!E180*BaseLoad!K179*'Base Hours'!$AA180)</f>
        <v>-</v>
      </c>
      <c r="F180" s="417" t="str">
        <f aca="false">IF($A$1="Peak","-",'Base Hours'!F180*BaseLoad!L179*'Base Hours'!$AA180)</f>
        <v>-</v>
      </c>
      <c r="G180" s="417" t="str">
        <f aca="false">IF($A$1="Peak","-",'Base Hours'!G180*BaseLoad!M179*'Base Hours'!$AA180)</f>
        <v>-</v>
      </c>
      <c r="H180" s="417" t="str">
        <f aca="false">IF($A$1="Peak","-",'Base Hours'!H180*BaseLoad!N179*'Base Hours'!$AA180)</f>
        <v>-</v>
      </c>
      <c r="I180" s="417" t="str">
        <f aca="false">IF($A$1="Peak","-",'Base Hours'!I180*BaseLoad!O179*'Base Hours'!$AA180)</f>
        <v>-</v>
      </c>
      <c r="J180" s="417" t="str">
        <f aca="false">IF($A$1="Peak","-",'Base Hours'!J180*BaseLoad!P179*'Base Hours'!$AA180)</f>
        <v>-</v>
      </c>
      <c r="K180" s="417" t="str">
        <f aca="false">IF($A$1="Peak","-",'Base Hours'!K180*BaseLoad!Q179*'Base Hours'!$AA180)</f>
        <v>-</v>
      </c>
      <c r="L180" s="417" t="str">
        <f aca="false">IF($A$1="Peak","-",'Base Hours'!L180*BaseLoad!R179*'Base Hours'!$AA180)</f>
        <v>-</v>
      </c>
      <c r="M180" s="417" t="str">
        <f aca="false">IF($A$1="Peak","-",'Base Hours'!M180*BaseLoad!S179*'Base Hours'!$AA180)</f>
        <v>-</v>
      </c>
      <c r="N180" s="417" t="str">
        <f aca="false">IF($A$1="Peak","-",'Base Hours'!N180*BaseLoad!T179*'Base Hours'!$AA180)</f>
        <v>-</v>
      </c>
      <c r="O180" s="417" t="str">
        <f aca="false">IF($A$1="Peak","-",'Base Hours'!O180*BaseLoad!U179*'Base Hours'!$AA180)</f>
        <v>-</v>
      </c>
      <c r="P180" s="417" t="str">
        <f aca="false">IF($A$1="Peak","-",'Base Hours'!P180*BaseLoad!V179*'Base Hours'!$AA180)</f>
        <v>-</v>
      </c>
      <c r="Q180" s="417" t="str">
        <f aca="false">IF($A$1="Peak","-",'Base Hours'!Q180*BaseLoad!W179*'Base Hours'!$AA180)</f>
        <v>-</v>
      </c>
      <c r="R180" s="417" t="str">
        <f aca="false">IF($A$1="Peak","-",'Base Hours'!R180*BaseLoad!X179*'Base Hours'!$AA180)</f>
        <v>-</v>
      </c>
      <c r="S180" s="417" t="str">
        <f aca="false">IF($A$1="Peak","-",'Base Hours'!S180*BaseLoad!Y179*'Base Hours'!$AA180)</f>
        <v>-</v>
      </c>
      <c r="T180" s="417" t="str">
        <f aca="false">IF($A$1="Peak","-",'Base Hours'!T180*BaseLoad!Z179*'Base Hours'!$AA180)</f>
        <v>-</v>
      </c>
      <c r="U180" s="417" t="str">
        <f aca="false">IF($A$1="Peak","-",'Base Hours'!U180*BaseLoad!AA179*'Base Hours'!$AA180)</f>
        <v>-</v>
      </c>
      <c r="V180" s="417" t="n">
        <f aca="false">SUM(B180:U180)-(MAX(B180:U180))</f>
        <v>0</v>
      </c>
      <c r="W180" s="417"/>
      <c r="X180" s="417"/>
      <c r="Y180" s="418"/>
      <c r="Z180" s="418" t="n">
        <f aca="false">(BaseLoad!C179*'Base Hours'!V180*'Base Hours'!$AA180)*-1</f>
        <v>-0</v>
      </c>
      <c r="AA180" s="418"/>
      <c r="AB180" s="418" t="n">
        <f aca="false">(BaseLoad!D179*'Base Hours'!V180*'Base Hours'!$AA180)*-1</f>
        <v>-0</v>
      </c>
      <c r="AC180" s="418"/>
      <c r="AD180" s="418" t="n">
        <f aca="false">(BaseLoad!E179*'Base Hours'!V180*'Base Hours'!$AA180)*-1</f>
        <v>-0</v>
      </c>
      <c r="AE180" s="418"/>
      <c r="AF180" s="418" t="n">
        <f aca="false">(BaseLoad!F179*'Base Hours'!V180*'Base Hours'!$AA180)*-1</f>
        <v>-0</v>
      </c>
      <c r="AG180" s="418"/>
    </row>
    <row r="181" customFormat="false" ht="12.75" hidden="false" customHeight="false" outlineLevel="0" collapsed="false">
      <c r="A181" s="400" t="n">
        <f aca="false">A180+30.417</f>
        <v>41741.307</v>
      </c>
      <c r="B181" s="417" t="str">
        <f aca="false">IF($A$1="Peak","-",'Base Hours'!B181*BaseLoad!H180*'Base Hours'!$AA181)</f>
        <v>-</v>
      </c>
      <c r="C181" s="417" t="str">
        <f aca="false">IF($A$1="Peak","-",'Base Hours'!C181*BaseLoad!I180*'Base Hours'!$AA181)</f>
        <v>-</v>
      </c>
      <c r="D181" s="417" t="str">
        <f aca="false">IF($A$1="Peak","-",'Base Hours'!D181*BaseLoad!J180*'Base Hours'!$AA181)</f>
        <v>-</v>
      </c>
      <c r="E181" s="417" t="str">
        <f aca="false">IF($A$1="Peak","-",'Base Hours'!E181*BaseLoad!K180*'Base Hours'!$AA181)</f>
        <v>-</v>
      </c>
      <c r="F181" s="417" t="str">
        <f aca="false">IF($A$1="Peak","-",'Base Hours'!F181*BaseLoad!L180*'Base Hours'!$AA181)</f>
        <v>-</v>
      </c>
      <c r="G181" s="417" t="str">
        <f aca="false">IF($A$1="Peak","-",'Base Hours'!G181*BaseLoad!M180*'Base Hours'!$AA181)</f>
        <v>-</v>
      </c>
      <c r="H181" s="417" t="str">
        <f aca="false">IF($A$1="Peak","-",'Base Hours'!H181*BaseLoad!N180*'Base Hours'!$AA181)</f>
        <v>-</v>
      </c>
      <c r="I181" s="417" t="str">
        <f aca="false">IF($A$1="Peak","-",'Base Hours'!I181*BaseLoad!O180*'Base Hours'!$AA181)</f>
        <v>-</v>
      </c>
      <c r="J181" s="417" t="str">
        <f aca="false">IF($A$1="Peak","-",'Base Hours'!J181*BaseLoad!P180*'Base Hours'!$AA181)</f>
        <v>-</v>
      </c>
      <c r="K181" s="417" t="str">
        <f aca="false">IF($A$1="Peak","-",'Base Hours'!K181*BaseLoad!Q180*'Base Hours'!$AA181)</f>
        <v>-</v>
      </c>
      <c r="L181" s="417" t="str">
        <f aca="false">IF($A$1="Peak","-",'Base Hours'!L181*BaseLoad!R180*'Base Hours'!$AA181)</f>
        <v>-</v>
      </c>
      <c r="M181" s="417" t="str">
        <f aca="false">IF($A$1="Peak","-",'Base Hours'!M181*BaseLoad!S180*'Base Hours'!$AA181)</f>
        <v>-</v>
      </c>
      <c r="N181" s="417" t="str">
        <f aca="false">IF($A$1="Peak","-",'Base Hours'!N181*BaseLoad!T180*'Base Hours'!$AA181)</f>
        <v>-</v>
      </c>
      <c r="O181" s="417" t="str">
        <f aca="false">IF($A$1="Peak","-",'Base Hours'!O181*BaseLoad!U180*'Base Hours'!$AA181)</f>
        <v>-</v>
      </c>
      <c r="P181" s="417" t="str">
        <f aca="false">IF($A$1="Peak","-",'Base Hours'!P181*BaseLoad!V180*'Base Hours'!$AA181)</f>
        <v>-</v>
      </c>
      <c r="Q181" s="417" t="str">
        <f aca="false">IF($A$1="Peak","-",'Base Hours'!Q181*BaseLoad!W180*'Base Hours'!$AA181)</f>
        <v>-</v>
      </c>
      <c r="R181" s="417" t="str">
        <f aca="false">IF($A$1="Peak","-",'Base Hours'!R181*BaseLoad!X180*'Base Hours'!$AA181)</f>
        <v>-</v>
      </c>
      <c r="S181" s="417" t="str">
        <f aca="false">IF($A$1="Peak","-",'Base Hours'!S181*BaseLoad!Y180*'Base Hours'!$AA181)</f>
        <v>-</v>
      </c>
      <c r="T181" s="417" t="str">
        <f aca="false">IF($A$1="Peak","-",'Base Hours'!T181*BaseLoad!Z180*'Base Hours'!$AA181)</f>
        <v>-</v>
      </c>
      <c r="U181" s="417" t="str">
        <f aca="false">IF($A$1="Peak","-",'Base Hours'!U181*BaseLoad!AA180*'Base Hours'!$AA181)</f>
        <v>-</v>
      </c>
      <c r="V181" s="417" t="n">
        <f aca="false">SUM(B181:U181)-(MAX(B181:U181))</f>
        <v>0</v>
      </c>
      <c r="W181" s="417"/>
      <c r="X181" s="417"/>
      <c r="Y181" s="418"/>
      <c r="Z181" s="418" t="n">
        <f aca="false">(BaseLoad!C180*'Base Hours'!V181*'Base Hours'!$AA181)*-1</f>
        <v>-0</v>
      </c>
      <c r="AA181" s="418"/>
      <c r="AB181" s="418" t="n">
        <f aca="false">(BaseLoad!D180*'Base Hours'!V181*'Base Hours'!$AA181)*-1</f>
        <v>-0</v>
      </c>
      <c r="AC181" s="418"/>
      <c r="AD181" s="418" t="n">
        <f aca="false">(BaseLoad!E180*'Base Hours'!V181*'Base Hours'!$AA181)*-1</f>
        <v>-0</v>
      </c>
      <c r="AE181" s="418"/>
      <c r="AF181" s="418" t="n">
        <f aca="false">(BaseLoad!F180*'Base Hours'!V181*'Base Hours'!$AA181)*-1</f>
        <v>-0</v>
      </c>
      <c r="AG181" s="418"/>
    </row>
    <row r="182" customFormat="false" ht="12.75" hidden="false" customHeight="false" outlineLevel="0" collapsed="false">
      <c r="A182" s="400" t="n">
        <f aca="false">A181+30.417</f>
        <v>41771.724</v>
      </c>
      <c r="B182" s="417" t="str">
        <f aca="false">IF($A$1="Peak","-",'Base Hours'!B182*BaseLoad!H181*'Base Hours'!$AA182)</f>
        <v>-</v>
      </c>
      <c r="C182" s="417" t="str">
        <f aca="false">IF($A$1="Peak","-",'Base Hours'!C182*BaseLoad!I181*'Base Hours'!$AA182)</f>
        <v>-</v>
      </c>
      <c r="D182" s="417" t="str">
        <f aca="false">IF($A$1="Peak","-",'Base Hours'!D182*BaseLoad!J181*'Base Hours'!$AA182)</f>
        <v>-</v>
      </c>
      <c r="E182" s="417" t="str">
        <f aca="false">IF($A$1="Peak","-",'Base Hours'!E182*BaseLoad!K181*'Base Hours'!$AA182)</f>
        <v>-</v>
      </c>
      <c r="F182" s="417" t="str">
        <f aca="false">IF($A$1="Peak","-",'Base Hours'!F182*BaseLoad!L181*'Base Hours'!$AA182)</f>
        <v>-</v>
      </c>
      <c r="G182" s="417" t="str">
        <f aca="false">IF($A$1="Peak","-",'Base Hours'!G182*BaseLoad!M181*'Base Hours'!$AA182)</f>
        <v>-</v>
      </c>
      <c r="H182" s="417" t="str">
        <f aca="false">IF($A$1="Peak","-",'Base Hours'!H182*BaseLoad!N181*'Base Hours'!$AA182)</f>
        <v>-</v>
      </c>
      <c r="I182" s="417" t="str">
        <f aca="false">IF($A$1="Peak","-",'Base Hours'!I182*BaseLoad!O181*'Base Hours'!$AA182)</f>
        <v>-</v>
      </c>
      <c r="J182" s="417" t="str">
        <f aca="false">IF($A$1="Peak","-",'Base Hours'!J182*BaseLoad!P181*'Base Hours'!$AA182)</f>
        <v>-</v>
      </c>
      <c r="K182" s="417" t="str">
        <f aca="false">IF($A$1="Peak","-",'Base Hours'!K182*BaseLoad!Q181*'Base Hours'!$AA182)</f>
        <v>-</v>
      </c>
      <c r="L182" s="417" t="str">
        <f aca="false">IF($A$1="Peak","-",'Base Hours'!L182*BaseLoad!R181*'Base Hours'!$AA182)</f>
        <v>-</v>
      </c>
      <c r="M182" s="417" t="str">
        <f aca="false">IF($A$1="Peak","-",'Base Hours'!M182*BaseLoad!S181*'Base Hours'!$AA182)</f>
        <v>-</v>
      </c>
      <c r="N182" s="417" t="str">
        <f aca="false">IF($A$1="Peak","-",'Base Hours'!N182*BaseLoad!T181*'Base Hours'!$AA182)</f>
        <v>-</v>
      </c>
      <c r="O182" s="417" t="str">
        <f aca="false">IF($A$1="Peak","-",'Base Hours'!O182*BaseLoad!U181*'Base Hours'!$AA182)</f>
        <v>-</v>
      </c>
      <c r="P182" s="417" t="str">
        <f aca="false">IF($A$1="Peak","-",'Base Hours'!P182*BaseLoad!V181*'Base Hours'!$AA182)</f>
        <v>-</v>
      </c>
      <c r="Q182" s="417" t="str">
        <f aca="false">IF($A$1="Peak","-",'Base Hours'!Q182*BaseLoad!W181*'Base Hours'!$AA182)</f>
        <v>-</v>
      </c>
      <c r="R182" s="417" t="str">
        <f aca="false">IF($A$1="Peak","-",'Base Hours'!R182*BaseLoad!X181*'Base Hours'!$AA182)</f>
        <v>-</v>
      </c>
      <c r="S182" s="417" t="str">
        <f aca="false">IF($A$1="Peak","-",'Base Hours'!S182*BaseLoad!Y181*'Base Hours'!$AA182)</f>
        <v>-</v>
      </c>
      <c r="T182" s="417" t="str">
        <f aca="false">IF($A$1="Peak","-",'Base Hours'!T182*BaseLoad!Z181*'Base Hours'!$AA182)</f>
        <v>-</v>
      </c>
      <c r="U182" s="417" t="str">
        <f aca="false">IF($A$1="Peak","-",'Base Hours'!U182*BaseLoad!AA181*'Base Hours'!$AA182)</f>
        <v>-</v>
      </c>
      <c r="V182" s="417" t="n">
        <f aca="false">SUM(B182:U182)-(MAX(B182:U182))</f>
        <v>0</v>
      </c>
      <c r="W182" s="417"/>
      <c r="X182" s="417"/>
      <c r="Y182" s="418"/>
      <c r="Z182" s="418" t="n">
        <f aca="false">(BaseLoad!C181*'Base Hours'!V182*'Base Hours'!$AA182)*-1</f>
        <v>-0</v>
      </c>
      <c r="AA182" s="418"/>
      <c r="AB182" s="418" t="n">
        <f aca="false">(BaseLoad!D181*'Base Hours'!V182*'Base Hours'!$AA182)*-1</f>
        <v>-0</v>
      </c>
      <c r="AC182" s="418"/>
      <c r="AD182" s="418" t="n">
        <f aca="false">(BaseLoad!E181*'Base Hours'!V182*'Base Hours'!$AA182)*-1</f>
        <v>-0</v>
      </c>
      <c r="AE182" s="418"/>
      <c r="AF182" s="418" t="n">
        <f aca="false">(BaseLoad!F181*'Base Hours'!V182*'Base Hours'!$AA182)*-1</f>
        <v>-0</v>
      </c>
      <c r="AG182" s="418"/>
    </row>
    <row r="183" customFormat="false" ht="12.75" hidden="false" customHeight="false" outlineLevel="0" collapsed="false">
      <c r="A183" s="400" t="n">
        <f aca="false">A182+30.417</f>
        <v>41802.141</v>
      </c>
      <c r="B183" s="417" t="str">
        <f aca="false">IF($A$1="Peak","-",'Base Hours'!B183*BaseLoad!H182*'Base Hours'!$AA183)</f>
        <v>-</v>
      </c>
      <c r="C183" s="417" t="str">
        <f aca="false">IF($A$1="Peak","-",'Base Hours'!C183*BaseLoad!I182*'Base Hours'!$AA183)</f>
        <v>-</v>
      </c>
      <c r="D183" s="417" t="str">
        <f aca="false">IF($A$1="Peak","-",'Base Hours'!D183*BaseLoad!J182*'Base Hours'!$AA183)</f>
        <v>-</v>
      </c>
      <c r="E183" s="417" t="str">
        <f aca="false">IF($A$1="Peak","-",'Base Hours'!E183*BaseLoad!K182*'Base Hours'!$AA183)</f>
        <v>-</v>
      </c>
      <c r="F183" s="417" t="str">
        <f aca="false">IF($A$1="Peak","-",'Base Hours'!F183*BaseLoad!L182*'Base Hours'!$AA183)</f>
        <v>-</v>
      </c>
      <c r="G183" s="417" t="str">
        <f aca="false">IF($A$1="Peak","-",'Base Hours'!G183*BaseLoad!M182*'Base Hours'!$AA183)</f>
        <v>-</v>
      </c>
      <c r="H183" s="417" t="str">
        <f aca="false">IF($A$1="Peak","-",'Base Hours'!H183*BaseLoad!N182*'Base Hours'!$AA183)</f>
        <v>-</v>
      </c>
      <c r="I183" s="417" t="str">
        <f aca="false">IF($A$1="Peak","-",'Base Hours'!I183*BaseLoad!O182*'Base Hours'!$AA183)</f>
        <v>-</v>
      </c>
      <c r="J183" s="417" t="str">
        <f aca="false">IF($A$1="Peak","-",'Base Hours'!J183*BaseLoad!P182*'Base Hours'!$AA183)</f>
        <v>-</v>
      </c>
      <c r="K183" s="417" t="str">
        <f aca="false">IF($A$1="Peak","-",'Base Hours'!K183*BaseLoad!Q182*'Base Hours'!$AA183)</f>
        <v>-</v>
      </c>
      <c r="L183" s="417" t="str">
        <f aca="false">IF($A$1="Peak","-",'Base Hours'!L183*BaseLoad!R182*'Base Hours'!$AA183)</f>
        <v>-</v>
      </c>
      <c r="M183" s="417" t="str">
        <f aca="false">IF($A$1="Peak","-",'Base Hours'!M183*BaseLoad!S182*'Base Hours'!$AA183)</f>
        <v>-</v>
      </c>
      <c r="N183" s="417" t="str">
        <f aca="false">IF($A$1="Peak","-",'Base Hours'!N183*BaseLoad!T182*'Base Hours'!$AA183)</f>
        <v>-</v>
      </c>
      <c r="O183" s="417" t="str">
        <f aca="false">IF($A$1="Peak","-",'Base Hours'!O183*BaseLoad!U182*'Base Hours'!$AA183)</f>
        <v>-</v>
      </c>
      <c r="P183" s="417" t="str">
        <f aca="false">IF($A$1="Peak","-",'Base Hours'!P183*BaseLoad!V182*'Base Hours'!$AA183)</f>
        <v>-</v>
      </c>
      <c r="Q183" s="417" t="str">
        <f aca="false">IF($A$1="Peak","-",'Base Hours'!Q183*BaseLoad!W182*'Base Hours'!$AA183)</f>
        <v>-</v>
      </c>
      <c r="R183" s="417" t="str">
        <f aca="false">IF($A$1="Peak","-",'Base Hours'!R183*BaseLoad!X182*'Base Hours'!$AA183)</f>
        <v>-</v>
      </c>
      <c r="S183" s="417" t="str">
        <f aca="false">IF($A$1="Peak","-",'Base Hours'!S183*BaseLoad!Y182*'Base Hours'!$AA183)</f>
        <v>-</v>
      </c>
      <c r="T183" s="417" t="str">
        <f aca="false">IF($A$1="Peak","-",'Base Hours'!T183*BaseLoad!Z182*'Base Hours'!$AA183)</f>
        <v>-</v>
      </c>
      <c r="U183" s="417" t="str">
        <f aca="false">IF($A$1="Peak","-",'Base Hours'!U183*BaseLoad!AA182*'Base Hours'!$AA183)</f>
        <v>-</v>
      </c>
      <c r="V183" s="417" t="n">
        <f aca="false">SUM(B183:U183)-(MAX(B183:U183))</f>
        <v>0</v>
      </c>
      <c r="W183" s="417"/>
      <c r="X183" s="417"/>
      <c r="Y183" s="418"/>
      <c r="Z183" s="418" t="n">
        <f aca="false">(BaseLoad!C182*'Base Hours'!V183*'Base Hours'!$AA183)*-1</f>
        <v>-0</v>
      </c>
      <c r="AA183" s="418"/>
      <c r="AB183" s="418" t="n">
        <f aca="false">(BaseLoad!D182*'Base Hours'!V183*'Base Hours'!$AA183)*-1</f>
        <v>-0</v>
      </c>
      <c r="AC183" s="418"/>
      <c r="AD183" s="418" t="n">
        <f aca="false">(BaseLoad!E182*'Base Hours'!V183*'Base Hours'!$AA183)*-1</f>
        <v>-0</v>
      </c>
      <c r="AE183" s="418"/>
      <c r="AF183" s="418" t="n">
        <f aca="false">(BaseLoad!F182*'Base Hours'!V183*'Base Hours'!$AA183)*-1</f>
        <v>-0</v>
      </c>
      <c r="AG183" s="418"/>
    </row>
    <row r="184" customFormat="false" ht="12.75" hidden="false" customHeight="false" outlineLevel="0" collapsed="false">
      <c r="A184" s="400" t="n">
        <f aca="false">A183+30.417</f>
        <v>41832.558</v>
      </c>
      <c r="B184" s="417" t="str">
        <f aca="false">IF($A$1="Peak","-",'Base Hours'!B184*BaseLoad!H183*'Base Hours'!$AA184)</f>
        <v>-</v>
      </c>
      <c r="C184" s="417" t="str">
        <f aca="false">IF($A$1="Peak","-",'Base Hours'!C184*BaseLoad!I183*'Base Hours'!$AA184)</f>
        <v>-</v>
      </c>
      <c r="D184" s="417" t="str">
        <f aca="false">IF($A$1="Peak","-",'Base Hours'!D184*BaseLoad!J183*'Base Hours'!$AA184)</f>
        <v>-</v>
      </c>
      <c r="E184" s="417" t="str">
        <f aca="false">IF($A$1="Peak","-",'Base Hours'!E184*BaseLoad!K183*'Base Hours'!$AA184)</f>
        <v>-</v>
      </c>
      <c r="F184" s="417" t="str">
        <f aca="false">IF($A$1="Peak","-",'Base Hours'!F184*BaseLoad!L183*'Base Hours'!$AA184)</f>
        <v>-</v>
      </c>
      <c r="G184" s="417" t="str">
        <f aca="false">IF($A$1="Peak","-",'Base Hours'!G184*BaseLoad!M183*'Base Hours'!$AA184)</f>
        <v>-</v>
      </c>
      <c r="H184" s="417" t="str">
        <f aca="false">IF($A$1="Peak","-",'Base Hours'!H184*BaseLoad!N183*'Base Hours'!$AA184)</f>
        <v>-</v>
      </c>
      <c r="I184" s="417" t="str">
        <f aca="false">IF($A$1="Peak","-",'Base Hours'!I184*BaseLoad!O183*'Base Hours'!$AA184)</f>
        <v>-</v>
      </c>
      <c r="J184" s="417" t="str">
        <f aca="false">IF($A$1="Peak","-",'Base Hours'!J184*BaseLoad!P183*'Base Hours'!$AA184)</f>
        <v>-</v>
      </c>
      <c r="K184" s="417" t="str">
        <f aca="false">IF($A$1="Peak","-",'Base Hours'!K184*BaseLoad!Q183*'Base Hours'!$AA184)</f>
        <v>-</v>
      </c>
      <c r="L184" s="417" t="str">
        <f aca="false">IF($A$1="Peak","-",'Base Hours'!L184*BaseLoad!R183*'Base Hours'!$AA184)</f>
        <v>-</v>
      </c>
      <c r="M184" s="417" t="str">
        <f aca="false">IF($A$1="Peak","-",'Base Hours'!M184*BaseLoad!S183*'Base Hours'!$AA184)</f>
        <v>-</v>
      </c>
      <c r="N184" s="417" t="str">
        <f aca="false">IF($A$1="Peak","-",'Base Hours'!N184*BaseLoad!T183*'Base Hours'!$AA184)</f>
        <v>-</v>
      </c>
      <c r="O184" s="417" t="str">
        <f aca="false">IF($A$1="Peak","-",'Base Hours'!O184*BaseLoad!U183*'Base Hours'!$AA184)</f>
        <v>-</v>
      </c>
      <c r="P184" s="417" t="str">
        <f aca="false">IF($A$1="Peak","-",'Base Hours'!P184*BaseLoad!V183*'Base Hours'!$AA184)</f>
        <v>-</v>
      </c>
      <c r="Q184" s="417" t="str">
        <f aca="false">IF($A$1="Peak","-",'Base Hours'!Q184*BaseLoad!W183*'Base Hours'!$AA184)</f>
        <v>-</v>
      </c>
      <c r="R184" s="417" t="str">
        <f aca="false">IF($A$1="Peak","-",'Base Hours'!R184*BaseLoad!X183*'Base Hours'!$AA184)</f>
        <v>-</v>
      </c>
      <c r="S184" s="417" t="str">
        <f aca="false">IF($A$1="Peak","-",'Base Hours'!S184*BaseLoad!Y183*'Base Hours'!$AA184)</f>
        <v>-</v>
      </c>
      <c r="T184" s="417" t="str">
        <f aca="false">IF($A$1="Peak","-",'Base Hours'!T184*BaseLoad!Z183*'Base Hours'!$AA184)</f>
        <v>-</v>
      </c>
      <c r="U184" s="417" t="str">
        <f aca="false">IF($A$1="Peak","-",'Base Hours'!U184*BaseLoad!AA183*'Base Hours'!$AA184)</f>
        <v>-</v>
      </c>
      <c r="V184" s="417" t="n">
        <f aca="false">SUM(B184:U184)-(MAX(B184:U184))</f>
        <v>0</v>
      </c>
      <c r="W184" s="417"/>
      <c r="X184" s="417"/>
      <c r="Y184" s="418"/>
      <c r="Z184" s="418" t="n">
        <f aca="false">(BaseLoad!C183*'Base Hours'!V184*'Base Hours'!$AA184)*-1</f>
        <v>-0</v>
      </c>
      <c r="AA184" s="418"/>
      <c r="AB184" s="418" t="n">
        <f aca="false">(BaseLoad!D183*'Base Hours'!V184*'Base Hours'!$AA184)*-1</f>
        <v>-0</v>
      </c>
      <c r="AC184" s="418"/>
      <c r="AD184" s="418" t="n">
        <f aca="false">(BaseLoad!E183*'Base Hours'!V184*'Base Hours'!$AA184)*-1</f>
        <v>-0</v>
      </c>
      <c r="AE184" s="418"/>
      <c r="AF184" s="418" t="n">
        <f aca="false">(BaseLoad!F183*'Base Hours'!V184*'Base Hours'!$AA184)*-1</f>
        <v>-0</v>
      </c>
      <c r="AG184" s="418"/>
    </row>
    <row r="185" customFormat="false" ht="12.75" hidden="false" customHeight="false" outlineLevel="0" collapsed="false">
      <c r="A185" s="400" t="n">
        <f aca="false">A184+30.417</f>
        <v>41862.975</v>
      </c>
      <c r="B185" s="417" t="str">
        <f aca="false">IF($A$1="Peak","-",'Base Hours'!B185*BaseLoad!H184*'Base Hours'!$AA185)</f>
        <v>-</v>
      </c>
      <c r="C185" s="417" t="str">
        <f aca="false">IF($A$1="Peak","-",'Base Hours'!C185*BaseLoad!I184*'Base Hours'!$AA185)</f>
        <v>-</v>
      </c>
      <c r="D185" s="417" t="str">
        <f aca="false">IF($A$1="Peak","-",'Base Hours'!D185*BaseLoad!J184*'Base Hours'!$AA185)</f>
        <v>-</v>
      </c>
      <c r="E185" s="417" t="str">
        <f aca="false">IF($A$1="Peak","-",'Base Hours'!E185*BaseLoad!K184*'Base Hours'!$AA185)</f>
        <v>-</v>
      </c>
      <c r="F185" s="417" t="str">
        <f aca="false">IF($A$1="Peak","-",'Base Hours'!F185*BaseLoad!L184*'Base Hours'!$AA185)</f>
        <v>-</v>
      </c>
      <c r="G185" s="417" t="str">
        <f aca="false">IF($A$1="Peak","-",'Base Hours'!G185*BaseLoad!M184*'Base Hours'!$AA185)</f>
        <v>-</v>
      </c>
      <c r="H185" s="417" t="str">
        <f aca="false">IF($A$1="Peak","-",'Base Hours'!H185*BaseLoad!N184*'Base Hours'!$AA185)</f>
        <v>-</v>
      </c>
      <c r="I185" s="417" t="str">
        <f aca="false">IF($A$1="Peak","-",'Base Hours'!I185*BaseLoad!O184*'Base Hours'!$AA185)</f>
        <v>-</v>
      </c>
      <c r="J185" s="417" t="str">
        <f aca="false">IF($A$1="Peak","-",'Base Hours'!J185*BaseLoad!P184*'Base Hours'!$AA185)</f>
        <v>-</v>
      </c>
      <c r="K185" s="417" t="str">
        <f aca="false">IF($A$1="Peak","-",'Base Hours'!K185*BaseLoad!Q184*'Base Hours'!$AA185)</f>
        <v>-</v>
      </c>
      <c r="L185" s="417" t="str">
        <f aca="false">IF($A$1="Peak","-",'Base Hours'!L185*BaseLoad!R184*'Base Hours'!$AA185)</f>
        <v>-</v>
      </c>
      <c r="M185" s="417" t="str">
        <f aca="false">IF($A$1="Peak","-",'Base Hours'!M185*BaseLoad!S184*'Base Hours'!$AA185)</f>
        <v>-</v>
      </c>
      <c r="N185" s="417" t="str">
        <f aca="false">IF($A$1="Peak","-",'Base Hours'!N185*BaseLoad!T184*'Base Hours'!$AA185)</f>
        <v>-</v>
      </c>
      <c r="O185" s="417" t="str">
        <f aca="false">IF($A$1="Peak","-",'Base Hours'!O185*BaseLoad!U184*'Base Hours'!$AA185)</f>
        <v>-</v>
      </c>
      <c r="P185" s="417" t="str">
        <f aca="false">IF($A$1="Peak","-",'Base Hours'!P185*BaseLoad!V184*'Base Hours'!$AA185)</f>
        <v>-</v>
      </c>
      <c r="Q185" s="417" t="str">
        <f aca="false">IF($A$1="Peak","-",'Base Hours'!Q185*BaseLoad!W184*'Base Hours'!$AA185)</f>
        <v>-</v>
      </c>
      <c r="R185" s="417" t="str">
        <f aca="false">IF($A$1="Peak","-",'Base Hours'!R185*BaseLoad!X184*'Base Hours'!$AA185)</f>
        <v>-</v>
      </c>
      <c r="S185" s="417" t="str">
        <f aca="false">IF($A$1="Peak","-",'Base Hours'!S185*BaseLoad!Y184*'Base Hours'!$AA185)</f>
        <v>-</v>
      </c>
      <c r="T185" s="417" t="str">
        <f aca="false">IF($A$1="Peak","-",'Base Hours'!T185*BaseLoad!Z184*'Base Hours'!$AA185)</f>
        <v>-</v>
      </c>
      <c r="U185" s="417" t="str">
        <f aca="false">IF($A$1="Peak","-",'Base Hours'!U185*BaseLoad!AA184*'Base Hours'!$AA185)</f>
        <v>-</v>
      </c>
      <c r="V185" s="417" t="n">
        <f aca="false">SUM(B185:U185)-(MAX(B185:U185))</f>
        <v>0</v>
      </c>
      <c r="W185" s="417"/>
      <c r="X185" s="417"/>
      <c r="Y185" s="418"/>
      <c r="Z185" s="418" t="n">
        <f aca="false">(BaseLoad!C184*'Base Hours'!V185*'Base Hours'!$AA185)*-1</f>
        <v>-0</v>
      </c>
      <c r="AA185" s="418"/>
      <c r="AB185" s="418" t="n">
        <f aca="false">(BaseLoad!D184*'Base Hours'!V185*'Base Hours'!$AA185)*-1</f>
        <v>-0</v>
      </c>
      <c r="AC185" s="418"/>
      <c r="AD185" s="418" t="n">
        <f aca="false">(BaseLoad!E184*'Base Hours'!V185*'Base Hours'!$AA185)*-1</f>
        <v>-0</v>
      </c>
      <c r="AE185" s="418"/>
      <c r="AF185" s="418" t="n">
        <f aca="false">(BaseLoad!F184*'Base Hours'!V185*'Base Hours'!$AA185)*-1</f>
        <v>-0</v>
      </c>
      <c r="AG185" s="418"/>
    </row>
    <row r="186" customFormat="false" ht="12.75" hidden="false" customHeight="false" outlineLevel="0" collapsed="false">
      <c r="A186" s="400" t="n">
        <f aca="false">A185+30.417</f>
        <v>41893.392</v>
      </c>
      <c r="B186" s="417" t="str">
        <f aca="false">IF($A$1="Peak","-",'Base Hours'!B186*BaseLoad!H185*'Base Hours'!$AA186)</f>
        <v>-</v>
      </c>
      <c r="C186" s="417" t="str">
        <f aca="false">IF($A$1="Peak","-",'Base Hours'!C186*BaseLoad!I185*'Base Hours'!$AA186)</f>
        <v>-</v>
      </c>
      <c r="D186" s="417" t="str">
        <f aca="false">IF($A$1="Peak","-",'Base Hours'!D186*BaseLoad!J185*'Base Hours'!$AA186)</f>
        <v>-</v>
      </c>
      <c r="E186" s="417" t="str">
        <f aca="false">IF($A$1="Peak","-",'Base Hours'!E186*BaseLoad!K185*'Base Hours'!$AA186)</f>
        <v>-</v>
      </c>
      <c r="F186" s="417" t="str">
        <f aca="false">IF($A$1="Peak","-",'Base Hours'!F186*BaseLoad!L185*'Base Hours'!$AA186)</f>
        <v>-</v>
      </c>
      <c r="G186" s="417" t="str">
        <f aca="false">IF($A$1="Peak","-",'Base Hours'!G186*BaseLoad!M185*'Base Hours'!$AA186)</f>
        <v>-</v>
      </c>
      <c r="H186" s="417" t="str">
        <f aca="false">IF($A$1="Peak","-",'Base Hours'!H186*BaseLoad!N185*'Base Hours'!$AA186)</f>
        <v>-</v>
      </c>
      <c r="I186" s="417" t="str">
        <f aca="false">IF($A$1="Peak","-",'Base Hours'!I186*BaseLoad!O185*'Base Hours'!$AA186)</f>
        <v>-</v>
      </c>
      <c r="J186" s="417" t="str">
        <f aca="false">IF($A$1="Peak","-",'Base Hours'!J186*BaseLoad!P185*'Base Hours'!$AA186)</f>
        <v>-</v>
      </c>
      <c r="K186" s="417" t="str">
        <f aca="false">IF($A$1="Peak","-",'Base Hours'!K186*BaseLoad!Q185*'Base Hours'!$AA186)</f>
        <v>-</v>
      </c>
      <c r="L186" s="417" t="str">
        <f aca="false">IF($A$1="Peak","-",'Base Hours'!L186*BaseLoad!R185*'Base Hours'!$AA186)</f>
        <v>-</v>
      </c>
      <c r="M186" s="417" t="str">
        <f aca="false">IF($A$1="Peak","-",'Base Hours'!M186*BaseLoad!S185*'Base Hours'!$AA186)</f>
        <v>-</v>
      </c>
      <c r="N186" s="417" t="str">
        <f aca="false">IF($A$1="Peak","-",'Base Hours'!N186*BaseLoad!T185*'Base Hours'!$AA186)</f>
        <v>-</v>
      </c>
      <c r="O186" s="417" t="str">
        <f aca="false">IF($A$1="Peak","-",'Base Hours'!O186*BaseLoad!U185*'Base Hours'!$AA186)</f>
        <v>-</v>
      </c>
      <c r="P186" s="417" t="str">
        <f aca="false">IF($A$1="Peak","-",'Base Hours'!P186*BaseLoad!V185*'Base Hours'!$AA186)</f>
        <v>-</v>
      </c>
      <c r="Q186" s="417" t="str">
        <f aca="false">IF($A$1="Peak","-",'Base Hours'!Q186*BaseLoad!W185*'Base Hours'!$AA186)</f>
        <v>-</v>
      </c>
      <c r="R186" s="417" t="str">
        <f aca="false">IF($A$1="Peak","-",'Base Hours'!R186*BaseLoad!X185*'Base Hours'!$AA186)</f>
        <v>-</v>
      </c>
      <c r="S186" s="417" t="str">
        <f aca="false">IF($A$1="Peak","-",'Base Hours'!S186*BaseLoad!Y185*'Base Hours'!$AA186)</f>
        <v>-</v>
      </c>
      <c r="T186" s="417" t="str">
        <f aca="false">IF($A$1="Peak","-",'Base Hours'!T186*BaseLoad!Z185*'Base Hours'!$AA186)</f>
        <v>-</v>
      </c>
      <c r="U186" s="417" t="str">
        <f aca="false">IF($A$1="Peak","-",'Base Hours'!U186*BaseLoad!AA185*'Base Hours'!$AA186)</f>
        <v>-</v>
      </c>
      <c r="V186" s="417" t="n">
        <f aca="false">SUM(B186:U186)-(MAX(B186:U186))</f>
        <v>0</v>
      </c>
      <c r="W186" s="417"/>
      <c r="X186" s="417"/>
      <c r="Y186" s="418"/>
      <c r="Z186" s="418" t="n">
        <f aca="false">(BaseLoad!C185*'Base Hours'!V186*'Base Hours'!$AA186)*-1</f>
        <v>-0</v>
      </c>
      <c r="AA186" s="418"/>
      <c r="AB186" s="418" t="n">
        <f aca="false">(BaseLoad!D185*'Base Hours'!V186*'Base Hours'!$AA186)*-1</f>
        <v>-0</v>
      </c>
      <c r="AC186" s="418"/>
      <c r="AD186" s="418" t="n">
        <f aca="false">(BaseLoad!E185*'Base Hours'!V186*'Base Hours'!$AA186)*-1</f>
        <v>-0</v>
      </c>
      <c r="AE186" s="418"/>
      <c r="AF186" s="418" t="n">
        <f aca="false">(BaseLoad!F185*'Base Hours'!V186*'Base Hours'!$AA186)*-1</f>
        <v>-0</v>
      </c>
      <c r="AG186" s="418"/>
    </row>
    <row r="187" customFormat="false" ht="12.75" hidden="false" customHeight="false" outlineLevel="0" collapsed="false">
      <c r="A187" s="400" t="n">
        <f aca="false">A186+30.417</f>
        <v>41923.809</v>
      </c>
      <c r="B187" s="417" t="str">
        <f aca="false">IF($A$1="Peak","-",'Base Hours'!B187*BaseLoad!H186*'Base Hours'!$AA187)</f>
        <v>-</v>
      </c>
      <c r="C187" s="417" t="str">
        <f aca="false">IF($A$1="Peak","-",'Base Hours'!C187*BaseLoad!I186*'Base Hours'!$AA187)</f>
        <v>-</v>
      </c>
      <c r="D187" s="417" t="str">
        <f aca="false">IF($A$1="Peak","-",'Base Hours'!D187*BaseLoad!J186*'Base Hours'!$AA187)</f>
        <v>-</v>
      </c>
      <c r="E187" s="417" t="str">
        <f aca="false">IF($A$1="Peak","-",'Base Hours'!E187*BaseLoad!K186*'Base Hours'!$AA187)</f>
        <v>-</v>
      </c>
      <c r="F187" s="417" t="str">
        <f aca="false">IF($A$1="Peak","-",'Base Hours'!F187*BaseLoad!L186*'Base Hours'!$AA187)</f>
        <v>-</v>
      </c>
      <c r="G187" s="417" t="str">
        <f aca="false">IF($A$1="Peak","-",'Base Hours'!G187*BaseLoad!M186*'Base Hours'!$AA187)</f>
        <v>-</v>
      </c>
      <c r="H187" s="417" t="str">
        <f aca="false">IF($A$1="Peak","-",'Base Hours'!H187*BaseLoad!N186*'Base Hours'!$AA187)</f>
        <v>-</v>
      </c>
      <c r="I187" s="417" t="str">
        <f aca="false">IF($A$1="Peak","-",'Base Hours'!I187*BaseLoad!O186*'Base Hours'!$AA187)</f>
        <v>-</v>
      </c>
      <c r="J187" s="417" t="str">
        <f aca="false">IF($A$1="Peak","-",'Base Hours'!J187*BaseLoad!P186*'Base Hours'!$AA187)</f>
        <v>-</v>
      </c>
      <c r="K187" s="417" t="str">
        <f aca="false">IF($A$1="Peak","-",'Base Hours'!K187*BaseLoad!Q186*'Base Hours'!$AA187)</f>
        <v>-</v>
      </c>
      <c r="L187" s="417" t="str">
        <f aca="false">IF($A$1="Peak","-",'Base Hours'!L187*BaseLoad!R186*'Base Hours'!$AA187)</f>
        <v>-</v>
      </c>
      <c r="M187" s="417" t="str">
        <f aca="false">IF($A$1="Peak","-",'Base Hours'!M187*BaseLoad!S186*'Base Hours'!$AA187)</f>
        <v>-</v>
      </c>
      <c r="N187" s="417" t="str">
        <f aca="false">IF($A$1="Peak","-",'Base Hours'!N187*BaseLoad!T186*'Base Hours'!$AA187)</f>
        <v>-</v>
      </c>
      <c r="O187" s="417" t="str">
        <f aca="false">IF($A$1="Peak","-",'Base Hours'!O187*BaseLoad!U186*'Base Hours'!$AA187)</f>
        <v>-</v>
      </c>
      <c r="P187" s="417" t="str">
        <f aca="false">IF($A$1="Peak","-",'Base Hours'!P187*BaseLoad!V186*'Base Hours'!$AA187)</f>
        <v>-</v>
      </c>
      <c r="Q187" s="417" t="str">
        <f aca="false">IF($A$1="Peak","-",'Base Hours'!Q187*BaseLoad!W186*'Base Hours'!$AA187)</f>
        <v>-</v>
      </c>
      <c r="R187" s="417" t="str">
        <f aca="false">IF($A$1="Peak","-",'Base Hours'!R187*BaseLoad!X186*'Base Hours'!$AA187)</f>
        <v>-</v>
      </c>
      <c r="S187" s="417" t="str">
        <f aca="false">IF($A$1="Peak","-",'Base Hours'!S187*BaseLoad!Y186*'Base Hours'!$AA187)</f>
        <v>-</v>
      </c>
      <c r="T187" s="417" t="str">
        <f aca="false">IF($A$1="Peak","-",'Base Hours'!T187*BaseLoad!Z186*'Base Hours'!$AA187)</f>
        <v>-</v>
      </c>
      <c r="U187" s="417" t="str">
        <f aca="false">IF($A$1="Peak","-",'Base Hours'!U187*BaseLoad!AA186*'Base Hours'!$AA187)</f>
        <v>-</v>
      </c>
      <c r="V187" s="417" t="n">
        <f aca="false">SUM(B187:U187)-(MAX(B187:U187))</f>
        <v>0</v>
      </c>
      <c r="W187" s="417"/>
      <c r="X187" s="417"/>
      <c r="Y187" s="418"/>
      <c r="Z187" s="418" t="n">
        <f aca="false">(BaseLoad!C186*'Base Hours'!V187*'Base Hours'!$AA187)*-1</f>
        <v>-0</v>
      </c>
      <c r="AA187" s="418"/>
      <c r="AB187" s="418" t="n">
        <f aca="false">(BaseLoad!D186*'Base Hours'!V187*'Base Hours'!$AA187)*-1</f>
        <v>-0</v>
      </c>
      <c r="AC187" s="418"/>
      <c r="AD187" s="418" t="n">
        <f aca="false">(BaseLoad!E186*'Base Hours'!V187*'Base Hours'!$AA187)*-1</f>
        <v>-0</v>
      </c>
      <c r="AE187" s="418"/>
      <c r="AF187" s="418" t="n">
        <f aca="false">(BaseLoad!F186*'Base Hours'!V187*'Base Hours'!$AA187)*-1</f>
        <v>-0</v>
      </c>
      <c r="AG187" s="418"/>
    </row>
    <row r="188" customFormat="false" ht="12.75" hidden="false" customHeight="false" outlineLevel="0" collapsed="false">
      <c r="A188" s="400" t="n">
        <f aca="false">A187+30.417</f>
        <v>41954.226</v>
      </c>
      <c r="B188" s="417" t="str">
        <f aca="false">IF($A$1="Peak","-",'Base Hours'!B188*BaseLoad!H187*'Base Hours'!$AA188)</f>
        <v>-</v>
      </c>
      <c r="C188" s="417" t="str">
        <f aca="false">IF($A$1="Peak","-",'Base Hours'!C188*BaseLoad!I187*'Base Hours'!$AA188)</f>
        <v>-</v>
      </c>
      <c r="D188" s="417" t="str">
        <f aca="false">IF($A$1="Peak","-",'Base Hours'!D188*BaseLoad!J187*'Base Hours'!$AA188)</f>
        <v>-</v>
      </c>
      <c r="E188" s="417" t="str">
        <f aca="false">IF($A$1="Peak","-",'Base Hours'!E188*BaseLoad!K187*'Base Hours'!$AA188)</f>
        <v>-</v>
      </c>
      <c r="F188" s="417" t="str">
        <f aca="false">IF($A$1="Peak","-",'Base Hours'!F188*BaseLoad!L187*'Base Hours'!$AA188)</f>
        <v>-</v>
      </c>
      <c r="G188" s="417" t="str">
        <f aca="false">IF($A$1="Peak","-",'Base Hours'!G188*BaseLoad!M187*'Base Hours'!$AA188)</f>
        <v>-</v>
      </c>
      <c r="H188" s="417" t="str">
        <f aca="false">IF($A$1="Peak","-",'Base Hours'!H188*BaseLoad!N187*'Base Hours'!$AA188)</f>
        <v>-</v>
      </c>
      <c r="I188" s="417" t="str">
        <f aca="false">IF($A$1="Peak","-",'Base Hours'!I188*BaseLoad!O187*'Base Hours'!$AA188)</f>
        <v>-</v>
      </c>
      <c r="J188" s="417" t="str">
        <f aca="false">IF($A$1="Peak","-",'Base Hours'!J188*BaseLoad!P187*'Base Hours'!$AA188)</f>
        <v>-</v>
      </c>
      <c r="K188" s="417" t="str">
        <f aca="false">IF($A$1="Peak","-",'Base Hours'!K188*BaseLoad!Q187*'Base Hours'!$AA188)</f>
        <v>-</v>
      </c>
      <c r="L188" s="417" t="str">
        <f aca="false">IF($A$1="Peak","-",'Base Hours'!L188*BaseLoad!R187*'Base Hours'!$AA188)</f>
        <v>-</v>
      </c>
      <c r="M188" s="417" t="str">
        <f aca="false">IF($A$1="Peak","-",'Base Hours'!M188*BaseLoad!S187*'Base Hours'!$AA188)</f>
        <v>-</v>
      </c>
      <c r="N188" s="417" t="str">
        <f aca="false">IF($A$1="Peak","-",'Base Hours'!N188*BaseLoad!T187*'Base Hours'!$AA188)</f>
        <v>-</v>
      </c>
      <c r="O188" s="417" t="str">
        <f aca="false">IF($A$1="Peak","-",'Base Hours'!O188*BaseLoad!U187*'Base Hours'!$AA188)</f>
        <v>-</v>
      </c>
      <c r="P188" s="417" t="str">
        <f aca="false">IF($A$1="Peak","-",'Base Hours'!P188*BaseLoad!V187*'Base Hours'!$AA188)</f>
        <v>-</v>
      </c>
      <c r="Q188" s="417" t="str">
        <f aca="false">IF($A$1="Peak","-",'Base Hours'!Q188*BaseLoad!W187*'Base Hours'!$AA188)</f>
        <v>-</v>
      </c>
      <c r="R188" s="417" t="str">
        <f aca="false">IF($A$1="Peak","-",'Base Hours'!R188*BaseLoad!X187*'Base Hours'!$AA188)</f>
        <v>-</v>
      </c>
      <c r="S188" s="417" t="str">
        <f aca="false">IF($A$1="Peak","-",'Base Hours'!S188*BaseLoad!Y187*'Base Hours'!$AA188)</f>
        <v>-</v>
      </c>
      <c r="T188" s="417" t="str">
        <f aca="false">IF($A$1="Peak","-",'Base Hours'!T188*BaseLoad!Z187*'Base Hours'!$AA188)</f>
        <v>-</v>
      </c>
      <c r="U188" s="417" t="str">
        <f aca="false">IF($A$1="Peak","-",'Base Hours'!U188*BaseLoad!AA187*'Base Hours'!$AA188)</f>
        <v>-</v>
      </c>
      <c r="V188" s="417" t="n">
        <f aca="false">SUM(B188:U188)-(MAX(B188:U188))</f>
        <v>0</v>
      </c>
      <c r="W188" s="417"/>
      <c r="X188" s="417"/>
      <c r="Y188" s="418"/>
      <c r="Z188" s="418" t="n">
        <f aca="false">(BaseLoad!C187*'Base Hours'!V188*'Base Hours'!$AA188)*-1</f>
        <v>-0</v>
      </c>
      <c r="AA188" s="418"/>
      <c r="AB188" s="418" t="n">
        <f aca="false">(BaseLoad!D187*'Base Hours'!V188*'Base Hours'!$AA188)*-1</f>
        <v>-0</v>
      </c>
      <c r="AC188" s="418"/>
      <c r="AD188" s="418" t="n">
        <f aca="false">(BaseLoad!E187*'Base Hours'!V188*'Base Hours'!$AA188)*-1</f>
        <v>-0</v>
      </c>
      <c r="AE188" s="418"/>
      <c r="AF188" s="418" t="n">
        <f aca="false">(BaseLoad!F187*'Base Hours'!V188*'Base Hours'!$AA188)*-1</f>
        <v>-0</v>
      </c>
      <c r="AG188" s="418"/>
    </row>
    <row r="189" customFormat="false" ht="12.75" hidden="false" customHeight="false" outlineLevel="0" collapsed="false">
      <c r="A189" s="400" t="n">
        <f aca="false">A188+30.417</f>
        <v>41984.643</v>
      </c>
      <c r="B189" s="417" t="str">
        <f aca="false">IF($A$1="Peak","-",'Base Hours'!B189*BaseLoad!H188*'Base Hours'!$AA189)</f>
        <v>-</v>
      </c>
      <c r="C189" s="417" t="str">
        <f aca="false">IF($A$1="Peak","-",'Base Hours'!C189*BaseLoad!I188*'Base Hours'!$AA189)</f>
        <v>-</v>
      </c>
      <c r="D189" s="417" t="str">
        <f aca="false">IF($A$1="Peak","-",'Base Hours'!D189*BaseLoad!J188*'Base Hours'!$AA189)</f>
        <v>-</v>
      </c>
      <c r="E189" s="417" t="str">
        <f aca="false">IF($A$1="Peak","-",'Base Hours'!E189*BaseLoad!K188*'Base Hours'!$AA189)</f>
        <v>-</v>
      </c>
      <c r="F189" s="417" t="str">
        <f aca="false">IF($A$1="Peak","-",'Base Hours'!F189*BaseLoad!L188*'Base Hours'!$AA189)</f>
        <v>-</v>
      </c>
      <c r="G189" s="417" t="str">
        <f aca="false">IF($A$1="Peak","-",'Base Hours'!G189*BaseLoad!M188*'Base Hours'!$AA189)</f>
        <v>-</v>
      </c>
      <c r="H189" s="417" t="str">
        <f aca="false">IF($A$1="Peak","-",'Base Hours'!H189*BaseLoad!N188*'Base Hours'!$AA189)</f>
        <v>-</v>
      </c>
      <c r="I189" s="417" t="str">
        <f aca="false">IF($A$1="Peak","-",'Base Hours'!I189*BaseLoad!O188*'Base Hours'!$AA189)</f>
        <v>-</v>
      </c>
      <c r="J189" s="417" t="str">
        <f aca="false">IF($A$1="Peak","-",'Base Hours'!J189*BaseLoad!P188*'Base Hours'!$AA189)</f>
        <v>-</v>
      </c>
      <c r="K189" s="417" t="str">
        <f aca="false">IF($A$1="Peak","-",'Base Hours'!K189*BaseLoad!Q188*'Base Hours'!$AA189)</f>
        <v>-</v>
      </c>
      <c r="L189" s="417" t="str">
        <f aca="false">IF($A$1="Peak","-",'Base Hours'!L189*BaseLoad!R188*'Base Hours'!$AA189)</f>
        <v>-</v>
      </c>
      <c r="M189" s="417" t="str">
        <f aca="false">IF($A$1="Peak","-",'Base Hours'!M189*BaseLoad!S188*'Base Hours'!$AA189)</f>
        <v>-</v>
      </c>
      <c r="N189" s="417" t="str">
        <f aca="false">IF($A$1="Peak","-",'Base Hours'!N189*BaseLoad!T188*'Base Hours'!$AA189)</f>
        <v>-</v>
      </c>
      <c r="O189" s="417" t="str">
        <f aca="false">IF($A$1="Peak","-",'Base Hours'!O189*BaseLoad!U188*'Base Hours'!$AA189)</f>
        <v>-</v>
      </c>
      <c r="P189" s="417" t="str">
        <f aca="false">IF($A$1="Peak","-",'Base Hours'!P189*BaseLoad!V188*'Base Hours'!$AA189)</f>
        <v>-</v>
      </c>
      <c r="Q189" s="417" t="str">
        <f aca="false">IF($A$1="Peak","-",'Base Hours'!Q189*BaseLoad!W188*'Base Hours'!$AA189)</f>
        <v>-</v>
      </c>
      <c r="R189" s="417" t="str">
        <f aca="false">IF($A$1="Peak","-",'Base Hours'!R189*BaseLoad!X188*'Base Hours'!$AA189)</f>
        <v>-</v>
      </c>
      <c r="S189" s="417" t="str">
        <f aca="false">IF($A$1="Peak","-",'Base Hours'!S189*BaseLoad!Y188*'Base Hours'!$AA189)</f>
        <v>-</v>
      </c>
      <c r="T189" s="417" t="str">
        <f aca="false">IF($A$1="Peak","-",'Base Hours'!T189*BaseLoad!Z188*'Base Hours'!$AA189)</f>
        <v>-</v>
      </c>
      <c r="U189" s="417" t="str">
        <f aca="false">IF($A$1="Peak","-",'Base Hours'!U189*BaseLoad!AA188*'Base Hours'!$AA189)</f>
        <v>-</v>
      </c>
      <c r="V189" s="417" t="n">
        <f aca="false">SUM(B189:U189)-(MAX(B189:U189))</f>
        <v>0</v>
      </c>
      <c r="W189" s="417"/>
      <c r="X189" s="417"/>
      <c r="Y189" s="418" t="n">
        <f aca="false">SUM(B178:U189)</f>
        <v>0</v>
      </c>
      <c r="Z189" s="418" t="n">
        <f aca="false">(BaseLoad!C188*'Base Hours'!V189*'Base Hours'!$AA189)*-1</f>
        <v>-0</v>
      </c>
      <c r="AA189" s="418" t="n">
        <f aca="false">SUM(Z178:Z189)</f>
        <v>0</v>
      </c>
      <c r="AB189" s="418" t="n">
        <f aca="false">(BaseLoad!D188*'Base Hours'!V189*'Base Hours'!$AA189)*-1</f>
        <v>-0</v>
      </c>
      <c r="AC189" s="418" t="n">
        <f aca="false">SUM(AB178:AB189)</f>
        <v>0</v>
      </c>
      <c r="AD189" s="418" t="n">
        <f aca="false">(BaseLoad!E188*'Base Hours'!V189*'Base Hours'!$AA189)*-1</f>
        <v>-0</v>
      </c>
      <c r="AE189" s="418" t="n">
        <f aca="false">SUM(AD178:AD189)</f>
        <v>0</v>
      </c>
      <c r="AF189" s="418" t="n">
        <f aca="false">(BaseLoad!F188*'Base Hours'!V189*'Base Hours'!$AA189)*-1</f>
        <v>-0</v>
      </c>
      <c r="AG189" s="418" t="n">
        <f aca="false">SUM(AF178:AF189)</f>
        <v>0</v>
      </c>
    </row>
    <row r="190" customFormat="false" ht="12.75" hidden="false" customHeight="false" outlineLevel="0" collapsed="false">
      <c r="A190" s="400" t="n">
        <f aca="false">A189+30.417</f>
        <v>42015.06</v>
      </c>
      <c r="B190" s="417" t="str">
        <f aca="false">IF($A$1="Peak","-",'Base Hours'!B190*BaseLoad!H189*'Base Hours'!$AA190)</f>
        <v>-</v>
      </c>
      <c r="C190" s="417" t="str">
        <f aca="false">IF($A$1="Peak","-",'Base Hours'!C190*BaseLoad!I189*'Base Hours'!$AA190)</f>
        <v>-</v>
      </c>
      <c r="D190" s="417" t="str">
        <f aca="false">IF($A$1="Peak","-",'Base Hours'!D190*BaseLoad!J189*'Base Hours'!$AA190)</f>
        <v>-</v>
      </c>
      <c r="E190" s="417" t="str">
        <f aca="false">IF($A$1="Peak","-",'Base Hours'!E190*BaseLoad!K189*'Base Hours'!$AA190)</f>
        <v>-</v>
      </c>
      <c r="F190" s="417" t="str">
        <f aca="false">IF($A$1="Peak","-",'Base Hours'!F190*BaseLoad!L189*'Base Hours'!$AA190)</f>
        <v>-</v>
      </c>
      <c r="G190" s="417" t="str">
        <f aca="false">IF($A$1="Peak","-",'Base Hours'!G190*BaseLoad!M189*'Base Hours'!$AA190)</f>
        <v>-</v>
      </c>
      <c r="H190" s="417" t="str">
        <f aca="false">IF($A$1="Peak","-",'Base Hours'!H190*BaseLoad!N189*'Base Hours'!$AA190)</f>
        <v>-</v>
      </c>
      <c r="I190" s="417" t="str">
        <f aca="false">IF($A$1="Peak","-",'Base Hours'!I190*BaseLoad!O189*'Base Hours'!$AA190)</f>
        <v>-</v>
      </c>
      <c r="J190" s="417" t="str">
        <f aca="false">IF($A$1="Peak","-",'Base Hours'!J190*BaseLoad!P189*'Base Hours'!$AA190)</f>
        <v>-</v>
      </c>
      <c r="K190" s="417" t="str">
        <f aca="false">IF($A$1="Peak","-",'Base Hours'!K190*BaseLoad!Q189*'Base Hours'!$AA190)</f>
        <v>-</v>
      </c>
      <c r="L190" s="417" t="str">
        <f aca="false">IF($A$1="Peak","-",'Base Hours'!L190*BaseLoad!R189*'Base Hours'!$AA190)</f>
        <v>-</v>
      </c>
      <c r="M190" s="417" t="str">
        <f aca="false">IF($A$1="Peak","-",'Base Hours'!M190*BaseLoad!S189*'Base Hours'!$AA190)</f>
        <v>-</v>
      </c>
      <c r="N190" s="417" t="str">
        <f aca="false">IF($A$1="Peak","-",'Base Hours'!N190*BaseLoad!T189*'Base Hours'!$AA190)</f>
        <v>-</v>
      </c>
      <c r="O190" s="417" t="str">
        <f aca="false">IF($A$1="Peak","-",'Base Hours'!O190*BaseLoad!U189*'Base Hours'!$AA190)</f>
        <v>-</v>
      </c>
      <c r="P190" s="417" t="str">
        <f aca="false">IF($A$1="Peak","-",'Base Hours'!P190*BaseLoad!V189*'Base Hours'!$AA190)</f>
        <v>-</v>
      </c>
      <c r="Q190" s="417" t="str">
        <f aca="false">IF($A$1="Peak","-",'Base Hours'!Q190*BaseLoad!W189*'Base Hours'!$AA190)</f>
        <v>-</v>
      </c>
      <c r="R190" s="417" t="str">
        <f aca="false">IF($A$1="Peak","-",'Base Hours'!R190*BaseLoad!X189*'Base Hours'!$AA190)</f>
        <v>-</v>
      </c>
      <c r="S190" s="417" t="str">
        <f aca="false">IF($A$1="Peak","-",'Base Hours'!S190*BaseLoad!Y189*'Base Hours'!$AA190)</f>
        <v>-</v>
      </c>
      <c r="T190" s="417" t="str">
        <f aca="false">IF($A$1="Peak","-",'Base Hours'!T190*BaseLoad!Z189*'Base Hours'!$AA190)</f>
        <v>-</v>
      </c>
      <c r="U190" s="417" t="str">
        <f aca="false">IF($A$1="Peak","-",'Base Hours'!U190*BaseLoad!AA189*'Base Hours'!$AA190)</f>
        <v>-</v>
      </c>
      <c r="V190" s="417" t="n">
        <f aca="false">SUM(B190:U190)-(MAX(B190:U190))</f>
        <v>0</v>
      </c>
      <c r="W190" s="417"/>
      <c r="X190" s="417"/>
      <c r="Y190" s="418"/>
      <c r="Z190" s="418" t="n">
        <f aca="false">(BaseLoad!C189*'Base Hours'!V190*'Base Hours'!$AA190)*-1</f>
        <v>-0</v>
      </c>
      <c r="AA190" s="418"/>
      <c r="AB190" s="418" t="n">
        <f aca="false">(BaseLoad!D189*'Base Hours'!V190*'Base Hours'!$AA190)*-1</f>
        <v>-0</v>
      </c>
      <c r="AC190" s="418"/>
      <c r="AD190" s="418" t="n">
        <f aca="false">(BaseLoad!E189*'Base Hours'!V190*'Base Hours'!$AA190)*-1</f>
        <v>-0</v>
      </c>
      <c r="AE190" s="418"/>
      <c r="AF190" s="418" t="n">
        <f aca="false">(BaseLoad!F189*'Base Hours'!V190*'Base Hours'!$AA190)*-1</f>
        <v>-0</v>
      </c>
      <c r="AG190" s="418"/>
    </row>
    <row r="191" customFormat="false" ht="12.75" hidden="false" customHeight="false" outlineLevel="0" collapsed="false">
      <c r="A191" s="400" t="n">
        <f aca="false">A190+30.417</f>
        <v>42045.477</v>
      </c>
      <c r="B191" s="417" t="str">
        <f aca="false">IF($A$1="Peak","-",'Base Hours'!B191*BaseLoad!H190*'Base Hours'!$AA191)</f>
        <v>-</v>
      </c>
      <c r="C191" s="417" t="str">
        <f aca="false">IF($A$1="Peak","-",'Base Hours'!C191*BaseLoad!I190*'Base Hours'!$AA191)</f>
        <v>-</v>
      </c>
      <c r="D191" s="417" t="str">
        <f aca="false">IF($A$1="Peak","-",'Base Hours'!D191*BaseLoad!J190*'Base Hours'!$AA191)</f>
        <v>-</v>
      </c>
      <c r="E191" s="417" t="str">
        <f aca="false">IF($A$1="Peak","-",'Base Hours'!E191*BaseLoad!K190*'Base Hours'!$AA191)</f>
        <v>-</v>
      </c>
      <c r="F191" s="417" t="str">
        <f aca="false">IF($A$1="Peak","-",'Base Hours'!F191*BaseLoad!L190*'Base Hours'!$AA191)</f>
        <v>-</v>
      </c>
      <c r="G191" s="417" t="str">
        <f aca="false">IF($A$1="Peak","-",'Base Hours'!G191*BaseLoad!M190*'Base Hours'!$AA191)</f>
        <v>-</v>
      </c>
      <c r="H191" s="417" t="str">
        <f aca="false">IF($A$1="Peak","-",'Base Hours'!H191*BaseLoad!N190*'Base Hours'!$AA191)</f>
        <v>-</v>
      </c>
      <c r="I191" s="417" t="str">
        <f aca="false">IF($A$1="Peak","-",'Base Hours'!I191*BaseLoad!O190*'Base Hours'!$AA191)</f>
        <v>-</v>
      </c>
      <c r="J191" s="417" t="str">
        <f aca="false">IF($A$1="Peak","-",'Base Hours'!J191*BaseLoad!P190*'Base Hours'!$AA191)</f>
        <v>-</v>
      </c>
      <c r="K191" s="417" t="str">
        <f aca="false">IF($A$1="Peak","-",'Base Hours'!K191*BaseLoad!Q190*'Base Hours'!$AA191)</f>
        <v>-</v>
      </c>
      <c r="L191" s="417" t="str">
        <f aca="false">IF($A$1="Peak","-",'Base Hours'!L191*BaseLoad!R190*'Base Hours'!$AA191)</f>
        <v>-</v>
      </c>
      <c r="M191" s="417" t="str">
        <f aca="false">IF($A$1="Peak","-",'Base Hours'!M191*BaseLoad!S190*'Base Hours'!$AA191)</f>
        <v>-</v>
      </c>
      <c r="N191" s="417" t="str">
        <f aca="false">IF($A$1="Peak","-",'Base Hours'!N191*BaseLoad!T190*'Base Hours'!$AA191)</f>
        <v>-</v>
      </c>
      <c r="O191" s="417" t="str">
        <f aca="false">IF($A$1="Peak","-",'Base Hours'!O191*BaseLoad!U190*'Base Hours'!$AA191)</f>
        <v>-</v>
      </c>
      <c r="P191" s="417" t="str">
        <f aca="false">IF($A$1="Peak","-",'Base Hours'!P191*BaseLoad!V190*'Base Hours'!$AA191)</f>
        <v>-</v>
      </c>
      <c r="Q191" s="417" t="str">
        <f aca="false">IF($A$1="Peak","-",'Base Hours'!Q191*BaseLoad!W190*'Base Hours'!$AA191)</f>
        <v>-</v>
      </c>
      <c r="R191" s="417" t="str">
        <f aca="false">IF($A$1="Peak","-",'Base Hours'!R191*BaseLoad!X190*'Base Hours'!$AA191)</f>
        <v>-</v>
      </c>
      <c r="S191" s="417" t="str">
        <f aca="false">IF($A$1="Peak","-",'Base Hours'!S191*BaseLoad!Y190*'Base Hours'!$AA191)</f>
        <v>-</v>
      </c>
      <c r="T191" s="417" t="str">
        <f aca="false">IF($A$1="Peak","-",'Base Hours'!T191*BaseLoad!Z190*'Base Hours'!$AA191)</f>
        <v>-</v>
      </c>
      <c r="U191" s="417" t="str">
        <f aca="false">IF($A$1="Peak","-",'Base Hours'!U191*BaseLoad!AA190*'Base Hours'!$AA191)</f>
        <v>-</v>
      </c>
      <c r="V191" s="417" t="n">
        <f aca="false">SUM(B191:U191)-(MAX(B191:U191))</f>
        <v>0</v>
      </c>
      <c r="W191" s="417"/>
      <c r="X191" s="417"/>
      <c r="Y191" s="418"/>
      <c r="Z191" s="418" t="n">
        <f aca="false">(BaseLoad!C190*'Base Hours'!V191*'Base Hours'!$AA191)*-1</f>
        <v>-0</v>
      </c>
      <c r="AA191" s="418"/>
      <c r="AB191" s="418" t="n">
        <f aca="false">(BaseLoad!D190*'Base Hours'!V191*'Base Hours'!$AA191)*-1</f>
        <v>-0</v>
      </c>
      <c r="AC191" s="418"/>
      <c r="AD191" s="418" t="n">
        <f aca="false">(BaseLoad!E190*'Base Hours'!V191*'Base Hours'!$AA191)*-1</f>
        <v>-0</v>
      </c>
      <c r="AE191" s="418"/>
      <c r="AF191" s="418" t="n">
        <f aca="false">(BaseLoad!F190*'Base Hours'!V191*'Base Hours'!$AA191)*-1</f>
        <v>-0</v>
      </c>
      <c r="AG191" s="418"/>
    </row>
    <row r="192" customFormat="false" ht="12.75" hidden="false" customHeight="false" outlineLevel="0" collapsed="false">
      <c r="A192" s="400" t="n">
        <f aca="false">A191+30.417</f>
        <v>42075.894</v>
      </c>
      <c r="B192" s="417" t="str">
        <f aca="false">IF($A$1="Peak","-",'Base Hours'!B192*BaseLoad!H191*'Base Hours'!$AA192)</f>
        <v>-</v>
      </c>
      <c r="C192" s="417" t="str">
        <f aca="false">IF($A$1="Peak","-",'Base Hours'!C192*BaseLoad!I191*'Base Hours'!$AA192)</f>
        <v>-</v>
      </c>
      <c r="D192" s="417" t="str">
        <f aca="false">IF($A$1="Peak","-",'Base Hours'!D192*BaseLoad!J191*'Base Hours'!$AA192)</f>
        <v>-</v>
      </c>
      <c r="E192" s="417" t="str">
        <f aca="false">IF($A$1="Peak","-",'Base Hours'!E192*BaseLoad!K191*'Base Hours'!$AA192)</f>
        <v>-</v>
      </c>
      <c r="F192" s="417" t="str">
        <f aca="false">IF($A$1="Peak","-",'Base Hours'!F192*BaseLoad!L191*'Base Hours'!$AA192)</f>
        <v>-</v>
      </c>
      <c r="G192" s="417" t="str">
        <f aca="false">IF($A$1="Peak","-",'Base Hours'!G192*BaseLoad!M191*'Base Hours'!$AA192)</f>
        <v>-</v>
      </c>
      <c r="H192" s="417" t="str">
        <f aca="false">IF($A$1="Peak","-",'Base Hours'!H192*BaseLoad!N191*'Base Hours'!$AA192)</f>
        <v>-</v>
      </c>
      <c r="I192" s="417" t="str">
        <f aca="false">IF($A$1="Peak","-",'Base Hours'!I192*BaseLoad!O191*'Base Hours'!$AA192)</f>
        <v>-</v>
      </c>
      <c r="J192" s="417" t="str">
        <f aca="false">IF($A$1="Peak","-",'Base Hours'!J192*BaseLoad!P191*'Base Hours'!$AA192)</f>
        <v>-</v>
      </c>
      <c r="K192" s="417" t="str">
        <f aca="false">IF($A$1="Peak","-",'Base Hours'!K192*BaseLoad!Q191*'Base Hours'!$AA192)</f>
        <v>-</v>
      </c>
      <c r="L192" s="417" t="str">
        <f aca="false">IF($A$1="Peak","-",'Base Hours'!L192*BaseLoad!R191*'Base Hours'!$AA192)</f>
        <v>-</v>
      </c>
      <c r="M192" s="417" t="str">
        <f aca="false">IF($A$1="Peak","-",'Base Hours'!M192*BaseLoad!S191*'Base Hours'!$AA192)</f>
        <v>-</v>
      </c>
      <c r="N192" s="417" t="str">
        <f aca="false">IF($A$1="Peak","-",'Base Hours'!N192*BaseLoad!T191*'Base Hours'!$AA192)</f>
        <v>-</v>
      </c>
      <c r="O192" s="417" t="str">
        <f aca="false">IF($A$1="Peak","-",'Base Hours'!O192*BaseLoad!U191*'Base Hours'!$AA192)</f>
        <v>-</v>
      </c>
      <c r="P192" s="417" t="str">
        <f aca="false">IF($A$1="Peak","-",'Base Hours'!P192*BaseLoad!V191*'Base Hours'!$AA192)</f>
        <v>-</v>
      </c>
      <c r="Q192" s="417" t="str">
        <f aca="false">IF($A$1="Peak","-",'Base Hours'!Q192*BaseLoad!W191*'Base Hours'!$AA192)</f>
        <v>-</v>
      </c>
      <c r="R192" s="417" t="str">
        <f aca="false">IF($A$1="Peak","-",'Base Hours'!R192*BaseLoad!X191*'Base Hours'!$AA192)</f>
        <v>-</v>
      </c>
      <c r="S192" s="417" t="str">
        <f aca="false">IF($A$1="Peak","-",'Base Hours'!S192*BaseLoad!Y191*'Base Hours'!$AA192)</f>
        <v>-</v>
      </c>
      <c r="T192" s="417" t="str">
        <f aca="false">IF($A$1="Peak","-",'Base Hours'!T192*BaseLoad!Z191*'Base Hours'!$AA192)</f>
        <v>-</v>
      </c>
      <c r="U192" s="417" t="str">
        <f aca="false">IF($A$1="Peak","-",'Base Hours'!U192*BaseLoad!AA191*'Base Hours'!$AA192)</f>
        <v>-</v>
      </c>
      <c r="V192" s="417" t="n">
        <f aca="false">SUM(B192:U192)-(MAX(B192:U192))</f>
        <v>0</v>
      </c>
      <c r="W192" s="417"/>
      <c r="X192" s="417"/>
      <c r="Y192" s="418"/>
      <c r="Z192" s="418" t="n">
        <f aca="false">(BaseLoad!C191*'Base Hours'!V192*'Base Hours'!$AA192)*-1</f>
        <v>-0</v>
      </c>
      <c r="AA192" s="418"/>
      <c r="AB192" s="418" t="n">
        <f aca="false">(BaseLoad!D191*'Base Hours'!V192*'Base Hours'!$AA192)*-1</f>
        <v>-0</v>
      </c>
      <c r="AC192" s="418"/>
      <c r="AD192" s="418" t="n">
        <f aca="false">(BaseLoad!E191*'Base Hours'!V192*'Base Hours'!$AA192)*-1</f>
        <v>-0</v>
      </c>
      <c r="AE192" s="418"/>
      <c r="AF192" s="418" t="n">
        <f aca="false">(BaseLoad!F191*'Base Hours'!V192*'Base Hours'!$AA192)*-1</f>
        <v>-0</v>
      </c>
      <c r="AG192" s="418"/>
    </row>
    <row r="193" customFormat="false" ht="12.75" hidden="false" customHeight="false" outlineLevel="0" collapsed="false">
      <c r="A193" s="400" t="n">
        <f aca="false">A192+30.417</f>
        <v>42106.311</v>
      </c>
      <c r="B193" s="417" t="str">
        <f aca="false">IF($A$1="Peak","-",'Base Hours'!B193*BaseLoad!H192*'Base Hours'!$AA193)</f>
        <v>-</v>
      </c>
      <c r="C193" s="417" t="str">
        <f aca="false">IF($A$1="Peak","-",'Base Hours'!C193*BaseLoad!I192*'Base Hours'!$AA193)</f>
        <v>-</v>
      </c>
      <c r="D193" s="417" t="str">
        <f aca="false">IF($A$1="Peak","-",'Base Hours'!D193*BaseLoad!J192*'Base Hours'!$AA193)</f>
        <v>-</v>
      </c>
      <c r="E193" s="417" t="str">
        <f aca="false">IF($A$1="Peak","-",'Base Hours'!E193*BaseLoad!K192*'Base Hours'!$AA193)</f>
        <v>-</v>
      </c>
      <c r="F193" s="417" t="str">
        <f aca="false">IF($A$1="Peak","-",'Base Hours'!F193*BaseLoad!L192*'Base Hours'!$AA193)</f>
        <v>-</v>
      </c>
      <c r="G193" s="417" t="str">
        <f aca="false">IF($A$1="Peak","-",'Base Hours'!G193*BaseLoad!M192*'Base Hours'!$AA193)</f>
        <v>-</v>
      </c>
      <c r="H193" s="417" t="str">
        <f aca="false">IF($A$1="Peak","-",'Base Hours'!H193*BaseLoad!N192*'Base Hours'!$AA193)</f>
        <v>-</v>
      </c>
      <c r="I193" s="417" t="str">
        <f aca="false">IF($A$1="Peak","-",'Base Hours'!I193*BaseLoad!O192*'Base Hours'!$AA193)</f>
        <v>-</v>
      </c>
      <c r="J193" s="417" t="str">
        <f aca="false">IF($A$1="Peak","-",'Base Hours'!J193*BaseLoad!P192*'Base Hours'!$AA193)</f>
        <v>-</v>
      </c>
      <c r="K193" s="417" t="str">
        <f aca="false">IF($A$1="Peak","-",'Base Hours'!K193*BaseLoad!Q192*'Base Hours'!$AA193)</f>
        <v>-</v>
      </c>
      <c r="L193" s="417" t="str">
        <f aca="false">IF($A$1="Peak","-",'Base Hours'!L193*BaseLoad!R192*'Base Hours'!$AA193)</f>
        <v>-</v>
      </c>
      <c r="M193" s="417" t="str">
        <f aca="false">IF($A$1="Peak","-",'Base Hours'!M193*BaseLoad!S192*'Base Hours'!$AA193)</f>
        <v>-</v>
      </c>
      <c r="N193" s="417" t="str">
        <f aca="false">IF($A$1="Peak","-",'Base Hours'!N193*BaseLoad!T192*'Base Hours'!$AA193)</f>
        <v>-</v>
      </c>
      <c r="O193" s="417" t="str">
        <f aca="false">IF($A$1="Peak","-",'Base Hours'!O193*BaseLoad!U192*'Base Hours'!$AA193)</f>
        <v>-</v>
      </c>
      <c r="P193" s="417" t="str">
        <f aca="false">IF($A$1="Peak","-",'Base Hours'!P193*BaseLoad!V192*'Base Hours'!$AA193)</f>
        <v>-</v>
      </c>
      <c r="Q193" s="417" t="str">
        <f aca="false">IF($A$1="Peak","-",'Base Hours'!Q193*BaseLoad!W192*'Base Hours'!$AA193)</f>
        <v>-</v>
      </c>
      <c r="R193" s="417" t="str">
        <f aca="false">IF($A$1="Peak","-",'Base Hours'!R193*BaseLoad!X192*'Base Hours'!$AA193)</f>
        <v>-</v>
      </c>
      <c r="S193" s="417" t="str">
        <f aca="false">IF($A$1="Peak","-",'Base Hours'!S193*BaseLoad!Y192*'Base Hours'!$AA193)</f>
        <v>-</v>
      </c>
      <c r="T193" s="417" t="str">
        <f aca="false">IF($A$1="Peak","-",'Base Hours'!T193*BaseLoad!Z192*'Base Hours'!$AA193)</f>
        <v>-</v>
      </c>
      <c r="U193" s="417" t="str">
        <f aca="false">IF($A$1="Peak","-",'Base Hours'!U193*BaseLoad!AA192*'Base Hours'!$AA193)</f>
        <v>-</v>
      </c>
      <c r="V193" s="417" t="n">
        <f aca="false">SUM(B193:U193)-(MAX(B193:U193))</f>
        <v>0</v>
      </c>
      <c r="W193" s="417"/>
      <c r="X193" s="417"/>
      <c r="Y193" s="418"/>
      <c r="Z193" s="418" t="n">
        <f aca="false">(BaseLoad!C192*'Base Hours'!V193*'Base Hours'!$AA193)*-1</f>
        <v>-0</v>
      </c>
      <c r="AA193" s="418"/>
      <c r="AB193" s="418" t="n">
        <f aca="false">(BaseLoad!D192*'Base Hours'!V193*'Base Hours'!$AA193)*-1</f>
        <v>-0</v>
      </c>
      <c r="AC193" s="418"/>
      <c r="AD193" s="418" t="n">
        <f aca="false">(BaseLoad!E192*'Base Hours'!V193*'Base Hours'!$AA193)*-1</f>
        <v>-0</v>
      </c>
      <c r="AE193" s="418"/>
      <c r="AF193" s="418" t="n">
        <f aca="false">(BaseLoad!F192*'Base Hours'!V193*'Base Hours'!$AA193)*-1</f>
        <v>-0</v>
      </c>
      <c r="AG193" s="418"/>
    </row>
    <row r="194" customFormat="false" ht="12.75" hidden="false" customHeight="false" outlineLevel="0" collapsed="false">
      <c r="A194" s="400" t="n">
        <f aca="false">A193+30.417</f>
        <v>42136.728</v>
      </c>
      <c r="B194" s="417" t="str">
        <f aca="false">IF($A$1="Peak","-",'Base Hours'!B194*BaseLoad!H193*'Base Hours'!$AA194)</f>
        <v>-</v>
      </c>
      <c r="C194" s="417" t="str">
        <f aca="false">IF($A$1="Peak","-",'Base Hours'!C194*BaseLoad!I193*'Base Hours'!$AA194)</f>
        <v>-</v>
      </c>
      <c r="D194" s="417" t="str">
        <f aca="false">IF($A$1="Peak","-",'Base Hours'!D194*BaseLoad!J193*'Base Hours'!$AA194)</f>
        <v>-</v>
      </c>
      <c r="E194" s="417" t="str">
        <f aca="false">IF($A$1="Peak","-",'Base Hours'!E194*BaseLoad!K193*'Base Hours'!$AA194)</f>
        <v>-</v>
      </c>
      <c r="F194" s="417" t="str">
        <f aca="false">IF($A$1="Peak","-",'Base Hours'!F194*BaseLoad!L193*'Base Hours'!$AA194)</f>
        <v>-</v>
      </c>
      <c r="G194" s="417" t="str">
        <f aca="false">IF($A$1="Peak","-",'Base Hours'!G194*BaseLoad!M193*'Base Hours'!$AA194)</f>
        <v>-</v>
      </c>
      <c r="H194" s="417" t="str">
        <f aca="false">IF($A$1="Peak","-",'Base Hours'!H194*BaseLoad!N193*'Base Hours'!$AA194)</f>
        <v>-</v>
      </c>
      <c r="I194" s="417" t="str">
        <f aca="false">IF($A$1="Peak","-",'Base Hours'!I194*BaseLoad!O193*'Base Hours'!$AA194)</f>
        <v>-</v>
      </c>
      <c r="J194" s="417" t="str">
        <f aca="false">IF($A$1="Peak","-",'Base Hours'!J194*BaseLoad!P193*'Base Hours'!$AA194)</f>
        <v>-</v>
      </c>
      <c r="K194" s="417" t="str">
        <f aca="false">IF($A$1="Peak","-",'Base Hours'!K194*BaseLoad!Q193*'Base Hours'!$AA194)</f>
        <v>-</v>
      </c>
      <c r="L194" s="417" t="str">
        <f aca="false">IF($A$1="Peak","-",'Base Hours'!L194*BaseLoad!R193*'Base Hours'!$AA194)</f>
        <v>-</v>
      </c>
      <c r="M194" s="417" t="str">
        <f aca="false">IF($A$1="Peak","-",'Base Hours'!M194*BaseLoad!S193*'Base Hours'!$AA194)</f>
        <v>-</v>
      </c>
      <c r="N194" s="417" t="str">
        <f aca="false">IF($A$1="Peak","-",'Base Hours'!N194*BaseLoad!T193*'Base Hours'!$AA194)</f>
        <v>-</v>
      </c>
      <c r="O194" s="417" t="str">
        <f aca="false">IF($A$1="Peak","-",'Base Hours'!O194*BaseLoad!U193*'Base Hours'!$AA194)</f>
        <v>-</v>
      </c>
      <c r="P194" s="417" t="str">
        <f aca="false">IF($A$1="Peak","-",'Base Hours'!P194*BaseLoad!V193*'Base Hours'!$AA194)</f>
        <v>-</v>
      </c>
      <c r="Q194" s="417" t="str">
        <f aca="false">IF($A$1="Peak","-",'Base Hours'!Q194*BaseLoad!W193*'Base Hours'!$AA194)</f>
        <v>-</v>
      </c>
      <c r="R194" s="417" t="str">
        <f aca="false">IF($A$1="Peak","-",'Base Hours'!R194*BaseLoad!X193*'Base Hours'!$AA194)</f>
        <v>-</v>
      </c>
      <c r="S194" s="417" t="str">
        <f aca="false">IF($A$1="Peak","-",'Base Hours'!S194*BaseLoad!Y193*'Base Hours'!$AA194)</f>
        <v>-</v>
      </c>
      <c r="T194" s="417" t="str">
        <f aca="false">IF($A$1="Peak","-",'Base Hours'!T194*BaseLoad!Z193*'Base Hours'!$AA194)</f>
        <v>-</v>
      </c>
      <c r="U194" s="417" t="str">
        <f aca="false">IF($A$1="Peak","-",'Base Hours'!U194*BaseLoad!AA193*'Base Hours'!$AA194)</f>
        <v>-</v>
      </c>
      <c r="V194" s="417" t="n">
        <f aca="false">SUM(B194:U194)-(MAX(B194:U194))</f>
        <v>0</v>
      </c>
      <c r="W194" s="417"/>
      <c r="X194" s="417"/>
      <c r="Y194" s="418"/>
      <c r="Z194" s="418" t="n">
        <f aca="false">(BaseLoad!C193*'Base Hours'!V194*'Base Hours'!$AA194)*-1</f>
        <v>-0</v>
      </c>
      <c r="AA194" s="418"/>
      <c r="AB194" s="418" t="n">
        <f aca="false">(BaseLoad!D193*'Base Hours'!V194*'Base Hours'!$AA194)*-1</f>
        <v>-0</v>
      </c>
      <c r="AC194" s="418"/>
      <c r="AD194" s="418" t="n">
        <f aca="false">(BaseLoad!E193*'Base Hours'!V194*'Base Hours'!$AA194)*-1</f>
        <v>-0</v>
      </c>
      <c r="AE194" s="418"/>
      <c r="AF194" s="418" t="n">
        <f aca="false">(BaseLoad!F193*'Base Hours'!V194*'Base Hours'!$AA194)*-1</f>
        <v>-0</v>
      </c>
      <c r="AG194" s="418"/>
    </row>
    <row r="195" customFormat="false" ht="12.75" hidden="false" customHeight="false" outlineLevel="0" collapsed="false">
      <c r="A195" s="400" t="n">
        <f aca="false">A194+30.417</f>
        <v>42167.145</v>
      </c>
      <c r="B195" s="417" t="str">
        <f aca="false">IF($A$1="Peak","-",'Base Hours'!B195*BaseLoad!H194*'Base Hours'!$AA195)</f>
        <v>-</v>
      </c>
      <c r="C195" s="417" t="str">
        <f aca="false">IF($A$1="Peak","-",'Base Hours'!C195*BaseLoad!I194*'Base Hours'!$AA195)</f>
        <v>-</v>
      </c>
      <c r="D195" s="417" t="str">
        <f aca="false">IF($A$1="Peak","-",'Base Hours'!D195*BaseLoad!J194*'Base Hours'!$AA195)</f>
        <v>-</v>
      </c>
      <c r="E195" s="417" t="str">
        <f aca="false">IF($A$1="Peak","-",'Base Hours'!E195*BaseLoad!K194*'Base Hours'!$AA195)</f>
        <v>-</v>
      </c>
      <c r="F195" s="417" t="str">
        <f aca="false">IF($A$1="Peak","-",'Base Hours'!F195*BaseLoad!L194*'Base Hours'!$AA195)</f>
        <v>-</v>
      </c>
      <c r="G195" s="417" t="str">
        <f aca="false">IF($A$1="Peak","-",'Base Hours'!G195*BaseLoad!M194*'Base Hours'!$AA195)</f>
        <v>-</v>
      </c>
      <c r="H195" s="417" t="str">
        <f aca="false">IF($A$1="Peak","-",'Base Hours'!H195*BaseLoad!N194*'Base Hours'!$AA195)</f>
        <v>-</v>
      </c>
      <c r="I195" s="417" t="str">
        <f aca="false">IF($A$1="Peak","-",'Base Hours'!I195*BaseLoad!O194*'Base Hours'!$AA195)</f>
        <v>-</v>
      </c>
      <c r="J195" s="417" t="str">
        <f aca="false">IF($A$1="Peak","-",'Base Hours'!J195*BaseLoad!P194*'Base Hours'!$AA195)</f>
        <v>-</v>
      </c>
      <c r="K195" s="417" t="str">
        <f aca="false">IF($A$1="Peak","-",'Base Hours'!K195*BaseLoad!Q194*'Base Hours'!$AA195)</f>
        <v>-</v>
      </c>
      <c r="L195" s="417" t="str">
        <f aca="false">IF($A$1="Peak","-",'Base Hours'!L195*BaseLoad!R194*'Base Hours'!$AA195)</f>
        <v>-</v>
      </c>
      <c r="M195" s="417" t="str">
        <f aca="false">IF($A$1="Peak","-",'Base Hours'!M195*BaseLoad!S194*'Base Hours'!$AA195)</f>
        <v>-</v>
      </c>
      <c r="N195" s="417" t="str">
        <f aca="false">IF($A$1="Peak","-",'Base Hours'!N195*BaseLoad!T194*'Base Hours'!$AA195)</f>
        <v>-</v>
      </c>
      <c r="O195" s="417" t="str">
        <f aca="false">IF($A$1="Peak","-",'Base Hours'!O195*BaseLoad!U194*'Base Hours'!$AA195)</f>
        <v>-</v>
      </c>
      <c r="P195" s="417" t="str">
        <f aca="false">IF($A$1="Peak","-",'Base Hours'!P195*BaseLoad!V194*'Base Hours'!$AA195)</f>
        <v>-</v>
      </c>
      <c r="Q195" s="417" t="str">
        <f aca="false">IF($A$1="Peak","-",'Base Hours'!Q195*BaseLoad!W194*'Base Hours'!$AA195)</f>
        <v>-</v>
      </c>
      <c r="R195" s="417" t="str">
        <f aca="false">IF($A$1="Peak","-",'Base Hours'!R195*BaseLoad!X194*'Base Hours'!$AA195)</f>
        <v>-</v>
      </c>
      <c r="S195" s="417" t="str">
        <f aca="false">IF($A$1="Peak","-",'Base Hours'!S195*BaseLoad!Y194*'Base Hours'!$AA195)</f>
        <v>-</v>
      </c>
      <c r="T195" s="417" t="str">
        <f aca="false">IF($A$1="Peak","-",'Base Hours'!T195*BaseLoad!Z194*'Base Hours'!$AA195)</f>
        <v>-</v>
      </c>
      <c r="U195" s="417" t="str">
        <f aca="false">IF($A$1="Peak","-",'Base Hours'!U195*BaseLoad!AA194*'Base Hours'!$AA195)</f>
        <v>-</v>
      </c>
      <c r="V195" s="417" t="n">
        <f aca="false">SUM(B195:U195)-(MAX(B195:U195))</f>
        <v>0</v>
      </c>
      <c r="W195" s="417"/>
      <c r="X195" s="417"/>
      <c r="Y195" s="418"/>
      <c r="Z195" s="418" t="n">
        <f aca="false">(BaseLoad!C194*'Base Hours'!V195*'Base Hours'!$AA195)*-1</f>
        <v>-0</v>
      </c>
      <c r="AA195" s="418"/>
      <c r="AB195" s="418" t="n">
        <f aca="false">(BaseLoad!D194*'Base Hours'!V195*'Base Hours'!$AA195)*-1</f>
        <v>-0</v>
      </c>
      <c r="AC195" s="418"/>
      <c r="AD195" s="418" t="n">
        <f aca="false">(BaseLoad!E194*'Base Hours'!V195*'Base Hours'!$AA195)*-1</f>
        <v>-0</v>
      </c>
      <c r="AE195" s="418"/>
      <c r="AF195" s="418" t="n">
        <f aca="false">(BaseLoad!F194*'Base Hours'!V195*'Base Hours'!$AA195)*-1</f>
        <v>-0</v>
      </c>
      <c r="AG195" s="418"/>
    </row>
    <row r="196" customFormat="false" ht="12.75" hidden="false" customHeight="false" outlineLevel="0" collapsed="false">
      <c r="A196" s="400" t="n">
        <f aca="false">A195+30.417</f>
        <v>42197.562</v>
      </c>
      <c r="B196" s="417" t="str">
        <f aca="false">IF($A$1="Peak","-",'Base Hours'!B196*BaseLoad!H195*'Base Hours'!$AA196)</f>
        <v>-</v>
      </c>
      <c r="C196" s="417" t="str">
        <f aca="false">IF($A$1="Peak","-",'Base Hours'!C196*BaseLoad!I195*'Base Hours'!$AA196)</f>
        <v>-</v>
      </c>
      <c r="D196" s="417" t="str">
        <f aca="false">IF($A$1="Peak","-",'Base Hours'!D196*BaseLoad!J195*'Base Hours'!$AA196)</f>
        <v>-</v>
      </c>
      <c r="E196" s="417" t="str">
        <f aca="false">IF($A$1="Peak","-",'Base Hours'!E196*BaseLoad!K195*'Base Hours'!$AA196)</f>
        <v>-</v>
      </c>
      <c r="F196" s="417" t="str">
        <f aca="false">IF($A$1="Peak","-",'Base Hours'!F196*BaseLoad!L195*'Base Hours'!$AA196)</f>
        <v>-</v>
      </c>
      <c r="G196" s="417" t="str">
        <f aca="false">IF($A$1="Peak","-",'Base Hours'!G196*BaseLoad!M195*'Base Hours'!$AA196)</f>
        <v>-</v>
      </c>
      <c r="H196" s="417" t="str">
        <f aca="false">IF($A$1="Peak","-",'Base Hours'!H196*BaseLoad!N195*'Base Hours'!$AA196)</f>
        <v>-</v>
      </c>
      <c r="I196" s="417" t="str">
        <f aca="false">IF($A$1="Peak","-",'Base Hours'!I196*BaseLoad!O195*'Base Hours'!$AA196)</f>
        <v>-</v>
      </c>
      <c r="J196" s="417" t="str">
        <f aca="false">IF($A$1="Peak","-",'Base Hours'!J196*BaseLoad!P195*'Base Hours'!$AA196)</f>
        <v>-</v>
      </c>
      <c r="K196" s="417" t="str">
        <f aca="false">IF($A$1="Peak","-",'Base Hours'!K196*BaseLoad!Q195*'Base Hours'!$AA196)</f>
        <v>-</v>
      </c>
      <c r="L196" s="417" t="str">
        <f aca="false">IF($A$1="Peak","-",'Base Hours'!L196*BaseLoad!R195*'Base Hours'!$AA196)</f>
        <v>-</v>
      </c>
      <c r="M196" s="417" t="str">
        <f aca="false">IF($A$1="Peak","-",'Base Hours'!M196*BaseLoad!S195*'Base Hours'!$AA196)</f>
        <v>-</v>
      </c>
      <c r="N196" s="417" t="str">
        <f aca="false">IF($A$1="Peak","-",'Base Hours'!N196*BaseLoad!T195*'Base Hours'!$AA196)</f>
        <v>-</v>
      </c>
      <c r="O196" s="417" t="str">
        <f aca="false">IF($A$1="Peak","-",'Base Hours'!O196*BaseLoad!U195*'Base Hours'!$AA196)</f>
        <v>-</v>
      </c>
      <c r="P196" s="417" t="str">
        <f aca="false">IF($A$1="Peak","-",'Base Hours'!P196*BaseLoad!V195*'Base Hours'!$AA196)</f>
        <v>-</v>
      </c>
      <c r="Q196" s="417" t="str">
        <f aca="false">IF($A$1="Peak","-",'Base Hours'!Q196*BaseLoad!W195*'Base Hours'!$AA196)</f>
        <v>-</v>
      </c>
      <c r="R196" s="417" t="str">
        <f aca="false">IF($A$1="Peak","-",'Base Hours'!R196*BaseLoad!X195*'Base Hours'!$AA196)</f>
        <v>-</v>
      </c>
      <c r="S196" s="417" t="str">
        <f aca="false">IF($A$1="Peak","-",'Base Hours'!S196*BaseLoad!Y195*'Base Hours'!$AA196)</f>
        <v>-</v>
      </c>
      <c r="T196" s="417" t="str">
        <f aca="false">IF($A$1="Peak","-",'Base Hours'!T196*BaseLoad!Z195*'Base Hours'!$AA196)</f>
        <v>-</v>
      </c>
      <c r="U196" s="417" t="str">
        <f aca="false">IF($A$1="Peak","-",'Base Hours'!U196*BaseLoad!AA195*'Base Hours'!$AA196)</f>
        <v>-</v>
      </c>
      <c r="V196" s="417" t="n">
        <f aca="false">SUM(B196:U196)-(MAX(B196:U196))</f>
        <v>0</v>
      </c>
      <c r="W196" s="417"/>
      <c r="X196" s="417"/>
      <c r="Y196" s="418"/>
      <c r="Z196" s="418" t="n">
        <f aca="false">(BaseLoad!C195*'Base Hours'!V196*'Base Hours'!$AA196)*-1</f>
        <v>-0</v>
      </c>
      <c r="AA196" s="418"/>
      <c r="AB196" s="418" t="n">
        <f aca="false">(BaseLoad!D195*'Base Hours'!V196*'Base Hours'!$AA196)*-1</f>
        <v>-0</v>
      </c>
      <c r="AC196" s="418"/>
      <c r="AD196" s="418" t="n">
        <f aca="false">(BaseLoad!E195*'Base Hours'!V196*'Base Hours'!$AA196)*-1</f>
        <v>-0</v>
      </c>
      <c r="AE196" s="418"/>
      <c r="AF196" s="418" t="n">
        <f aca="false">(BaseLoad!F195*'Base Hours'!V196*'Base Hours'!$AA196)*-1</f>
        <v>-0</v>
      </c>
      <c r="AG196" s="418"/>
    </row>
    <row r="197" customFormat="false" ht="12.75" hidden="false" customHeight="false" outlineLevel="0" collapsed="false">
      <c r="A197" s="400" t="n">
        <f aca="false">A196+30.417</f>
        <v>42227.979</v>
      </c>
      <c r="B197" s="417" t="str">
        <f aca="false">IF($A$1="Peak","-",'Base Hours'!B197*BaseLoad!H196*'Base Hours'!$AA197)</f>
        <v>-</v>
      </c>
      <c r="C197" s="417" t="str">
        <f aca="false">IF($A$1="Peak","-",'Base Hours'!C197*BaseLoad!I196*'Base Hours'!$AA197)</f>
        <v>-</v>
      </c>
      <c r="D197" s="417" t="str">
        <f aca="false">IF($A$1="Peak","-",'Base Hours'!D197*BaseLoad!J196*'Base Hours'!$AA197)</f>
        <v>-</v>
      </c>
      <c r="E197" s="417" t="str">
        <f aca="false">IF($A$1="Peak","-",'Base Hours'!E197*BaseLoad!K196*'Base Hours'!$AA197)</f>
        <v>-</v>
      </c>
      <c r="F197" s="417" t="str">
        <f aca="false">IF($A$1="Peak","-",'Base Hours'!F197*BaseLoad!L196*'Base Hours'!$AA197)</f>
        <v>-</v>
      </c>
      <c r="G197" s="417" t="str">
        <f aca="false">IF($A$1="Peak","-",'Base Hours'!G197*BaseLoad!M196*'Base Hours'!$AA197)</f>
        <v>-</v>
      </c>
      <c r="H197" s="417" t="str">
        <f aca="false">IF($A$1="Peak","-",'Base Hours'!H197*BaseLoad!N196*'Base Hours'!$AA197)</f>
        <v>-</v>
      </c>
      <c r="I197" s="417" t="str">
        <f aca="false">IF($A$1="Peak","-",'Base Hours'!I197*BaseLoad!O196*'Base Hours'!$AA197)</f>
        <v>-</v>
      </c>
      <c r="J197" s="417" t="str">
        <f aca="false">IF($A$1="Peak","-",'Base Hours'!J197*BaseLoad!P196*'Base Hours'!$AA197)</f>
        <v>-</v>
      </c>
      <c r="K197" s="417" t="str">
        <f aca="false">IF($A$1="Peak","-",'Base Hours'!K197*BaseLoad!Q196*'Base Hours'!$AA197)</f>
        <v>-</v>
      </c>
      <c r="L197" s="417" t="str">
        <f aca="false">IF($A$1="Peak","-",'Base Hours'!L197*BaseLoad!R196*'Base Hours'!$AA197)</f>
        <v>-</v>
      </c>
      <c r="M197" s="417" t="str">
        <f aca="false">IF($A$1="Peak","-",'Base Hours'!M197*BaseLoad!S196*'Base Hours'!$AA197)</f>
        <v>-</v>
      </c>
      <c r="N197" s="417" t="str">
        <f aca="false">IF($A$1="Peak","-",'Base Hours'!N197*BaseLoad!T196*'Base Hours'!$AA197)</f>
        <v>-</v>
      </c>
      <c r="O197" s="417" t="str">
        <f aca="false">IF($A$1="Peak","-",'Base Hours'!O197*BaseLoad!U196*'Base Hours'!$AA197)</f>
        <v>-</v>
      </c>
      <c r="P197" s="417" t="str">
        <f aca="false">IF($A$1="Peak","-",'Base Hours'!P197*BaseLoad!V196*'Base Hours'!$AA197)</f>
        <v>-</v>
      </c>
      <c r="Q197" s="417" t="str">
        <f aca="false">IF($A$1="Peak","-",'Base Hours'!Q197*BaseLoad!W196*'Base Hours'!$AA197)</f>
        <v>-</v>
      </c>
      <c r="R197" s="417" t="str">
        <f aca="false">IF($A$1="Peak","-",'Base Hours'!R197*BaseLoad!X196*'Base Hours'!$AA197)</f>
        <v>-</v>
      </c>
      <c r="S197" s="417" t="str">
        <f aca="false">IF($A$1="Peak","-",'Base Hours'!S197*BaseLoad!Y196*'Base Hours'!$AA197)</f>
        <v>-</v>
      </c>
      <c r="T197" s="417" t="str">
        <f aca="false">IF($A$1="Peak","-",'Base Hours'!T197*BaseLoad!Z196*'Base Hours'!$AA197)</f>
        <v>-</v>
      </c>
      <c r="U197" s="417" t="str">
        <f aca="false">IF($A$1="Peak","-",'Base Hours'!U197*BaseLoad!AA196*'Base Hours'!$AA197)</f>
        <v>-</v>
      </c>
      <c r="V197" s="417" t="n">
        <f aca="false">SUM(B197:U197)-(MAX(B197:U197))</f>
        <v>0</v>
      </c>
      <c r="W197" s="417"/>
      <c r="X197" s="417"/>
      <c r="Y197" s="418"/>
      <c r="Z197" s="418" t="n">
        <f aca="false">(BaseLoad!C196*'Base Hours'!V197*'Base Hours'!$AA197)*-1</f>
        <v>-0</v>
      </c>
      <c r="AA197" s="418"/>
      <c r="AB197" s="418" t="n">
        <f aca="false">(BaseLoad!D196*'Base Hours'!V197*'Base Hours'!$AA197)*-1</f>
        <v>-0</v>
      </c>
      <c r="AC197" s="418"/>
      <c r="AD197" s="418" t="n">
        <f aca="false">(BaseLoad!E196*'Base Hours'!V197*'Base Hours'!$AA197)*-1</f>
        <v>-0</v>
      </c>
      <c r="AE197" s="418"/>
      <c r="AF197" s="418" t="n">
        <f aca="false">(BaseLoad!F196*'Base Hours'!V197*'Base Hours'!$AA197)*-1</f>
        <v>-0</v>
      </c>
      <c r="AG197" s="418"/>
    </row>
    <row r="198" customFormat="false" ht="12.75" hidden="false" customHeight="false" outlineLevel="0" collapsed="false">
      <c r="A198" s="400" t="n">
        <f aca="false">A197+30.417</f>
        <v>42258.396</v>
      </c>
      <c r="B198" s="417" t="str">
        <f aca="false">IF($A$1="Peak","-",'Base Hours'!B198*BaseLoad!H197*'Base Hours'!$AA198)</f>
        <v>-</v>
      </c>
      <c r="C198" s="417" t="str">
        <f aca="false">IF($A$1="Peak","-",'Base Hours'!C198*BaseLoad!I197*'Base Hours'!$AA198)</f>
        <v>-</v>
      </c>
      <c r="D198" s="417" t="str">
        <f aca="false">IF($A$1="Peak","-",'Base Hours'!D198*BaseLoad!J197*'Base Hours'!$AA198)</f>
        <v>-</v>
      </c>
      <c r="E198" s="417" t="str">
        <f aca="false">IF($A$1="Peak","-",'Base Hours'!E198*BaseLoad!K197*'Base Hours'!$AA198)</f>
        <v>-</v>
      </c>
      <c r="F198" s="417" t="str">
        <f aca="false">IF($A$1="Peak","-",'Base Hours'!F198*BaseLoad!L197*'Base Hours'!$AA198)</f>
        <v>-</v>
      </c>
      <c r="G198" s="417" t="str">
        <f aca="false">IF($A$1="Peak","-",'Base Hours'!G198*BaseLoad!M197*'Base Hours'!$AA198)</f>
        <v>-</v>
      </c>
      <c r="H198" s="417" t="str">
        <f aca="false">IF($A$1="Peak","-",'Base Hours'!H198*BaseLoad!N197*'Base Hours'!$AA198)</f>
        <v>-</v>
      </c>
      <c r="I198" s="417" t="str">
        <f aca="false">IF($A$1="Peak","-",'Base Hours'!I198*BaseLoad!O197*'Base Hours'!$AA198)</f>
        <v>-</v>
      </c>
      <c r="J198" s="417" t="str">
        <f aca="false">IF($A$1="Peak","-",'Base Hours'!J198*BaseLoad!P197*'Base Hours'!$AA198)</f>
        <v>-</v>
      </c>
      <c r="K198" s="417" t="str">
        <f aca="false">IF($A$1="Peak","-",'Base Hours'!K198*BaseLoad!Q197*'Base Hours'!$AA198)</f>
        <v>-</v>
      </c>
      <c r="L198" s="417" t="str">
        <f aca="false">IF($A$1="Peak","-",'Base Hours'!L198*BaseLoad!R197*'Base Hours'!$AA198)</f>
        <v>-</v>
      </c>
      <c r="M198" s="417" t="str">
        <f aca="false">IF($A$1="Peak","-",'Base Hours'!M198*BaseLoad!S197*'Base Hours'!$AA198)</f>
        <v>-</v>
      </c>
      <c r="N198" s="417" t="str">
        <f aca="false">IF($A$1="Peak","-",'Base Hours'!N198*BaseLoad!T197*'Base Hours'!$AA198)</f>
        <v>-</v>
      </c>
      <c r="O198" s="417" t="str">
        <f aca="false">IF($A$1="Peak","-",'Base Hours'!O198*BaseLoad!U197*'Base Hours'!$AA198)</f>
        <v>-</v>
      </c>
      <c r="P198" s="417" t="str">
        <f aca="false">IF($A$1="Peak","-",'Base Hours'!P198*BaseLoad!V197*'Base Hours'!$AA198)</f>
        <v>-</v>
      </c>
      <c r="Q198" s="417" t="str">
        <f aca="false">IF($A$1="Peak","-",'Base Hours'!Q198*BaseLoad!W197*'Base Hours'!$AA198)</f>
        <v>-</v>
      </c>
      <c r="R198" s="417" t="str">
        <f aca="false">IF($A$1="Peak","-",'Base Hours'!R198*BaseLoad!X197*'Base Hours'!$AA198)</f>
        <v>-</v>
      </c>
      <c r="S198" s="417" t="str">
        <f aca="false">IF($A$1="Peak","-",'Base Hours'!S198*BaseLoad!Y197*'Base Hours'!$AA198)</f>
        <v>-</v>
      </c>
      <c r="T198" s="417" t="str">
        <f aca="false">IF($A$1="Peak","-",'Base Hours'!T198*BaseLoad!Z197*'Base Hours'!$AA198)</f>
        <v>-</v>
      </c>
      <c r="U198" s="417" t="str">
        <f aca="false">IF($A$1="Peak","-",'Base Hours'!U198*BaseLoad!AA197*'Base Hours'!$AA198)</f>
        <v>-</v>
      </c>
      <c r="V198" s="417" t="n">
        <f aca="false">SUM(B198:U198)-(MAX(B198:U198))</f>
        <v>0</v>
      </c>
      <c r="W198" s="417"/>
      <c r="X198" s="417"/>
      <c r="Y198" s="418"/>
      <c r="Z198" s="418" t="n">
        <f aca="false">(BaseLoad!C197*'Base Hours'!V198*'Base Hours'!$AA198)*-1</f>
        <v>-0</v>
      </c>
      <c r="AA198" s="418"/>
      <c r="AB198" s="418" t="n">
        <f aca="false">(BaseLoad!D197*'Base Hours'!V198*'Base Hours'!$AA198)*-1</f>
        <v>-0</v>
      </c>
      <c r="AC198" s="418"/>
      <c r="AD198" s="418" t="n">
        <f aca="false">(BaseLoad!E197*'Base Hours'!V198*'Base Hours'!$AA198)*-1</f>
        <v>-0</v>
      </c>
      <c r="AE198" s="418"/>
      <c r="AF198" s="418" t="n">
        <f aca="false">(BaseLoad!F197*'Base Hours'!V198*'Base Hours'!$AA198)*-1</f>
        <v>-0</v>
      </c>
      <c r="AG198" s="418"/>
    </row>
    <row r="199" customFormat="false" ht="12.75" hidden="false" customHeight="false" outlineLevel="0" collapsed="false">
      <c r="A199" s="400" t="n">
        <f aca="false">A198+30.417</f>
        <v>42288.813</v>
      </c>
      <c r="B199" s="417" t="str">
        <f aca="false">IF($A$1="Peak","-",'Base Hours'!B199*BaseLoad!H198*'Base Hours'!$AA199)</f>
        <v>-</v>
      </c>
      <c r="C199" s="417" t="str">
        <f aca="false">IF($A$1="Peak","-",'Base Hours'!C199*BaseLoad!I198*'Base Hours'!$AA199)</f>
        <v>-</v>
      </c>
      <c r="D199" s="417" t="str">
        <f aca="false">IF($A$1="Peak","-",'Base Hours'!D199*BaseLoad!J198*'Base Hours'!$AA199)</f>
        <v>-</v>
      </c>
      <c r="E199" s="417" t="str">
        <f aca="false">IF($A$1="Peak","-",'Base Hours'!E199*BaseLoad!K198*'Base Hours'!$AA199)</f>
        <v>-</v>
      </c>
      <c r="F199" s="417" t="str">
        <f aca="false">IF($A$1="Peak","-",'Base Hours'!F199*BaseLoad!L198*'Base Hours'!$AA199)</f>
        <v>-</v>
      </c>
      <c r="G199" s="417" t="str">
        <f aca="false">IF($A$1="Peak","-",'Base Hours'!G199*BaseLoad!M198*'Base Hours'!$AA199)</f>
        <v>-</v>
      </c>
      <c r="H199" s="417" t="str">
        <f aca="false">IF($A$1="Peak","-",'Base Hours'!H199*BaseLoad!N198*'Base Hours'!$AA199)</f>
        <v>-</v>
      </c>
      <c r="I199" s="417" t="str">
        <f aca="false">IF($A$1="Peak","-",'Base Hours'!I199*BaseLoad!O198*'Base Hours'!$AA199)</f>
        <v>-</v>
      </c>
      <c r="J199" s="417" t="str">
        <f aca="false">IF($A$1="Peak","-",'Base Hours'!J199*BaseLoad!P198*'Base Hours'!$AA199)</f>
        <v>-</v>
      </c>
      <c r="K199" s="417" t="str">
        <f aca="false">IF($A$1="Peak","-",'Base Hours'!K199*BaseLoad!Q198*'Base Hours'!$AA199)</f>
        <v>-</v>
      </c>
      <c r="L199" s="417" t="str">
        <f aca="false">IF($A$1="Peak","-",'Base Hours'!L199*BaseLoad!R198*'Base Hours'!$AA199)</f>
        <v>-</v>
      </c>
      <c r="M199" s="417" t="str">
        <f aca="false">IF($A$1="Peak","-",'Base Hours'!M199*BaseLoad!S198*'Base Hours'!$AA199)</f>
        <v>-</v>
      </c>
      <c r="N199" s="417" t="str">
        <f aca="false">IF($A$1="Peak","-",'Base Hours'!N199*BaseLoad!T198*'Base Hours'!$AA199)</f>
        <v>-</v>
      </c>
      <c r="O199" s="417" t="str">
        <f aca="false">IF($A$1="Peak","-",'Base Hours'!O199*BaseLoad!U198*'Base Hours'!$AA199)</f>
        <v>-</v>
      </c>
      <c r="P199" s="417" t="str">
        <f aca="false">IF($A$1="Peak","-",'Base Hours'!P199*BaseLoad!V198*'Base Hours'!$AA199)</f>
        <v>-</v>
      </c>
      <c r="Q199" s="417" t="str">
        <f aca="false">IF($A$1="Peak","-",'Base Hours'!Q199*BaseLoad!W198*'Base Hours'!$AA199)</f>
        <v>-</v>
      </c>
      <c r="R199" s="417" t="str">
        <f aca="false">IF($A$1="Peak","-",'Base Hours'!R199*BaseLoad!X198*'Base Hours'!$AA199)</f>
        <v>-</v>
      </c>
      <c r="S199" s="417" t="str">
        <f aca="false">IF($A$1="Peak","-",'Base Hours'!S199*BaseLoad!Y198*'Base Hours'!$AA199)</f>
        <v>-</v>
      </c>
      <c r="T199" s="417" t="str">
        <f aca="false">IF($A$1="Peak","-",'Base Hours'!T199*BaseLoad!Z198*'Base Hours'!$AA199)</f>
        <v>-</v>
      </c>
      <c r="U199" s="417" t="str">
        <f aca="false">IF($A$1="Peak","-",'Base Hours'!U199*BaseLoad!AA198*'Base Hours'!$AA199)</f>
        <v>-</v>
      </c>
      <c r="V199" s="417" t="n">
        <f aca="false">SUM(B199:U199)-(MAX(B199:U199))</f>
        <v>0</v>
      </c>
      <c r="W199" s="417"/>
      <c r="X199" s="417"/>
      <c r="Y199" s="418"/>
      <c r="Z199" s="418" t="n">
        <f aca="false">(BaseLoad!C198*'Base Hours'!V199*'Base Hours'!$AA199)*-1</f>
        <v>-0</v>
      </c>
      <c r="AA199" s="418"/>
      <c r="AB199" s="418" t="n">
        <f aca="false">(BaseLoad!D198*'Base Hours'!V199*'Base Hours'!$AA199)*-1</f>
        <v>-0</v>
      </c>
      <c r="AC199" s="418"/>
      <c r="AD199" s="418" t="n">
        <f aca="false">(BaseLoad!E198*'Base Hours'!V199*'Base Hours'!$AA199)*-1</f>
        <v>-0</v>
      </c>
      <c r="AE199" s="418"/>
      <c r="AF199" s="418" t="n">
        <f aca="false">(BaseLoad!F198*'Base Hours'!V199*'Base Hours'!$AA199)*-1</f>
        <v>-0</v>
      </c>
      <c r="AG199" s="418"/>
    </row>
    <row r="200" customFormat="false" ht="12.75" hidden="false" customHeight="false" outlineLevel="0" collapsed="false">
      <c r="A200" s="400" t="n">
        <f aca="false">A199+30.417</f>
        <v>42319.23</v>
      </c>
      <c r="B200" s="417" t="str">
        <f aca="false">IF($A$1="Peak","-",'Base Hours'!B200*BaseLoad!H199*'Base Hours'!$AA200)</f>
        <v>-</v>
      </c>
      <c r="C200" s="417" t="str">
        <f aca="false">IF($A$1="Peak","-",'Base Hours'!C200*BaseLoad!I199*'Base Hours'!$AA200)</f>
        <v>-</v>
      </c>
      <c r="D200" s="417" t="str">
        <f aca="false">IF($A$1="Peak","-",'Base Hours'!D200*BaseLoad!J199*'Base Hours'!$AA200)</f>
        <v>-</v>
      </c>
      <c r="E200" s="417" t="str">
        <f aca="false">IF($A$1="Peak","-",'Base Hours'!E200*BaseLoad!K199*'Base Hours'!$AA200)</f>
        <v>-</v>
      </c>
      <c r="F200" s="417" t="str">
        <f aca="false">IF($A$1="Peak","-",'Base Hours'!F200*BaseLoad!L199*'Base Hours'!$AA200)</f>
        <v>-</v>
      </c>
      <c r="G200" s="417" t="str">
        <f aca="false">IF($A$1="Peak","-",'Base Hours'!G200*BaseLoad!M199*'Base Hours'!$AA200)</f>
        <v>-</v>
      </c>
      <c r="H200" s="417" t="str">
        <f aca="false">IF($A$1="Peak","-",'Base Hours'!H200*BaseLoad!N199*'Base Hours'!$AA200)</f>
        <v>-</v>
      </c>
      <c r="I200" s="417" t="str">
        <f aca="false">IF($A$1="Peak","-",'Base Hours'!I200*BaseLoad!O199*'Base Hours'!$AA200)</f>
        <v>-</v>
      </c>
      <c r="J200" s="417" t="str">
        <f aca="false">IF($A$1="Peak","-",'Base Hours'!J200*BaseLoad!P199*'Base Hours'!$AA200)</f>
        <v>-</v>
      </c>
      <c r="K200" s="417" t="str">
        <f aca="false">IF($A$1="Peak","-",'Base Hours'!K200*BaseLoad!Q199*'Base Hours'!$AA200)</f>
        <v>-</v>
      </c>
      <c r="L200" s="417" t="str">
        <f aca="false">IF($A$1="Peak","-",'Base Hours'!L200*BaseLoad!R199*'Base Hours'!$AA200)</f>
        <v>-</v>
      </c>
      <c r="M200" s="417" t="str">
        <f aca="false">IF($A$1="Peak","-",'Base Hours'!M200*BaseLoad!S199*'Base Hours'!$AA200)</f>
        <v>-</v>
      </c>
      <c r="N200" s="417" t="str">
        <f aca="false">IF($A$1="Peak","-",'Base Hours'!N200*BaseLoad!T199*'Base Hours'!$AA200)</f>
        <v>-</v>
      </c>
      <c r="O200" s="417" t="str">
        <f aca="false">IF($A$1="Peak","-",'Base Hours'!O200*BaseLoad!U199*'Base Hours'!$AA200)</f>
        <v>-</v>
      </c>
      <c r="P200" s="417" t="str">
        <f aca="false">IF($A$1="Peak","-",'Base Hours'!P200*BaseLoad!V199*'Base Hours'!$AA200)</f>
        <v>-</v>
      </c>
      <c r="Q200" s="417" t="str">
        <f aca="false">IF($A$1="Peak","-",'Base Hours'!Q200*BaseLoad!W199*'Base Hours'!$AA200)</f>
        <v>-</v>
      </c>
      <c r="R200" s="417" t="str">
        <f aca="false">IF($A$1="Peak","-",'Base Hours'!R200*BaseLoad!X199*'Base Hours'!$AA200)</f>
        <v>-</v>
      </c>
      <c r="S200" s="417" t="str">
        <f aca="false">IF($A$1="Peak","-",'Base Hours'!S200*BaseLoad!Y199*'Base Hours'!$AA200)</f>
        <v>-</v>
      </c>
      <c r="T200" s="417" t="str">
        <f aca="false">IF($A$1="Peak","-",'Base Hours'!T200*BaseLoad!Z199*'Base Hours'!$AA200)</f>
        <v>-</v>
      </c>
      <c r="U200" s="417" t="str">
        <f aca="false">IF($A$1="Peak","-",'Base Hours'!U200*BaseLoad!AA199*'Base Hours'!$AA200)</f>
        <v>-</v>
      </c>
      <c r="V200" s="417" t="n">
        <f aca="false">SUM(B200:U200)-(MAX(B200:U200))</f>
        <v>0</v>
      </c>
      <c r="W200" s="417"/>
      <c r="X200" s="417"/>
      <c r="Y200" s="418"/>
      <c r="Z200" s="418" t="n">
        <f aca="false">(BaseLoad!C199*'Base Hours'!V200*'Base Hours'!$AA200)*-1</f>
        <v>-0</v>
      </c>
      <c r="AA200" s="418"/>
      <c r="AB200" s="418" t="n">
        <f aca="false">(BaseLoad!D199*'Base Hours'!V200*'Base Hours'!$AA200)*-1</f>
        <v>-0</v>
      </c>
      <c r="AC200" s="418"/>
      <c r="AD200" s="418" t="n">
        <f aca="false">(BaseLoad!E199*'Base Hours'!V200*'Base Hours'!$AA200)*-1</f>
        <v>-0</v>
      </c>
      <c r="AE200" s="418"/>
      <c r="AF200" s="418" t="n">
        <f aca="false">(BaseLoad!F199*'Base Hours'!V200*'Base Hours'!$AA200)*-1</f>
        <v>-0</v>
      </c>
      <c r="AG200" s="418"/>
    </row>
    <row r="201" customFormat="false" ht="12.75" hidden="false" customHeight="false" outlineLevel="0" collapsed="false">
      <c r="A201" s="400" t="n">
        <f aca="false">A200+30.417</f>
        <v>42349.647</v>
      </c>
      <c r="B201" s="417" t="str">
        <f aca="false">IF($A$1="Peak","-",'Base Hours'!B201*BaseLoad!H200*'Base Hours'!$AA201)</f>
        <v>-</v>
      </c>
      <c r="C201" s="417" t="str">
        <f aca="false">IF($A$1="Peak","-",'Base Hours'!C201*BaseLoad!I200*'Base Hours'!$AA201)</f>
        <v>-</v>
      </c>
      <c r="D201" s="417" t="str">
        <f aca="false">IF($A$1="Peak","-",'Base Hours'!D201*BaseLoad!J200*'Base Hours'!$AA201)</f>
        <v>-</v>
      </c>
      <c r="E201" s="417" t="str">
        <f aca="false">IF($A$1="Peak","-",'Base Hours'!E201*BaseLoad!K200*'Base Hours'!$AA201)</f>
        <v>-</v>
      </c>
      <c r="F201" s="417" t="str">
        <f aca="false">IF($A$1="Peak","-",'Base Hours'!F201*BaseLoad!L200*'Base Hours'!$AA201)</f>
        <v>-</v>
      </c>
      <c r="G201" s="417" t="str">
        <f aca="false">IF($A$1="Peak","-",'Base Hours'!G201*BaseLoad!M200*'Base Hours'!$AA201)</f>
        <v>-</v>
      </c>
      <c r="H201" s="417" t="str">
        <f aca="false">IF($A$1="Peak","-",'Base Hours'!H201*BaseLoad!N200*'Base Hours'!$AA201)</f>
        <v>-</v>
      </c>
      <c r="I201" s="417" t="str">
        <f aca="false">IF($A$1="Peak","-",'Base Hours'!I201*BaseLoad!O200*'Base Hours'!$AA201)</f>
        <v>-</v>
      </c>
      <c r="J201" s="417" t="str">
        <f aca="false">IF($A$1="Peak","-",'Base Hours'!J201*BaseLoad!P200*'Base Hours'!$AA201)</f>
        <v>-</v>
      </c>
      <c r="K201" s="417" t="str">
        <f aca="false">IF($A$1="Peak","-",'Base Hours'!K201*BaseLoad!Q200*'Base Hours'!$AA201)</f>
        <v>-</v>
      </c>
      <c r="L201" s="417" t="str">
        <f aca="false">IF($A$1="Peak","-",'Base Hours'!L201*BaseLoad!R200*'Base Hours'!$AA201)</f>
        <v>-</v>
      </c>
      <c r="M201" s="417" t="str">
        <f aca="false">IF($A$1="Peak","-",'Base Hours'!M201*BaseLoad!S200*'Base Hours'!$AA201)</f>
        <v>-</v>
      </c>
      <c r="N201" s="417" t="str">
        <f aca="false">IF($A$1="Peak","-",'Base Hours'!N201*BaseLoad!T200*'Base Hours'!$AA201)</f>
        <v>-</v>
      </c>
      <c r="O201" s="417" t="str">
        <f aca="false">IF($A$1="Peak","-",'Base Hours'!O201*BaseLoad!U200*'Base Hours'!$AA201)</f>
        <v>-</v>
      </c>
      <c r="P201" s="417" t="str">
        <f aca="false">IF($A$1="Peak","-",'Base Hours'!P201*BaseLoad!V200*'Base Hours'!$AA201)</f>
        <v>-</v>
      </c>
      <c r="Q201" s="417" t="str">
        <f aca="false">IF($A$1="Peak","-",'Base Hours'!Q201*BaseLoad!W200*'Base Hours'!$AA201)</f>
        <v>-</v>
      </c>
      <c r="R201" s="417" t="str">
        <f aca="false">IF($A$1="Peak","-",'Base Hours'!R201*BaseLoad!X200*'Base Hours'!$AA201)</f>
        <v>-</v>
      </c>
      <c r="S201" s="417" t="str">
        <f aca="false">IF($A$1="Peak","-",'Base Hours'!S201*BaseLoad!Y200*'Base Hours'!$AA201)</f>
        <v>-</v>
      </c>
      <c r="T201" s="417" t="str">
        <f aca="false">IF($A$1="Peak","-",'Base Hours'!T201*BaseLoad!Z200*'Base Hours'!$AA201)</f>
        <v>-</v>
      </c>
      <c r="U201" s="417" t="str">
        <f aca="false">IF($A$1="Peak","-",'Base Hours'!U201*BaseLoad!AA200*'Base Hours'!$AA201)</f>
        <v>-</v>
      </c>
      <c r="V201" s="417" t="n">
        <f aca="false">SUM(B201:U201)-(MAX(B201:U201))</f>
        <v>0</v>
      </c>
      <c r="W201" s="417"/>
      <c r="X201" s="417"/>
      <c r="Y201" s="418" t="n">
        <f aca="false">SUM(B190:U201)</f>
        <v>0</v>
      </c>
      <c r="Z201" s="418" t="n">
        <f aca="false">(BaseLoad!C200*'Base Hours'!V201*'Base Hours'!$AA201)*-1</f>
        <v>-0</v>
      </c>
      <c r="AA201" s="418" t="n">
        <f aca="false">SUM(Z190:Z201)</f>
        <v>0</v>
      </c>
      <c r="AB201" s="418" t="n">
        <f aca="false">(BaseLoad!D200*'Base Hours'!V201*'Base Hours'!$AA201)*-1</f>
        <v>-0</v>
      </c>
      <c r="AC201" s="418" t="n">
        <f aca="false">SUM(AB190:AB201)</f>
        <v>0</v>
      </c>
      <c r="AD201" s="418" t="n">
        <f aca="false">(BaseLoad!E200*'Base Hours'!V201*'Base Hours'!$AA201)*-1</f>
        <v>-0</v>
      </c>
      <c r="AE201" s="418" t="n">
        <f aca="false">SUM(AD190:AD201)</f>
        <v>0</v>
      </c>
      <c r="AF201" s="418" t="n">
        <f aca="false">(BaseLoad!F200*'Base Hours'!V201*'Base Hours'!$AA201)*-1</f>
        <v>-0</v>
      </c>
      <c r="AG201" s="418" t="n">
        <f aca="false">SUM(AF190:AF201)</f>
        <v>0</v>
      </c>
    </row>
    <row r="202" customFormat="false" ht="12.75" hidden="false" customHeight="false" outlineLevel="0" collapsed="false">
      <c r="A202" s="400" t="n">
        <f aca="false">A201+30.417</f>
        <v>42380.064</v>
      </c>
      <c r="B202" s="417" t="str">
        <f aca="false">IF($A$1="Peak","-",'Base Hours'!B202*BaseLoad!H201*'Base Hours'!$AA202)</f>
        <v>-</v>
      </c>
      <c r="C202" s="417" t="str">
        <f aca="false">IF($A$1="Peak","-",'Base Hours'!C202*BaseLoad!I201*'Base Hours'!$AA202)</f>
        <v>-</v>
      </c>
      <c r="D202" s="417" t="str">
        <f aca="false">IF($A$1="Peak","-",'Base Hours'!D202*BaseLoad!J201*'Base Hours'!$AA202)</f>
        <v>-</v>
      </c>
      <c r="E202" s="417" t="str">
        <f aca="false">IF($A$1="Peak","-",'Base Hours'!E202*BaseLoad!K201*'Base Hours'!$AA202)</f>
        <v>-</v>
      </c>
      <c r="F202" s="417" t="str">
        <f aca="false">IF($A$1="Peak","-",'Base Hours'!F202*BaseLoad!L201*'Base Hours'!$AA202)</f>
        <v>-</v>
      </c>
      <c r="G202" s="417" t="str">
        <f aca="false">IF($A$1="Peak","-",'Base Hours'!G202*BaseLoad!M201*'Base Hours'!$AA202)</f>
        <v>-</v>
      </c>
      <c r="H202" s="417" t="str">
        <f aca="false">IF($A$1="Peak","-",'Base Hours'!H202*BaseLoad!N201*'Base Hours'!$AA202)</f>
        <v>-</v>
      </c>
      <c r="I202" s="417" t="str">
        <f aca="false">IF($A$1="Peak","-",'Base Hours'!I202*BaseLoad!O201*'Base Hours'!$AA202)</f>
        <v>-</v>
      </c>
      <c r="J202" s="417" t="str">
        <f aca="false">IF($A$1="Peak","-",'Base Hours'!J202*BaseLoad!P201*'Base Hours'!$AA202)</f>
        <v>-</v>
      </c>
      <c r="K202" s="417" t="str">
        <f aca="false">IF($A$1="Peak","-",'Base Hours'!K202*BaseLoad!Q201*'Base Hours'!$AA202)</f>
        <v>-</v>
      </c>
      <c r="L202" s="417" t="str">
        <f aca="false">IF($A$1="Peak","-",'Base Hours'!L202*BaseLoad!R201*'Base Hours'!$AA202)</f>
        <v>-</v>
      </c>
      <c r="M202" s="417" t="str">
        <f aca="false">IF($A$1="Peak","-",'Base Hours'!M202*BaseLoad!S201*'Base Hours'!$AA202)</f>
        <v>-</v>
      </c>
      <c r="N202" s="417" t="str">
        <f aca="false">IF($A$1="Peak","-",'Base Hours'!N202*BaseLoad!T201*'Base Hours'!$AA202)</f>
        <v>-</v>
      </c>
      <c r="O202" s="417" t="str">
        <f aca="false">IF($A$1="Peak","-",'Base Hours'!O202*BaseLoad!U201*'Base Hours'!$AA202)</f>
        <v>-</v>
      </c>
      <c r="P202" s="417" t="str">
        <f aca="false">IF($A$1="Peak","-",'Base Hours'!P202*BaseLoad!V201*'Base Hours'!$AA202)</f>
        <v>-</v>
      </c>
      <c r="Q202" s="417" t="str">
        <f aca="false">IF($A$1="Peak","-",'Base Hours'!Q202*BaseLoad!W201*'Base Hours'!$AA202)</f>
        <v>-</v>
      </c>
      <c r="R202" s="417" t="str">
        <f aca="false">IF($A$1="Peak","-",'Base Hours'!R202*BaseLoad!X201*'Base Hours'!$AA202)</f>
        <v>-</v>
      </c>
      <c r="S202" s="417" t="str">
        <f aca="false">IF($A$1="Peak","-",'Base Hours'!S202*BaseLoad!Y201*'Base Hours'!$AA202)</f>
        <v>-</v>
      </c>
      <c r="T202" s="417" t="str">
        <f aca="false">IF($A$1="Peak","-",'Base Hours'!T202*BaseLoad!Z201*'Base Hours'!$AA202)</f>
        <v>-</v>
      </c>
      <c r="U202" s="417" t="str">
        <f aca="false">IF($A$1="Peak","-",'Base Hours'!U202*BaseLoad!AA201*'Base Hours'!$AA202)</f>
        <v>-</v>
      </c>
      <c r="V202" s="417" t="n">
        <f aca="false">SUM(B202:U202)-(MAX(B202:U202))</f>
        <v>0</v>
      </c>
      <c r="W202" s="417"/>
      <c r="X202" s="417"/>
      <c r="Y202" s="418"/>
      <c r="Z202" s="418" t="n">
        <f aca="false">(BaseLoad!C201*'Base Hours'!V202*'Base Hours'!$AA202)*-1</f>
        <v>-0</v>
      </c>
      <c r="AA202" s="418"/>
      <c r="AB202" s="418" t="n">
        <f aca="false">(BaseLoad!D201*'Base Hours'!V202*'Base Hours'!$AA202)*-1</f>
        <v>-0</v>
      </c>
      <c r="AC202" s="418"/>
      <c r="AD202" s="418" t="n">
        <f aca="false">(BaseLoad!E201*'Base Hours'!V202*'Base Hours'!$AA202)*-1</f>
        <v>-0</v>
      </c>
      <c r="AE202" s="418"/>
      <c r="AF202" s="418" t="n">
        <f aca="false">(BaseLoad!F201*'Base Hours'!V202*'Base Hours'!$AA202)*-1</f>
        <v>-0</v>
      </c>
      <c r="AG202" s="418"/>
    </row>
    <row r="203" customFormat="false" ht="12.75" hidden="false" customHeight="false" outlineLevel="0" collapsed="false">
      <c r="A203" s="400" t="n">
        <f aca="false">A202+30.417</f>
        <v>42410.481</v>
      </c>
      <c r="B203" s="417" t="str">
        <f aca="false">IF($A$1="Peak","-",'Base Hours'!B203*BaseLoad!H202*'Base Hours'!$AA203)</f>
        <v>-</v>
      </c>
      <c r="C203" s="417" t="str">
        <f aca="false">IF($A$1="Peak","-",'Base Hours'!C203*BaseLoad!I202*'Base Hours'!$AA203)</f>
        <v>-</v>
      </c>
      <c r="D203" s="417" t="str">
        <f aca="false">IF($A$1="Peak","-",'Base Hours'!D203*BaseLoad!J202*'Base Hours'!$AA203)</f>
        <v>-</v>
      </c>
      <c r="E203" s="417" t="str">
        <f aca="false">IF($A$1="Peak","-",'Base Hours'!E203*BaseLoad!K202*'Base Hours'!$AA203)</f>
        <v>-</v>
      </c>
      <c r="F203" s="417" t="str">
        <f aca="false">IF($A$1="Peak","-",'Base Hours'!F203*BaseLoad!L202*'Base Hours'!$AA203)</f>
        <v>-</v>
      </c>
      <c r="G203" s="417" t="str">
        <f aca="false">IF($A$1="Peak","-",'Base Hours'!G203*BaseLoad!M202*'Base Hours'!$AA203)</f>
        <v>-</v>
      </c>
      <c r="H203" s="417" t="str">
        <f aca="false">IF($A$1="Peak","-",'Base Hours'!H203*BaseLoad!N202*'Base Hours'!$AA203)</f>
        <v>-</v>
      </c>
      <c r="I203" s="417" t="str">
        <f aca="false">IF($A$1="Peak","-",'Base Hours'!I203*BaseLoad!O202*'Base Hours'!$AA203)</f>
        <v>-</v>
      </c>
      <c r="J203" s="417" t="str">
        <f aca="false">IF($A$1="Peak","-",'Base Hours'!J203*BaseLoad!P202*'Base Hours'!$AA203)</f>
        <v>-</v>
      </c>
      <c r="K203" s="417" t="str">
        <f aca="false">IF($A$1="Peak","-",'Base Hours'!K203*BaseLoad!Q202*'Base Hours'!$AA203)</f>
        <v>-</v>
      </c>
      <c r="L203" s="417" t="str">
        <f aca="false">IF($A$1="Peak","-",'Base Hours'!L203*BaseLoad!R202*'Base Hours'!$AA203)</f>
        <v>-</v>
      </c>
      <c r="M203" s="417" t="str">
        <f aca="false">IF($A$1="Peak","-",'Base Hours'!M203*BaseLoad!S202*'Base Hours'!$AA203)</f>
        <v>-</v>
      </c>
      <c r="N203" s="417" t="str">
        <f aca="false">IF($A$1="Peak","-",'Base Hours'!N203*BaseLoad!T202*'Base Hours'!$AA203)</f>
        <v>-</v>
      </c>
      <c r="O203" s="417" t="str">
        <f aca="false">IF($A$1="Peak","-",'Base Hours'!O203*BaseLoad!U202*'Base Hours'!$AA203)</f>
        <v>-</v>
      </c>
      <c r="P203" s="417" t="str">
        <f aca="false">IF($A$1="Peak","-",'Base Hours'!P203*BaseLoad!V202*'Base Hours'!$AA203)</f>
        <v>-</v>
      </c>
      <c r="Q203" s="417" t="str">
        <f aca="false">IF($A$1="Peak","-",'Base Hours'!Q203*BaseLoad!W202*'Base Hours'!$AA203)</f>
        <v>-</v>
      </c>
      <c r="R203" s="417" t="str">
        <f aca="false">IF($A$1="Peak","-",'Base Hours'!R203*BaseLoad!X202*'Base Hours'!$AA203)</f>
        <v>-</v>
      </c>
      <c r="S203" s="417" t="str">
        <f aca="false">IF($A$1="Peak","-",'Base Hours'!S203*BaseLoad!Y202*'Base Hours'!$AA203)</f>
        <v>-</v>
      </c>
      <c r="T203" s="417" t="str">
        <f aca="false">IF($A$1="Peak","-",'Base Hours'!T203*BaseLoad!Z202*'Base Hours'!$AA203)</f>
        <v>-</v>
      </c>
      <c r="U203" s="417" t="str">
        <f aca="false">IF($A$1="Peak","-",'Base Hours'!U203*BaseLoad!AA202*'Base Hours'!$AA203)</f>
        <v>-</v>
      </c>
      <c r="V203" s="417" t="n">
        <f aca="false">SUM(B203:U203)-(MAX(B203:U203))</f>
        <v>0</v>
      </c>
      <c r="W203" s="417"/>
      <c r="X203" s="417"/>
      <c r="Y203" s="418"/>
      <c r="Z203" s="418" t="n">
        <f aca="false">(BaseLoad!C202*'Base Hours'!V203*'Base Hours'!$AA203)*-1</f>
        <v>-0</v>
      </c>
      <c r="AA203" s="418"/>
      <c r="AB203" s="418" t="n">
        <f aca="false">(BaseLoad!D202*'Base Hours'!V203*'Base Hours'!$AA203)*-1</f>
        <v>-0</v>
      </c>
      <c r="AC203" s="418"/>
      <c r="AD203" s="418" t="n">
        <f aca="false">(BaseLoad!E202*'Base Hours'!V203*'Base Hours'!$AA203)*-1</f>
        <v>-0</v>
      </c>
      <c r="AE203" s="418"/>
      <c r="AF203" s="418" t="n">
        <f aca="false">(BaseLoad!F202*'Base Hours'!V203*'Base Hours'!$AA203)*-1</f>
        <v>-0</v>
      </c>
      <c r="AG203" s="418"/>
    </row>
    <row r="204" customFormat="false" ht="12.75" hidden="false" customHeight="false" outlineLevel="0" collapsed="false">
      <c r="A204" s="400" t="n">
        <f aca="false">A203+30.417</f>
        <v>42440.898</v>
      </c>
      <c r="B204" s="417" t="str">
        <f aca="false">IF($A$1="Peak","-",'Base Hours'!B204*BaseLoad!H203*'Base Hours'!$AA204)</f>
        <v>-</v>
      </c>
      <c r="C204" s="417" t="str">
        <f aca="false">IF($A$1="Peak","-",'Base Hours'!C204*BaseLoad!I203*'Base Hours'!$AA204)</f>
        <v>-</v>
      </c>
      <c r="D204" s="417" t="str">
        <f aca="false">IF($A$1="Peak","-",'Base Hours'!D204*BaseLoad!J203*'Base Hours'!$AA204)</f>
        <v>-</v>
      </c>
      <c r="E204" s="417" t="str">
        <f aca="false">IF($A$1="Peak","-",'Base Hours'!E204*BaseLoad!K203*'Base Hours'!$AA204)</f>
        <v>-</v>
      </c>
      <c r="F204" s="417" t="str">
        <f aca="false">IF($A$1="Peak","-",'Base Hours'!F204*BaseLoad!L203*'Base Hours'!$AA204)</f>
        <v>-</v>
      </c>
      <c r="G204" s="417" t="str">
        <f aca="false">IF($A$1="Peak","-",'Base Hours'!G204*BaseLoad!M203*'Base Hours'!$AA204)</f>
        <v>-</v>
      </c>
      <c r="H204" s="417" t="str">
        <f aca="false">IF($A$1="Peak","-",'Base Hours'!H204*BaseLoad!N203*'Base Hours'!$AA204)</f>
        <v>-</v>
      </c>
      <c r="I204" s="417" t="str">
        <f aca="false">IF($A$1="Peak","-",'Base Hours'!I204*BaseLoad!O203*'Base Hours'!$AA204)</f>
        <v>-</v>
      </c>
      <c r="J204" s="417" t="str">
        <f aca="false">IF($A$1="Peak","-",'Base Hours'!J204*BaseLoad!P203*'Base Hours'!$AA204)</f>
        <v>-</v>
      </c>
      <c r="K204" s="417" t="str">
        <f aca="false">IF($A$1="Peak","-",'Base Hours'!K204*BaseLoad!Q203*'Base Hours'!$AA204)</f>
        <v>-</v>
      </c>
      <c r="L204" s="417" t="str">
        <f aca="false">IF($A$1="Peak","-",'Base Hours'!L204*BaseLoad!R203*'Base Hours'!$AA204)</f>
        <v>-</v>
      </c>
      <c r="M204" s="417" t="str">
        <f aca="false">IF($A$1="Peak","-",'Base Hours'!M204*BaseLoad!S203*'Base Hours'!$AA204)</f>
        <v>-</v>
      </c>
      <c r="N204" s="417" t="str">
        <f aca="false">IF($A$1="Peak","-",'Base Hours'!N204*BaseLoad!T203*'Base Hours'!$AA204)</f>
        <v>-</v>
      </c>
      <c r="O204" s="417" t="str">
        <f aca="false">IF($A$1="Peak","-",'Base Hours'!O204*BaseLoad!U203*'Base Hours'!$AA204)</f>
        <v>-</v>
      </c>
      <c r="P204" s="417" t="str">
        <f aca="false">IF($A$1="Peak","-",'Base Hours'!P204*BaseLoad!V203*'Base Hours'!$AA204)</f>
        <v>-</v>
      </c>
      <c r="Q204" s="417" t="str">
        <f aca="false">IF($A$1="Peak","-",'Base Hours'!Q204*BaseLoad!W203*'Base Hours'!$AA204)</f>
        <v>-</v>
      </c>
      <c r="R204" s="417" t="str">
        <f aca="false">IF($A$1="Peak","-",'Base Hours'!R204*BaseLoad!X203*'Base Hours'!$AA204)</f>
        <v>-</v>
      </c>
      <c r="S204" s="417" t="str">
        <f aca="false">IF($A$1="Peak","-",'Base Hours'!S204*BaseLoad!Y203*'Base Hours'!$AA204)</f>
        <v>-</v>
      </c>
      <c r="T204" s="417" t="str">
        <f aca="false">IF($A$1="Peak","-",'Base Hours'!T204*BaseLoad!Z203*'Base Hours'!$AA204)</f>
        <v>-</v>
      </c>
      <c r="U204" s="417" t="str">
        <f aca="false">IF($A$1="Peak","-",'Base Hours'!U204*BaseLoad!AA203*'Base Hours'!$AA204)</f>
        <v>-</v>
      </c>
      <c r="V204" s="417" t="n">
        <f aca="false">SUM(B204:U204)-(MAX(B204:U204))</f>
        <v>0</v>
      </c>
      <c r="W204" s="417"/>
      <c r="X204" s="417"/>
      <c r="Y204" s="418"/>
      <c r="Z204" s="418" t="n">
        <f aca="false">(BaseLoad!C203*'Base Hours'!V204*'Base Hours'!$AA204)*-1</f>
        <v>-0</v>
      </c>
      <c r="AA204" s="418"/>
      <c r="AB204" s="418" t="n">
        <f aca="false">(BaseLoad!D203*'Base Hours'!V204*'Base Hours'!$AA204)*-1</f>
        <v>-0</v>
      </c>
      <c r="AC204" s="418"/>
      <c r="AD204" s="418" t="n">
        <f aca="false">(BaseLoad!E203*'Base Hours'!V204*'Base Hours'!$AA204)*-1</f>
        <v>-0</v>
      </c>
      <c r="AE204" s="418"/>
      <c r="AF204" s="418" t="n">
        <f aca="false">(BaseLoad!F203*'Base Hours'!V204*'Base Hours'!$AA204)*-1</f>
        <v>-0</v>
      </c>
      <c r="AG204" s="418"/>
    </row>
    <row r="205" customFormat="false" ht="12.75" hidden="false" customHeight="false" outlineLevel="0" collapsed="false">
      <c r="A205" s="400" t="n">
        <f aca="false">A204+30.417</f>
        <v>42471.315</v>
      </c>
      <c r="B205" s="417" t="str">
        <f aca="false">IF($A$1="Peak","-",'Base Hours'!B205*BaseLoad!H204*'Base Hours'!$AA205)</f>
        <v>-</v>
      </c>
      <c r="C205" s="417" t="str">
        <f aca="false">IF($A$1="Peak","-",'Base Hours'!C205*BaseLoad!I204*'Base Hours'!$AA205)</f>
        <v>-</v>
      </c>
      <c r="D205" s="417" t="str">
        <f aca="false">IF($A$1="Peak","-",'Base Hours'!D205*BaseLoad!J204*'Base Hours'!$AA205)</f>
        <v>-</v>
      </c>
      <c r="E205" s="417" t="str">
        <f aca="false">IF($A$1="Peak","-",'Base Hours'!E205*BaseLoad!K204*'Base Hours'!$AA205)</f>
        <v>-</v>
      </c>
      <c r="F205" s="417" t="str">
        <f aca="false">IF($A$1="Peak","-",'Base Hours'!F205*BaseLoad!L204*'Base Hours'!$AA205)</f>
        <v>-</v>
      </c>
      <c r="G205" s="417" t="str">
        <f aca="false">IF($A$1="Peak","-",'Base Hours'!G205*BaseLoad!M204*'Base Hours'!$AA205)</f>
        <v>-</v>
      </c>
      <c r="H205" s="417" t="str">
        <f aca="false">IF($A$1="Peak","-",'Base Hours'!H205*BaseLoad!N204*'Base Hours'!$AA205)</f>
        <v>-</v>
      </c>
      <c r="I205" s="417" t="str">
        <f aca="false">IF($A$1="Peak","-",'Base Hours'!I205*BaseLoad!O204*'Base Hours'!$AA205)</f>
        <v>-</v>
      </c>
      <c r="J205" s="417" t="str">
        <f aca="false">IF($A$1="Peak","-",'Base Hours'!J205*BaseLoad!P204*'Base Hours'!$AA205)</f>
        <v>-</v>
      </c>
      <c r="K205" s="417" t="str">
        <f aca="false">IF($A$1="Peak","-",'Base Hours'!K205*BaseLoad!Q204*'Base Hours'!$AA205)</f>
        <v>-</v>
      </c>
      <c r="L205" s="417" t="str">
        <f aca="false">IF($A$1="Peak","-",'Base Hours'!L205*BaseLoad!R204*'Base Hours'!$AA205)</f>
        <v>-</v>
      </c>
      <c r="M205" s="417" t="str">
        <f aca="false">IF($A$1="Peak","-",'Base Hours'!M205*BaseLoad!S204*'Base Hours'!$AA205)</f>
        <v>-</v>
      </c>
      <c r="N205" s="417" t="str">
        <f aca="false">IF($A$1="Peak","-",'Base Hours'!N205*BaseLoad!T204*'Base Hours'!$AA205)</f>
        <v>-</v>
      </c>
      <c r="O205" s="417" t="str">
        <f aca="false">IF($A$1="Peak","-",'Base Hours'!O205*BaseLoad!U204*'Base Hours'!$AA205)</f>
        <v>-</v>
      </c>
      <c r="P205" s="417" t="str">
        <f aca="false">IF($A$1="Peak","-",'Base Hours'!P205*BaseLoad!V204*'Base Hours'!$AA205)</f>
        <v>-</v>
      </c>
      <c r="Q205" s="417" t="str">
        <f aca="false">IF($A$1="Peak","-",'Base Hours'!Q205*BaseLoad!W204*'Base Hours'!$AA205)</f>
        <v>-</v>
      </c>
      <c r="R205" s="417" t="str">
        <f aca="false">IF($A$1="Peak","-",'Base Hours'!R205*BaseLoad!X204*'Base Hours'!$AA205)</f>
        <v>-</v>
      </c>
      <c r="S205" s="417" t="str">
        <f aca="false">IF($A$1="Peak","-",'Base Hours'!S205*BaseLoad!Y204*'Base Hours'!$AA205)</f>
        <v>-</v>
      </c>
      <c r="T205" s="417" t="str">
        <f aca="false">IF($A$1="Peak","-",'Base Hours'!T205*BaseLoad!Z204*'Base Hours'!$AA205)</f>
        <v>-</v>
      </c>
      <c r="U205" s="417" t="str">
        <f aca="false">IF($A$1="Peak","-",'Base Hours'!U205*BaseLoad!AA204*'Base Hours'!$AA205)</f>
        <v>-</v>
      </c>
      <c r="V205" s="417" t="n">
        <f aca="false">SUM(B205:U205)-(MAX(B205:U205))</f>
        <v>0</v>
      </c>
      <c r="W205" s="417"/>
      <c r="X205" s="417"/>
      <c r="Y205" s="418"/>
      <c r="Z205" s="418" t="n">
        <f aca="false">(BaseLoad!C204*'Base Hours'!V205*'Base Hours'!$AA205)*-1</f>
        <v>-0</v>
      </c>
      <c r="AA205" s="418"/>
      <c r="AB205" s="418" t="n">
        <f aca="false">(BaseLoad!D204*'Base Hours'!V205*'Base Hours'!$AA205)*-1</f>
        <v>-0</v>
      </c>
      <c r="AC205" s="418"/>
      <c r="AD205" s="418" t="n">
        <f aca="false">(BaseLoad!E204*'Base Hours'!V205*'Base Hours'!$AA205)*-1</f>
        <v>-0</v>
      </c>
      <c r="AE205" s="418"/>
      <c r="AF205" s="418" t="n">
        <f aca="false">(BaseLoad!F204*'Base Hours'!V205*'Base Hours'!$AA205)*-1</f>
        <v>-0</v>
      </c>
      <c r="AG205" s="418"/>
    </row>
    <row r="206" customFormat="false" ht="12.75" hidden="false" customHeight="false" outlineLevel="0" collapsed="false">
      <c r="A206" s="400" t="n">
        <f aca="false">A205+30.417</f>
        <v>42501.732</v>
      </c>
      <c r="B206" s="417" t="str">
        <f aca="false">IF($A$1="Peak","-",'Base Hours'!B206*BaseLoad!H205*'Base Hours'!$AA206)</f>
        <v>-</v>
      </c>
      <c r="C206" s="417" t="str">
        <f aca="false">IF($A$1="Peak","-",'Base Hours'!C206*BaseLoad!I205*'Base Hours'!$AA206)</f>
        <v>-</v>
      </c>
      <c r="D206" s="417" t="str">
        <f aca="false">IF($A$1="Peak","-",'Base Hours'!D206*BaseLoad!J205*'Base Hours'!$AA206)</f>
        <v>-</v>
      </c>
      <c r="E206" s="417" t="str">
        <f aca="false">IF($A$1="Peak","-",'Base Hours'!E206*BaseLoad!K205*'Base Hours'!$AA206)</f>
        <v>-</v>
      </c>
      <c r="F206" s="417" t="str">
        <f aca="false">IF($A$1="Peak","-",'Base Hours'!F206*BaseLoad!L205*'Base Hours'!$AA206)</f>
        <v>-</v>
      </c>
      <c r="G206" s="417" t="str">
        <f aca="false">IF($A$1="Peak","-",'Base Hours'!G206*BaseLoad!M205*'Base Hours'!$AA206)</f>
        <v>-</v>
      </c>
      <c r="H206" s="417" t="str">
        <f aca="false">IF($A$1="Peak","-",'Base Hours'!H206*BaseLoad!N205*'Base Hours'!$AA206)</f>
        <v>-</v>
      </c>
      <c r="I206" s="417" t="str">
        <f aca="false">IF($A$1="Peak","-",'Base Hours'!I206*BaseLoad!O205*'Base Hours'!$AA206)</f>
        <v>-</v>
      </c>
      <c r="J206" s="417" t="str">
        <f aca="false">IF($A$1="Peak","-",'Base Hours'!J206*BaseLoad!P205*'Base Hours'!$AA206)</f>
        <v>-</v>
      </c>
      <c r="K206" s="417" t="str">
        <f aca="false">IF($A$1="Peak","-",'Base Hours'!K206*BaseLoad!Q205*'Base Hours'!$AA206)</f>
        <v>-</v>
      </c>
      <c r="L206" s="417" t="str">
        <f aca="false">IF($A$1="Peak","-",'Base Hours'!L206*BaseLoad!R205*'Base Hours'!$AA206)</f>
        <v>-</v>
      </c>
      <c r="M206" s="417" t="str">
        <f aca="false">IF($A$1="Peak","-",'Base Hours'!M206*BaseLoad!S205*'Base Hours'!$AA206)</f>
        <v>-</v>
      </c>
      <c r="N206" s="417" t="str">
        <f aca="false">IF($A$1="Peak","-",'Base Hours'!N206*BaseLoad!T205*'Base Hours'!$AA206)</f>
        <v>-</v>
      </c>
      <c r="O206" s="417" t="str">
        <f aca="false">IF($A$1="Peak","-",'Base Hours'!O206*BaseLoad!U205*'Base Hours'!$AA206)</f>
        <v>-</v>
      </c>
      <c r="P206" s="417" t="str">
        <f aca="false">IF($A$1="Peak","-",'Base Hours'!P206*BaseLoad!V205*'Base Hours'!$AA206)</f>
        <v>-</v>
      </c>
      <c r="Q206" s="417" t="str">
        <f aca="false">IF($A$1="Peak","-",'Base Hours'!Q206*BaseLoad!W205*'Base Hours'!$AA206)</f>
        <v>-</v>
      </c>
      <c r="R206" s="417" t="str">
        <f aca="false">IF($A$1="Peak","-",'Base Hours'!R206*BaseLoad!X205*'Base Hours'!$AA206)</f>
        <v>-</v>
      </c>
      <c r="S206" s="417" t="str">
        <f aca="false">IF($A$1="Peak","-",'Base Hours'!S206*BaseLoad!Y205*'Base Hours'!$AA206)</f>
        <v>-</v>
      </c>
      <c r="T206" s="417" t="str">
        <f aca="false">IF($A$1="Peak","-",'Base Hours'!T206*BaseLoad!Z205*'Base Hours'!$AA206)</f>
        <v>-</v>
      </c>
      <c r="U206" s="417" t="str">
        <f aca="false">IF($A$1="Peak","-",'Base Hours'!U206*BaseLoad!AA205*'Base Hours'!$AA206)</f>
        <v>-</v>
      </c>
      <c r="V206" s="417" t="n">
        <f aca="false">SUM(B206:U206)-(MAX(B206:U206))</f>
        <v>0</v>
      </c>
      <c r="W206" s="417"/>
      <c r="X206" s="417"/>
      <c r="Y206" s="418"/>
      <c r="Z206" s="418" t="n">
        <f aca="false">(BaseLoad!C205*'Base Hours'!V206*'Base Hours'!$AA206)*-1</f>
        <v>-0</v>
      </c>
      <c r="AA206" s="418"/>
      <c r="AB206" s="418" t="n">
        <f aca="false">(BaseLoad!D205*'Base Hours'!V206*'Base Hours'!$AA206)*-1</f>
        <v>-0</v>
      </c>
      <c r="AC206" s="418"/>
      <c r="AD206" s="418" t="n">
        <f aca="false">(BaseLoad!E205*'Base Hours'!V206*'Base Hours'!$AA206)*-1</f>
        <v>-0</v>
      </c>
      <c r="AE206" s="418"/>
      <c r="AF206" s="418" t="n">
        <f aca="false">(BaseLoad!F205*'Base Hours'!V206*'Base Hours'!$AA206)*-1</f>
        <v>-0</v>
      </c>
      <c r="AG206" s="418"/>
    </row>
    <row r="207" customFormat="false" ht="12.75" hidden="false" customHeight="false" outlineLevel="0" collapsed="false">
      <c r="A207" s="400" t="n">
        <f aca="false">A206+30.417</f>
        <v>42532.149</v>
      </c>
      <c r="B207" s="417" t="str">
        <f aca="false">IF($A$1="Peak","-",'Base Hours'!B207*BaseLoad!H206*'Base Hours'!$AA207)</f>
        <v>-</v>
      </c>
      <c r="C207" s="417" t="str">
        <f aca="false">IF($A$1="Peak","-",'Base Hours'!C207*BaseLoad!I206*'Base Hours'!$AA207)</f>
        <v>-</v>
      </c>
      <c r="D207" s="417" t="str">
        <f aca="false">IF($A$1="Peak","-",'Base Hours'!D207*BaseLoad!J206*'Base Hours'!$AA207)</f>
        <v>-</v>
      </c>
      <c r="E207" s="417" t="str">
        <f aca="false">IF($A$1="Peak","-",'Base Hours'!E207*BaseLoad!K206*'Base Hours'!$AA207)</f>
        <v>-</v>
      </c>
      <c r="F207" s="417" t="str">
        <f aca="false">IF($A$1="Peak","-",'Base Hours'!F207*BaseLoad!L206*'Base Hours'!$AA207)</f>
        <v>-</v>
      </c>
      <c r="G207" s="417" t="str">
        <f aca="false">IF($A$1="Peak","-",'Base Hours'!G207*BaseLoad!M206*'Base Hours'!$AA207)</f>
        <v>-</v>
      </c>
      <c r="H207" s="417" t="str">
        <f aca="false">IF($A$1="Peak","-",'Base Hours'!H207*BaseLoad!N206*'Base Hours'!$AA207)</f>
        <v>-</v>
      </c>
      <c r="I207" s="417" t="str">
        <f aca="false">IF($A$1="Peak","-",'Base Hours'!I207*BaseLoad!O206*'Base Hours'!$AA207)</f>
        <v>-</v>
      </c>
      <c r="J207" s="417" t="str">
        <f aca="false">IF($A$1="Peak","-",'Base Hours'!J207*BaseLoad!P206*'Base Hours'!$AA207)</f>
        <v>-</v>
      </c>
      <c r="K207" s="417" t="str">
        <f aca="false">IF($A$1="Peak","-",'Base Hours'!K207*BaseLoad!Q206*'Base Hours'!$AA207)</f>
        <v>-</v>
      </c>
      <c r="L207" s="417" t="str">
        <f aca="false">IF($A$1="Peak","-",'Base Hours'!L207*BaseLoad!R206*'Base Hours'!$AA207)</f>
        <v>-</v>
      </c>
      <c r="M207" s="417" t="str">
        <f aca="false">IF($A$1="Peak","-",'Base Hours'!M207*BaseLoad!S206*'Base Hours'!$AA207)</f>
        <v>-</v>
      </c>
      <c r="N207" s="417" t="str">
        <f aca="false">IF($A$1="Peak","-",'Base Hours'!N207*BaseLoad!T206*'Base Hours'!$AA207)</f>
        <v>-</v>
      </c>
      <c r="O207" s="417" t="str">
        <f aca="false">IF($A$1="Peak","-",'Base Hours'!O207*BaseLoad!U206*'Base Hours'!$AA207)</f>
        <v>-</v>
      </c>
      <c r="P207" s="417" t="str">
        <f aca="false">IF($A$1="Peak","-",'Base Hours'!P207*BaseLoad!V206*'Base Hours'!$AA207)</f>
        <v>-</v>
      </c>
      <c r="Q207" s="417" t="str">
        <f aca="false">IF($A$1="Peak","-",'Base Hours'!Q207*BaseLoad!W206*'Base Hours'!$AA207)</f>
        <v>-</v>
      </c>
      <c r="R207" s="417" t="str">
        <f aca="false">IF($A$1="Peak","-",'Base Hours'!R207*BaseLoad!X206*'Base Hours'!$AA207)</f>
        <v>-</v>
      </c>
      <c r="S207" s="417" t="str">
        <f aca="false">IF($A$1="Peak","-",'Base Hours'!S207*BaseLoad!Y206*'Base Hours'!$AA207)</f>
        <v>-</v>
      </c>
      <c r="T207" s="417" t="str">
        <f aca="false">IF($A$1="Peak","-",'Base Hours'!T207*BaseLoad!Z206*'Base Hours'!$AA207)</f>
        <v>-</v>
      </c>
      <c r="U207" s="417" t="str">
        <f aca="false">IF($A$1="Peak","-",'Base Hours'!U207*BaseLoad!AA206*'Base Hours'!$AA207)</f>
        <v>-</v>
      </c>
      <c r="V207" s="417" t="n">
        <f aca="false">SUM(B207:U207)-(MAX(B207:U207))</f>
        <v>0</v>
      </c>
      <c r="W207" s="417"/>
      <c r="X207" s="417"/>
      <c r="Y207" s="418"/>
      <c r="Z207" s="418" t="n">
        <f aca="false">(BaseLoad!C206*'Base Hours'!V207*'Base Hours'!$AA207)*-1</f>
        <v>-0</v>
      </c>
      <c r="AA207" s="418"/>
      <c r="AB207" s="418" t="n">
        <f aca="false">(BaseLoad!D206*'Base Hours'!V207*'Base Hours'!$AA207)*-1</f>
        <v>-0</v>
      </c>
      <c r="AC207" s="418"/>
      <c r="AD207" s="418" t="n">
        <f aca="false">(BaseLoad!E206*'Base Hours'!V207*'Base Hours'!$AA207)*-1</f>
        <v>-0</v>
      </c>
      <c r="AE207" s="418"/>
      <c r="AF207" s="418" t="n">
        <f aca="false">(BaseLoad!F206*'Base Hours'!V207*'Base Hours'!$AA207)*-1</f>
        <v>-0</v>
      </c>
      <c r="AG207" s="418"/>
    </row>
    <row r="208" customFormat="false" ht="12.75" hidden="false" customHeight="false" outlineLevel="0" collapsed="false">
      <c r="A208" s="400" t="n">
        <f aca="false">A207+30.417</f>
        <v>42562.566</v>
      </c>
      <c r="B208" s="417" t="str">
        <f aca="false">IF($A$1="Peak","-",'Base Hours'!B208*BaseLoad!H207*'Base Hours'!$AA208)</f>
        <v>-</v>
      </c>
      <c r="C208" s="417" t="str">
        <f aca="false">IF($A$1="Peak","-",'Base Hours'!C208*BaseLoad!I207*'Base Hours'!$AA208)</f>
        <v>-</v>
      </c>
      <c r="D208" s="417" t="str">
        <f aca="false">IF($A$1="Peak","-",'Base Hours'!D208*BaseLoad!J207*'Base Hours'!$AA208)</f>
        <v>-</v>
      </c>
      <c r="E208" s="417" t="str">
        <f aca="false">IF($A$1="Peak","-",'Base Hours'!E208*BaseLoad!K207*'Base Hours'!$AA208)</f>
        <v>-</v>
      </c>
      <c r="F208" s="417" t="str">
        <f aca="false">IF($A$1="Peak","-",'Base Hours'!F208*BaseLoad!L207*'Base Hours'!$AA208)</f>
        <v>-</v>
      </c>
      <c r="G208" s="417" t="str">
        <f aca="false">IF($A$1="Peak","-",'Base Hours'!G208*BaseLoad!M207*'Base Hours'!$AA208)</f>
        <v>-</v>
      </c>
      <c r="H208" s="417" t="str">
        <f aca="false">IF($A$1="Peak","-",'Base Hours'!H208*BaseLoad!N207*'Base Hours'!$AA208)</f>
        <v>-</v>
      </c>
      <c r="I208" s="417" t="str">
        <f aca="false">IF($A$1="Peak","-",'Base Hours'!I208*BaseLoad!O207*'Base Hours'!$AA208)</f>
        <v>-</v>
      </c>
      <c r="J208" s="417" t="str">
        <f aca="false">IF($A$1="Peak","-",'Base Hours'!J208*BaseLoad!P207*'Base Hours'!$AA208)</f>
        <v>-</v>
      </c>
      <c r="K208" s="417" t="str">
        <f aca="false">IF($A$1="Peak","-",'Base Hours'!K208*BaseLoad!Q207*'Base Hours'!$AA208)</f>
        <v>-</v>
      </c>
      <c r="L208" s="417" t="str">
        <f aca="false">IF($A$1="Peak","-",'Base Hours'!L208*BaseLoad!R207*'Base Hours'!$AA208)</f>
        <v>-</v>
      </c>
      <c r="M208" s="417" t="str">
        <f aca="false">IF($A$1="Peak","-",'Base Hours'!M208*BaseLoad!S207*'Base Hours'!$AA208)</f>
        <v>-</v>
      </c>
      <c r="N208" s="417" t="str">
        <f aca="false">IF($A$1="Peak","-",'Base Hours'!N208*BaseLoad!T207*'Base Hours'!$AA208)</f>
        <v>-</v>
      </c>
      <c r="O208" s="417" t="str">
        <f aca="false">IF($A$1="Peak","-",'Base Hours'!O208*BaseLoad!U207*'Base Hours'!$AA208)</f>
        <v>-</v>
      </c>
      <c r="P208" s="417" t="str">
        <f aca="false">IF($A$1="Peak","-",'Base Hours'!P208*BaseLoad!V207*'Base Hours'!$AA208)</f>
        <v>-</v>
      </c>
      <c r="Q208" s="417" t="str">
        <f aca="false">IF($A$1="Peak","-",'Base Hours'!Q208*BaseLoad!W207*'Base Hours'!$AA208)</f>
        <v>-</v>
      </c>
      <c r="R208" s="417" t="str">
        <f aca="false">IF($A$1="Peak","-",'Base Hours'!R208*BaseLoad!X207*'Base Hours'!$AA208)</f>
        <v>-</v>
      </c>
      <c r="S208" s="417" t="str">
        <f aca="false">IF($A$1="Peak","-",'Base Hours'!S208*BaseLoad!Y207*'Base Hours'!$AA208)</f>
        <v>-</v>
      </c>
      <c r="T208" s="417" t="str">
        <f aca="false">IF($A$1="Peak","-",'Base Hours'!T208*BaseLoad!Z207*'Base Hours'!$AA208)</f>
        <v>-</v>
      </c>
      <c r="U208" s="417" t="str">
        <f aca="false">IF($A$1="Peak","-",'Base Hours'!U208*BaseLoad!AA207*'Base Hours'!$AA208)</f>
        <v>-</v>
      </c>
      <c r="V208" s="417" t="n">
        <f aca="false">SUM(B208:U208)-(MAX(B208:U208))</f>
        <v>0</v>
      </c>
      <c r="W208" s="417"/>
      <c r="X208" s="417"/>
      <c r="Y208" s="418"/>
      <c r="Z208" s="418" t="n">
        <f aca="false">(BaseLoad!C207*'Base Hours'!V208*'Base Hours'!$AA208)*-1</f>
        <v>-0</v>
      </c>
      <c r="AA208" s="418"/>
      <c r="AB208" s="418" t="n">
        <f aca="false">(BaseLoad!D207*'Base Hours'!V208*'Base Hours'!$AA208)*-1</f>
        <v>-0</v>
      </c>
      <c r="AC208" s="418"/>
      <c r="AD208" s="418" t="n">
        <f aca="false">(BaseLoad!E207*'Base Hours'!V208*'Base Hours'!$AA208)*-1</f>
        <v>-0</v>
      </c>
      <c r="AE208" s="418"/>
      <c r="AF208" s="418" t="n">
        <f aca="false">(BaseLoad!F207*'Base Hours'!V208*'Base Hours'!$AA208)*-1</f>
        <v>-0</v>
      </c>
      <c r="AG208" s="418"/>
    </row>
    <row r="209" customFormat="false" ht="12.75" hidden="false" customHeight="false" outlineLevel="0" collapsed="false">
      <c r="A209" s="400" t="n">
        <f aca="false">A208+30.417</f>
        <v>42592.983</v>
      </c>
      <c r="B209" s="417" t="str">
        <f aca="false">IF($A$1="Peak","-",'Base Hours'!B209*BaseLoad!H208*'Base Hours'!$AA209)</f>
        <v>-</v>
      </c>
      <c r="C209" s="417" t="str">
        <f aca="false">IF($A$1="Peak","-",'Base Hours'!C209*BaseLoad!I208*'Base Hours'!$AA209)</f>
        <v>-</v>
      </c>
      <c r="D209" s="417" t="str">
        <f aca="false">IF($A$1="Peak","-",'Base Hours'!D209*BaseLoad!J208*'Base Hours'!$AA209)</f>
        <v>-</v>
      </c>
      <c r="E209" s="417" t="str">
        <f aca="false">IF($A$1="Peak","-",'Base Hours'!E209*BaseLoad!K208*'Base Hours'!$AA209)</f>
        <v>-</v>
      </c>
      <c r="F209" s="417" t="str">
        <f aca="false">IF($A$1="Peak","-",'Base Hours'!F209*BaseLoad!L208*'Base Hours'!$AA209)</f>
        <v>-</v>
      </c>
      <c r="G209" s="417" t="str">
        <f aca="false">IF($A$1="Peak","-",'Base Hours'!G209*BaseLoad!M208*'Base Hours'!$AA209)</f>
        <v>-</v>
      </c>
      <c r="H209" s="417" t="str">
        <f aca="false">IF($A$1="Peak","-",'Base Hours'!H209*BaseLoad!N208*'Base Hours'!$AA209)</f>
        <v>-</v>
      </c>
      <c r="I209" s="417" t="str">
        <f aca="false">IF($A$1="Peak","-",'Base Hours'!I209*BaseLoad!O208*'Base Hours'!$AA209)</f>
        <v>-</v>
      </c>
      <c r="J209" s="417" t="str">
        <f aca="false">IF($A$1="Peak","-",'Base Hours'!J209*BaseLoad!P208*'Base Hours'!$AA209)</f>
        <v>-</v>
      </c>
      <c r="K209" s="417" t="str">
        <f aca="false">IF($A$1="Peak","-",'Base Hours'!K209*BaseLoad!Q208*'Base Hours'!$AA209)</f>
        <v>-</v>
      </c>
      <c r="L209" s="417" t="str">
        <f aca="false">IF($A$1="Peak","-",'Base Hours'!L209*BaseLoad!R208*'Base Hours'!$AA209)</f>
        <v>-</v>
      </c>
      <c r="M209" s="417" t="str">
        <f aca="false">IF($A$1="Peak","-",'Base Hours'!M209*BaseLoad!S208*'Base Hours'!$AA209)</f>
        <v>-</v>
      </c>
      <c r="N209" s="417" t="str">
        <f aca="false">IF($A$1="Peak","-",'Base Hours'!N209*BaseLoad!T208*'Base Hours'!$AA209)</f>
        <v>-</v>
      </c>
      <c r="O209" s="417" t="str">
        <f aca="false">IF($A$1="Peak","-",'Base Hours'!O209*BaseLoad!U208*'Base Hours'!$AA209)</f>
        <v>-</v>
      </c>
      <c r="P209" s="417" t="str">
        <f aca="false">IF($A$1="Peak","-",'Base Hours'!P209*BaseLoad!V208*'Base Hours'!$AA209)</f>
        <v>-</v>
      </c>
      <c r="Q209" s="417" t="str">
        <f aca="false">IF($A$1="Peak","-",'Base Hours'!Q209*BaseLoad!W208*'Base Hours'!$AA209)</f>
        <v>-</v>
      </c>
      <c r="R209" s="417" t="str">
        <f aca="false">IF($A$1="Peak","-",'Base Hours'!R209*BaseLoad!X208*'Base Hours'!$AA209)</f>
        <v>-</v>
      </c>
      <c r="S209" s="417" t="str">
        <f aca="false">IF($A$1="Peak","-",'Base Hours'!S209*BaseLoad!Y208*'Base Hours'!$AA209)</f>
        <v>-</v>
      </c>
      <c r="T209" s="417" t="str">
        <f aca="false">IF($A$1="Peak","-",'Base Hours'!T209*BaseLoad!Z208*'Base Hours'!$AA209)</f>
        <v>-</v>
      </c>
      <c r="U209" s="417" t="str">
        <f aca="false">IF($A$1="Peak","-",'Base Hours'!U209*BaseLoad!AA208*'Base Hours'!$AA209)</f>
        <v>-</v>
      </c>
      <c r="V209" s="417" t="n">
        <f aca="false">SUM(B209:U209)-(MAX(B209:U209))</f>
        <v>0</v>
      </c>
      <c r="W209" s="417"/>
      <c r="X209" s="417"/>
      <c r="Y209" s="418"/>
      <c r="Z209" s="418" t="n">
        <f aca="false">(BaseLoad!C208*'Base Hours'!V209*'Base Hours'!$AA209)*-1</f>
        <v>-0</v>
      </c>
      <c r="AA209" s="418"/>
      <c r="AB209" s="418" t="n">
        <f aca="false">(BaseLoad!D208*'Base Hours'!V209*'Base Hours'!$AA209)*-1</f>
        <v>-0</v>
      </c>
      <c r="AC209" s="418"/>
      <c r="AD209" s="418" t="n">
        <f aca="false">(BaseLoad!E208*'Base Hours'!V209*'Base Hours'!$AA209)*-1</f>
        <v>-0</v>
      </c>
      <c r="AE209" s="418"/>
      <c r="AF209" s="418" t="n">
        <f aca="false">(BaseLoad!F208*'Base Hours'!V209*'Base Hours'!$AA209)*-1</f>
        <v>-0</v>
      </c>
      <c r="AG209" s="418"/>
    </row>
    <row r="210" customFormat="false" ht="12.75" hidden="false" customHeight="false" outlineLevel="0" collapsed="false">
      <c r="A210" s="400" t="n">
        <f aca="false">A209+30.417</f>
        <v>42623.4</v>
      </c>
      <c r="B210" s="417" t="str">
        <f aca="false">IF($A$1="Peak","-",'Base Hours'!B210*BaseLoad!H209*'Base Hours'!$AA210)</f>
        <v>-</v>
      </c>
      <c r="C210" s="417" t="str">
        <f aca="false">IF($A$1="Peak","-",'Base Hours'!C210*BaseLoad!I209*'Base Hours'!$AA210)</f>
        <v>-</v>
      </c>
      <c r="D210" s="417" t="str">
        <f aca="false">IF($A$1="Peak","-",'Base Hours'!D210*BaseLoad!J209*'Base Hours'!$AA210)</f>
        <v>-</v>
      </c>
      <c r="E210" s="417" t="str">
        <f aca="false">IF($A$1="Peak","-",'Base Hours'!E210*BaseLoad!K209*'Base Hours'!$AA210)</f>
        <v>-</v>
      </c>
      <c r="F210" s="417" t="str">
        <f aca="false">IF($A$1="Peak","-",'Base Hours'!F210*BaseLoad!L209*'Base Hours'!$AA210)</f>
        <v>-</v>
      </c>
      <c r="G210" s="417" t="str">
        <f aca="false">IF($A$1="Peak","-",'Base Hours'!G210*BaseLoad!M209*'Base Hours'!$AA210)</f>
        <v>-</v>
      </c>
      <c r="H210" s="417" t="str">
        <f aca="false">IF($A$1="Peak","-",'Base Hours'!H210*BaseLoad!N209*'Base Hours'!$AA210)</f>
        <v>-</v>
      </c>
      <c r="I210" s="417" t="str">
        <f aca="false">IF($A$1="Peak","-",'Base Hours'!I210*BaseLoad!O209*'Base Hours'!$AA210)</f>
        <v>-</v>
      </c>
      <c r="J210" s="417" t="str">
        <f aca="false">IF($A$1="Peak","-",'Base Hours'!J210*BaseLoad!P209*'Base Hours'!$AA210)</f>
        <v>-</v>
      </c>
      <c r="K210" s="417" t="str">
        <f aca="false">IF($A$1="Peak","-",'Base Hours'!K210*BaseLoad!Q209*'Base Hours'!$AA210)</f>
        <v>-</v>
      </c>
      <c r="L210" s="417" t="str">
        <f aca="false">IF($A$1="Peak","-",'Base Hours'!L210*BaseLoad!R209*'Base Hours'!$AA210)</f>
        <v>-</v>
      </c>
      <c r="M210" s="417" t="str">
        <f aca="false">IF($A$1="Peak","-",'Base Hours'!M210*BaseLoad!S209*'Base Hours'!$AA210)</f>
        <v>-</v>
      </c>
      <c r="N210" s="417" t="str">
        <f aca="false">IF($A$1="Peak","-",'Base Hours'!N210*BaseLoad!T209*'Base Hours'!$AA210)</f>
        <v>-</v>
      </c>
      <c r="O210" s="417" t="str">
        <f aca="false">IF($A$1="Peak","-",'Base Hours'!O210*BaseLoad!U209*'Base Hours'!$AA210)</f>
        <v>-</v>
      </c>
      <c r="P210" s="417" t="str">
        <f aca="false">IF($A$1="Peak","-",'Base Hours'!P210*BaseLoad!V209*'Base Hours'!$AA210)</f>
        <v>-</v>
      </c>
      <c r="Q210" s="417" t="str">
        <f aca="false">IF($A$1="Peak","-",'Base Hours'!Q210*BaseLoad!W209*'Base Hours'!$AA210)</f>
        <v>-</v>
      </c>
      <c r="R210" s="417" t="str">
        <f aca="false">IF($A$1="Peak","-",'Base Hours'!R210*BaseLoad!X209*'Base Hours'!$AA210)</f>
        <v>-</v>
      </c>
      <c r="S210" s="417" t="str">
        <f aca="false">IF($A$1="Peak","-",'Base Hours'!S210*BaseLoad!Y209*'Base Hours'!$AA210)</f>
        <v>-</v>
      </c>
      <c r="T210" s="417" t="str">
        <f aca="false">IF($A$1="Peak","-",'Base Hours'!T210*BaseLoad!Z209*'Base Hours'!$AA210)</f>
        <v>-</v>
      </c>
      <c r="U210" s="417" t="str">
        <f aca="false">IF($A$1="Peak","-",'Base Hours'!U210*BaseLoad!AA209*'Base Hours'!$AA210)</f>
        <v>-</v>
      </c>
      <c r="V210" s="417" t="n">
        <f aca="false">SUM(B210:U210)-(MAX(B210:U210))</f>
        <v>0</v>
      </c>
      <c r="W210" s="417"/>
      <c r="X210" s="417"/>
      <c r="Y210" s="418"/>
      <c r="Z210" s="418" t="n">
        <f aca="false">(BaseLoad!C209*'Base Hours'!V210*'Base Hours'!$AA210)*-1</f>
        <v>-0</v>
      </c>
      <c r="AA210" s="418"/>
      <c r="AB210" s="418" t="n">
        <f aca="false">(BaseLoad!D209*'Base Hours'!V210*'Base Hours'!$AA210)*-1</f>
        <v>-0</v>
      </c>
      <c r="AC210" s="418"/>
      <c r="AD210" s="418" t="n">
        <f aca="false">(BaseLoad!E209*'Base Hours'!V210*'Base Hours'!$AA210)*-1</f>
        <v>-0</v>
      </c>
      <c r="AE210" s="418"/>
      <c r="AF210" s="418" t="n">
        <f aca="false">(BaseLoad!F209*'Base Hours'!V210*'Base Hours'!$AA210)*-1</f>
        <v>-0</v>
      </c>
      <c r="AG210" s="418"/>
    </row>
    <row r="211" customFormat="false" ht="12.75" hidden="false" customHeight="false" outlineLevel="0" collapsed="false">
      <c r="A211" s="400" t="n">
        <f aca="false">A210+30.417</f>
        <v>42653.817</v>
      </c>
      <c r="B211" s="417" t="str">
        <f aca="false">IF($A$1="Peak","-",'Base Hours'!B211*BaseLoad!H210*'Base Hours'!$AA211)</f>
        <v>-</v>
      </c>
      <c r="C211" s="417" t="str">
        <f aca="false">IF($A$1="Peak","-",'Base Hours'!C211*BaseLoad!I210*'Base Hours'!$AA211)</f>
        <v>-</v>
      </c>
      <c r="D211" s="417" t="str">
        <f aca="false">IF($A$1="Peak","-",'Base Hours'!D211*BaseLoad!J210*'Base Hours'!$AA211)</f>
        <v>-</v>
      </c>
      <c r="E211" s="417" t="str">
        <f aca="false">IF($A$1="Peak","-",'Base Hours'!E211*BaseLoad!K210*'Base Hours'!$AA211)</f>
        <v>-</v>
      </c>
      <c r="F211" s="417" t="str">
        <f aca="false">IF($A$1="Peak","-",'Base Hours'!F211*BaseLoad!L210*'Base Hours'!$AA211)</f>
        <v>-</v>
      </c>
      <c r="G211" s="417" t="str">
        <f aca="false">IF($A$1="Peak","-",'Base Hours'!G211*BaseLoad!M210*'Base Hours'!$AA211)</f>
        <v>-</v>
      </c>
      <c r="H211" s="417" t="str">
        <f aca="false">IF($A$1="Peak","-",'Base Hours'!H211*BaseLoad!N210*'Base Hours'!$AA211)</f>
        <v>-</v>
      </c>
      <c r="I211" s="417" t="str">
        <f aca="false">IF($A$1="Peak","-",'Base Hours'!I211*BaseLoad!O210*'Base Hours'!$AA211)</f>
        <v>-</v>
      </c>
      <c r="J211" s="417" t="str">
        <f aca="false">IF($A$1="Peak","-",'Base Hours'!J211*BaseLoad!P210*'Base Hours'!$AA211)</f>
        <v>-</v>
      </c>
      <c r="K211" s="417" t="str">
        <f aca="false">IF($A$1="Peak","-",'Base Hours'!K211*BaseLoad!Q210*'Base Hours'!$AA211)</f>
        <v>-</v>
      </c>
      <c r="L211" s="417" t="str">
        <f aca="false">IF($A$1="Peak","-",'Base Hours'!L211*BaseLoad!R210*'Base Hours'!$AA211)</f>
        <v>-</v>
      </c>
      <c r="M211" s="417" t="str">
        <f aca="false">IF($A$1="Peak","-",'Base Hours'!M211*BaseLoad!S210*'Base Hours'!$AA211)</f>
        <v>-</v>
      </c>
      <c r="N211" s="417" t="str">
        <f aca="false">IF($A$1="Peak","-",'Base Hours'!N211*BaseLoad!T210*'Base Hours'!$AA211)</f>
        <v>-</v>
      </c>
      <c r="O211" s="417" t="str">
        <f aca="false">IF($A$1="Peak","-",'Base Hours'!O211*BaseLoad!U210*'Base Hours'!$AA211)</f>
        <v>-</v>
      </c>
      <c r="P211" s="417" t="str">
        <f aca="false">IF($A$1="Peak","-",'Base Hours'!P211*BaseLoad!V210*'Base Hours'!$AA211)</f>
        <v>-</v>
      </c>
      <c r="Q211" s="417" t="str">
        <f aca="false">IF($A$1="Peak","-",'Base Hours'!Q211*BaseLoad!W210*'Base Hours'!$AA211)</f>
        <v>-</v>
      </c>
      <c r="R211" s="417" t="str">
        <f aca="false">IF($A$1="Peak","-",'Base Hours'!R211*BaseLoad!X210*'Base Hours'!$AA211)</f>
        <v>-</v>
      </c>
      <c r="S211" s="417" t="str">
        <f aca="false">IF($A$1="Peak","-",'Base Hours'!S211*BaseLoad!Y210*'Base Hours'!$AA211)</f>
        <v>-</v>
      </c>
      <c r="T211" s="417" t="str">
        <f aca="false">IF($A$1="Peak","-",'Base Hours'!T211*BaseLoad!Z210*'Base Hours'!$AA211)</f>
        <v>-</v>
      </c>
      <c r="U211" s="417" t="str">
        <f aca="false">IF($A$1="Peak","-",'Base Hours'!U211*BaseLoad!AA210*'Base Hours'!$AA211)</f>
        <v>-</v>
      </c>
      <c r="V211" s="417" t="n">
        <f aca="false">SUM(B211:U211)-(MAX(B211:U211))</f>
        <v>0</v>
      </c>
      <c r="W211" s="417"/>
      <c r="X211" s="417"/>
      <c r="Y211" s="418"/>
      <c r="Z211" s="418" t="n">
        <f aca="false">(BaseLoad!C210*'Base Hours'!V211*'Base Hours'!$AA211)*-1</f>
        <v>-0</v>
      </c>
      <c r="AA211" s="418"/>
      <c r="AB211" s="418" t="n">
        <f aca="false">(BaseLoad!D210*'Base Hours'!V211*'Base Hours'!$AA211)*-1</f>
        <v>-0</v>
      </c>
      <c r="AC211" s="418"/>
      <c r="AD211" s="418" t="n">
        <f aca="false">(BaseLoad!E210*'Base Hours'!V211*'Base Hours'!$AA211)*-1</f>
        <v>-0</v>
      </c>
      <c r="AE211" s="418"/>
      <c r="AF211" s="418" t="n">
        <f aca="false">(BaseLoad!F210*'Base Hours'!V211*'Base Hours'!$AA211)*-1</f>
        <v>-0</v>
      </c>
      <c r="AG211" s="418"/>
    </row>
    <row r="212" customFormat="false" ht="12.75" hidden="false" customHeight="false" outlineLevel="0" collapsed="false">
      <c r="A212" s="400" t="n">
        <f aca="false">A211+30.417</f>
        <v>42684.234</v>
      </c>
      <c r="B212" s="417" t="str">
        <f aca="false">IF($A$1="Peak","-",'Base Hours'!B212*BaseLoad!H211*'Base Hours'!$AA212)</f>
        <v>-</v>
      </c>
      <c r="C212" s="417" t="str">
        <f aca="false">IF($A$1="Peak","-",'Base Hours'!C212*BaseLoad!I211*'Base Hours'!$AA212)</f>
        <v>-</v>
      </c>
      <c r="D212" s="417" t="str">
        <f aca="false">IF($A$1="Peak","-",'Base Hours'!D212*BaseLoad!J211*'Base Hours'!$AA212)</f>
        <v>-</v>
      </c>
      <c r="E212" s="417" t="str">
        <f aca="false">IF($A$1="Peak","-",'Base Hours'!E212*BaseLoad!K211*'Base Hours'!$AA212)</f>
        <v>-</v>
      </c>
      <c r="F212" s="417" t="str">
        <f aca="false">IF($A$1="Peak","-",'Base Hours'!F212*BaseLoad!L211*'Base Hours'!$AA212)</f>
        <v>-</v>
      </c>
      <c r="G212" s="417" t="str">
        <f aca="false">IF($A$1="Peak","-",'Base Hours'!G212*BaseLoad!M211*'Base Hours'!$AA212)</f>
        <v>-</v>
      </c>
      <c r="H212" s="417" t="str">
        <f aca="false">IF($A$1="Peak","-",'Base Hours'!H212*BaseLoad!N211*'Base Hours'!$AA212)</f>
        <v>-</v>
      </c>
      <c r="I212" s="417" t="str">
        <f aca="false">IF($A$1="Peak","-",'Base Hours'!I212*BaseLoad!O211*'Base Hours'!$AA212)</f>
        <v>-</v>
      </c>
      <c r="J212" s="417" t="str">
        <f aca="false">IF($A$1="Peak","-",'Base Hours'!J212*BaseLoad!P211*'Base Hours'!$AA212)</f>
        <v>-</v>
      </c>
      <c r="K212" s="417" t="str">
        <f aca="false">IF($A$1="Peak","-",'Base Hours'!K212*BaseLoad!Q211*'Base Hours'!$AA212)</f>
        <v>-</v>
      </c>
      <c r="L212" s="417" t="str">
        <f aca="false">IF($A$1="Peak","-",'Base Hours'!L212*BaseLoad!R211*'Base Hours'!$AA212)</f>
        <v>-</v>
      </c>
      <c r="M212" s="417" t="str">
        <f aca="false">IF($A$1="Peak","-",'Base Hours'!M212*BaseLoad!S211*'Base Hours'!$AA212)</f>
        <v>-</v>
      </c>
      <c r="N212" s="417" t="str">
        <f aca="false">IF($A$1="Peak","-",'Base Hours'!N212*BaseLoad!T211*'Base Hours'!$AA212)</f>
        <v>-</v>
      </c>
      <c r="O212" s="417" t="str">
        <f aca="false">IF($A$1="Peak","-",'Base Hours'!O212*BaseLoad!U211*'Base Hours'!$AA212)</f>
        <v>-</v>
      </c>
      <c r="P212" s="417" t="str">
        <f aca="false">IF($A$1="Peak","-",'Base Hours'!P212*BaseLoad!V211*'Base Hours'!$AA212)</f>
        <v>-</v>
      </c>
      <c r="Q212" s="417" t="str">
        <f aca="false">IF($A$1="Peak","-",'Base Hours'!Q212*BaseLoad!W211*'Base Hours'!$AA212)</f>
        <v>-</v>
      </c>
      <c r="R212" s="417" t="str">
        <f aca="false">IF($A$1="Peak","-",'Base Hours'!R212*BaseLoad!X211*'Base Hours'!$AA212)</f>
        <v>-</v>
      </c>
      <c r="S212" s="417" t="str">
        <f aca="false">IF($A$1="Peak","-",'Base Hours'!S212*BaseLoad!Y211*'Base Hours'!$AA212)</f>
        <v>-</v>
      </c>
      <c r="T212" s="417" t="str">
        <f aca="false">IF($A$1="Peak","-",'Base Hours'!T212*BaseLoad!Z211*'Base Hours'!$AA212)</f>
        <v>-</v>
      </c>
      <c r="U212" s="417" t="str">
        <f aca="false">IF($A$1="Peak","-",'Base Hours'!U212*BaseLoad!AA211*'Base Hours'!$AA212)</f>
        <v>-</v>
      </c>
      <c r="V212" s="417" t="n">
        <f aca="false">SUM(B212:U212)-(MAX(B212:U212))</f>
        <v>0</v>
      </c>
      <c r="W212" s="417"/>
      <c r="X212" s="417"/>
      <c r="Y212" s="418"/>
      <c r="Z212" s="418" t="n">
        <f aca="false">(BaseLoad!C211*'Base Hours'!V212*'Base Hours'!$AA212)*-1</f>
        <v>-0</v>
      </c>
      <c r="AA212" s="418"/>
      <c r="AB212" s="418" t="n">
        <f aca="false">(BaseLoad!D211*'Base Hours'!V212*'Base Hours'!$AA212)*-1</f>
        <v>-0</v>
      </c>
      <c r="AC212" s="418"/>
      <c r="AD212" s="418" t="n">
        <f aca="false">(BaseLoad!E211*'Base Hours'!V212*'Base Hours'!$AA212)*-1</f>
        <v>-0</v>
      </c>
      <c r="AE212" s="418"/>
      <c r="AF212" s="418" t="n">
        <f aca="false">(BaseLoad!F211*'Base Hours'!V212*'Base Hours'!$AA212)*-1</f>
        <v>-0</v>
      </c>
      <c r="AG212" s="418"/>
    </row>
    <row r="213" customFormat="false" ht="12.75" hidden="false" customHeight="false" outlineLevel="0" collapsed="false">
      <c r="A213" s="400" t="n">
        <f aca="false">A212+30.417</f>
        <v>42714.651</v>
      </c>
      <c r="B213" s="417" t="str">
        <f aca="false">IF($A$1="Peak","-",'Base Hours'!B213*BaseLoad!H212*'Base Hours'!$AA213)</f>
        <v>-</v>
      </c>
      <c r="C213" s="417" t="str">
        <f aca="false">IF($A$1="Peak","-",'Base Hours'!C213*BaseLoad!I212*'Base Hours'!$AA213)</f>
        <v>-</v>
      </c>
      <c r="D213" s="417" t="str">
        <f aca="false">IF($A$1="Peak","-",'Base Hours'!D213*BaseLoad!J212*'Base Hours'!$AA213)</f>
        <v>-</v>
      </c>
      <c r="E213" s="417" t="str">
        <f aca="false">IF($A$1="Peak","-",'Base Hours'!E213*BaseLoad!K212*'Base Hours'!$AA213)</f>
        <v>-</v>
      </c>
      <c r="F213" s="417" t="str">
        <f aca="false">IF($A$1="Peak","-",'Base Hours'!F213*BaseLoad!L212*'Base Hours'!$AA213)</f>
        <v>-</v>
      </c>
      <c r="G213" s="417" t="str">
        <f aca="false">IF($A$1="Peak","-",'Base Hours'!G213*BaseLoad!M212*'Base Hours'!$AA213)</f>
        <v>-</v>
      </c>
      <c r="H213" s="417" t="str">
        <f aca="false">IF($A$1="Peak","-",'Base Hours'!H213*BaseLoad!N212*'Base Hours'!$AA213)</f>
        <v>-</v>
      </c>
      <c r="I213" s="417" t="str">
        <f aca="false">IF($A$1="Peak","-",'Base Hours'!I213*BaseLoad!O212*'Base Hours'!$AA213)</f>
        <v>-</v>
      </c>
      <c r="J213" s="417" t="str">
        <f aca="false">IF($A$1="Peak","-",'Base Hours'!J213*BaseLoad!P212*'Base Hours'!$AA213)</f>
        <v>-</v>
      </c>
      <c r="K213" s="417" t="str">
        <f aca="false">IF($A$1="Peak","-",'Base Hours'!K213*BaseLoad!Q212*'Base Hours'!$AA213)</f>
        <v>-</v>
      </c>
      <c r="L213" s="417" t="str">
        <f aca="false">IF($A$1="Peak","-",'Base Hours'!L213*BaseLoad!R212*'Base Hours'!$AA213)</f>
        <v>-</v>
      </c>
      <c r="M213" s="417" t="str">
        <f aca="false">IF($A$1="Peak","-",'Base Hours'!M213*BaseLoad!S212*'Base Hours'!$AA213)</f>
        <v>-</v>
      </c>
      <c r="N213" s="417" t="str">
        <f aca="false">IF($A$1="Peak","-",'Base Hours'!N213*BaseLoad!T212*'Base Hours'!$AA213)</f>
        <v>-</v>
      </c>
      <c r="O213" s="417" t="str">
        <f aca="false">IF($A$1="Peak","-",'Base Hours'!O213*BaseLoad!U212*'Base Hours'!$AA213)</f>
        <v>-</v>
      </c>
      <c r="P213" s="417" t="str">
        <f aca="false">IF($A$1="Peak","-",'Base Hours'!P213*BaseLoad!V212*'Base Hours'!$AA213)</f>
        <v>-</v>
      </c>
      <c r="Q213" s="417" t="str">
        <f aca="false">IF($A$1="Peak","-",'Base Hours'!Q213*BaseLoad!W212*'Base Hours'!$AA213)</f>
        <v>-</v>
      </c>
      <c r="R213" s="417" t="str">
        <f aca="false">IF($A$1="Peak","-",'Base Hours'!R213*BaseLoad!X212*'Base Hours'!$AA213)</f>
        <v>-</v>
      </c>
      <c r="S213" s="417" t="str">
        <f aca="false">IF($A$1="Peak","-",'Base Hours'!S213*BaseLoad!Y212*'Base Hours'!$AA213)</f>
        <v>-</v>
      </c>
      <c r="T213" s="417" t="str">
        <f aca="false">IF($A$1="Peak","-",'Base Hours'!T213*BaseLoad!Z212*'Base Hours'!$AA213)</f>
        <v>-</v>
      </c>
      <c r="U213" s="417" t="str">
        <f aca="false">IF($A$1="Peak","-",'Base Hours'!U213*BaseLoad!AA212*'Base Hours'!$AA213)</f>
        <v>-</v>
      </c>
      <c r="V213" s="417" t="n">
        <f aca="false">SUM(B213:U213)-(MAX(B213:U213))</f>
        <v>0</v>
      </c>
      <c r="W213" s="417"/>
      <c r="X213" s="417"/>
      <c r="Y213" s="418" t="n">
        <f aca="false">SUM(B202:U213)</f>
        <v>0</v>
      </c>
      <c r="Z213" s="418" t="n">
        <f aca="false">(BaseLoad!C212*'Base Hours'!V213*'Base Hours'!$AA213)*-1</f>
        <v>-0</v>
      </c>
      <c r="AA213" s="418" t="n">
        <f aca="false">SUM(Z202:Z213)</f>
        <v>0</v>
      </c>
      <c r="AB213" s="418" t="n">
        <f aca="false">(BaseLoad!D212*'Base Hours'!V213*'Base Hours'!$AA213)*-1</f>
        <v>-0</v>
      </c>
      <c r="AC213" s="418" t="n">
        <f aca="false">SUM(AB202:AB213)</f>
        <v>0</v>
      </c>
      <c r="AD213" s="418" t="n">
        <f aca="false">(BaseLoad!E212*'Base Hours'!V213*'Base Hours'!$AA213)*-1</f>
        <v>-0</v>
      </c>
      <c r="AE213" s="418" t="n">
        <f aca="false">SUM(AD202:AD213)</f>
        <v>0</v>
      </c>
      <c r="AF213" s="418" t="n">
        <f aca="false">(BaseLoad!F212*'Base Hours'!V213*'Base Hours'!$AA213)*-1</f>
        <v>-0</v>
      </c>
      <c r="AG213" s="418" t="n">
        <f aca="false">SUM(AF202:AF213)</f>
        <v>0</v>
      </c>
    </row>
    <row r="214" customFormat="false" ht="12.75" hidden="false" customHeight="false" outlineLevel="0" collapsed="false">
      <c r="A214" s="400" t="n">
        <f aca="false">A213+30.417</f>
        <v>42745.068</v>
      </c>
      <c r="B214" s="417" t="str">
        <f aca="false">IF($A$1="Peak","-",'Base Hours'!B214*BaseLoad!H213*'Base Hours'!$AA214)</f>
        <v>-</v>
      </c>
      <c r="C214" s="417" t="str">
        <f aca="false">IF($A$1="Peak","-",'Base Hours'!C214*BaseLoad!I213*'Base Hours'!$AA214)</f>
        <v>-</v>
      </c>
      <c r="D214" s="417" t="str">
        <f aca="false">IF($A$1="Peak","-",'Base Hours'!D214*BaseLoad!J213*'Base Hours'!$AA214)</f>
        <v>-</v>
      </c>
      <c r="E214" s="417" t="str">
        <f aca="false">IF($A$1="Peak","-",'Base Hours'!E214*BaseLoad!K213*'Base Hours'!$AA214)</f>
        <v>-</v>
      </c>
      <c r="F214" s="417" t="str">
        <f aca="false">IF($A$1="Peak","-",'Base Hours'!F214*BaseLoad!L213*'Base Hours'!$AA214)</f>
        <v>-</v>
      </c>
      <c r="G214" s="417" t="str">
        <f aca="false">IF($A$1="Peak","-",'Base Hours'!G214*BaseLoad!M213*'Base Hours'!$AA214)</f>
        <v>-</v>
      </c>
      <c r="H214" s="417" t="str">
        <f aca="false">IF($A$1="Peak","-",'Base Hours'!H214*BaseLoad!N213*'Base Hours'!$AA214)</f>
        <v>-</v>
      </c>
      <c r="I214" s="417" t="str">
        <f aca="false">IF($A$1="Peak","-",'Base Hours'!I214*BaseLoad!O213*'Base Hours'!$AA214)</f>
        <v>-</v>
      </c>
      <c r="J214" s="417" t="str">
        <f aca="false">IF($A$1="Peak","-",'Base Hours'!J214*BaseLoad!P213*'Base Hours'!$AA214)</f>
        <v>-</v>
      </c>
      <c r="K214" s="417" t="str">
        <f aca="false">IF($A$1="Peak","-",'Base Hours'!K214*BaseLoad!Q213*'Base Hours'!$AA214)</f>
        <v>-</v>
      </c>
      <c r="L214" s="417" t="str">
        <f aca="false">IF($A$1="Peak","-",'Base Hours'!L214*BaseLoad!R213*'Base Hours'!$AA214)</f>
        <v>-</v>
      </c>
      <c r="M214" s="417" t="str">
        <f aca="false">IF($A$1="Peak","-",'Base Hours'!M214*BaseLoad!S213*'Base Hours'!$AA214)</f>
        <v>-</v>
      </c>
      <c r="N214" s="417" t="str">
        <f aca="false">IF($A$1="Peak","-",'Base Hours'!N214*BaseLoad!T213*'Base Hours'!$AA214)</f>
        <v>-</v>
      </c>
      <c r="O214" s="417" t="str">
        <f aca="false">IF($A$1="Peak","-",'Base Hours'!O214*BaseLoad!U213*'Base Hours'!$AA214)</f>
        <v>-</v>
      </c>
      <c r="P214" s="417" t="str">
        <f aca="false">IF($A$1="Peak","-",'Base Hours'!P214*BaseLoad!V213*'Base Hours'!$AA214)</f>
        <v>-</v>
      </c>
      <c r="Q214" s="417" t="str">
        <f aca="false">IF($A$1="Peak","-",'Base Hours'!Q214*BaseLoad!W213*'Base Hours'!$AA214)</f>
        <v>-</v>
      </c>
      <c r="R214" s="417" t="str">
        <f aca="false">IF($A$1="Peak","-",'Base Hours'!R214*BaseLoad!X213*'Base Hours'!$AA214)</f>
        <v>-</v>
      </c>
      <c r="S214" s="417" t="str">
        <f aca="false">IF($A$1="Peak","-",'Base Hours'!S214*BaseLoad!Y213*'Base Hours'!$AA214)</f>
        <v>-</v>
      </c>
      <c r="T214" s="417" t="str">
        <f aca="false">IF($A$1="Peak","-",'Base Hours'!T214*BaseLoad!Z213*'Base Hours'!$AA214)</f>
        <v>-</v>
      </c>
      <c r="U214" s="417" t="str">
        <f aca="false">IF($A$1="Peak","-",'Base Hours'!U214*BaseLoad!AA213*'Base Hours'!$AA214)</f>
        <v>-</v>
      </c>
      <c r="V214" s="417" t="n">
        <f aca="false">SUM(B214:U214)-(MAX(B214:U214))</f>
        <v>0</v>
      </c>
      <c r="W214" s="417"/>
      <c r="X214" s="417"/>
      <c r="Y214" s="418"/>
      <c r="Z214" s="418" t="n">
        <f aca="false">(BaseLoad!C213*'Base Hours'!V214*'Base Hours'!$AA214)*-1</f>
        <v>-0</v>
      </c>
      <c r="AA214" s="418"/>
      <c r="AB214" s="418" t="n">
        <f aca="false">(BaseLoad!D213*'Base Hours'!V214*'Base Hours'!$AA214)*-1</f>
        <v>-0</v>
      </c>
      <c r="AC214" s="418"/>
      <c r="AD214" s="418" t="n">
        <f aca="false">(BaseLoad!E213*'Base Hours'!V214*'Base Hours'!$AA214)*-1</f>
        <v>-0</v>
      </c>
      <c r="AE214" s="418"/>
      <c r="AF214" s="418" t="n">
        <f aca="false">(BaseLoad!F213*'Base Hours'!V214*'Base Hours'!$AA214)*-1</f>
        <v>-0</v>
      </c>
      <c r="AG214" s="418"/>
    </row>
    <row r="215" customFormat="false" ht="12.75" hidden="false" customHeight="false" outlineLevel="0" collapsed="false">
      <c r="A215" s="400" t="n">
        <f aca="false">A214+30.417</f>
        <v>42775.485</v>
      </c>
      <c r="B215" s="417" t="str">
        <f aca="false">IF($A$1="Peak","-",'Base Hours'!B215*BaseLoad!H214*'Base Hours'!$AA215)</f>
        <v>-</v>
      </c>
      <c r="C215" s="417" t="str">
        <f aca="false">IF($A$1="Peak","-",'Base Hours'!C215*BaseLoad!I214*'Base Hours'!$AA215)</f>
        <v>-</v>
      </c>
      <c r="D215" s="417" t="str">
        <f aca="false">IF($A$1="Peak","-",'Base Hours'!D215*BaseLoad!J214*'Base Hours'!$AA215)</f>
        <v>-</v>
      </c>
      <c r="E215" s="417" t="str">
        <f aca="false">IF($A$1="Peak","-",'Base Hours'!E215*BaseLoad!K214*'Base Hours'!$AA215)</f>
        <v>-</v>
      </c>
      <c r="F215" s="417" t="str">
        <f aca="false">IF($A$1="Peak","-",'Base Hours'!F215*BaseLoad!L214*'Base Hours'!$AA215)</f>
        <v>-</v>
      </c>
      <c r="G215" s="417" t="str">
        <f aca="false">IF($A$1="Peak","-",'Base Hours'!G215*BaseLoad!M214*'Base Hours'!$AA215)</f>
        <v>-</v>
      </c>
      <c r="H215" s="417" t="str">
        <f aca="false">IF($A$1="Peak","-",'Base Hours'!H215*BaseLoad!N214*'Base Hours'!$AA215)</f>
        <v>-</v>
      </c>
      <c r="I215" s="417" t="str">
        <f aca="false">IF($A$1="Peak","-",'Base Hours'!I215*BaseLoad!O214*'Base Hours'!$AA215)</f>
        <v>-</v>
      </c>
      <c r="J215" s="417" t="str">
        <f aca="false">IF($A$1="Peak","-",'Base Hours'!J215*BaseLoad!P214*'Base Hours'!$AA215)</f>
        <v>-</v>
      </c>
      <c r="K215" s="417" t="str">
        <f aca="false">IF($A$1="Peak","-",'Base Hours'!K215*BaseLoad!Q214*'Base Hours'!$AA215)</f>
        <v>-</v>
      </c>
      <c r="L215" s="417" t="str">
        <f aca="false">IF($A$1="Peak","-",'Base Hours'!L215*BaseLoad!R214*'Base Hours'!$AA215)</f>
        <v>-</v>
      </c>
      <c r="M215" s="417" t="str">
        <f aca="false">IF($A$1="Peak","-",'Base Hours'!M215*BaseLoad!S214*'Base Hours'!$AA215)</f>
        <v>-</v>
      </c>
      <c r="N215" s="417" t="str">
        <f aca="false">IF($A$1="Peak","-",'Base Hours'!N215*BaseLoad!T214*'Base Hours'!$AA215)</f>
        <v>-</v>
      </c>
      <c r="O215" s="417" t="str">
        <f aca="false">IF($A$1="Peak","-",'Base Hours'!O215*BaseLoad!U214*'Base Hours'!$AA215)</f>
        <v>-</v>
      </c>
      <c r="P215" s="417" t="str">
        <f aca="false">IF($A$1="Peak","-",'Base Hours'!P215*BaseLoad!V214*'Base Hours'!$AA215)</f>
        <v>-</v>
      </c>
      <c r="Q215" s="417" t="str">
        <f aca="false">IF($A$1="Peak","-",'Base Hours'!Q215*BaseLoad!W214*'Base Hours'!$AA215)</f>
        <v>-</v>
      </c>
      <c r="R215" s="417" t="str">
        <f aca="false">IF($A$1="Peak","-",'Base Hours'!R215*BaseLoad!X214*'Base Hours'!$AA215)</f>
        <v>-</v>
      </c>
      <c r="S215" s="417" t="str">
        <f aca="false">IF($A$1="Peak","-",'Base Hours'!S215*BaseLoad!Y214*'Base Hours'!$AA215)</f>
        <v>-</v>
      </c>
      <c r="T215" s="417" t="str">
        <f aca="false">IF($A$1="Peak","-",'Base Hours'!T215*BaseLoad!Z214*'Base Hours'!$AA215)</f>
        <v>-</v>
      </c>
      <c r="U215" s="417" t="str">
        <f aca="false">IF($A$1="Peak","-",'Base Hours'!U215*BaseLoad!AA214*'Base Hours'!$AA215)</f>
        <v>-</v>
      </c>
      <c r="V215" s="417" t="n">
        <f aca="false">SUM(B215:U215)-(MAX(B215:U215))</f>
        <v>0</v>
      </c>
      <c r="W215" s="417"/>
      <c r="X215" s="417"/>
      <c r="Y215" s="418"/>
      <c r="Z215" s="418" t="n">
        <f aca="false">(BaseLoad!C214*'Base Hours'!V215*'Base Hours'!$AA215)*-1</f>
        <v>-0</v>
      </c>
      <c r="AA215" s="418"/>
      <c r="AB215" s="418" t="n">
        <f aca="false">(BaseLoad!D214*'Base Hours'!V215*'Base Hours'!$AA215)*-1</f>
        <v>-0</v>
      </c>
      <c r="AC215" s="418"/>
      <c r="AD215" s="418" t="n">
        <f aca="false">(BaseLoad!E214*'Base Hours'!V215*'Base Hours'!$AA215)*-1</f>
        <v>-0</v>
      </c>
      <c r="AE215" s="418"/>
      <c r="AF215" s="418" t="n">
        <f aca="false">(BaseLoad!F214*'Base Hours'!V215*'Base Hours'!$AA215)*-1</f>
        <v>-0</v>
      </c>
      <c r="AG215" s="418"/>
    </row>
    <row r="216" customFormat="false" ht="12.75" hidden="false" customHeight="false" outlineLevel="0" collapsed="false">
      <c r="A216" s="400" t="n">
        <f aca="false">A215+30.417</f>
        <v>42805.902</v>
      </c>
      <c r="B216" s="417" t="str">
        <f aca="false">IF($A$1="Peak","-",'Base Hours'!B216*BaseLoad!H215*'Base Hours'!$AA216)</f>
        <v>-</v>
      </c>
      <c r="C216" s="417" t="str">
        <f aca="false">IF($A$1="Peak","-",'Base Hours'!C216*BaseLoad!I215*'Base Hours'!$AA216)</f>
        <v>-</v>
      </c>
      <c r="D216" s="417" t="str">
        <f aca="false">IF($A$1="Peak","-",'Base Hours'!D216*BaseLoad!J215*'Base Hours'!$AA216)</f>
        <v>-</v>
      </c>
      <c r="E216" s="417" t="str">
        <f aca="false">IF($A$1="Peak","-",'Base Hours'!E216*BaseLoad!K215*'Base Hours'!$AA216)</f>
        <v>-</v>
      </c>
      <c r="F216" s="417" t="str">
        <f aca="false">IF($A$1="Peak","-",'Base Hours'!F216*BaseLoad!L215*'Base Hours'!$AA216)</f>
        <v>-</v>
      </c>
      <c r="G216" s="417" t="str">
        <f aca="false">IF($A$1="Peak","-",'Base Hours'!G216*BaseLoad!M215*'Base Hours'!$AA216)</f>
        <v>-</v>
      </c>
      <c r="H216" s="417" t="str">
        <f aca="false">IF($A$1="Peak","-",'Base Hours'!H216*BaseLoad!N215*'Base Hours'!$AA216)</f>
        <v>-</v>
      </c>
      <c r="I216" s="417" t="str">
        <f aca="false">IF($A$1="Peak","-",'Base Hours'!I216*BaseLoad!O215*'Base Hours'!$AA216)</f>
        <v>-</v>
      </c>
      <c r="J216" s="417" t="str">
        <f aca="false">IF($A$1="Peak","-",'Base Hours'!J216*BaseLoad!P215*'Base Hours'!$AA216)</f>
        <v>-</v>
      </c>
      <c r="K216" s="417" t="str">
        <f aca="false">IF($A$1="Peak","-",'Base Hours'!K216*BaseLoad!Q215*'Base Hours'!$AA216)</f>
        <v>-</v>
      </c>
      <c r="L216" s="417" t="str">
        <f aca="false">IF($A$1="Peak","-",'Base Hours'!L216*BaseLoad!R215*'Base Hours'!$AA216)</f>
        <v>-</v>
      </c>
      <c r="M216" s="417" t="str">
        <f aca="false">IF($A$1="Peak","-",'Base Hours'!M216*BaseLoad!S215*'Base Hours'!$AA216)</f>
        <v>-</v>
      </c>
      <c r="N216" s="417" t="str">
        <f aca="false">IF($A$1="Peak","-",'Base Hours'!N216*BaseLoad!T215*'Base Hours'!$AA216)</f>
        <v>-</v>
      </c>
      <c r="O216" s="417" t="str">
        <f aca="false">IF($A$1="Peak","-",'Base Hours'!O216*BaseLoad!U215*'Base Hours'!$AA216)</f>
        <v>-</v>
      </c>
      <c r="P216" s="417" t="str">
        <f aca="false">IF($A$1="Peak","-",'Base Hours'!P216*BaseLoad!V215*'Base Hours'!$AA216)</f>
        <v>-</v>
      </c>
      <c r="Q216" s="417" t="str">
        <f aca="false">IF($A$1="Peak","-",'Base Hours'!Q216*BaseLoad!W215*'Base Hours'!$AA216)</f>
        <v>-</v>
      </c>
      <c r="R216" s="417" t="str">
        <f aca="false">IF($A$1="Peak","-",'Base Hours'!R216*BaseLoad!X215*'Base Hours'!$AA216)</f>
        <v>-</v>
      </c>
      <c r="S216" s="417" t="str">
        <f aca="false">IF($A$1="Peak","-",'Base Hours'!S216*BaseLoad!Y215*'Base Hours'!$AA216)</f>
        <v>-</v>
      </c>
      <c r="T216" s="417" t="str">
        <f aca="false">IF($A$1="Peak","-",'Base Hours'!T216*BaseLoad!Z215*'Base Hours'!$AA216)</f>
        <v>-</v>
      </c>
      <c r="U216" s="417" t="str">
        <f aca="false">IF($A$1="Peak","-",'Base Hours'!U216*BaseLoad!AA215*'Base Hours'!$AA216)</f>
        <v>-</v>
      </c>
      <c r="V216" s="417" t="n">
        <f aca="false">SUM(B216:U216)-(MAX(B216:U216))</f>
        <v>0</v>
      </c>
      <c r="W216" s="417"/>
      <c r="X216" s="417"/>
      <c r="Y216" s="418"/>
      <c r="Z216" s="418" t="n">
        <f aca="false">(BaseLoad!C215*'Base Hours'!V216*'Base Hours'!$AA216)*-1</f>
        <v>-0</v>
      </c>
      <c r="AA216" s="418"/>
      <c r="AB216" s="418" t="n">
        <f aca="false">(BaseLoad!D215*'Base Hours'!V216*'Base Hours'!$AA216)*-1</f>
        <v>-0</v>
      </c>
      <c r="AC216" s="418"/>
      <c r="AD216" s="418" t="n">
        <f aca="false">(BaseLoad!E215*'Base Hours'!V216*'Base Hours'!$AA216)*-1</f>
        <v>-0</v>
      </c>
      <c r="AE216" s="418"/>
      <c r="AF216" s="418" t="n">
        <f aca="false">(BaseLoad!F215*'Base Hours'!V216*'Base Hours'!$AA216)*-1</f>
        <v>-0</v>
      </c>
      <c r="AG216" s="418"/>
    </row>
    <row r="217" customFormat="false" ht="12.75" hidden="false" customHeight="false" outlineLevel="0" collapsed="false">
      <c r="A217" s="400" t="n">
        <f aca="false">A216+30.417</f>
        <v>42836.319</v>
      </c>
      <c r="B217" s="417" t="str">
        <f aca="false">IF($A$1="Peak","-",'Base Hours'!B217*BaseLoad!H216*'Base Hours'!$AA217)</f>
        <v>-</v>
      </c>
      <c r="C217" s="417" t="str">
        <f aca="false">IF($A$1="Peak","-",'Base Hours'!C217*BaseLoad!I216*'Base Hours'!$AA217)</f>
        <v>-</v>
      </c>
      <c r="D217" s="417" t="str">
        <f aca="false">IF($A$1="Peak","-",'Base Hours'!D217*BaseLoad!J216*'Base Hours'!$AA217)</f>
        <v>-</v>
      </c>
      <c r="E217" s="417" t="str">
        <f aca="false">IF($A$1="Peak","-",'Base Hours'!E217*BaseLoad!K216*'Base Hours'!$AA217)</f>
        <v>-</v>
      </c>
      <c r="F217" s="417" t="str">
        <f aca="false">IF($A$1="Peak","-",'Base Hours'!F217*BaseLoad!L216*'Base Hours'!$AA217)</f>
        <v>-</v>
      </c>
      <c r="G217" s="417" t="str">
        <f aca="false">IF($A$1="Peak","-",'Base Hours'!G217*BaseLoad!M216*'Base Hours'!$AA217)</f>
        <v>-</v>
      </c>
      <c r="H217" s="417" t="str">
        <f aca="false">IF($A$1="Peak","-",'Base Hours'!H217*BaseLoad!N216*'Base Hours'!$AA217)</f>
        <v>-</v>
      </c>
      <c r="I217" s="417" t="str">
        <f aca="false">IF($A$1="Peak","-",'Base Hours'!I217*BaseLoad!O216*'Base Hours'!$AA217)</f>
        <v>-</v>
      </c>
      <c r="J217" s="417" t="str">
        <f aca="false">IF($A$1="Peak","-",'Base Hours'!J217*BaseLoad!P216*'Base Hours'!$AA217)</f>
        <v>-</v>
      </c>
      <c r="K217" s="417" t="str">
        <f aca="false">IF($A$1="Peak","-",'Base Hours'!K217*BaseLoad!Q216*'Base Hours'!$AA217)</f>
        <v>-</v>
      </c>
      <c r="L217" s="417" t="str">
        <f aca="false">IF($A$1="Peak","-",'Base Hours'!L217*BaseLoad!R216*'Base Hours'!$AA217)</f>
        <v>-</v>
      </c>
      <c r="M217" s="417" t="str">
        <f aca="false">IF($A$1="Peak","-",'Base Hours'!M217*BaseLoad!S216*'Base Hours'!$AA217)</f>
        <v>-</v>
      </c>
      <c r="N217" s="417" t="str">
        <f aca="false">IF($A$1="Peak","-",'Base Hours'!N217*BaseLoad!T216*'Base Hours'!$AA217)</f>
        <v>-</v>
      </c>
      <c r="O217" s="417" t="str">
        <f aca="false">IF($A$1="Peak","-",'Base Hours'!O217*BaseLoad!U216*'Base Hours'!$AA217)</f>
        <v>-</v>
      </c>
      <c r="P217" s="417" t="str">
        <f aca="false">IF($A$1="Peak","-",'Base Hours'!P217*BaseLoad!V216*'Base Hours'!$AA217)</f>
        <v>-</v>
      </c>
      <c r="Q217" s="417" t="str">
        <f aca="false">IF($A$1="Peak","-",'Base Hours'!Q217*BaseLoad!W216*'Base Hours'!$AA217)</f>
        <v>-</v>
      </c>
      <c r="R217" s="417" t="str">
        <f aca="false">IF($A$1="Peak","-",'Base Hours'!R217*BaseLoad!X216*'Base Hours'!$AA217)</f>
        <v>-</v>
      </c>
      <c r="S217" s="417" t="str">
        <f aca="false">IF($A$1="Peak","-",'Base Hours'!S217*BaseLoad!Y216*'Base Hours'!$AA217)</f>
        <v>-</v>
      </c>
      <c r="T217" s="417" t="str">
        <f aca="false">IF($A$1="Peak","-",'Base Hours'!T217*BaseLoad!Z216*'Base Hours'!$AA217)</f>
        <v>-</v>
      </c>
      <c r="U217" s="417" t="str">
        <f aca="false">IF($A$1="Peak","-",'Base Hours'!U217*BaseLoad!AA216*'Base Hours'!$AA217)</f>
        <v>-</v>
      </c>
      <c r="V217" s="417" t="n">
        <f aca="false">SUM(B217:U217)-(MAX(B217:U217))</f>
        <v>0</v>
      </c>
      <c r="W217" s="417"/>
      <c r="X217" s="417"/>
      <c r="Y217" s="418"/>
      <c r="Z217" s="418" t="n">
        <f aca="false">(BaseLoad!C216*'Base Hours'!V217*'Base Hours'!$AA217)*-1</f>
        <v>-0</v>
      </c>
      <c r="AA217" s="418"/>
      <c r="AB217" s="418" t="n">
        <f aca="false">(BaseLoad!D216*'Base Hours'!V217*'Base Hours'!$AA217)*-1</f>
        <v>-0</v>
      </c>
      <c r="AC217" s="418"/>
      <c r="AD217" s="418" t="n">
        <f aca="false">(BaseLoad!E216*'Base Hours'!V217*'Base Hours'!$AA217)*-1</f>
        <v>-0</v>
      </c>
      <c r="AE217" s="418"/>
      <c r="AF217" s="418" t="n">
        <f aca="false">(BaseLoad!F216*'Base Hours'!V217*'Base Hours'!$AA217)*-1</f>
        <v>-0</v>
      </c>
      <c r="AG217" s="418"/>
    </row>
    <row r="218" customFormat="false" ht="12.75" hidden="false" customHeight="false" outlineLevel="0" collapsed="false">
      <c r="A218" s="400" t="n">
        <f aca="false">A217+30.417</f>
        <v>42866.736</v>
      </c>
      <c r="B218" s="417" t="str">
        <f aca="false">IF($A$1="Peak","-",'Base Hours'!B218*BaseLoad!H217*'Base Hours'!$AA218)</f>
        <v>-</v>
      </c>
      <c r="C218" s="417" t="str">
        <f aca="false">IF($A$1="Peak","-",'Base Hours'!C218*BaseLoad!I217*'Base Hours'!$AA218)</f>
        <v>-</v>
      </c>
      <c r="D218" s="417" t="str">
        <f aca="false">IF($A$1="Peak","-",'Base Hours'!D218*BaseLoad!J217*'Base Hours'!$AA218)</f>
        <v>-</v>
      </c>
      <c r="E218" s="417" t="str">
        <f aca="false">IF($A$1="Peak","-",'Base Hours'!E218*BaseLoad!K217*'Base Hours'!$AA218)</f>
        <v>-</v>
      </c>
      <c r="F218" s="417" t="str">
        <f aca="false">IF($A$1="Peak","-",'Base Hours'!F218*BaseLoad!L217*'Base Hours'!$AA218)</f>
        <v>-</v>
      </c>
      <c r="G218" s="417" t="str">
        <f aca="false">IF($A$1="Peak","-",'Base Hours'!G218*BaseLoad!M217*'Base Hours'!$AA218)</f>
        <v>-</v>
      </c>
      <c r="H218" s="417" t="str">
        <f aca="false">IF($A$1="Peak","-",'Base Hours'!H218*BaseLoad!N217*'Base Hours'!$AA218)</f>
        <v>-</v>
      </c>
      <c r="I218" s="417" t="str">
        <f aca="false">IF($A$1="Peak","-",'Base Hours'!I218*BaseLoad!O217*'Base Hours'!$AA218)</f>
        <v>-</v>
      </c>
      <c r="J218" s="417" t="str">
        <f aca="false">IF($A$1="Peak","-",'Base Hours'!J218*BaseLoad!P217*'Base Hours'!$AA218)</f>
        <v>-</v>
      </c>
      <c r="K218" s="417" t="str">
        <f aca="false">IF($A$1="Peak","-",'Base Hours'!K218*BaseLoad!Q217*'Base Hours'!$AA218)</f>
        <v>-</v>
      </c>
      <c r="L218" s="417" t="str">
        <f aca="false">IF($A$1="Peak","-",'Base Hours'!L218*BaseLoad!R217*'Base Hours'!$AA218)</f>
        <v>-</v>
      </c>
      <c r="M218" s="417" t="str">
        <f aca="false">IF($A$1="Peak","-",'Base Hours'!M218*BaseLoad!S217*'Base Hours'!$AA218)</f>
        <v>-</v>
      </c>
      <c r="N218" s="417" t="str">
        <f aca="false">IF($A$1="Peak","-",'Base Hours'!N218*BaseLoad!T217*'Base Hours'!$AA218)</f>
        <v>-</v>
      </c>
      <c r="O218" s="417" t="str">
        <f aca="false">IF($A$1="Peak","-",'Base Hours'!O218*BaseLoad!U217*'Base Hours'!$AA218)</f>
        <v>-</v>
      </c>
      <c r="P218" s="417" t="str">
        <f aca="false">IF($A$1="Peak","-",'Base Hours'!P218*BaseLoad!V217*'Base Hours'!$AA218)</f>
        <v>-</v>
      </c>
      <c r="Q218" s="417" t="str">
        <f aca="false">IF($A$1="Peak","-",'Base Hours'!Q218*BaseLoad!W217*'Base Hours'!$AA218)</f>
        <v>-</v>
      </c>
      <c r="R218" s="417" t="str">
        <f aca="false">IF($A$1="Peak","-",'Base Hours'!R218*BaseLoad!X217*'Base Hours'!$AA218)</f>
        <v>-</v>
      </c>
      <c r="S218" s="417" t="str">
        <f aca="false">IF($A$1="Peak","-",'Base Hours'!S218*BaseLoad!Y217*'Base Hours'!$AA218)</f>
        <v>-</v>
      </c>
      <c r="T218" s="417" t="str">
        <f aca="false">IF($A$1="Peak","-",'Base Hours'!T218*BaseLoad!Z217*'Base Hours'!$AA218)</f>
        <v>-</v>
      </c>
      <c r="U218" s="417" t="str">
        <f aca="false">IF($A$1="Peak","-",'Base Hours'!U218*BaseLoad!AA217*'Base Hours'!$AA218)</f>
        <v>-</v>
      </c>
      <c r="V218" s="417" t="n">
        <f aca="false">SUM(B218:U218)-(MAX(B218:U218))</f>
        <v>0</v>
      </c>
      <c r="W218" s="417"/>
      <c r="X218" s="417"/>
      <c r="Y218" s="418"/>
      <c r="Z218" s="418" t="n">
        <f aca="false">(BaseLoad!C217*'Base Hours'!V218*'Base Hours'!$AA218)*-1</f>
        <v>-0</v>
      </c>
      <c r="AA218" s="418"/>
      <c r="AB218" s="418" t="n">
        <f aca="false">(BaseLoad!D217*'Base Hours'!V218*'Base Hours'!$AA218)*-1</f>
        <v>-0</v>
      </c>
      <c r="AC218" s="418"/>
      <c r="AD218" s="418" t="n">
        <f aca="false">(BaseLoad!E217*'Base Hours'!V218*'Base Hours'!$AA218)*-1</f>
        <v>-0</v>
      </c>
      <c r="AE218" s="418"/>
      <c r="AF218" s="418" t="n">
        <f aca="false">(BaseLoad!F217*'Base Hours'!V218*'Base Hours'!$AA218)*-1</f>
        <v>-0</v>
      </c>
      <c r="AG218" s="418"/>
    </row>
    <row r="219" customFormat="false" ht="12.75" hidden="false" customHeight="false" outlineLevel="0" collapsed="false">
      <c r="A219" s="400" t="n">
        <f aca="false">A218+30.417</f>
        <v>42897.153</v>
      </c>
      <c r="B219" s="417" t="str">
        <f aca="false">IF($A$1="Peak","-",'Base Hours'!B219*BaseLoad!H218*'Base Hours'!$AA219)</f>
        <v>-</v>
      </c>
      <c r="C219" s="417" t="str">
        <f aca="false">IF($A$1="Peak","-",'Base Hours'!C219*BaseLoad!I218*'Base Hours'!$AA219)</f>
        <v>-</v>
      </c>
      <c r="D219" s="417" t="str">
        <f aca="false">IF($A$1="Peak","-",'Base Hours'!D219*BaseLoad!J218*'Base Hours'!$AA219)</f>
        <v>-</v>
      </c>
      <c r="E219" s="417" t="str">
        <f aca="false">IF($A$1="Peak","-",'Base Hours'!E219*BaseLoad!K218*'Base Hours'!$AA219)</f>
        <v>-</v>
      </c>
      <c r="F219" s="417" t="str">
        <f aca="false">IF($A$1="Peak","-",'Base Hours'!F219*BaseLoad!L218*'Base Hours'!$AA219)</f>
        <v>-</v>
      </c>
      <c r="G219" s="417" t="str">
        <f aca="false">IF($A$1="Peak","-",'Base Hours'!G219*BaseLoad!M218*'Base Hours'!$AA219)</f>
        <v>-</v>
      </c>
      <c r="H219" s="417" t="str">
        <f aca="false">IF($A$1="Peak","-",'Base Hours'!H219*BaseLoad!N218*'Base Hours'!$AA219)</f>
        <v>-</v>
      </c>
      <c r="I219" s="417" t="str">
        <f aca="false">IF($A$1="Peak","-",'Base Hours'!I219*BaseLoad!O218*'Base Hours'!$AA219)</f>
        <v>-</v>
      </c>
      <c r="J219" s="417" t="str">
        <f aca="false">IF($A$1="Peak","-",'Base Hours'!J219*BaseLoad!P218*'Base Hours'!$AA219)</f>
        <v>-</v>
      </c>
      <c r="K219" s="417" t="str">
        <f aca="false">IF($A$1="Peak","-",'Base Hours'!K219*BaseLoad!Q218*'Base Hours'!$AA219)</f>
        <v>-</v>
      </c>
      <c r="L219" s="417" t="str">
        <f aca="false">IF($A$1="Peak","-",'Base Hours'!L219*BaseLoad!R218*'Base Hours'!$AA219)</f>
        <v>-</v>
      </c>
      <c r="M219" s="417" t="str">
        <f aca="false">IF($A$1="Peak","-",'Base Hours'!M219*BaseLoad!S218*'Base Hours'!$AA219)</f>
        <v>-</v>
      </c>
      <c r="N219" s="417" t="str">
        <f aca="false">IF($A$1="Peak","-",'Base Hours'!N219*BaseLoad!T218*'Base Hours'!$AA219)</f>
        <v>-</v>
      </c>
      <c r="O219" s="417" t="str">
        <f aca="false">IF($A$1="Peak","-",'Base Hours'!O219*BaseLoad!U218*'Base Hours'!$AA219)</f>
        <v>-</v>
      </c>
      <c r="P219" s="417" t="str">
        <f aca="false">IF($A$1="Peak","-",'Base Hours'!P219*BaseLoad!V218*'Base Hours'!$AA219)</f>
        <v>-</v>
      </c>
      <c r="Q219" s="417" t="str">
        <f aca="false">IF($A$1="Peak","-",'Base Hours'!Q219*BaseLoad!W218*'Base Hours'!$AA219)</f>
        <v>-</v>
      </c>
      <c r="R219" s="417" t="str">
        <f aca="false">IF($A$1="Peak","-",'Base Hours'!R219*BaseLoad!X218*'Base Hours'!$AA219)</f>
        <v>-</v>
      </c>
      <c r="S219" s="417" t="str">
        <f aca="false">IF($A$1="Peak","-",'Base Hours'!S219*BaseLoad!Y218*'Base Hours'!$AA219)</f>
        <v>-</v>
      </c>
      <c r="T219" s="417" t="str">
        <f aca="false">IF($A$1="Peak","-",'Base Hours'!T219*BaseLoad!Z218*'Base Hours'!$AA219)</f>
        <v>-</v>
      </c>
      <c r="U219" s="417" t="str">
        <f aca="false">IF($A$1="Peak","-",'Base Hours'!U219*BaseLoad!AA218*'Base Hours'!$AA219)</f>
        <v>-</v>
      </c>
      <c r="V219" s="417" t="n">
        <f aca="false">SUM(B219:U219)-(MAX(B219:U219))</f>
        <v>0</v>
      </c>
      <c r="W219" s="417"/>
      <c r="X219" s="417"/>
      <c r="Y219" s="418"/>
      <c r="Z219" s="418" t="n">
        <f aca="false">(BaseLoad!C218*'Base Hours'!V219*'Base Hours'!$AA219)*-1</f>
        <v>-0</v>
      </c>
      <c r="AA219" s="418"/>
      <c r="AB219" s="418" t="n">
        <f aca="false">(BaseLoad!D218*'Base Hours'!V219*'Base Hours'!$AA219)*-1</f>
        <v>-0</v>
      </c>
      <c r="AC219" s="418"/>
      <c r="AD219" s="418" t="n">
        <f aca="false">(BaseLoad!E218*'Base Hours'!V219*'Base Hours'!$AA219)*-1</f>
        <v>-0</v>
      </c>
      <c r="AE219" s="418"/>
      <c r="AF219" s="418" t="n">
        <f aca="false">(BaseLoad!F218*'Base Hours'!V219*'Base Hours'!$AA219)*-1</f>
        <v>-0</v>
      </c>
      <c r="AG219" s="418"/>
    </row>
    <row r="220" customFormat="false" ht="12.75" hidden="false" customHeight="false" outlineLevel="0" collapsed="false">
      <c r="A220" s="400" t="n">
        <f aca="false">A219+30.417</f>
        <v>42927.57</v>
      </c>
      <c r="B220" s="417" t="str">
        <f aca="false">IF($A$1="Peak","-",'Base Hours'!B220*BaseLoad!H219*'Base Hours'!$AA220)</f>
        <v>-</v>
      </c>
      <c r="C220" s="417" t="str">
        <f aca="false">IF($A$1="Peak","-",'Base Hours'!C220*BaseLoad!I219*'Base Hours'!$AA220)</f>
        <v>-</v>
      </c>
      <c r="D220" s="417" t="str">
        <f aca="false">IF($A$1="Peak","-",'Base Hours'!D220*BaseLoad!J219*'Base Hours'!$AA220)</f>
        <v>-</v>
      </c>
      <c r="E220" s="417" t="str">
        <f aca="false">IF($A$1="Peak","-",'Base Hours'!E220*BaseLoad!K219*'Base Hours'!$AA220)</f>
        <v>-</v>
      </c>
      <c r="F220" s="417" t="str">
        <f aca="false">IF($A$1="Peak","-",'Base Hours'!F220*BaseLoad!L219*'Base Hours'!$AA220)</f>
        <v>-</v>
      </c>
      <c r="G220" s="417" t="str">
        <f aca="false">IF($A$1="Peak","-",'Base Hours'!G220*BaseLoad!M219*'Base Hours'!$AA220)</f>
        <v>-</v>
      </c>
      <c r="H220" s="417" t="str">
        <f aca="false">IF($A$1="Peak","-",'Base Hours'!H220*BaseLoad!N219*'Base Hours'!$AA220)</f>
        <v>-</v>
      </c>
      <c r="I220" s="417" t="str">
        <f aca="false">IF($A$1="Peak","-",'Base Hours'!I220*BaseLoad!O219*'Base Hours'!$AA220)</f>
        <v>-</v>
      </c>
      <c r="J220" s="417" t="str">
        <f aca="false">IF($A$1="Peak","-",'Base Hours'!J220*BaseLoad!P219*'Base Hours'!$AA220)</f>
        <v>-</v>
      </c>
      <c r="K220" s="417" t="str">
        <f aca="false">IF($A$1="Peak","-",'Base Hours'!K220*BaseLoad!Q219*'Base Hours'!$AA220)</f>
        <v>-</v>
      </c>
      <c r="L220" s="417" t="str">
        <f aca="false">IF($A$1="Peak","-",'Base Hours'!L220*BaseLoad!R219*'Base Hours'!$AA220)</f>
        <v>-</v>
      </c>
      <c r="M220" s="417" t="str">
        <f aca="false">IF($A$1="Peak","-",'Base Hours'!M220*BaseLoad!S219*'Base Hours'!$AA220)</f>
        <v>-</v>
      </c>
      <c r="N220" s="417" t="str">
        <f aca="false">IF($A$1="Peak","-",'Base Hours'!N220*BaseLoad!T219*'Base Hours'!$AA220)</f>
        <v>-</v>
      </c>
      <c r="O220" s="417" t="str">
        <f aca="false">IF($A$1="Peak","-",'Base Hours'!O220*BaseLoad!U219*'Base Hours'!$AA220)</f>
        <v>-</v>
      </c>
      <c r="P220" s="417" t="str">
        <f aca="false">IF($A$1="Peak","-",'Base Hours'!P220*BaseLoad!V219*'Base Hours'!$AA220)</f>
        <v>-</v>
      </c>
      <c r="Q220" s="417" t="str">
        <f aca="false">IF($A$1="Peak","-",'Base Hours'!Q220*BaseLoad!W219*'Base Hours'!$AA220)</f>
        <v>-</v>
      </c>
      <c r="R220" s="417" t="str">
        <f aca="false">IF($A$1="Peak","-",'Base Hours'!R220*BaseLoad!X219*'Base Hours'!$AA220)</f>
        <v>-</v>
      </c>
      <c r="S220" s="417" t="str">
        <f aca="false">IF($A$1="Peak","-",'Base Hours'!S220*BaseLoad!Y219*'Base Hours'!$AA220)</f>
        <v>-</v>
      </c>
      <c r="T220" s="417" t="str">
        <f aca="false">IF($A$1="Peak","-",'Base Hours'!T220*BaseLoad!Z219*'Base Hours'!$AA220)</f>
        <v>-</v>
      </c>
      <c r="U220" s="417" t="str">
        <f aca="false">IF($A$1="Peak","-",'Base Hours'!U220*BaseLoad!AA219*'Base Hours'!$AA220)</f>
        <v>-</v>
      </c>
      <c r="V220" s="417" t="n">
        <f aca="false">SUM(B220:U220)-(MAX(B220:U220))</f>
        <v>0</v>
      </c>
      <c r="W220" s="417"/>
      <c r="X220" s="417"/>
      <c r="Y220" s="418"/>
      <c r="Z220" s="418" t="n">
        <f aca="false">(BaseLoad!C219*'Base Hours'!V220*'Base Hours'!$AA220)*-1</f>
        <v>-0</v>
      </c>
      <c r="AA220" s="418"/>
      <c r="AB220" s="418" t="n">
        <f aca="false">(BaseLoad!D219*'Base Hours'!V220*'Base Hours'!$AA220)*-1</f>
        <v>-0</v>
      </c>
      <c r="AC220" s="418"/>
      <c r="AD220" s="418" t="n">
        <f aca="false">(BaseLoad!E219*'Base Hours'!V220*'Base Hours'!$AA220)*-1</f>
        <v>-0</v>
      </c>
      <c r="AE220" s="418"/>
      <c r="AF220" s="418" t="n">
        <f aca="false">(BaseLoad!F219*'Base Hours'!V220*'Base Hours'!$AA220)*-1</f>
        <v>-0</v>
      </c>
      <c r="AG220" s="418"/>
    </row>
    <row r="221" customFormat="false" ht="12.75" hidden="false" customHeight="false" outlineLevel="0" collapsed="false">
      <c r="A221" s="400" t="n">
        <f aca="false">A220+30.417</f>
        <v>42957.987</v>
      </c>
      <c r="B221" s="417" t="str">
        <f aca="false">IF($A$1="Peak","-",'Base Hours'!B221*BaseLoad!H220*'Base Hours'!$AA221)</f>
        <v>-</v>
      </c>
      <c r="C221" s="417" t="str">
        <f aca="false">IF($A$1="Peak","-",'Base Hours'!C221*BaseLoad!I220*'Base Hours'!$AA221)</f>
        <v>-</v>
      </c>
      <c r="D221" s="417" t="str">
        <f aca="false">IF($A$1="Peak","-",'Base Hours'!D221*BaseLoad!J220*'Base Hours'!$AA221)</f>
        <v>-</v>
      </c>
      <c r="E221" s="417" t="str">
        <f aca="false">IF($A$1="Peak","-",'Base Hours'!E221*BaseLoad!K220*'Base Hours'!$AA221)</f>
        <v>-</v>
      </c>
      <c r="F221" s="417" t="str">
        <f aca="false">IF($A$1="Peak","-",'Base Hours'!F221*BaseLoad!L220*'Base Hours'!$AA221)</f>
        <v>-</v>
      </c>
      <c r="G221" s="417" t="str">
        <f aca="false">IF($A$1="Peak","-",'Base Hours'!G221*BaseLoad!M220*'Base Hours'!$AA221)</f>
        <v>-</v>
      </c>
      <c r="H221" s="417" t="str">
        <f aca="false">IF($A$1="Peak","-",'Base Hours'!H221*BaseLoad!N220*'Base Hours'!$AA221)</f>
        <v>-</v>
      </c>
      <c r="I221" s="417" t="str">
        <f aca="false">IF($A$1="Peak","-",'Base Hours'!I221*BaseLoad!O220*'Base Hours'!$AA221)</f>
        <v>-</v>
      </c>
      <c r="J221" s="417" t="str">
        <f aca="false">IF($A$1="Peak","-",'Base Hours'!J221*BaseLoad!P220*'Base Hours'!$AA221)</f>
        <v>-</v>
      </c>
      <c r="K221" s="417" t="str">
        <f aca="false">IF($A$1="Peak","-",'Base Hours'!K221*BaseLoad!Q220*'Base Hours'!$AA221)</f>
        <v>-</v>
      </c>
      <c r="L221" s="417" t="str">
        <f aca="false">IF($A$1="Peak","-",'Base Hours'!L221*BaseLoad!R220*'Base Hours'!$AA221)</f>
        <v>-</v>
      </c>
      <c r="M221" s="417" t="str">
        <f aca="false">IF($A$1="Peak","-",'Base Hours'!M221*BaseLoad!S220*'Base Hours'!$AA221)</f>
        <v>-</v>
      </c>
      <c r="N221" s="417" t="str">
        <f aca="false">IF($A$1="Peak","-",'Base Hours'!N221*BaseLoad!T220*'Base Hours'!$AA221)</f>
        <v>-</v>
      </c>
      <c r="O221" s="417" t="str">
        <f aca="false">IF($A$1="Peak","-",'Base Hours'!O221*BaseLoad!U220*'Base Hours'!$AA221)</f>
        <v>-</v>
      </c>
      <c r="P221" s="417" t="str">
        <f aca="false">IF($A$1="Peak","-",'Base Hours'!P221*BaseLoad!V220*'Base Hours'!$AA221)</f>
        <v>-</v>
      </c>
      <c r="Q221" s="417" t="str">
        <f aca="false">IF($A$1="Peak","-",'Base Hours'!Q221*BaseLoad!W220*'Base Hours'!$AA221)</f>
        <v>-</v>
      </c>
      <c r="R221" s="417" t="str">
        <f aca="false">IF($A$1="Peak","-",'Base Hours'!R221*BaseLoad!X220*'Base Hours'!$AA221)</f>
        <v>-</v>
      </c>
      <c r="S221" s="417" t="str">
        <f aca="false">IF($A$1="Peak","-",'Base Hours'!S221*BaseLoad!Y220*'Base Hours'!$AA221)</f>
        <v>-</v>
      </c>
      <c r="T221" s="417" t="str">
        <f aca="false">IF($A$1="Peak","-",'Base Hours'!T221*BaseLoad!Z220*'Base Hours'!$AA221)</f>
        <v>-</v>
      </c>
      <c r="U221" s="417" t="str">
        <f aca="false">IF($A$1="Peak","-",'Base Hours'!U221*BaseLoad!AA220*'Base Hours'!$AA221)</f>
        <v>-</v>
      </c>
      <c r="V221" s="417" t="n">
        <f aca="false">SUM(B221:U221)-(MAX(B221:U221))</f>
        <v>0</v>
      </c>
      <c r="W221" s="417"/>
      <c r="X221" s="417"/>
      <c r="Y221" s="418"/>
      <c r="Z221" s="418" t="n">
        <f aca="false">(BaseLoad!C220*'Base Hours'!V221*'Base Hours'!$AA221)*-1</f>
        <v>-0</v>
      </c>
      <c r="AA221" s="418"/>
      <c r="AB221" s="418" t="n">
        <f aca="false">(BaseLoad!D220*'Base Hours'!V221*'Base Hours'!$AA221)*-1</f>
        <v>-0</v>
      </c>
      <c r="AC221" s="418"/>
      <c r="AD221" s="418" t="n">
        <f aca="false">(BaseLoad!E220*'Base Hours'!V221*'Base Hours'!$AA221)*-1</f>
        <v>-0</v>
      </c>
      <c r="AE221" s="418"/>
      <c r="AF221" s="418" t="n">
        <f aca="false">(BaseLoad!F220*'Base Hours'!V221*'Base Hours'!$AA221)*-1</f>
        <v>-0</v>
      </c>
      <c r="AG221" s="418"/>
    </row>
    <row r="222" customFormat="false" ht="12.75" hidden="false" customHeight="false" outlineLevel="0" collapsed="false">
      <c r="A222" s="400" t="n">
        <f aca="false">A221+30.417</f>
        <v>42988.404</v>
      </c>
      <c r="B222" s="417" t="str">
        <f aca="false">IF($A$1="Peak","-",'Base Hours'!B222*BaseLoad!H221*'Base Hours'!$AA222)</f>
        <v>-</v>
      </c>
      <c r="C222" s="417" t="str">
        <f aca="false">IF($A$1="Peak","-",'Base Hours'!C222*BaseLoad!I221*'Base Hours'!$AA222)</f>
        <v>-</v>
      </c>
      <c r="D222" s="417" t="str">
        <f aca="false">IF($A$1="Peak","-",'Base Hours'!D222*BaseLoad!J221*'Base Hours'!$AA222)</f>
        <v>-</v>
      </c>
      <c r="E222" s="417" t="str">
        <f aca="false">IF($A$1="Peak","-",'Base Hours'!E222*BaseLoad!K221*'Base Hours'!$AA222)</f>
        <v>-</v>
      </c>
      <c r="F222" s="417" t="str">
        <f aca="false">IF($A$1="Peak","-",'Base Hours'!F222*BaseLoad!L221*'Base Hours'!$AA222)</f>
        <v>-</v>
      </c>
      <c r="G222" s="417" t="str">
        <f aca="false">IF($A$1="Peak","-",'Base Hours'!G222*BaseLoad!M221*'Base Hours'!$AA222)</f>
        <v>-</v>
      </c>
      <c r="H222" s="417" t="str">
        <f aca="false">IF($A$1="Peak","-",'Base Hours'!H222*BaseLoad!N221*'Base Hours'!$AA222)</f>
        <v>-</v>
      </c>
      <c r="I222" s="417" t="str">
        <f aca="false">IF($A$1="Peak","-",'Base Hours'!I222*BaseLoad!O221*'Base Hours'!$AA222)</f>
        <v>-</v>
      </c>
      <c r="J222" s="417" t="str">
        <f aca="false">IF($A$1="Peak","-",'Base Hours'!J222*BaseLoad!P221*'Base Hours'!$AA222)</f>
        <v>-</v>
      </c>
      <c r="K222" s="417" t="str">
        <f aca="false">IF($A$1="Peak","-",'Base Hours'!K222*BaseLoad!Q221*'Base Hours'!$AA222)</f>
        <v>-</v>
      </c>
      <c r="L222" s="417" t="str">
        <f aca="false">IF($A$1="Peak","-",'Base Hours'!L222*BaseLoad!R221*'Base Hours'!$AA222)</f>
        <v>-</v>
      </c>
      <c r="M222" s="417" t="str">
        <f aca="false">IF($A$1="Peak","-",'Base Hours'!M222*BaseLoad!S221*'Base Hours'!$AA222)</f>
        <v>-</v>
      </c>
      <c r="N222" s="417" t="str">
        <f aca="false">IF($A$1="Peak","-",'Base Hours'!N222*BaseLoad!T221*'Base Hours'!$AA222)</f>
        <v>-</v>
      </c>
      <c r="O222" s="417" t="str">
        <f aca="false">IF($A$1="Peak","-",'Base Hours'!O222*BaseLoad!U221*'Base Hours'!$AA222)</f>
        <v>-</v>
      </c>
      <c r="P222" s="417" t="str">
        <f aca="false">IF($A$1="Peak","-",'Base Hours'!P222*BaseLoad!V221*'Base Hours'!$AA222)</f>
        <v>-</v>
      </c>
      <c r="Q222" s="417" t="str">
        <f aca="false">IF($A$1="Peak","-",'Base Hours'!Q222*BaseLoad!W221*'Base Hours'!$AA222)</f>
        <v>-</v>
      </c>
      <c r="R222" s="417" t="str">
        <f aca="false">IF($A$1="Peak","-",'Base Hours'!R222*BaseLoad!X221*'Base Hours'!$AA222)</f>
        <v>-</v>
      </c>
      <c r="S222" s="417" t="str">
        <f aca="false">IF($A$1="Peak","-",'Base Hours'!S222*BaseLoad!Y221*'Base Hours'!$AA222)</f>
        <v>-</v>
      </c>
      <c r="T222" s="417" t="str">
        <f aca="false">IF($A$1="Peak","-",'Base Hours'!T222*BaseLoad!Z221*'Base Hours'!$AA222)</f>
        <v>-</v>
      </c>
      <c r="U222" s="417" t="str">
        <f aca="false">IF($A$1="Peak","-",'Base Hours'!U222*BaseLoad!AA221*'Base Hours'!$AA222)</f>
        <v>-</v>
      </c>
      <c r="V222" s="417" t="n">
        <f aca="false">SUM(B222:U222)-(MAX(B222:U222))</f>
        <v>0</v>
      </c>
      <c r="W222" s="417"/>
      <c r="X222" s="417"/>
      <c r="Y222" s="418"/>
      <c r="Z222" s="418" t="n">
        <f aca="false">(BaseLoad!C221*'Base Hours'!V222*'Base Hours'!$AA222)*-1</f>
        <v>-0</v>
      </c>
      <c r="AA222" s="418"/>
      <c r="AB222" s="418" t="n">
        <f aca="false">(BaseLoad!D221*'Base Hours'!V222*'Base Hours'!$AA222)*-1</f>
        <v>-0</v>
      </c>
      <c r="AC222" s="418"/>
      <c r="AD222" s="418" t="n">
        <f aca="false">(BaseLoad!E221*'Base Hours'!V222*'Base Hours'!$AA222)*-1</f>
        <v>-0</v>
      </c>
      <c r="AE222" s="418"/>
      <c r="AF222" s="418" t="n">
        <f aca="false">(BaseLoad!F221*'Base Hours'!V222*'Base Hours'!$AA222)*-1</f>
        <v>-0</v>
      </c>
      <c r="AG222" s="418"/>
    </row>
    <row r="223" customFormat="false" ht="12.75" hidden="false" customHeight="false" outlineLevel="0" collapsed="false">
      <c r="A223" s="400" t="n">
        <f aca="false">A222+30.417</f>
        <v>43018.821</v>
      </c>
      <c r="B223" s="417" t="str">
        <f aca="false">IF($A$1="Peak","-",'Base Hours'!B223*BaseLoad!H222*'Base Hours'!$AA223)</f>
        <v>-</v>
      </c>
      <c r="C223" s="417" t="str">
        <f aca="false">IF($A$1="Peak","-",'Base Hours'!C223*BaseLoad!I222*'Base Hours'!$AA223)</f>
        <v>-</v>
      </c>
      <c r="D223" s="417" t="str">
        <f aca="false">IF($A$1="Peak","-",'Base Hours'!D223*BaseLoad!J222*'Base Hours'!$AA223)</f>
        <v>-</v>
      </c>
      <c r="E223" s="417" t="str">
        <f aca="false">IF($A$1="Peak","-",'Base Hours'!E223*BaseLoad!K222*'Base Hours'!$AA223)</f>
        <v>-</v>
      </c>
      <c r="F223" s="417" t="str">
        <f aca="false">IF($A$1="Peak","-",'Base Hours'!F223*BaseLoad!L222*'Base Hours'!$AA223)</f>
        <v>-</v>
      </c>
      <c r="G223" s="417" t="str">
        <f aca="false">IF($A$1="Peak","-",'Base Hours'!G223*BaseLoad!M222*'Base Hours'!$AA223)</f>
        <v>-</v>
      </c>
      <c r="H223" s="417" t="str">
        <f aca="false">IF($A$1="Peak","-",'Base Hours'!H223*BaseLoad!N222*'Base Hours'!$AA223)</f>
        <v>-</v>
      </c>
      <c r="I223" s="417" t="str">
        <f aca="false">IF($A$1="Peak","-",'Base Hours'!I223*BaseLoad!O222*'Base Hours'!$AA223)</f>
        <v>-</v>
      </c>
      <c r="J223" s="417" t="str">
        <f aca="false">IF($A$1="Peak","-",'Base Hours'!J223*BaseLoad!P222*'Base Hours'!$AA223)</f>
        <v>-</v>
      </c>
      <c r="K223" s="417" t="str">
        <f aca="false">IF($A$1="Peak","-",'Base Hours'!K223*BaseLoad!Q222*'Base Hours'!$AA223)</f>
        <v>-</v>
      </c>
      <c r="L223" s="417" t="str">
        <f aca="false">IF($A$1="Peak","-",'Base Hours'!L223*BaseLoad!R222*'Base Hours'!$AA223)</f>
        <v>-</v>
      </c>
      <c r="M223" s="417" t="str">
        <f aca="false">IF($A$1="Peak","-",'Base Hours'!M223*BaseLoad!S222*'Base Hours'!$AA223)</f>
        <v>-</v>
      </c>
      <c r="N223" s="417" t="str">
        <f aca="false">IF($A$1="Peak","-",'Base Hours'!N223*BaseLoad!T222*'Base Hours'!$AA223)</f>
        <v>-</v>
      </c>
      <c r="O223" s="417" t="str">
        <f aca="false">IF($A$1="Peak","-",'Base Hours'!O223*BaseLoad!U222*'Base Hours'!$AA223)</f>
        <v>-</v>
      </c>
      <c r="P223" s="417" t="str">
        <f aca="false">IF($A$1="Peak","-",'Base Hours'!P223*BaseLoad!V222*'Base Hours'!$AA223)</f>
        <v>-</v>
      </c>
      <c r="Q223" s="417" t="str">
        <f aca="false">IF($A$1="Peak","-",'Base Hours'!Q223*BaseLoad!W222*'Base Hours'!$AA223)</f>
        <v>-</v>
      </c>
      <c r="R223" s="417" t="str">
        <f aca="false">IF($A$1="Peak","-",'Base Hours'!R223*BaseLoad!X222*'Base Hours'!$AA223)</f>
        <v>-</v>
      </c>
      <c r="S223" s="417" t="str">
        <f aca="false">IF($A$1="Peak","-",'Base Hours'!S223*BaseLoad!Y222*'Base Hours'!$AA223)</f>
        <v>-</v>
      </c>
      <c r="T223" s="417" t="str">
        <f aca="false">IF($A$1="Peak","-",'Base Hours'!T223*BaseLoad!Z222*'Base Hours'!$AA223)</f>
        <v>-</v>
      </c>
      <c r="U223" s="417" t="str">
        <f aca="false">IF($A$1="Peak","-",'Base Hours'!U223*BaseLoad!AA222*'Base Hours'!$AA223)</f>
        <v>-</v>
      </c>
      <c r="V223" s="417" t="n">
        <f aca="false">SUM(B223:U223)-(MAX(B223:U223))</f>
        <v>0</v>
      </c>
      <c r="W223" s="417"/>
      <c r="X223" s="417"/>
      <c r="Y223" s="418"/>
      <c r="Z223" s="418" t="n">
        <f aca="false">(BaseLoad!C222*'Base Hours'!V223*'Base Hours'!$AA223)*-1</f>
        <v>-0</v>
      </c>
      <c r="AA223" s="418"/>
      <c r="AB223" s="418" t="n">
        <f aca="false">(BaseLoad!D222*'Base Hours'!V223*'Base Hours'!$AA223)*-1</f>
        <v>-0</v>
      </c>
      <c r="AC223" s="418"/>
      <c r="AD223" s="418" t="n">
        <f aca="false">(BaseLoad!E222*'Base Hours'!V223*'Base Hours'!$AA223)*-1</f>
        <v>-0</v>
      </c>
      <c r="AE223" s="418"/>
      <c r="AF223" s="418" t="n">
        <f aca="false">(BaseLoad!F222*'Base Hours'!V223*'Base Hours'!$AA223)*-1</f>
        <v>-0</v>
      </c>
      <c r="AG223" s="418"/>
    </row>
    <row r="224" customFormat="false" ht="12.75" hidden="false" customHeight="false" outlineLevel="0" collapsed="false">
      <c r="A224" s="400" t="n">
        <f aca="false">A223+30.417</f>
        <v>43049.238</v>
      </c>
      <c r="B224" s="417" t="str">
        <f aca="false">IF($A$1="Peak","-",'Base Hours'!B224*BaseLoad!H223*'Base Hours'!$AA224)</f>
        <v>-</v>
      </c>
      <c r="C224" s="417" t="str">
        <f aca="false">IF($A$1="Peak","-",'Base Hours'!C224*BaseLoad!I223*'Base Hours'!$AA224)</f>
        <v>-</v>
      </c>
      <c r="D224" s="417" t="str">
        <f aca="false">IF($A$1="Peak","-",'Base Hours'!D224*BaseLoad!J223*'Base Hours'!$AA224)</f>
        <v>-</v>
      </c>
      <c r="E224" s="417" t="str">
        <f aca="false">IF($A$1="Peak","-",'Base Hours'!E224*BaseLoad!K223*'Base Hours'!$AA224)</f>
        <v>-</v>
      </c>
      <c r="F224" s="417" t="str">
        <f aca="false">IF($A$1="Peak","-",'Base Hours'!F224*BaseLoad!L223*'Base Hours'!$AA224)</f>
        <v>-</v>
      </c>
      <c r="G224" s="417" t="str">
        <f aca="false">IF($A$1="Peak","-",'Base Hours'!G224*BaseLoad!M223*'Base Hours'!$AA224)</f>
        <v>-</v>
      </c>
      <c r="H224" s="417" t="str">
        <f aca="false">IF($A$1="Peak","-",'Base Hours'!H224*BaseLoad!N223*'Base Hours'!$AA224)</f>
        <v>-</v>
      </c>
      <c r="I224" s="417" t="str">
        <f aca="false">IF($A$1="Peak","-",'Base Hours'!I224*BaseLoad!O223*'Base Hours'!$AA224)</f>
        <v>-</v>
      </c>
      <c r="J224" s="417" t="str">
        <f aca="false">IF($A$1="Peak","-",'Base Hours'!J224*BaseLoad!P223*'Base Hours'!$AA224)</f>
        <v>-</v>
      </c>
      <c r="K224" s="417" t="str">
        <f aca="false">IF($A$1="Peak","-",'Base Hours'!K224*BaseLoad!Q223*'Base Hours'!$AA224)</f>
        <v>-</v>
      </c>
      <c r="L224" s="417" t="str">
        <f aca="false">IF($A$1="Peak","-",'Base Hours'!L224*BaseLoad!R223*'Base Hours'!$AA224)</f>
        <v>-</v>
      </c>
      <c r="M224" s="417" t="str">
        <f aca="false">IF($A$1="Peak","-",'Base Hours'!M224*BaseLoad!S223*'Base Hours'!$AA224)</f>
        <v>-</v>
      </c>
      <c r="N224" s="417" t="str">
        <f aca="false">IF($A$1="Peak","-",'Base Hours'!N224*BaseLoad!T223*'Base Hours'!$AA224)</f>
        <v>-</v>
      </c>
      <c r="O224" s="417" t="str">
        <f aca="false">IF($A$1="Peak","-",'Base Hours'!O224*BaseLoad!U223*'Base Hours'!$AA224)</f>
        <v>-</v>
      </c>
      <c r="P224" s="417" t="str">
        <f aca="false">IF($A$1="Peak","-",'Base Hours'!P224*BaseLoad!V223*'Base Hours'!$AA224)</f>
        <v>-</v>
      </c>
      <c r="Q224" s="417" t="str">
        <f aca="false">IF($A$1="Peak","-",'Base Hours'!Q224*BaseLoad!W223*'Base Hours'!$AA224)</f>
        <v>-</v>
      </c>
      <c r="R224" s="417" t="str">
        <f aca="false">IF($A$1="Peak","-",'Base Hours'!R224*BaseLoad!X223*'Base Hours'!$AA224)</f>
        <v>-</v>
      </c>
      <c r="S224" s="417" t="str">
        <f aca="false">IF($A$1="Peak","-",'Base Hours'!S224*BaseLoad!Y223*'Base Hours'!$AA224)</f>
        <v>-</v>
      </c>
      <c r="T224" s="417" t="str">
        <f aca="false">IF($A$1="Peak","-",'Base Hours'!T224*BaseLoad!Z223*'Base Hours'!$AA224)</f>
        <v>-</v>
      </c>
      <c r="U224" s="417" t="str">
        <f aca="false">IF($A$1="Peak","-",'Base Hours'!U224*BaseLoad!AA223*'Base Hours'!$AA224)</f>
        <v>-</v>
      </c>
      <c r="V224" s="417" t="n">
        <f aca="false">SUM(B224:U224)-(MAX(B224:U224))</f>
        <v>0</v>
      </c>
      <c r="W224" s="417"/>
      <c r="X224" s="417"/>
      <c r="Y224" s="418"/>
      <c r="Z224" s="418" t="n">
        <f aca="false">(BaseLoad!C223*'Base Hours'!V224*'Base Hours'!$AA224)*-1</f>
        <v>-0</v>
      </c>
      <c r="AA224" s="418"/>
      <c r="AB224" s="418" t="n">
        <f aca="false">(BaseLoad!D223*'Base Hours'!V224*'Base Hours'!$AA224)*-1</f>
        <v>-0</v>
      </c>
      <c r="AC224" s="418"/>
      <c r="AD224" s="418" t="n">
        <f aca="false">(BaseLoad!E223*'Base Hours'!V224*'Base Hours'!$AA224)*-1</f>
        <v>-0</v>
      </c>
      <c r="AE224" s="418"/>
      <c r="AF224" s="418" t="n">
        <f aca="false">(BaseLoad!F223*'Base Hours'!V224*'Base Hours'!$AA224)*-1</f>
        <v>-0</v>
      </c>
      <c r="AG224" s="418"/>
    </row>
    <row r="225" customFormat="false" ht="12.75" hidden="false" customHeight="false" outlineLevel="0" collapsed="false">
      <c r="A225" s="400" t="n">
        <f aca="false">A224+30.417</f>
        <v>43079.655</v>
      </c>
      <c r="B225" s="417" t="str">
        <f aca="false">IF($A$1="Peak","-",'Base Hours'!B225*BaseLoad!H224*'Base Hours'!$AA225)</f>
        <v>-</v>
      </c>
      <c r="C225" s="417" t="str">
        <f aca="false">IF($A$1="Peak","-",'Base Hours'!C225*BaseLoad!I224*'Base Hours'!$AA225)</f>
        <v>-</v>
      </c>
      <c r="D225" s="417" t="str">
        <f aca="false">IF($A$1="Peak","-",'Base Hours'!D225*BaseLoad!J224*'Base Hours'!$AA225)</f>
        <v>-</v>
      </c>
      <c r="E225" s="417" t="str">
        <f aca="false">IF($A$1="Peak","-",'Base Hours'!E225*BaseLoad!K224*'Base Hours'!$AA225)</f>
        <v>-</v>
      </c>
      <c r="F225" s="417" t="str">
        <f aca="false">IF($A$1="Peak","-",'Base Hours'!F225*BaseLoad!L224*'Base Hours'!$AA225)</f>
        <v>-</v>
      </c>
      <c r="G225" s="417" t="str">
        <f aca="false">IF($A$1="Peak","-",'Base Hours'!G225*BaseLoad!M224*'Base Hours'!$AA225)</f>
        <v>-</v>
      </c>
      <c r="H225" s="417" t="str">
        <f aca="false">IF($A$1="Peak","-",'Base Hours'!H225*BaseLoad!N224*'Base Hours'!$AA225)</f>
        <v>-</v>
      </c>
      <c r="I225" s="417" t="str">
        <f aca="false">IF($A$1="Peak","-",'Base Hours'!I225*BaseLoad!O224*'Base Hours'!$AA225)</f>
        <v>-</v>
      </c>
      <c r="J225" s="417" t="str">
        <f aca="false">IF($A$1="Peak","-",'Base Hours'!J225*BaseLoad!P224*'Base Hours'!$AA225)</f>
        <v>-</v>
      </c>
      <c r="K225" s="417" t="str">
        <f aca="false">IF($A$1="Peak","-",'Base Hours'!K225*BaseLoad!Q224*'Base Hours'!$AA225)</f>
        <v>-</v>
      </c>
      <c r="L225" s="417" t="str">
        <f aca="false">IF($A$1="Peak","-",'Base Hours'!L225*BaseLoad!R224*'Base Hours'!$AA225)</f>
        <v>-</v>
      </c>
      <c r="M225" s="417" t="str">
        <f aca="false">IF($A$1="Peak","-",'Base Hours'!M225*BaseLoad!S224*'Base Hours'!$AA225)</f>
        <v>-</v>
      </c>
      <c r="N225" s="417" t="str">
        <f aca="false">IF($A$1="Peak","-",'Base Hours'!N225*BaseLoad!T224*'Base Hours'!$AA225)</f>
        <v>-</v>
      </c>
      <c r="O225" s="417" t="str">
        <f aca="false">IF($A$1="Peak","-",'Base Hours'!O225*BaseLoad!U224*'Base Hours'!$AA225)</f>
        <v>-</v>
      </c>
      <c r="P225" s="417" t="str">
        <f aca="false">IF($A$1="Peak","-",'Base Hours'!P225*BaseLoad!V224*'Base Hours'!$AA225)</f>
        <v>-</v>
      </c>
      <c r="Q225" s="417" t="str">
        <f aca="false">IF($A$1="Peak","-",'Base Hours'!Q225*BaseLoad!W224*'Base Hours'!$AA225)</f>
        <v>-</v>
      </c>
      <c r="R225" s="417" t="str">
        <f aca="false">IF($A$1="Peak","-",'Base Hours'!R225*BaseLoad!X224*'Base Hours'!$AA225)</f>
        <v>-</v>
      </c>
      <c r="S225" s="417" t="str">
        <f aca="false">IF($A$1="Peak","-",'Base Hours'!S225*BaseLoad!Y224*'Base Hours'!$AA225)</f>
        <v>-</v>
      </c>
      <c r="T225" s="417" t="str">
        <f aca="false">IF($A$1="Peak","-",'Base Hours'!T225*BaseLoad!Z224*'Base Hours'!$AA225)</f>
        <v>-</v>
      </c>
      <c r="U225" s="417" t="str">
        <f aca="false">IF($A$1="Peak","-",'Base Hours'!U225*BaseLoad!AA224*'Base Hours'!$AA225)</f>
        <v>-</v>
      </c>
      <c r="V225" s="417" t="n">
        <f aca="false">SUM(B225:U225)-(MAX(B225:U225))</f>
        <v>0</v>
      </c>
      <c r="W225" s="417"/>
      <c r="X225" s="417"/>
      <c r="Y225" s="418" t="n">
        <f aca="false">SUM(B214:U225)</f>
        <v>0</v>
      </c>
      <c r="Z225" s="418" t="n">
        <f aca="false">(BaseLoad!C224*'Base Hours'!V225*'Base Hours'!$AA225)*-1</f>
        <v>-0</v>
      </c>
      <c r="AA225" s="418" t="n">
        <f aca="false">SUM(Z214:Z225)</f>
        <v>0</v>
      </c>
      <c r="AB225" s="418" t="n">
        <f aca="false">(BaseLoad!D224*'Base Hours'!V225*'Base Hours'!$AA225)*-1</f>
        <v>-0</v>
      </c>
      <c r="AC225" s="418" t="n">
        <f aca="false">SUM(AB214:AB225)</f>
        <v>0</v>
      </c>
      <c r="AD225" s="418" t="n">
        <f aca="false">(BaseLoad!E224*'Base Hours'!V225*'Base Hours'!$AA225)*-1</f>
        <v>-0</v>
      </c>
      <c r="AE225" s="418" t="n">
        <f aca="false">SUM(AD214:AD225)</f>
        <v>0</v>
      </c>
      <c r="AF225" s="418" t="n">
        <f aca="false">(BaseLoad!F224*'Base Hours'!V225*'Base Hours'!$AA225)*-1</f>
        <v>-0</v>
      </c>
      <c r="AG225" s="418" t="n">
        <f aca="false">SUM(AF214:AF225)</f>
        <v>0</v>
      </c>
    </row>
    <row r="226" customFormat="false" ht="12.75" hidden="false" customHeight="false" outlineLevel="0" collapsed="false">
      <c r="A226" s="400" t="n">
        <f aca="false">A225+30.417</f>
        <v>43110.072</v>
      </c>
      <c r="B226" s="417" t="str">
        <f aca="false">IF($A$1="Peak","-",'Base Hours'!B226*BaseLoad!H225*'Base Hours'!$AA226)</f>
        <v>-</v>
      </c>
      <c r="C226" s="417" t="str">
        <f aca="false">IF($A$1="Peak","-",'Base Hours'!C226*BaseLoad!I225*'Base Hours'!$AA226)</f>
        <v>-</v>
      </c>
      <c r="D226" s="417" t="str">
        <f aca="false">IF($A$1="Peak","-",'Base Hours'!D226*BaseLoad!J225*'Base Hours'!$AA226)</f>
        <v>-</v>
      </c>
      <c r="E226" s="417" t="str">
        <f aca="false">IF($A$1="Peak","-",'Base Hours'!E226*BaseLoad!K225*'Base Hours'!$AA226)</f>
        <v>-</v>
      </c>
      <c r="F226" s="417" t="str">
        <f aca="false">IF($A$1="Peak","-",'Base Hours'!F226*BaseLoad!L225*'Base Hours'!$AA226)</f>
        <v>-</v>
      </c>
      <c r="G226" s="417" t="str">
        <f aca="false">IF($A$1="Peak","-",'Base Hours'!G226*BaseLoad!M225*'Base Hours'!$AA226)</f>
        <v>-</v>
      </c>
      <c r="H226" s="417" t="str">
        <f aca="false">IF($A$1="Peak","-",'Base Hours'!H226*BaseLoad!N225*'Base Hours'!$AA226)</f>
        <v>-</v>
      </c>
      <c r="I226" s="417" t="str">
        <f aca="false">IF($A$1="Peak","-",'Base Hours'!I226*BaseLoad!O225*'Base Hours'!$AA226)</f>
        <v>-</v>
      </c>
      <c r="J226" s="417" t="str">
        <f aca="false">IF($A$1="Peak","-",'Base Hours'!J226*BaseLoad!P225*'Base Hours'!$AA226)</f>
        <v>-</v>
      </c>
      <c r="K226" s="417" t="str">
        <f aca="false">IF($A$1="Peak","-",'Base Hours'!K226*BaseLoad!Q225*'Base Hours'!$AA226)</f>
        <v>-</v>
      </c>
      <c r="L226" s="417" t="str">
        <f aca="false">IF($A$1="Peak","-",'Base Hours'!L226*BaseLoad!R225*'Base Hours'!$AA226)</f>
        <v>-</v>
      </c>
      <c r="M226" s="417" t="str">
        <f aca="false">IF($A$1="Peak","-",'Base Hours'!M226*BaseLoad!S225*'Base Hours'!$AA226)</f>
        <v>-</v>
      </c>
      <c r="N226" s="417" t="str">
        <f aca="false">IF($A$1="Peak","-",'Base Hours'!N226*BaseLoad!T225*'Base Hours'!$AA226)</f>
        <v>-</v>
      </c>
      <c r="O226" s="417" t="str">
        <f aca="false">IF($A$1="Peak","-",'Base Hours'!O226*BaseLoad!U225*'Base Hours'!$AA226)</f>
        <v>-</v>
      </c>
      <c r="P226" s="417" t="str">
        <f aca="false">IF($A$1="Peak","-",'Base Hours'!P226*BaseLoad!V225*'Base Hours'!$AA226)</f>
        <v>-</v>
      </c>
      <c r="Q226" s="417" t="str">
        <f aca="false">IF($A$1="Peak","-",'Base Hours'!Q226*BaseLoad!W225*'Base Hours'!$AA226)</f>
        <v>-</v>
      </c>
      <c r="R226" s="417" t="str">
        <f aca="false">IF($A$1="Peak","-",'Base Hours'!R226*BaseLoad!X225*'Base Hours'!$AA226)</f>
        <v>-</v>
      </c>
      <c r="S226" s="417" t="str">
        <f aca="false">IF($A$1="Peak","-",'Base Hours'!S226*BaseLoad!Y225*'Base Hours'!$AA226)</f>
        <v>-</v>
      </c>
      <c r="T226" s="417" t="str">
        <f aca="false">IF($A$1="Peak","-",'Base Hours'!T226*BaseLoad!Z225*'Base Hours'!$AA226)</f>
        <v>-</v>
      </c>
      <c r="U226" s="417" t="str">
        <f aca="false">IF($A$1="Peak","-",'Base Hours'!U226*BaseLoad!AA225*'Base Hours'!$AA226)</f>
        <v>-</v>
      </c>
      <c r="V226" s="417" t="n">
        <f aca="false">SUM(B226:U226)-(MAX(B226:U226))</f>
        <v>0</v>
      </c>
      <c r="W226" s="417"/>
      <c r="X226" s="417"/>
      <c r="Y226" s="418"/>
      <c r="Z226" s="418" t="n">
        <f aca="false">(BaseLoad!C225*'Base Hours'!V226*'Base Hours'!$AA226)*-1</f>
        <v>-0</v>
      </c>
      <c r="AA226" s="418"/>
      <c r="AB226" s="418" t="n">
        <f aca="false">(BaseLoad!D225*'Base Hours'!V226*'Base Hours'!$AA226)*-1</f>
        <v>-0</v>
      </c>
      <c r="AC226" s="418"/>
      <c r="AD226" s="418" t="n">
        <f aca="false">(BaseLoad!E225*'Base Hours'!V226*'Base Hours'!$AA226)*-1</f>
        <v>-0</v>
      </c>
      <c r="AE226" s="418"/>
      <c r="AF226" s="418" t="n">
        <f aca="false">(BaseLoad!F225*'Base Hours'!V226*'Base Hours'!$AA226)*-1</f>
        <v>-0</v>
      </c>
      <c r="AG226" s="418"/>
    </row>
    <row r="227" customFormat="false" ht="12.75" hidden="false" customHeight="false" outlineLevel="0" collapsed="false">
      <c r="A227" s="400" t="n">
        <f aca="false">A226+30.417</f>
        <v>43140.489</v>
      </c>
      <c r="B227" s="417" t="str">
        <f aca="false">IF($A$1="Peak","-",'Base Hours'!B227*BaseLoad!H226*'Base Hours'!$AA227)</f>
        <v>-</v>
      </c>
      <c r="C227" s="417" t="str">
        <f aca="false">IF($A$1="Peak","-",'Base Hours'!C227*BaseLoad!I226*'Base Hours'!$AA227)</f>
        <v>-</v>
      </c>
      <c r="D227" s="417" t="str">
        <f aca="false">IF($A$1="Peak","-",'Base Hours'!D227*BaseLoad!J226*'Base Hours'!$AA227)</f>
        <v>-</v>
      </c>
      <c r="E227" s="417" t="str">
        <f aca="false">IF($A$1="Peak","-",'Base Hours'!E227*BaseLoad!K226*'Base Hours'!$AA227)</f>
        <v>-</v>
      </c>
      <c r="F227" s="417" t="str">
        <f aca="false">IF($A$1="Peak","-",'Base Hours'!F227*BaseLoad!L226*'Base Hours'!$AA227)</f>
        <v>-</v>
      </c>
      <c r="G227" s="417" t="str">
        <f aca="false">IF($A$1="Peak","-",'Base Hours'!G227*BaseLoad!M226*'Base Hours'!$AA227)</f>
        <v>-</v>
      </c>
      <c r="H227" s="417" t="str">
        <f aca="false">IF($A$1="Peak","-",'Base Hours'!H227*BaseLoad!N226*'Base Hours'!$AA227)</f>
        <v>-</v>
      </c>
      <c r="I227" s="417" t="str">
        <f aca="false">IF($A$1="Peak","-",'Base Hours'!I227*BaseLoad!O226*'Base Hours'!$AA227)</f>
        <v>-</v>
      </c>
      <c r="J227" s="417" t="str">
        <f aca="false">IF($A$1="Peak","-",'Base Hours'!J227*BaseLoad!P226*'Base Hours'!$AA227)</f>
        <v>-</v>
      </c>
      <c r="K227" s="417" t="str">
        <f aca="false">IF($A$1="Peak","-",'Base Hours'!K227*BaseLoad!Q226*'Base Hours'!$AA227)</f>
        <v>-</v>
      </c>
      <c r="L227" s="417" t="str">
        <f aca="false">IF($A$1="Peak","-",'Base Hours'!L227*BaseLoad!R226*'Base Hours'!$AA227)</f>
        <v>-</v>
      </c>
      <c r="M227" s="417" t="str">
        <f aca="false">IF($A$1="Peak","-",'Base Hours'!M227*BaseLoad!S226*'Base Hours'!$AA227)</f>
        <v>-</v>
      </c>
      <c r="N227" s="417" t="str">
        <f aca="false">IF($A$1="Peak","-",'Base Hours'!N227*BaseLoad!T226*'Base Hours'!$AA227)</f>
        <v>-</v>
      </c>
      <c r="O227" s="417" t="str">
        <f aca="false">IF($A$1="Peak","-",'Base Hours'!O227*BaseLoad!U226*'Base Hours'!$AA227)</f>
        <v>-</v>
      </c>
      <c r="P227" s="417" t="str">
        <f aca="false">IF($A$1="Peak","-",'Base Hours'!P227*BaseLoad!V226*'Base Hours'!$AA227)</f>
        <v>-</v>
      </c>
      <c r="Q227" s="417" t="str">
        <f aca="false">IF($A$1="Peak","-",'Base Hours'!Q227*BaseLoad!W226*'Base Hours'!$AA227)</f>
        <v>-</v>
      </c>
      <c r="R227" s="417" t="str">
        <f aca="false">IF($A$1="Peak","-",'Base Hours'!R227*BaseLoad!X226*'Base Hours'!$AA227)</f>
        <v>-</v>
      </c>
      <c r="S227" s="417" t="str">
        <f aca="false">IF($A$1="Peak","-",'Base Hours'!S227*BaseLoad!Y226*'Base Hours'!$AA227)</f>
        <v>-</v>
      </c>
      <c r="T227" s="417" t="str">
        <f aca="false">IF($A$1="Peak","-",'Base Hours'!T227*BaseLoad!Z226*'Base Hours'!$AA227)</f>
        <v>-</v>
      </c>
      <c r="U227" s="417" t="str">
        <f aca="false">IF($A$1="Peak","-",'Base Hours'!U227*BaseLoad!AA226*'Base Hours'!$AA227)</f>
        <v>-</v>
      </c>
      <c r="V227" s="417" t="n">
        <f aca="false">SUM(B227:U227)-(MAX(B227:U227))</f>
        <v>0</v>
      </c>
      <c r="W227" s="417"/>
      <c r="X227" s="417"/>
      <c r="Y227" s="418"/>
      <c r="Z227" s="418" t="n">
        <f aca="false">(BaseLoad!C226*'Base Hours'!V227*'Base Hours'!$AA227)*-1</f>
        <v>-0</v>
      </c>
      <c r="AA227" s="418"/>
      <c r="AB227" s="418" t="n">
        <f aca="false">(BaseLoad!D226*'Base Hours'!V227*'Base Hours'!$AA227)*-1</f>
        <v>-0</v>
      </c>
      <c r="AC227" s="418"/>
      <c r="AD227" s="418" t="n">
        <f aca="false">(BaseLoad!E226*'Base Hours'!V227*'Base Hours'!$AA227)*-1</f>
        <v>-0</v>
      </c>
      <c r="AE227" s="418"/>
      <c r="AF227" s="418" t="n">
        <f aca="false">(BaseLoad!F226*'Base Hours'!V227*'Base Hours'!$AA227)*-1</f>
        <v>-0</v>
      </c>
      <c r="AG227" s="418"/>
    </row>
    <row r="228" customFormat="false" ht="12.75" hidden="false" customHeight="false" outlineLevel="0" collapsed="false">
      <c r="A228" s="400" t="n">
        <f aca="false">A227+30.417</f>
        <v>43170.906</v>
      </c>
      <c r="B228" s="417" t="str">
        <f aca="false">IF($A$1="Peak","-",'Base Hours'!B228*BaseLoad!H227*'Base Hours'!$AA228)</f>
        <v>-</v>
      </c>
      <c r="C228" s="417" t="str">
        <f aca="false">IF($A$1="Peak","-",'Base Hours'!C228*BaseLoad!I227*'Base Hours'!$AA228)</f>
        <v>-</v>
      </c>
      <c r="D228" s="417" t="str">
        <f aca="false">IF($A$1="Peak","-",'Base Hours'!D228*BaseLoad!J227*'Base Hours'!$AA228)</f>
        <v>-</v>
      </c>
      <c r="E228" s="417" t="str">
        <f aca="false">IF($A$1="Peak","-",'Base Hours'!E228*BaseLoad!K227*'Base Hours'!$AA228)</f>
        <v>-</v>
      </c>
      <c r="F228" s="417" t="str">
        <f aca="false">IF($A$1="Peak","-",'Base Hours'!F228*BaseLoad!L227*'Base Hours'!$AA228)</f>
        <v>-</v>
      </c>
      <c r="G228" s="417" t="str">
        <f aca="false">IF($A$1="Peak","-",'Base Hours'!G228*BaseLoad!M227*'Base Hours'!$AA228)</f>
        <v>-</v>
      </c>
      <c r="H228" s="417" t="str">
        <f aca="false">IF($A$1="Peak","-",'Base Hours'!H228*BaseLoad!N227*'Base Hours'!$AA228)</f>
        <v>-</v>
      </c>
      <c r="I228" s="417" t="str">
        <f aca="false">IF($A$1="Peak","-",'Base Hours'!I228*BaseLoad!O227*'Base Hours'!$AA228)</f>
        <v>-</v>
      </c>
      <c r="J228" s="417" t="str">
        <f aca="false">IF($A$1="Peak","-",'Base Hours'!J228*BaseLoad!P227*'Base Hours'!$AA228)</f>
        <v>-</v>
      </c>
      <c r="K228" s="417" t="str">
        <f aca="false">IF($A$1="Peak","-",'Base Hours'!K228*BaseLoad!Q227*'Base Hours'!$AA228)</f>
        <v>-</v>
      </c>
      <c r="L228" s="417" t="str">
        <f aca="false">IF($A$1="Peak","-",'Base Hours'!L228*BaseLoad!R227*'Base Hours'!$AA228)</f>
        <v>-</v>
      </c>
      <c r="M228" s="417" t="str">
        <f aca="false">IF($A$1="Peak","-",'Base Hours'!M228*BaseLoad!S227*'Base Hours'!$AA228)</f>
        <v>-</v>
      </c>
      <c r="N228" s="417" t="str">
        <f aca="false">IF($A$1="Peak","-",'Base Hours'!N228*BaseLoad!T227*'Base Hours'!$AA228)</f>
        <v>-</v>
      </c>
      <c r="O228" s="417" t="str">
        <f aca="false">IF($A$1="Peak","-",'Base Hours'!O228*BaseLoad!U227*'Base Hours'!$AA228)</f>
        <v>-</v>
      </c>
      <c r="P228" s="417" t="str">
        <f aca="false">IF($A$1="Peak","-",'Base Hours'!P228*BaseLoad!V227*'Base Hours'!$AA228)</f>
        <v>-</v>
      </c>
      <c r="Q228" s="417" t="str">
        <f aca="false">IF($A$1="Peak","-",'Base Hours'!Q228*BaseLoad!W227*'Base Hours'!$AA228)</f>
        <v>-</v>
      </c>
      <c r="R228" s="417" t="str">
        <f aca="false">IF($A$1="Peak","-",'Base Hours'!R228*BaseLoad!X227*'Base Hours'!$AA228)</f>
        <v>-</v>
      </c>
      <c r="S228" s="417" t="str">
        <f aca="false">IF($A$1="Peak","-",'Base Hours'!S228*BaseLoad!Y227*'Base Hours'!$AA228)</f>
        <v>-</v>
      </c>
      <c r="T228" s="417" t="str">
        <f aca="false">IF($A$1="Peak","-",'Base Hours'!T228*BaseLoad!Z227*'Base Hours'!$AA228)</f>
        <v>-</v>
      </c>
      <c r="U228" s="417" t="str">
        <f aca="false">IF($A$1="Peak","-",'Base Hours'!U228*BaseLoad!AA227*'Base Hours'!$AA228)</f>
        <v>-</v>
      </c>
      <c r="V228" s="417" t="n">
        <f aca="false">SUM(B228:U228)-(MAX(B228:U228))</f>
        <v>0</v>
      </c>
      <c r="W228" s="417"/>
      <c r="X228" s="417"/>
      <c r="Y228" s="418"/>
      <c r="Z228" s="418" t="n">
        <f aca="false">(BaseLoad!C227*'Base Hours'!V228*'Base Hours'!$AA228)*-1</f>
        <v>-0</v>
      </c>
      <c r="AA228" s="418"/>
      <c r="AB228" s="418" t="n">
        <f aca="false">(BaseLoad!D227*'Base Hours'!V228*'Base Hours'!$AA228)*-1</f>
        <v>-0</v>
      </c>
      <c r="AC228" s="418"/>
      <c r="AD228" s="418" t="n">
        <f aca="false">(BaseLoad!E227*'Base Hours'!V228*'Base Hours'!$AA228)*-1</f>
        <v>-0</v>
      </c>
      <c r="AE228" s="418"/>
      <c r="AF228" s="418" t="n">
        <f aca="false">(BaseLoad!F227*'Base Hours'!V228*'Base Hours'!$AA228)*-1</f>
        <v>-0</v>
      </c>
      <c r="AG228" s="418"/>
    </row>
    <row r="229" customFormat="false" ht="12.75" hidden="false" customHeight="false" outlineLevel="0" collapsed="false">
      <c r="A229" s="400" t="n">
        <f aca="false">A228+30.417</f>
        <v>43201.323</v>
      </c>
      <c r="B229" s="417" t="str">
        <f aca="false">IF($A$1="Peak","-",'Base Hours'!B229*BaseLoad!H228*'Base Hours'!$AA229)</f>
        <v>-</v>
      </c>
      <c r="C229" s="417" t="str">
        <f aca="false">IF($A$1="Peak","-",'Base Hours'!C229*BaseLoad!I228*'Base Hours'!$AA229)</f>
        <v>-</v>
      </c>
      <c r="D229" s="417" t="str">
        <f aca="false">IF($A$1="Peak","-",'Base Hours'!D229*BaseLoad!J228*'Base Hours'!$AA229)</f>
        <v>-</v>
      </c>
      <c r="E229" s="417" t="str">
        <f aca="false">IF($A$1="Peak","-",'Base Hours'!E229*BaseLoad!K228*'Base Hours'!$AA229)</f>
        <v>-</v>
      </c>
      <c r="F229" s="417" t="str">
        <f aca="false">IF($A$1="Peak","-",'Base Hours'!F229*BaseLoad!L228*'Base Hours'!$AA229)</f>
        <v>-</v>
      </c>
      <c r="G229" s="417" t="str">
        <f aca="false">IF($A$1="Peak","-",'Base Hours'!G229*BaseLoad!M228*'Base Hours'!$AA229)</f>
        <v>-</v>
      </c>
      <c r="H229" s="417" t="str">
        <f aca="false">IF($A$1="Peak","-",'Base Hours'!H229*BaseLoad!N228*'Base Hours'!$AA229)</f>
        <v>-</v>
      </c>
      <c r="I229" s="417" t="str">
        <f aca="false">IF($A$1="Peak","-",'Base Hours'!I229*BaseLoad!O228*'Base Hours'!$AA229)</f>
        <v>-</v>
      </c>
      <c r="J229" s="417" t="str">
        <f aca="false">IF($A$1="Peak","-",'Base Hours'!J229*BaseLoad!P228*'Base Hours'!$AA229)</f>
        <v>-</v>
      </c>
      <c r="K229" s="417" t="str">
        <f aca="false">IF($A$1="Peak","-",'Base Hours'!K229*BaseLoad!Q228*'Base Hours'!$AA229)</f>
        <v>-</v>
      </c>
      <c r="L229" s="417" t="str">
        <f aca="false">IF($A$1="Peak","-",'Base Hours'!L229*BaseLoad!R228*'Base Hours'!$AA229)</f>
        <v>-</v>
      </c>
      <c r="M229" s="417" t="str">
        <f aca="false">IF($A$1="Peak","-",'Base Hours'!M229*BaseLoad!S228*'Base Hours'!$AA229)</f>
        <v>-</v>
      </c>
      <c r="N229" s="417" t="str">
        <f aca="false">IF($A$1="Peak","-",'Base Hours'!N229*BaseLoad!T228*'Base Hours'!$AA229)</f>
        <v>-</v>
      </c>
      <c r="O229" s="417" t="str">
        <f aca="false">IF($A$1="Peak","-",'Base Hours'!O229*BaseLoad!U228*'Base Hours'!$AA229)</f>
        <v>-</v>
      </c>
      <c r="P229" s="417" t="str">
        <f aca="false">IF($A$1="Peak","-",'Base Hours'!P229*BaseLoad!V228*'Base Hours'!$AA229)</f>
        <v>-</v>
      </c>
      <c r="Q229" s="417" t="str">
        <f aca="false">IF($A$1="Peak","-",'Base Hours'!Q229*BaseLoad!W228*'Base Hours'!$AA229)</f>
        <v>-</v>
      </c>
      <c r="R229" s="417" t="str">
        <f aca="false">IF($A$1="Peak","-",'Base Hours'!R229*BaseLoad!X228*'Base Hours'!$AA229)</f>
        <v>-</v>
      </c>
      <c r="S229" s="417" t="str">
        <f aca="false">IF($A$1="Peak","-",'Base Hours'!S229*BaseLoad!Y228*'Base Hours'!$AA229)</f>
        <v>-</v>
      </c>
      <c r="T229" s="417" t="str">
        <f aca="false">IF($A$1="Peak","-",'Base Hours'!T229*BaseLoad!Z228*'Base Hours'!$AA229)</f>
        <v>-</v>
      </c>
      <c r="U229" s="417" t="str">
        <f aca="false">IF($A$1="Peak","-",'Base Hours'!U229*BaseLoad!AA228*'Base Hours'!$AA229)</f>
        <v>-</v>
      </c>
      <c r="V229" s="417" t="n">
        <f aca="false">SUM(B229:U229)-(MAX(B229:U229))</f>
        <v>0</v>
      </c>
      <c r="W229" s="417"/>
      <c r="X229" s="417"/>
      <c r="Y229" s="418"/>
      <c r="Z229" s="418" t="n">
        <f aca="false">(BaseLoad!C228*'Base Hours'!V229*'Base Hours'!$AA229)*-1</f>
        <v>-0</v>
      </c>
      <c r="AA229" s="418"/>
      <c r="AB229" s="418" t="n">
        <f aca="false">(BaseLoad!D228*'Base Hours'!V229*'Base Hours'!$AA229)*-1</f>
        <v>-0</v>
      </c>
      <c r="AC229" s="418"/>
      <c r="AD229" s="418" t="n">
        <f aca="false">(BaseLoad!E228*'Base Hours'!V229*'Base Hours'!$AA229)*-1</f>
        <v>-0</v>
      </c>
      <c r="AE229" s="418"/>
      <c r="AF229" s="418" t="n">
        <f aca="false">(BaseLoad!F228*'Base Hours'!V229*'Base Hours'!$AA229)*-1</f>
        <v>-0</v>
      </c>
      <c r="AG229" s="418"/>
    </row>
    <row r="230" customFormat="false" ht="12.75" hidden="false" customHeight="false" outlineLevel="0" collapsed="false">
      <c r="A230" s="400" t="n">
        <f aca="false">A229+30.417</f>
        <v>43231.74</v>
      </c>
      <c r="B230" s="417" t="str">
        <f aca="false">IF($A$1="Peak","-",'Base Hours'!B230*BaseLoad!H229*'Base Hours'!$AA230)</f>
        <v>-</v>
      </c>
      <c r="C230" s="417" t="str">
        <f aca="false">IF($A$1="Peak","-",'Base Hours'!C230*BaseLoad!I229*'Base Hours'!$AA230)</f>
        <v>-</v>
      </c>
      <c r="D230" s="417" t="str">
        <f aca="false">IF($A$1="Peak","-",'Base Hours'!D230*BaseLoad!J229*'Base Hours'!$AA230)</f>
        <v>-</v>
      </c>
      <c r="E230" s="417" t="str">
        <f aca="false">IF($A$1="Peak","-",'Base Hours'!E230*BaseLoad!K229*'Base Hours'!$AA230)</f>
        <v>-</v>
      </c>
      <c r="F230" s="417" t="str">
        <f aca="false">IF($A$1="Peak","-",'Base Hours'!F230*BaseLoad!L229*'Base Hours'!$AA230)</f>
        <v>-</v>
      </c>
      <c r="G230" s="417" t="str">
        <f aca="false">IF($A$1="Peak","-",'Base Hours'!G230*BaseLoad!M229*'Base Hours'!$AA230)</f>
        <v>-</v>
      </c>
      <c r="H230" s="417" t="str">
        <f aca="false">IF($A$1="Peak","-",'Base Hours'!H230*BaseLoad!N229*'Base Hours'!$AA230)</f>
        <v>-</v>
      </c>
      <c r="I230" s="417" t="str">
        <f aca="false">IF($A$1="Peak","-",'Base Hours'!I230*BaseLoad!O229*'Base Hours'!$AA230)</f>
        <v>-</v>
      </c>
      <c r="J230" s="417" t="str">
        <f aca="false">IF($A$1="Peak","-",'Base Hours'!J230*BaseLoad!P229*'Base Hours'!$AA230)</f>
        <v>-</v>
      </c>
      <c r="K230" s="417" t="str">
        <f aca="false">IF($A$1="Peak","-",'Base Hours'!K230*BaseLoad!Q229*'Base Hours'!$AA230)</f>
        <v>-</v>
      </c>
      <c r="L230" s="417" t="str">
        <f aca="false">IF($A$1="Peak","-",'Base Hours'!L230*BaseLoad!R229*'Base Hours'!$AA230)</f>
        <v>-</v>
      </c>
      <c r="M230" s="417" t="str">
        <f aca="false">IF($A$1="Peak","-",'Base Hours'!M230*BaseLoad!S229*'Base Hours'!$AA230)</f>
        <v>-</v>
      </c>
      <c r="N230" s="417" t="str">
        <f aca="false">IF($A$1="Peak","-",'Base Hours'!N230*BaseLoad!T229*'Base Hours'!$AA230)</f>
        <v>-</v>
      </c>
      <c r="O230" s="417" t="str">
        <f aca="false">IF($A$1="Peak","-",'Base Hours'!O230*BaseLoad!U229*'Base Hours'!$AA230)</f>
        <v>-</v>
      </c>
      <c r="P230" s="417" t="str">
        <f aca="false">IF($A$1="Peak","-",'Base Hours'!P230*BaseLoad!V229*'Base Hours'!$AA230)</f>
        <v>-</v>
      </c>
      <c r="Q230" s="417" t="str">
        <f aca="false">IF($A$1="Peak","-",'Base Hours'!Q230*BaseLoad!W229*'Base Hours'!$AA230)</f>
        <v>-</v>
      </c>
      <c r="R230" s="417" t="str">
        <f aca="false">IF($A$1="Peak","-",'Base Hours'!R230*BaseLoad!X229*'Base Hours'!$AA230)</f>
        <v>-</v>
      </c>
      <c r="S230" s="417" t="str">
        <f aca="false">IF($A$1="Peak","-",'Base Hours'!S230*BaseLoad!Y229*'Base Hours'!$AA230)</f>
        <v>-</v>
      </c>
      <c r="T230" s="417" t="str">
        <f aca="false">IF($A$1="Peak","-",'Base Hours'!T230*BaseLoad!Z229*'Base Hours'!$AA230)</f>
        <v>-</v>
      </c>
      <c r="U230" s="417" t="str">
        <f aca="false">IF($A$1="Peak","-",'Base Hours'!U230*BaseLoad!AA229*'Base Hours'!$AA230)</f>
        <v>-</v>
      </c>
      <c r="V230" s="417" t="n">
        <f aca="false">SUM(B230:U230)-(MAX(B230:U230))</f>
        <v>0</v>
      </c>
      <c r="W230" s="417"/>
      <c r="X230" s="417"/>
      <c r="Y230" s="418"/>
      <c r="Z230" s="418" t="n">
        <f aca="false">(BaseLoad!C229*'Base Hours'!V230*'Base Hours'!$AA230)*-1</f>
        <v>-0</v>
      </c>
      <c r="AA230" s="418"/>
      <c r="AB230" s="418" t="n">
        <f aca="false">(BaseLoad!D229*'Base Hours'!V230*'Base Hours'!$AA230)*-1</f>
        <v>-0</v>
      </c>
      <c r="AC230" s="418"/>
      <c r="AD230" s="418" t="n">
        <f aca="false">(BaseLoad!E229*'Base Hours'!V230*'Base Hours'!$AA230)*-1</f>
        <v>-0</v>
      </c>
      <c r="AE230" s="418"/>
      <c r="AF230" s="418" t="n">
        <f aca="false">(BaseLoad!F229*'Base Hours'!V230*'Base Hours'!$AA230)*-1</f>
        <v>-0</v>
      </c>
      <c r="AG230" s="418"/>
    </row>
    <row r="231" customFormat="false" ht="12.75" hidden="false" customHeight="false" outlineLevel="0" collapsed="false">
      <c r="A231" s="400" t="n">
        <f aca="false">A230+30.417</f>
        <v>43262.157</v>
      </c>
      <c r="B231" s="417" t="str">
        <f aca="false">IF($A$1="Peak","-",'Base Hours'!B231*BaseLoad!H230*'Base Hours'!$AA231)</f>
        <v>-</v>
      </c>
      <c r="C231" s="417" t="str">
        <f aca="false">IF($A$1="Peak","-",'Base Hours'!C231*BaseLoad!I230*'Base Hours'!$AA231)</f>
        <v>-</v>
      </c>
      <c r="D231" s="417" t="str">
        <f aca="false">IF($A$1="Peak","-",'Base Hours'!D231*BaseLoad!J230*'Base Hours'!$AA231)</f>
        <v>-</v>
      </c>
      <c r="E231" s="417" t="str">
        <f aca="false">IF($A$1="Peak","-",'Base Hours'!E231*BaseLoad!K230*'Base Hours'!$AA231)</f>
        <v>-</v>
      </c>
      <c r="F231" s="417" t="str">
        <f aca="false">IF($A$1="Peak","-",'Base Hours'!F231*BaseLoad!L230*'Base Hours'!$AA231)</f>
        <v>-</v>
      </c>
      <c r="G231" s="417" t="str">
        <f aca="false">IF($A$1="Peak","-",'Base Hours'!G231*BaseLoad!M230*'Base Hours'!$AA231)</f>
        <v>-</v>
      </c>
      <c r="H231" s="417" t="str">
        <f aca="false">IF($A$1="Peak","-",'Base Hours'!H231*BaseLoad!N230*'Base Hours'!$AA231)</f>
        <v>-</v>
      </c>
      <c r="I231" s="417" t="str">
        <f aca="false">IF($A$1="Peak","-",'Base Hours'!I231*BaseLoad!O230*'Base Hours'!$AA231)</f>
        <v>-</v>
      </c>
      <c r="J231" s="417" t="str">
        <f aca="false">IF($A$1="Peak","-",'Base Hours'!J231*BaseLoad!P230*'Base Hours'!$AA231)</f>
        <v>-</v>
      </c>
      <c r="K231" s="417" t="str">
        <f aca="false">IF($A$1="Peak","-",'Base Hours'!K231*BaseLoad!Q230*'Base Hours'!$AA231)</f>
        <v>-</v>
      </c>
      <c r="L231" s="417" t="str">
        <f aca="false">IF($A$1="Peak","-",'Base Hours'!L231*BaseLoad!R230*'Base Hours'!$AA231)</f>
        <v>-</v>
      </c>
      <c r="M231" s="417" t="str">
        <f aca="false">IF($A$1="Peak","-",'Base Hours'!M231*BaseLoad!S230*'Base Hours'!$AA231)</f>
        <v>-</v>
      </c>
      <c r="N231" s="417" t="str">
        <f aca="false">IF($A$1="Peak","-",'Base Hours'!N231*BaseLoad!T230*'Base Hours'!$AA231)</f>
        <v>-</v>
      </c>
      <c r="O231" s="417" t="str">
        <f aca="false">IF($A$1="Peak","-",'Base Hours'!O231*BaseLoad!U230*'Base Hours'!$AA231)</f>
        <v>-</v>
      </c>
      <c r="P231" s="417" t="str">
        <f aca="false">IF($A$1="Peak","-",'Base Hours'!P231*BaseLoad!V230*'Base Hours'!$AA231)</f>
        <v>-</v>
      </c>
      <c r="Q231" s="417" t="str">
        <f aca="false">IF($A$1="Peak","-",'Base Hours'!Q231*BaseLoad!W230*'Base Hours'!$AA231)</f>
        <v>-</v>
      </c>
      <c r="R231" s="417" t="str">
        <f aca="false">IF($A$1="Peak","-",'Base Hours'!R231*BaseLoad!X230*'Base Hours'!$AA231)</f>
        <v>-</v>
      </c>
      <c r="S231" s="417" t="str">
        <f aca="false">IF($A$1="Peak","-",'Base Hours'!S231*BaseLoad!Y230*'Base Hours'!$AA231)</f>
        <v>-</v>
      </c>
      <c r="T231" s="417" t="str">
        <f aca="false">IF($A$1="Peak","-",'Base Hours'!T231*BaseLoad!Z230*'Base Hours'!$AA231)</f>
        <v>-</v>
      </c>
      <c r="U231" s="417" t="str">
        <f aca="false">IF($A$1="Peak","-",'Base Hours'!U231*BaseLoad!AA230*'Base Hours'!$AA231)</f>
        <v>-</v>
      </c>
      <c r="V231" s="417" t="n">
        <f aca="false">SUM(B231:U231)-(MAX(B231:U231))</f>
        <v>0</v>
      </c>
      <c r="W231" s="417"/>
      <c r="X231" s="417"/>
      <c r="Y231" s="418"/>
      <c r="Z231" s="418" t="n">
        <f aca="false">(BaseLoad!C230*'Base Hours'!V231*'Base Hours'!$AA231)*-1</f>
        <v>-0</v>
      </c>
      <c r="AA231" s="418"/>
      <c r="AB231" s="418" t="n">
        <f aca="false">(BaseLoad!D230*'Base Hours'!V231*'Base Hours'!$AA231)*-1</f>
        <v>-0</v>
      </c>
      <c r="AC231" s="418"/>
      <c r="AD231" s="418" t="n">
        <f aca="false">(BaseLoad!E230*'Base Hours'!V231*'Base Hours'!$AA231)*-1</f>
        <v>-0</v>
      </c>
      <c r="AE231" s="418"/>
      <c r="AF231" s="418" t="n">
        <f aca="false">(BaseLoad!F230*'Base Hours'!V231*'Base Hours'!$AA231)*-1</f>
        <v>-0</v>
      </c>
      <c r="AG231" s="418"/>
    </row>
    <row r="232" customFormat="false" ht="12.75" hidden="false" customHeight="false" outlineLevel="0" collapsed="false">
      <c r="A232" s="400" t="n">
        <f aca="false">A231+30.417</f>
        <v>43292.574</v>
      </c>
      <c r="B232" s="417" t="str">
        <f aca="false">IF($A$1="Peak","-",'Base Hours'!B232*BaseLoad!H231*'Base Hours'!$AA232)</f>
        <v>-</v>
      </c>
      <c r="C232" s="417" t="str">
        <f aca="false">IF($A$1="Peak","-",'Base Hours'!C232*BaseLoad!I231*'Base Hours'!$AA232)</f>
        <v>-</v>
      </c>
      <c r="D232" s="417" t="str">
        <f aca="false">IF($A$1="Peak","-",'Base Hours'!D232*BaseLoad!J231*'Base Hours'!$AA232)</f>
        <v>-</v>
      </c>
      <c r="E232" s="417" t="str">
        <f aca="false">IF($A$1="Peak","-",'Base Hours'!E232*BaseLoad!K231*'Base Hours'!$AA232)</f>
        <v>-</v>
      </c>
      <c r="F232" s="417" t="str">
        <f aca="false">IF($A$1="Peak","-",'Base Hours'!F232*BaseLoad!L231*'Base Hours'!$AA232)</f>
        <v>-</v>
      </c>
      <c r="G232" s="417" t="str">
        <f aca="false">IF($A$1="Peak","-",'Base Hours'!G232*BaseLoad!M231*'Base Hours'!$AA232)</f>
        <v>-</v>
      </c>
      <c r="H232" s="417" t="str">
        <f aca="false">IF($A$1="Peak","-",'Base Hours'!H232*BaseLoad!N231*'Base Hours'!$AA232)</f>
        <v>-</v>
      </c>
      <c r="I232" s="417" t="str">
        <f aca="false">IF($A$1="Peak","-",'Base Hours'!I232*BaseLoad!O231*'Base Hours'!$AA232)</f>
        <v>-</v>
      </c>
      <c r="J232" s="417" t="str">
        <f aca="false">IF($A$1="Peak","-",'Base Hours'!J232*BaseLoad!P231*'Base Hours'!$AA232)</f>
        <v>-</v>
      </c>
      <c r="K232" s="417" t="str">
        <f aca="false">IF($A$1="Peak","-",'Base Hours'!K232*BaseLoad!Q231*'Base Hours'!$AA232)</f>
        <v>-</v>
      </c>
      <c r="L232" s="417" t="str">
        <f aca="false">IF($A$1="Peak","-",'Base Hours'!L232*BaseLoad!R231*'Base Hours'!$AA232)</f>
        <v>-</v>
      </c>
      <c r="M232" s="417" t="str">
        <f aca="false">IF($A$1="Peak","-",'Base Hours'!M232*BaseLoad!S231*'Base Hours'!$AA232)</f>
        <v>-</v>
      </c>
      <c r="N232" s="417" t="str">
        <f aca="false">IF($A$1="Peak","-",'Base Hours'!N232*BaseLoad!T231*'Base Hours'!$AA232)</f>
        <v>-</v>
      </c>
      <c r="O232" s="417" t="str">
        <f aca="false">IF($A$1="Peak","-",'Base Hours'!O232*BaseLoad!U231*'Base Hours'!$AA232)</f>
        <v>-</v>
      </c>
      <c r="P232" s="417" t="str">
        <f aca="false">IF($A$1="Peak","-",'Base Hours'!P232*BaseLoad!V231*'Base Hours'!$AA232)</f>
        <v>-</v>
      </c>
      <c r="Q232" s="417" t="str">
        <f aca="false">IF($A$1="Peak","-",'Base Hours'!Q232*BaseLoad!W231*'Base Hours'!$AA232)</f>
        <v>-</v>
      </c>
      <c r="R232" s="417" t="str">
        <f aca="false">IF($A$1="Peak","-",'Base Hours'!R232*BaseLoad!X231*'Base Hours'!$AA232)</f>
        <v>-</v>
      </c>
      <c r="S232" s="417" t="str">
        <f aca="false">IF($A$1="Peak","-",'Base Hours'!S232*BaseLoad!Y231*'Base Hours'!$AA232)</f>
        <v>-</v>
      </c>
      <c r="T232" s="417" t="str">
        <f aca="false">IF($A$1="Peak","-",'Base Hours'!T232*BaseLoad!Z231*'Base Hours'!$AA232)</f>
        <v>-</v>
      </c>
      <c r="U232" s="417" t="str">
        <f aca="false">IF($A$1="Peak","-",'Base Hours'!U232*BaseLoad!AA231*'Base Hours'!$AA232)</f>
        <v>-</v>
      </c>
      <c r="V232" s="417" t="n">
        <f aca="false">SUM(B232:U232)-(MAX(B232:U232))</f>
        <v>0</v>
      </c>
      <c r="W232" s="417"/>
      <c r="X232" s="417"/>
      <c r="Y232" s="418"/>
      <c r="Z232" s="418" t="n">
        <f aca="false">(BaseLoad!C231*'Base Hours'!V232*'Base Hours'!$AA232)*-1</f>
        <v>-0</v>
      </c>
      <c r="AA232" s="418"/>
      <c r="AB232" s="418" t="n">
        <f aca="false">(BaseLoad!D231*'Base Hours'!V232*'Base Hours'!$AA232)*-1</f>
        <v>-0</v>
      </c>
      <c r="AC232" s="418"/>
      <c r="AD232" s="418" t="n">
        <f aca="false">(BaseLoad!E231*'Base Hours'!V232*'Base Hours'!$AA232)*-1</f>
        <v>-0</v>
      </c>
      <c r="AE232" s="418"/>
      <c r="AF232" s="418" t="n">
        <f aca="false">(BaseLoad!F231*'Base Hours'!V232*'Base Hours'!$AA232)*-1</f>
        <v>-0</v>
      </c>
      <c r="AG232" s="418"/>
    </row>
    <row r="233" customFormat="false" ht="12.75" hidden="false" customHeight="false" outlineLevel="0" collapsed="false">
      <c r="A233" s="400" t="n">
        <f aca="false">A232+30.417</f>
        <v>43322.991</v>
      </c>
      <c r="B233" s="417" t="str">
        <f aca="false">IF($A$1="Peak","-",'Base Hours'!B233*BaseLoad!H232*'Base Hours'!$AA233)</f>
        <v>-</v>
      </c>
      <c r="C233" s="417" t="str">
        <f aca="false">IF($A$1="Peak","-",'Base Hours'!C233*BaseLoad!I232*'Base Hours'!$AA233)</f>
        <v>-</v>
      </c>
      <c r="D233" s="417" t="str">
        <f aca="false">IF($A$1="Peak","-",'Base Hours'!D233*BaseLoad!J232*'Base Hours'!$AA233)</f>
        <v>-</v>
      </c>
      <c r="E233" s="417" t="str">
        <f aca="false">IF($A$1="Peak","-",'Base Hours'!E233*BaseLoad!K232*'Base Hours'!$AA233)</f>
        <v>-</v>
      </c>
      <c r="F233" s="417" t="str">
        <f aca="false">IF($A$1="Peak","-",'Base Hours'!F233*BaseLoad!L232*'Base Hours'!$AA233)</f>
        <v>-</v>
      </c>
      <c r="G233" s="417" t="str">
        <f aca="false">IF($A$1="Peak","-",'Base Hours'!G233*BaseLoad!M232*'Base Hours'!$AA233)</f>
        <v>-</v>
      </c>
      <c r="H233" s="417" t="str">
        <f aca="false">IF($A$1="Peak","-",'Base Hours'!H233*BaseLoad!N232*'Base Hours'!$AA233)</f>
        <v>-</v>
      </c>
      <c r="I233" s="417" t="str">
        <f aca="false">IF($A$1="Peak","-",'Base Hours'!I233*BaseLoad!O232*'Base Hours'!$AA233)</f>
        <v>-</v>
      </c>
      <c r="J233" s="417" t="str">
        <f aca="false">IF($A$1="Peak","-",'Base Hours'!J233*BaseLoad!P232*'Base Hours'!$AA233)</f>
        <v>-</v>
      </c>
      <c r="K233" s="417" t="str">
        <f aca="false">IF($A$1="Peak","-",'Base Hours'!K233*BaseLoad!Q232*'Base Hours'!$AA233)</f>
        <v>-</v>
      </c>
      <c r="L233" s="417" t="str">
        <f aca="false">IF($A$1="Peak","-",'Base Hours'!L233*BaseLoad!R232*'Base Hours'!$AA233)</f>
        <v>-</v>
      </c>
      <c r="M233" s="417" t="str">
        <f aca="false">IF($A$1="Peak","-",'Base Hours'!M233*BaseLoad!S232*'Base Hours'!$AA233)</f>
        <v>-</v>
      </c>
      <c r="N233" s="417" t="str">
        <f aca="false">IF($A$1="Peak","-",'Base Hours'!N233*BaseLoad!T232*'Base Hours'!$AA233)</f>
        <v>-</v>
      </c>
      <c r="O233" s="417" t="str">
        <f aca="false">IF($A$1="Peak","-",'Base Hours'!O233*BaseLoad!U232*'Base Hours'!$AA233)</f>
        <v>-</v>
      </c>
      <c r="P233" s="417" t="str">
        <f aca="false">IF($A$1="Peak","-",'Base Hours'!P233*BaseLoad!V232*'Base Hours'!$AA233)</f>
        <v>-</v>
      </c>
      <c r="Q233" s="417" t="str">
        <f aca="false">IF($A$1="Peak","-",'Base Hours'!Q233*BaseLoad!W232*'Base Hours'!$AA233)</f>
        <v>-</v>
      </c>
      <c r="R233" s="417" t="str">
        <f aca="false">IF($A$1="Peak","-",'Base Hours'!R233*BaseLoad!X232*'Base Hours'!$AA233)</f>
        <v>-</v>
      </c>
      <c r="S233" s="417" t="str">
        <f aca="false">IF($A$1="Peak","-",'Base Hours'!S233*BaseLoad!Y232*'Base Hours'!$AA233)</f>
        <v>-</v>
      </c>
      <c r="T233" s="417" t="str">
        <f aca="false">IF($A$1="Peak","-",'Base Hours'!T233*BaseLoad!Z232*'Base Hours'!$AA233)</f>
        <v>-</v>
      </c>
      <c r="U233" s="417" t="str">
        <f aca="false">IF($A$1="Peak","-",'Base Hours'!U233*BaseLoad!AA232*'Base Hours'!$AA233)</f>
        <v>-</v>
      </c>
      <c r="V233" s="417" t="n">
        <f aca="false">SUM(B233:U233)-(MAX(B233:U233))</f>
        <v>0</v>
      </c>
      <c r="W233" s="417"/>
      <c r="X233" s="417"/>
      <c r="Y233" s="418"/>
      <c r="Z233" s="418" t="n">
        <f aca="false">(BaseLoad!C232*'Base Hours'!V233*'Base Hours'!$AA233)*-1</f>
        <v>-0</v>
      </c>
      <c r="AA233" s="418"/>
      <c r="AB233" s="418" t="n">
        <f aca="false">(BaseLoad!D232*'Base Hours'!V233*'Base Hours'!$AA233)*-1</f>
        <v>-0</v>
      </c>
      <c r="AC233" s="418"/>
      <c r="AD233" s="418" t="n">
        <f aca="false">(BaseLoad!E232*'Base Hours'!V233*'Base Hours'!$AA233)*-1</f>
        <v>-0</v>
      </c>
      <c r="AE233" s="418"/>
      <c r="AF233" s="418" t="n">
        <f aca="false">(BaseLoad!F232*'Base Hours'!V233*'Base Hours'!$AA233)*-1</f>
        <v>-0</v>
      </c>
      <c r="AG233" s="418"/>
    </row>
    <row r="234" customFormat="false" ht="12.75" hidden="false" customHeight="false" outlineLevel="0" collapsed="false">
      <c r="A234" s="400" t="n">
        <f aca="false">A233+30.417</f>
        <v>43353.408</v>
      </c>
      <c r="B234" s="417" t="str">
        <f aca="false">IF($A$1="Peak","-",'Base Hours'!B234*BaseLoad!H233*'Base Hours'!$AA234)</f>
        <v>-</v>
      </c>
      <c r="C234" s="417" t="str">
        <f aca="false">IF($A$1="Peak","-",'Base Hours'!C234*BaseLoad!I233*'Base Hours'!$AA234)</f>
        <v>-</v>
      </c>
      <c r="D234" s="417" t="str">
        <f aca="false">IF($A$1="Peak","-",'Base Hours'!D234*BaseLoad!J233*'Base Hours'!$AA234)</f>
        <v>-</v>
      </c>
      <c r="E234" s="417" t="str">
        <f aca="false">IF($A$1="Peak","-",'Base Hours'!E234*BaseLoad!K233*'Base Hours'!$AA234)</f>
        <v>-</v>
      </c>
      <c r="F234" s="417" t="str">
        <f aca="false">IF($A$1="Peak","-",'Base Hours'!F234*BaseLoad!L233*'Base Hours'!$AA234)</f>
        <v>-</v>
      </c>
      <c r="G234" s="417" t="str">
        <f aca="false">IF($A$1="Peak","-",'Base Hours'!G234*BaseLoad!M233*'Base Hours'!$AA234)</f>
        <v>-</v>
      </c>
      <c r="H234" s="417" t="str">
        <f aca="false">IF($A$1="Peak","-",'Base Hours'!H234*BaseLoad!N233*'Base Hours'!$AA234)</f>
        <v>-</v>
      </c>
      <c r="I234" s="417" t="str">
        <f aca="false">IF($A$1="Peak","-",'Base Hours'!I234*BaseLoad!O233*'Base Hours'!$AA234)</f>
        <v>-</v>
      </c>
      <c r="J234" s="417" t="str">
        <f aca="false">IF($A$1="Peak","-",'Base Hours'!J234*BaseLoad!P233*'Base Hours'!$AA234)</f>
        <v>-</v>
      </c>
      <c r="K234" s="417" t="str">
        <f aca="false">IF($A$1="Peak","-",'Base Hours'!K234*BaseLoad!Q233*'Base Hours'!$AA234)</f>
        <v>-</v>
      </c>
      <c r="L234" s="417" t="str">
        <f aca="false">IF($A$1="Peak","-",'Base Hours'!L234*BaseLoad!R233*'Base Hours'!$AA234)</f>
        <v>-</v>
      </c>
      <c r="M234" s="417" t="str">
        <f aca="false">IF($A$1="Peak","-",'Base Hours'!M234*BaseLoad!S233*'Base Hours'!$AA234)</f>
        <v>-</v>
      </c>
      <c r="N234" s="417" t="str">
        <f aca="false">IF($A$1="Peak","-",'Base Hours'!N234*BaseLoad!T233*'Base Hours'!$AA234)</f>
        <v>-</v>
      </c>
      <c r="O234" s="417" t="str">
        <f aca="false">IF($A$1="Peak","-",'Base Hours'!O234*BaseLoad!U233*'Base Hours'!$AA234)</f>
        <v>-</v>
      </c>
      <c r="P234" s="417" t="str">
        <f aca="false">IF($A$1="Peak","-",'Base Hours'!P234*BaseLoad!V233*'Base Hours'!$AA234)</f>
        <v>-</v>
      </c>
      <c r="Q234" s="417" t="str">
        <f aca="false">IF($A$1="Peak","-",'Base Hours'!Q234*BaseLoad!W233*'Base Hours'!$AA234)</f>
        <v>-</v>
      </c>
      <c r="R234" s="417" t="str">
        <f aca="false">IF($A$1="Peak","-",'Base Hours'!R234*BaseLoad!X233*'Base Hours'!$AA234)</f>
        <v>-</v>
      </c>
      <c r="S234" s="417" t="str">
        <f aca="false">IF($A$1="Peak","-",'Base Hours'!S234*BaseLoad!Y233*'Base Hours'!$AA234)</f>
        <v>-</v>
      </c>
      <c r="T234" s="417" t="str">
        <f aca="false">IF($A$1="Peak","-",'Base Hours'!T234*BaseLoad!Z233*'Base Hours'!$AA234)</f>
        <v>-</v>
      </c>
      <c r="U234" s="417" t="str">
        <f aca="false">IF($A$1="Peak","-",'Base Hours'!U234*BaseLoad!AA233*'Base Hours'!$AA234)</f>
        <v>-</v>
      </c>
      <c r="V234" s="417" t="n">
        <f aca="false">SUM(B234:U234)-(MAX(B234:U234))</f>
        <v>0</v>
      </c>
      <c r="W234" s="417"/>
      <c r="X234" s="417"/>
      <c r="Y234" s="418"/>
      <c r="Z234" s="418" t="n">
        <f aca="false">(BaseLoad!C233*'Base Hours'!V234*'Base Hours'!$AA234)*-1</f>
        <v>-0</v>
      </c>
      <c r="AA234" s="418"/>
      <c r="AB234" s="418" t="n">
        <f aca="false">(BaseLoad!D233*'Base Hours'!V234*'Base Hours'!$AA234)*-1</f>
        <v>-0</v>
      </c>
      <c r="AC234" s="418"/>
      <c r="AD234" s="418" t="n">
        <f aca="false">(BaseLoad!E233*'Base Hours'!V234*'Base Hours'!$AA234)*-1</f>
        <v>-0</v>
      </c>
      <c r="AE234" s="418"/>
      <c r="AF234" s="418" t="n">
        <f aca="false">(BaseLoad!F233*'Base Hours'!V234*'Base Hours'!$AA234)*-1</f>
        <v>-0</v>
      </c>
      <c r="AG234" s="418"/>
    </row>
    <row r="235" customFormat="false" ht="12.75" hidden="false" customHeight="false" outlineLevel="0" collapsed="false">
      <c r="A235" s="400" t="n">
        <f aca="false">A234+30.417</f>
        <v>43383.825</v>
      </c>
      <c r="B235" s="417" t="str">
        <f aca="false">IF($A$1="Peak","-",'Base Hours'!B235*BaseLoad!H234*'Base Hours'!$AA235)</f>
        <v>-</v>
      </c>
      <c r="C235" s="417" t="str">
        <f aca="false">IF($A$1="Peak","-",'Base Hours'!C235*BaseLoad!I234*'Base Hours'!$AA235)</f>
        <v>-</v>
      </c>
      <c r="D235" s="417" t="str">
        <f aca="false">IF($A$1="Peak","-",'Base Hours'!D235*BaseLoad!J234*'Base Hours'!$AA235)</f>
        <v>-</v>
      </c>
      <c r="E235" s="417" t="str">
        <f aca="false">IF($A$1="Peak","-",'Base Hours'!E235*BaseLoad!K234*'Base Hours'!$AA235)</f>
        <v>-</v>
      </c>
      <c r="F235" s="417" t="str">
        <f aca="false">IF($A$1="Peak","-",'Base Hours'!F235*BaseLoad!L234*'Base Hours'!$AA235)</f>
        <v>-</v>
      </c>
      <c r="G235" s="417" t="str">
        <f aca="false">IF($A$1="Peak","-",'Base Hours'!G235*BaseLoad!M234*'Base Hours'!$AA235)</f>
        <v>-</v>
      </c>
      <c r="H235" s="417" t="str">
        <f aca="false">IF($A$1="Peak","-",'Base Hours'!H235*BaseLoad!N234*'Base Hours'!$AA235)</f>
        <v>-</v>
      </c>
      <c r="I235" s="417" t="str">
        <f aca="false">IF($A$1="Peak","-",'Base Hours'!I235*BaseLoad!O234*'Base Hours'!$AA235)</f>
        <v>-</v>
      </c>
      <c r="J235" s="417" t="str">
        <f aca="false">IF($A$1="Peak","-",'Base Hours'!J235*BaseLoad!P234*'Base Hours'!$AA235)</f>
        <v>-</v>
      </c>
      <c r="K235" s="417" t="str">
        <f aca="false">IF($A$1="Peak","-",'Base Hours'!K235*BaseLoad!Q234*'Base Hours'!$AA235)</f>
        <v>-</v>
      </c>
      <c r="L235" s="417" t="str">
        <f aca="false">IF($A$1="Peak","-",'Base Hours'!L235*BaseLoad!R234*'Base Hours'!$AA235)</f>
        <v>-</v>
      </c>
      <c r="M235" s="417" t="str">
        <f aca="false">IF($A$1="Peak","-",'Base Hours'!M235*BaseLoad!S234*'Base Hours'!$AA235)</f>
        <v>-</v>
      </c>
      <c r="N235" s="417" t="str">
        <f aca="false">IF($A$1="Peak","-",'Base Hours'!N235*BaseLoad!T234*'Base Hours'!$AA235)</f>
        <v>-</v>
      </c>
      <c r="O235" s="417" t="str">
        <f aca="false">IF($A$1="Peak","-",'Base Hours'!O235*BaseLoad!U234*'Base Hours'!$AA235)</f>
        <v>-</v>
      </c>
      <c r="P235" s="417" t="str">
        <f aca="false">IF($A$1="Peak","-",'Base Hours'!P235*BaseLoad!V234*'Base Hours'!$AA235)</f>
        <v>-</v>
      </c>
      <c r="Q235" s="417" t="str">
        <f aca="false">IF($A$1="Peak","-",'Base Hours'!Q235*BaseLoad!W234*'Base Hours'!$AA235)</f>
        <v>-</v>
      </c>
      <c r="R235" s="417" t="str">
        <f aca="false">IF($A$1="Peak","-",'Base Hours'!R235*BaseLoad!X234*'Base Hours'!$AA235)</f>
        <v>-</v>
      </c>
      <c r="S235" s="417" t="str">
        <f aca="false">IF($A$1="Peak","-",'Base Hours'!S235*BaseLoad!Y234*'Base Hours'!$AA235)</f>
        <v>-</v>
      </c>
      <c r="T235" s="417" t="str">
        <f aca="false">IF($A$1="Peak","-",'Base Hours'!T235*BaseLoad!Z234*'Base Hours'!$AA235)</f>
        <v>-</v>
      </c>
      <c r="U235" s="417" t="str">
        <f aca="false">IF($A$1="Peak","-",'Base Hours'!U235*BaseLoad!AA234*'Base Hours'!$AA235)</f>
        <v>-</v>
      </c>
      <c r="V235" s="417" t="n">
        <f aca="false">SUM(B235:U235)-(MAX(B235:U235))</f>
        <v>0</v>
      </c>
      <c r="W235" s="417"/>
      <c r="X235" s="417"/>
      <c r="Y235" s="418"/>
      <c r="Z235" s="418" t="n">
        <f aca="false">(BaseLoad!C234*'Base Hours'!V235*'Base Hours'!$AA235)*-1</f>
        <v>-0</v>
      </c>
      <c r="AA235" s="418"/>
      <c r="AB235" s="418" t="n">
        <f aca="false">(BaseLoad!D234*'Base Hours'!V235*'Base Hours'!$AA235)*-1</f>
        <v>-0</v>
      </c>
      <c r="AC235" s="418"/>
      <c r="AD235" s="418" t="n">
        <f aca="false">(BaseLoad!E234*'Base Hours'!V235*'Base Hours'!$AA235)*-1</f>
        <v>-0</v>
      </c>
      <c r="AE235" s="418"/>
      <c r="AF235" s="418" t="n">
        <f aca="false">(BaseLoad!F234*'Base Hours'!V235*'Base Hours'!$AA235)*-1</f>
        <v>-0</v>
      </c>
      <c r="AG235" s="418"/>
    </row>
    <row r="236" customFormat="false" ht="12.75" hidden="false" customHeight="false" outlineLevel="0" collapsed="false">
      <c r="A236" s="400" t="n">
        <f aca="false">A235+30.417</f>
        <v>43414.242</v>
      </c>
      <c r="B236" s="417" t="str">
        <f aca="false">IF($A$1="Peak","-",'Base Hours'!B236*BaseLoad!H235*'Base Hours'!$AA236)</f>
        <v>-</v>
      </c>
      <c r="C236" s="417" t="str">
        <f aca="false">IF($A$1="Peak","-",'Base Hours'!C236*BaseLoad!I235*'Base Hours'!$AA236)</f>
        <v>-</v>
      </c>
      <c r="D236" s="417" t="str">
        <f aca="false">IF($A$1="Peak","-",'Base Hours'!D236*BaseLoad!J235*'Base Hours'!$AA236)</f>
        <v>-</v>
      </c>
      <c r="E236" s="417" t="str">
        <f aca="false">IF($A$1="Peak","-",'Base Hours'!E236*BaseLoad!K235*'Base Hours'!$AA236)</f>
        <v>-</v>
      </c>
      <c r="F236" s="417" t="str">
        <f aca="false">IF($A$1="Peak","-",'Base Hours'!F236*BaseLoad!L235*'Base Hours'!$AA236)</f>
        <v>-</v>
      </c>
      <c r="G236" s="417" t="str">
        <f aca="false">IF($A$1="Peak","-",'Base Hours'!G236*BaseLoad!M235*'Base Hours'!$AA236)</f>
        <v>-</v>
      </c>
      <c r="H236" s="417" t="str">
        <f aca="false">IF($A$1="Peak","-",'Base Hours'!H236*BaseLoad!N235*'Base Hours'!$AA236)</f>
        <v>-</v>
      </c>
      <c r="I236" s="417" t="str">
        <f aca="false">IF($A$1="Peak","-",'Base Hours'!I236*BaseLoad!O235*'Base Hours'!$AA236)</f>
        <v>-</v>
      </c>
      <c r="J236" s="417" t="str">
        <f aca="false">IF($A$1="Peak","-",'Base Hours'!J236*BaseLoad!P235*'Base Hours'!$AA236)</f>
        <v>-</v>
      </c>
      <c r="K236" s="417" t="str">
        <f aca="false">IF($A$1="Peak","-",'Base Hours'!K236*BaseLoad!Q235*'Base Hours'!$AA236)</f>
        <v>-</v>
      </c>
      <c r="L236" s="417" t="str">
        <f aca="false">IF($A$1="Peak","-",'Base Hours'!L236*BaseLoad!R235*'Base Hours'!$AA236)</f>
        <v>-</v>
      </c>
      <c r="M236" s="417" t="str">
        <f aca="false">IF($A$1="Peak","-",'Base Hours'!M236*BaseLoad!S235*'Base Hours'!$AA236)</f>
        <v>-</v>
      </c>
      <c r="N236" s="417" t="str">
        <f aca="false">IF($A$1="Peak","-",'Base Hours'!N236*BaseLoad!T235*'Base Hours'!$AA236)</f>
        <v>-</v>
      </c>
      <c r="O236" s="417" t="str">
        <f aca="false">IF($A$1="Peak","-",'Base Hours'!O236*BaseLoad!U235*'Base Hours'!$AA236)</f>
        <v>-</v>
      </c>
      <c r="P236" s="417" t="str">
        <f aca="false">IF($A$1="Peak","-",'Base Hours'!P236*BaseLoad!V235*'Base Hours'!$AA236)</f>
        <v>-</v>
      </c>
      <c r="Q236" s="417" t="str">
        <f aca="false">IF($A$1="Peak","-",'Base Hours'!Q236*BaseLoad!W235*'Base Hours'!$AA236)</f>
        <v>-</v>
      </c>
      <c r="R236" s="417" t="str">
        <f aca="false">IF($A$1="Peak","-",'Base Hours'!R236*BaseLoad!X235*'Base Hours'!$AA236)</f>
        <v>-</v>
      </c>
      <c r="S236" s="417" t="str">
        <f aca="false">IF($A$1="Peak","-",'Base Hours'!S236*BaseLoad!Y235*'Base Hours'!$AA236)</f>
        <v>-</v>
      </c>
      <c r="T236" s="417" t="str">
        <f aca="false">IF($A$1="Peak","-",'Base Hours'!T236*BaseLoad!Z235*'Base Hours'!$AA236)</f>
        <v>-</v>
      </c>
      <c r="U236" s="417" t="str">
        <f aca="false">IF($A$1="Peak","-",'Base Hours'!U236*BaseLoad!AA235*'Base Hours'!$AA236)</f>
        <v>-</v>
      </c>
      <c r="V236" s="417" t="n">
        <f aca="false">SUM(B236:U236)-(MAX(B236:U236))</f>
        <v>0</v>
      </c>
      <c r="W236" s="417"/>
      <c r="X236" s="417"/>
      <c r="Y236" s="418"/>
      <c r="Z236" s="418" t="n">
        <f aca="false">(BaseLoad!C235*'Base Hours'!V236*'Base Hours'!$AA236)*-1</f>
        <v>-0</v>
      </c>
      <c r="AA236" s="418"/>
      <c r="AB236" s="418" t="n">
        <f aca="false">(BaseLoad!D235*'Base Hours'!V236*'Base Hours'!$AA236)*-1</f>
        <v>-0</v>
      </c>
      <c r="AC236" s="418"/>
      <c r="AD236" s="418" t="n">
        <f aca="false">(BaseLoad!E235*'Base Hours'!V236*'Base Hours'!$AA236)*-1</f>
        <v>-0</v>
      </c>
      <c r="AE236" s="418"/>
      <c r="AF236" s="418" t="n">
        <f aca="false">(BaseLoad!F235*'Base Hours'!V236*'Base Hours'!$AA236)*-1</f>
        <v>-0</v>
      </c>
      <c r="AG236" s="418"/>
    </row>
    <row r="237" customFormat="false" ht="12.75" hidden="false" customHeight="false" outlineLevel="0" collapsed="false">
      <c r="A237" s="400" t="n">
        <f aca="false">A236+30.417</f>
        <v>43444.659</v>
      </c>
      <c r="B237" s="417" t="str">
        <f aca="false">IF($A$1="Peak","-",'Base Hours'!B237*BaseLoad!H236*'Base Hours'!$AA237)</f>
        <v>-</v>
      </c>
      <c r="C237" s="417" t="str">
        <f aca="false">IF($A$1="Peak","-",'Base Hours'!C237*BaseLoad!I236*'Base Hours'!$AA237)</f>
        <v>-</v>
      </c>
      <c r="D237" s="417" t="str">
        <f aca="false">IF($A$1="Peak","-",'Base Hours'!D237*BaseLoad!J236*'Base Hours'!$AA237)</f>
        <v>-</v>
      </c>
      <c r="E237" s="417" t="str">
        <f aca="false">IF($A$1="Peak","-",'Base Hours'!E237*BaseLoad!K236*'Base Hours'!$AA237)</f>
        <v>-</v>
      </c>
      <c r="F237" s="417" t="str">
        <f aca="false">IF($A$1="Peak","-",'Base Hours'!F237*BaseLoad!L236*'Base Hours'!$AA237)</f>
        <v>-</v>
      </c>
      <c r="G237" s="417" t="str">
        <f aca="false">IF($A$1="Peak","-",'Base Hours'!G237*BaseLoad!M236*'Base Hours'!$AA237)</f>
        <v>-</v>
      </c>
      <c r="H237" s="417" t="str">
        <f aca="false">IF($A$1="Peak","-",'Base Hours'!H237*BaseLoad!N236*'Base Hours'!$AA237)</f>
        <v>-</v>
      </c>
      <c r="I237" s="417" t="str">
        <f aca="false">IF($A$1="Peak","-",'Base Hours'!I237*BaseLoad!O236*'Base Hours'!$AA237)</f>
        <v>-</v>
      </c>
      <c r="J237" s="417" t="str">
        <f aca="false">IF($A$1="Peak","-",'Base Hours'!J237*BaseLoad!P236*'Base Hours'!$AA237)</f>
        <v>-</v>
      </c>
      <c r="K237" s="417" t="str">
        <f aca="false">IF($A$1="Peak","-",'Base Hours'!K237*BaseLoad!Q236*'Base Hours'!$AA237)</f>
        <v>-</v>
      </c>
      <c r="L237" s="417" t="str">
        <f aca="false">IF($A$1="Peak","-",'Base Hours'!L237*BaseLoad!R236*'Base Hours'!$AA237)</f>
        <v>-</v>
      </c>
      <c r="M237" s="417" t="str">
        <f aca="false">IF($A$1="Peak","-",'Base Hours'!M237*BaseLoad!S236*'Base Hours'!$AA237)</f>
        <v>-</v>
      </c>
      <c r="N237" s="417" t="str">
        <f aca="false">IF($A$1="Peak","-",'Base Hours'!N237*BaseLoad!T236*'Base Hours'!$AA237)</f>
        <v>-</v>
      </c>
      <c r="O237" s="417" t="str">
        <f aca="false">IF($A$1="Peak","-",'Base Hours'!O237*BaseLoad!U236*'Base Hours'!$AA237)</f>
        <v>-</v>
      </c>
      <c r="P237" s="417" t="str">
        <f aca="false">IF($A$1="Peak","-",'Base Hours'!P237*BaseLoad!V236*'Base Hours'!$AA237)</f>
        <v>-</v>
      </c>
      <c r="Q237" s="417" t="str">
        <f aca="false">IF($A$1="Peak","-",'Base Hours'!Q237*BaseLoad!W236*'Base Hours'!$AA237)</f>
        <v>-</v>
      </c>
      <c r="R237" s="417" t="str">
        <f aca="false">IF($A$1="Peak","-",'Base Hours'!R237*BaseLoad!X236*'Base Hours'!$AA237)</f>
        <v>-</v>
      </c>
      <c r="S237" s="417" t="str">
        <f aca="false">IF($A$1="Peak","-",'Base Hours'!S237*BaseLoad!Y236*'Base Hours'!$AA237)</f>
        <v>-</v>
      </c>
      <c r="T237" s="417" t="str">
        <f aca="false">IF($A$1="Peak","-",'Base Hours'!T237*BaseLoad!Z236*'Base Hours'!$AA237)</f>
        <v>-</v>
      </c>
      <c r="U237" s="417" t="str">
        <f aca="false">IF($A$1="Peak","-",'Base Hours'!U237*BaseLoad!AA236*'Base Hours'!$AA237)</f>
        <v>-</v>
      </c>
      <c r="V237" s="417" t="n">
        <f aca="false">SUM(B237:U237)-(MAX(B237:U237))</f>
        <v>0</v>
      </c>
      <c r="W237" s="417"/>
      <c r="X237" s="417"/>
      <c r="Y237" s="418" t="n">
        <f aca="false">SUM(B226:U237)</f>
        <v>0</v>
      </c>
      <c r="Z237" s="418" t="n">
        <f aca="false">(BaseLoad!C236*'Base Hours'!V237*'Base Hours'!$AA237)*-1</f>
        <v>-0</v>
      </c>
      <c r="AA237" s="418" t="n">
        <f aca="false">SUM(Z226:Z237)</f>
        <v>0</v>
      </c>
      <c r="AB237" s="418" t="n">
        <f aca="false">(BaseLoad!D236*'Base Hours'!V237*'Base Hours'!$AA237)*-1</f>
        <v>-0</v>
      </c>
      <c r="AC237" s="418" t="n">
        <f aca="false">SUM(AB226:AB237)</f>
        <v>0</v>
      </c>
      <c r="AD237" s="418" t="n">
        <f aca="false">(BaseLoad!E236*'Base Hours'!V237*'Base Hours'!$AA237)*-1</f>
        <v>-0</v>
      </c>
      <c r="AE237" s="418" t="n">
        <f aca="false">SUM(AD226:AD237)</f>
        <v>0</v>
      </c>
      <c r="AF237" s="418" t="n">
        <f aca="false">(BaseLoad!F236*'Base Hours'!V237*'Base Hours'!$AA237)*-1</f>
        <v>-0</v>
      </c>
      <c r="AG237" s="418" t="n">
        <f aca="false">SUM(AF226:AF237)</f>
        <v>0</v>
      </c>
    </row>
    <row r="238" customFormat="false" ht="12.75" hidden="false" customHeight="false" outlineLevel="0" collapsed="false">
      <c r="A238" s="400" t="n">
        <f aca="false">A237+30.417</f>
        <v>43475.076</v>
      </c>
      <c r="B238" s="417" t="str">
        <f aca="false">IF($A$1="Peak","-",'Base Hours'!B238*BaseLoad!H237*'Base Hours'!$AA238)</f>
        <v>-</v>
      </c>
      <c r="C238" s="417" t="str">
        <f aca="false">IF($A$1="Peak","-",'Base Hours'!C238*BaseLoad!I237*'Base Hours'!$AA238)</f>
        <v>-</v>
      </c>
      <c r="D238" s="417" t="str">
        <f aca="false">IF($A$1="Peak","-",'Base Hours'!D238*BaseLoad!J237*'Base Hours'!$AA238)</f>
        <v>-</v>
      </c>
      <c r="E238" s="417" t="str">
        <f aca="false">IF($A$1="Peak","-",'Base Hours'!E238*BaseLoad!K237*'Base Hours'!$AA238)</f>
        <v>-</v>
      </c>
      <c r="F238" s="417" t="str">
        <f aca="false">IF($A$1="Peak","-",'Base Hours'!F238*BaseLoad!L237*'Base Hours'!$AA238)</f>
        <v>-</v>
      </c>
      <c r="G238" s="417" t="str">
        <f aca="false">IF($A$1="Peak","-",'Base Hours'!G238*BaseLoad!M237*'Base Hours'!$AA238)</f>
        <v>-</v>
      </c>
      <c r="H238" s="417" t="str">
        <f aca="false">IF($A$1="Peak","-",'Base Hours'!H238*BaseLoad!N237*'Base Hours'!$AA238)</f>
        <v>-</v>
      </c>
      <c r="I238" s="417" t="str">
        <f aca="false">IF($A$1="Peak","-",'Base Hours'!I238*BaseLoad!O237*'Base Hours'!$AA238)</f>
        <v>-</v>
      </c>
      <c r="J238" s="417" t="str">
        <f aca="false">IF($A$1="Peak","-",'Base Hours'!J238*BaseLoad!P237*'Base Hours'!$AA238)</f>
        <v>-</v>
      </c>
      <c r="K238" s="417" t="str">
        <f aca="false">IF($A$1="Peak","-",'Base Hours'!K238*BaseLoad!Q237*'Base Hours'!$AA238)</f>
        <v>-</v>
      </c>
      <c r="L238" s="417" t="str">
        <f aca="false">IF($A$1="Peak","-",'Base Hours'!L238*BaseLoad!R237*'Base Hours'!$AA238)</f>
        <v>-</v>
      </c>
      <c r="M238" s="417" t="str">
        <f aca="false">IF($A$1="Peak","-",'Base Hours'!M238*BaseLoad!S237*'Base Hours'!$AA238)</f>
        <v>-</v>
      </c>
      <c r="N238" s="417" t="str">
        <f aca="false">IF($A$1="Peak","-",'Base Hours'!N238*BaseLoad!T237*'Base Hours'!$AA238)</f>
        <v>-</v>
      </c>
      <c r="O238" s="417" t="str">
        <f aca="false">IF($A$1="Peak","-",'Base Hours'!O238*BaseLoad!U237*'Base Hours'!$AA238)</f>
        <v>-</v>
      </c>
      <c r="P238" s="417" t="str">
        <f aca="false">IF($A$1="Peak","-",'Base Hours'!P238*BaseLoad!V237*'Base Hours'!$AA238)</f>
        <v>-</v>
      </c>
      <c r="Q238" s="417" t="str">
        <f aca="false">IF($A$1="Peak","-",'Base Hours'!Q238*BaseLoad!W237*'Base Hours'!$AA238)</f>
        <v>-</v>
      </c>
      <c r="R238" s="417" t="str">
        <f aca="false">IF($A$1="Peak","-",'Base Hours'!R238*BaseLoad!X237*'Base Hours'!$AA238)</f>
        <v>-</v>
      </c>
      <c r="S238" s="417" t="str">
        <f aca="false">IF($A$1="Peak","-",'Base Hours'!S238*BaseLoad!Y237*'Base Hours'!$AA238)</f>
        <v>-</v>
      </c>
      <c r="T238" s="417" t="str">
        <f aca="false">IF($A$1="Peak","-",'Base Hours'!T238*BaseLoad!Z237*'Base Hours'!$AA238)</f>
        <v>-</v>
      </c>
      <c r="U238" s="417" t="str">
        <f aca="false">IF($A$1="Peak","-",'Base Hours'!U238*BaseLoad!AA237*'Base Hours'!$AA238)</f>
        <v>-</v>
      </c>
      <c r="V238" s="417" t="n">
        <f aca="false">SUM(B238:U238)-(MAX(B238:U238))</f>
        <v>0</v>
      </c>
      <c r="W238" s="417"/>
      <c r="X238" s="417"/>
      <c r="Y238" s="418"/>
      <c r="Z238" s="418" t="n">
        <f aca="false">(BaseLoad!C237*'Base Hours'!V238*'Base Hours'!$AA238)*-1</f>
        <v>-0</v>
      </c>
      <c r="AA238" s="418"/>
      <c r="AB238" s="418" t="n">
        <f aca="false">(BaseLoad!D237*'Base Hours'!V238*'Base Hours'!$AA238)*-1</f>
        <v>-0</v>
      </c>
      <c r="AC238" s="418"/>
      <c r="AD238" s="418" t="n">
        <f aca="false">(BaseLoad!E237*'Base Hours'!V238*'Base Hours'!$AA238)*-1</f>
        <v>-0</v>
      </c>
      <c r="AE238" s="418"/>
      <c r="AF238" s="418" t="n">
        <f aca="false">(BaseLoad!F237*'Base Hours'!V238*'Base Hours'!$AA238)*-1</f>
        <v>-0</v>
      </c>
      <c r="AG238" s="418"/>
    </row>
    <row r="239" customFormat="false" ht="12.75" hidden="false" customHeight="false" outlineLevel="0" collapsed="false">
      <c r="A239" s="400" t="n">
        <f aca="false">A238+30.417</f>
        <v>43505.493</v>
      </c>
      <c r="B239" s="417" t="str">
        <f aca="false">IF($A$1="Peak","-",'Base Hours'!B239*BaseLoad!H238*'Base Hours'!$AA239)</f>
        <v>-</v>
      </c>
      <c r="C239" s="417" t="str">
        <f aca="false">IF($A$1="Peak","-",'Base Hours'!C239*BaseLoad!I238*'Base Hours'!$AA239)</f>
        <v>-</v>
      </c>
      <c r="D239" s="417" t="str">
        <f aca="false">IF($A$1="Peak","-",'Base Hours'!D239*BaseLoad!J238*'Base Hours'!$AA239)</f>
        <v>-</v>
      </c>
      <c r="E239" s="417" t="str">
        <f aca="false">IF($A$1="Peak","-",'Base Hours'!E239*BaseLoad!K238*'Base Hours'!$AA239)</f>
        <v>-</v>
      </c>
      <c r="F239" s="417" t="str">
        <f aca="false">IF($A$1="Peak","-",'Base Hours'!F239*BaseLoad!L238*'Base Hours'!$AA239)</f>
        <v>-</v>
      </c>
      <c r="G239" s="417" t="str">
        <f aca="false">IF($A$1="Peak","-",'Base Hours'!G239*BaseLoad!M238*'Base Hours'!$AA239)</f>
        <v>-</v>
      </c>
      <c r="H239" s="417" t="str">
        <f aca="false">IF($A$1="Peak","-",'Base Hours'!H239*BaseLoad!N238*'Base Hours'!$AA239)</f>
        <v>-</v>
      </c>
      <c r="I239" s="417" t="str">
        <f aca="false">IF($A$1="Peak","-",'Base Hours'!I239*BaseLoad!O238*'Base Hours'!$AA239)</f>
        <v>-</v>
      </c>
      <c r="J239" s="417" t="str">
        <f aca="false">IF($A$1="Peak","-",'Base Hours'!J239*BaseLoad!P238*'Base Hours'!$AA239)</f>
        <v>-</v>
      </c>
      <c r="K239" s="417" t="str">
        <f aca="false">IF($A$1="Peak","-",'Base Hours'!K239*BaseLoad!Q238*'Base Hours'!$AA239)</f>
        <v>-</v>
      </c>
      <c r="L239" s="417" t="str">
        <f aca="false">IF($A$1="Peak","-",'Base Hours'!L239*BaseLoad!R238*'Base Hours'!$AA239)</f>
        <v>-</v>
      </c>
      <c r="M239" s="417" t="str">
        <f aca="false">IF($A$1="Peak","-",'Base Hours'!M239*BaseLoad!S238*'Base Hours'!$AA239)</f>
        <v>-</v>
      </c>
      <c r="N239" s="417" t="str">
        <f aca="false">IF($A$1="Peak","-",'Base Hours'!N239*BaseLoad!T238*'Base Hours'!$AA239)</f>
        <v>-</v>
      </c>
      <c r="O239" s="417" t="str">
        <f aca="false">IF($A$1="Peak","-",'Base Hours'!O239*BaseLoad!U238*'Base Hours'!$AA239)</f>
        <v>-</v>
      </c>
      <c r="P239" s="417" t="str">
        <f aca="false">IF($A$1="Peak","-",'Base Hours'!P239*BaseLoad!V238*'Base Hours'!$AA239)</f>
        <v>-</v>
      </c>
      <c r="Q239" s="417" t="str">
        <f aca="false">IF($A$1="Peak","-",'Base Hours'!Q239*BaseLoad!W238*'Base Hours'!$AA239)</f>
        <v>-</v>
      </c>
      <c r="R239" s="417" t="str">
        <f aca="false">IF($A$1="Peak","-",'Base Hours'!R239*BaseLoad!X238*'Base Hours'!$AA239)</f>
        <v>-</v>
      </c>
      <c r="S239" s="417" t="str">
        <f aca="false">IF($A$1="Peak","-",'Base Hours'!S239*BaseLoad!Y238*'Base Hours'!$AA239)</f>
        <v>-</v>
      </c>
      <c r="T239" s="417" t="str">
        <f aca="false">IF($A$1="Peak","-",'Base Hours'!T239*BaseLoad!Z238*'Base Hours'!$AA239)</f>
        <v>-</v>
      </c>
      <c r="U239" s="417" t="str">
        <f aca="false">IF($A$1="Peak","-",'Base Hours'!U239*BaseLoad!AA238*'Base Hours'!$AA239)</f>
        <v>-</v>
      </c>
      <c r="V239" s="417" t="n">
        <f aca="false">SUM(B239:U239)-(MAX(B239:U239))</f>
        <v>0</v>
      </c>
      <c r="W239" s="417"/>
      <c r="X239" s="417"/>
      <c r="Y239" s="418"/>
      <c r="Z239" s="418" t="n">
        <f aca="false">(BaseLoad!C238*'Base Hours'!V239*'Base Hours'!$AA239)*-1</f>
        <v>-0</v>
      </c>
      <c r="AA239" s="418"/>
      <c r="AB239" s="418" t="n">
        <f aca="false">(BaseLoad!D238*'Base Hours'!V239*'Base Hours'!$AA239)*-1</f>
        <v>-0</v>
      </c>
      <c r="AC239" s="418"/>
      <c r="AD239" s="418" t="n">
        <f aca="false">(BaseLoad!E238*'Base Hours'!V239*'Base Hours'!$AA239)*-1</f>
        <v>-0</v>
      </c>
      <c r="AE239" s="418"/>
      <c r="AF239" s="418" t="n">
        <f aca="false">(BaseLoad!F238*'Base Hours'!V239*'Base Hours'!$AA239)*-1</f>
        <v>-0</v>
      </c>
      <c r="AG239" s="418"/>
    </row>
    <row r="240" customFormat="false" ht="12.75" hidden="false" customHeight="false" outlineLevel="0" collapsed="false">
      <c r="A240" s="400" t="n">
        <f aca="false">A239+30.417</f>
        <v>43535.91</v>
      </c>
      <c r="B240" s="417" t="str">
        <f aca="false">IF($A$1="Peak","-",'Base Hours'!B240*BaseLoad!H239*'Base Hours'!$AA240)</f>
        <v>-</v>
      </c>
      <c r="C240" s="417" t="str">
        <f aca="false">IF($A$1="Peak","-",'Base Hours'!C240*BaseLoad!I239*'Base Hours'!$AA240)</f>
        <v>-</v>
      </c>
      <c r="D240" s="417" t="str">
        <f aca="false">IF($A$1="Peak","-",'Base Hours'!D240*BaseLoad!J239*'Base Hours'!$AA240)</f>
        <v>-</v>
      </c>
      <c r="E240" s="417" t="str">
        <f aca="false">IF($A$1="Peak","-",'Base Hours'!E240*BaseLoad!K239*'Base Hours'!$AA240)</f>
        <v>-</v>
      </c>
      <c r="F240" s="417" t="str">
        <f aca="false">IF($A$1="Peak","-",'Base Hours'!F240*BaseLoad!L239*'Base Hours'!$AA240)</f>
        <v>-</v>
      </c>
      <c r="G240" s="417" t="str">
        <f aca="false">IF($A$1="Peak","-",'Base Hours'!G240*BaseLoad!M239*'Base Hours'!$AA240)</f>
        <v>-</v>
      </c>
      <c r="H240" s="417" t="str">
        <f aca="false">IF($A$1="Peak","-",'Base Hours'!H240*BaseLoad!N239*'Base Hours'!$AA240)</f>
        <v>-</v>
      </c>
      <c r="I240" s="417" t="str">
        <f aca="false">IF($A$1="Peak","-",'Base Hours'!I240*BaseLoad!O239*'Base Hours'!$AA240)</f>
        <v>-</v>
      </c>
      <c r="J240" s="417" t="str">
        <f aca="false">IF($A$1="Peak","-",'Base Hours'!J240*BaseLoad!P239*'Base Hours'!$AA240)</f>
        <v>-</v>
      </c>
      <c r="K240" s="417" t="str">
        <f aca="false">IF($A$1="Peak","-",'Base Hours'!K240*BaseLoad!Q239*'Base Hours'!$AA240)</f>
        <v>-</v>
      </c>
      <c r="L240" s="417" t="str">
        <f aca="false">IF($A$1="Peak","-",'Base Hours'!L240*BaseLoad!R239*'Base Hours'!$AA240)</f>
        <v>-</v>
      </c>
      <c r="M240" s="417" t="str">
        <f aca="false">IF($A$1="Peak","-",'Base Hours'!M240*BaseLoad!S239*'Base Hours'!$AA240)</f>
        <v>-</v>
      </c>
      <c r="N240" s="417" t="str">
        <f aca="false">IF($A$1="Peak","-",'Base Hours'!N240*BaseLoad!T239*'Base Hours'!$AA240)</f>
        <v>-</v>
      </c>
      <c r="O240" s="417" t="str">
        <f aca="false">IF($A$1="Peak","-",'Base Hours'!O240*BaseLoad!U239*'Base Hours'!$AA240)</f>
        <v>-</v>
      </c>
      <c r="P240" s="417" t="str">
        <f aca="false">IF($A$1="Peak","-",'Base Hours'!P240*BaseLoad!V239*'Base Hours'!$AA240)</f>
        <v>-</v>
      </c>
      <c r="Q240" s="417" t="str">
        <f aca="false">IF($A$1="Peak","-",'Base Hours'!Q240*BaseLoad!W239*'Base Hours'!$AA240)</f>
        <v>-</v>
      </c>
      <c r="R240" s="417" t="str">
        <f aca="false">IF($A$1="Peak","-",'Base Hours'!R240*BaseLoad!X239*'Base Hours'!$AA240)</f>
        <v>-</v>
      </c>
      <c r="S240" s="417" t="str">
        <f aca="false">IF($A$1="Peak","-",'Base Hours'!S240*BaseLoad!Y239*'Base Hours'!$AA240)</f>
        <v>-</v>
      </c>
      <c r="T240" s="417" t="str">
        <f aca="false">IF($A$1="Peak","-",'Base Hours'!T240*BaseLoad!Z239*'Base Hours'!$AA240)</f>
        <v>-</v>
      </c>
      <c r="U240" s="417" t="str">
        <f aca="false">IF($A$1="Peak","-",'Base Hours'!U240*BaseLoad!AA239*'Base Hours'!$AA240)</f>
        <v>-</v>
      </c>
      <c r="V240" s="417" t="n">
        <f aca="false">SUM(B240:U240)-(MAX(B240:U240))</f>
        <v>0</v>
      </c>
      <c r="W240" s="417"/>
      <c r="X240" s="417"/>
      <c r="Y240" s="418"/>
      <c r="Z240" s="418" t="n">
        <f aca="false">(BaseLoad!C239*'Base Hours'!V240*'Base Hours'!$AA240)*-1</f>
        <v>-0</v>
      </c>
      <c r="AA240" s="418"/>
      <c r="AB240" s="418" t="n">
        <f aca="false">(BaseLoad!D239*'Base Hours'!V240*'Base Hours'!$AA240)*-1</f>
        <v>-0</v>
      </c>
      <c r="AC240" s="418"/>
      <c r="AD240" s="418" t="n">
        <f aca="false">(BaseLoad!E239*'Base Hours'!V240*'Base Hours'!$AA240)*-1</f>
        <v>-0</v>
      </c>
      <c r="AE240" s="418"/>
      <c r="AF240" s="418" t="n">
        <f aca="false">(BaseLoad!F239*'Base Hours'!V240*'Base Hours'!$AA240)*-1</f>
        <v>-0</v>
      </c>
      <c r="AG240" s="418"/>
    </row>
    <row r="241" customFormat="false" ht="12.75" hidden="false" customHeight="false" outlineLevel="0" collapsed="false">
      <c r="A241" s="400" t="n">
        <f aca="false">A240+30.417</f>
        <v>43566.327</v>
      </c>
      <c r="B241" s="417" t="str">
        <f aca="false">IF($A$1="Peak","-",'Base Hours'!B241*BaseLoad!H240*'Base Hours'!$AA241)</f>
        <v>-</v>
      </c>
      <c r="C241" s="417" t="str">
        <f aca="false">IF($A$1="Peak","-",'Base Hours'!C241*BaseLoad!I240*'Base Hours'!$AA241)</f>
        <v>-</v>
      </c>
      <c r="D241" s="417" t="str">
        <f aca="false">IF($A$1="Peak","-",'Base Hours'!D241*BaseLoad!J240*'Base Hours'!$AA241)</f>
        <v>-</v>
      </c>
      <c r="E241" s="417" t="str">
        <f aca="false">IF($A$1="Peak","-",'Base Hours'!E241*BaseLoad!K240*'Base Hours'!$AA241)</f>
        <v>-</v>
      </c>
      <c r="F241" s="417" t="str">
        <f aca="false">IF($A$1="Peak","-",'Base Hours'!F241*BaseLoad!L240*'Base Hours'!$AA241)</f>
        <v>-</v>
      </c>
      <c r="G241" s="417" t="str">
        <f aca="false">IF($A$1="Peak","-",'Base Hours'!G241*BaseLoad!M240*'Base Hours'!$AA241)</f>
        <v>-</v>
      </c>
      <c r="H241" s="417" t="str">
        <f aca="false">IF($A$1="Peak","-",'Base Hours'!H241*BaseLoad!N240*'Base Hours'!$AA241)</f>
        <v>-</v>
      </c>
      <c r="I241" s="417" t="str">
        <f aca="false">IF($A$1="Peak","-",'Base Hours'!I241*BaseLoad!O240*'Base Hours'!$AA241)</f>
        <v>-</v>
      </c>
      <c r="J241" s="417" t="str">
        <f aca="false">IF($A$1="Peak","-",'Base Hours'!J241*BaseLoad!P240*'Base Hours'!$AA241)</f>
        <v>-</v>
      </c>
      <c r="K241" s="417" t="str">
        <f aca="false">IF($A$1="Peak","-",'Base Hours'!K241*BaseLoad!Q240*'Base Hours'!$AA241)</f>
        <v>-</v>
      </c>
      <c r="L241" s="417" t="str">
        <f aca="false">IF($A$1="Peak","-",'Base Hours'!L241*BaseLoad!R240*'Base Hours'!$AA241)</f>
        <v>-</v>
      </c>
      <c r="M241" s="417" t="str">
        <f aca="false">IF($A$1="Peak","-",'Base Hours'!M241*BaseLoad!S240*'Base Hours'!$AA241)</f>
        <v>-</v>
      </c>
      <c r="N241" s="417" t="str">
        <f aca="false">IF($A$1="Peak","-",'Base Hours'!N241*BaseLoad!T240*'Base Hours'!$AA241)</f>
        <v>-</v>
      </c>
      <c r="O241" s="417" t="str">
        <f aca="false">IF($A$1="Peak","-",'Base Hours'!O241*BaseLoad!U240*'Base Hours'!$AA241)</f>
        <v>-</v>
      </c>
      <c r="P241" s="417" t="str">
        <f aca="false">IF($A$1="Peak","-",'Base Hours'!P241*BaseLoad!V240*'Base Hours'!$AA241)</f>
        <v>-</v>
      </c>
      <c r="Q241" s="417" t="str">
        <f aca="false">IF($A$1="Peak","-",'Base Hours'!Q241*BaseLoad!W240*'Base Hours'!$AA241)</f>
        <v>-</v>
      </c>
      <c r="R241" s="417" t="str">
        <f aca="false">IF($A$1="Peak","-",'Base Hours'!R241*BaseLoad!X240*'Base Hours'!$AA241)</f>
        <v>-</v>
      </c>
      <c r="S241" s="417" t="str">
        <f aca="false">IF($A$1="Peak","-",'Base Hours'!S241*BaseLoad!Y240*'Base Hours'!$AA241)</f>
        <v>-</v>
      </c>
      <c r="T241" s="417" t="str">
        <f aca="false">IF($A$1="Peak","-",'Base Hours'!T241*BaseLoad!Z240*'Base Hours'!$AA241)</f>
        <v>-</v>
      </c>
      <c r="U241" s="417" t="str">
        <f aca="false">IF($A$1="Peak","-",'Base Hours'!U241*BaseLoad!AA240*'Base Hours'!$AA241)</f>
        <v>-</v>
      </c>
      <c r="V241" s="417" t="n">
        <f aca="false">SUM(B241:U241)-(MAX(B241:U241))</f>
        <v>0</v>
      </c>
      <c r="W241" s="417"/>
      <c r="X241" s="417"/>
      <c r="Y241" s="418"/>
      <c r="Z241" s="418" t="n">
        <f aca="false">(BaseLoad!C240*'Base Hours'!V241*'Base Hours'!$AA241)*-1</f>
        <v>-0</v>
      </c>
      <c r="AA241" s="418"/>
      <c r="AB241" s="418" t="n">
        <f aca="false">(BaseLoad!D240*'Base Hours'!V241*'Base Hours'!$AA241)*-1</f>
        <v>-0</v>
      </c>
      <c r="AC241" s="418"/>
      <c r="AD241" s="418" t="n">
        <f aca="false">(BaseLoad!E240*'Base Hours'!V241*'Base Hours'!$AA241)*-1</f>
        <v>-0</v>
      </c>
      <c r="AE241" s="418"/>
      <c r="AF241" s="418" t="n">
        <f aca="false">(BaseLoad!F240*'Base Hours'!V241*'Base Hours'!$AA241)*-1</f>
        <v>-0</v>
      </c>
      <c r="AG241" s="418"/>
    </row>
    <row r="242" customFormat="false" ht="12.75" hidden="false" customHeight="false" outlineLevel="0" collapsed="false">
      <c r="A242" s="400" t="n">
        <f aca="false">A241+30.417</f>
        <v>43596.744</v>
      </c>
      <c r="B242" s="417" t="str">
        <f aca="false">IF($A$1="Peak","-",'Base Hours'!B242*BaseLoad!H241*'Base Hours'!$AA242)</f>
        <v>-</v>
      </c>
      <c r="C242" s="417" t="str">
        <f aca="false">IF($A$1="Peak","-",'Base Hours'!C242*BaseLoad!I241*'Base Hours'!$AA242)</f>
        <v>-</v>
      </c>
      <c r="D242" s="417" t="str">
        <f aca="false">IF($A$1="Peak","-",'Base Hours'!D242*BaseLoad!J241*'Base Hours'!$AA242)</f>
        <v>-</v>
      </c>
      <c r="E242" s="417" t="str">
        <f aca="false">IF($A$1="Peak","-",'Base Hours'!E242*BaseLoad!K241*'Base Hours'!$AA242)</f>
        <v>-</v>
      </c>
      <c r="F242" s="417" t="str">
        <f aca="false">IF($A$1="Peak","-",'Base Hours'!F242*BaseLoad!L241*'Base Hours'!$AA242)</f>
        <v>-</v>
      </c>
      <c r="G242" s="417" t="str">
        <f aca="false">IF($A$1="Peak","-",'Base Hours'!G242*BaseLoad!M241*'Base Hours'!$AA242)</f>
        <v>-</v>
      </c>
      <c r="H242" s="417" t="str">
        <f aca="false">IF($A$1="Peak","-",'Base Hours'!H242*BaseLoad!N241*'Base Hours'!$AA242)</f>
        <v>-</v>
      </c>
      <c r="I242" s="417" t="str">
        <f aca="false">IF($A$1="Peak","-",'Base Hours'!I242*BaseLoad!O241*'Base Hours'!$AA242)</f>
        <v>-</v>
      </c>
      <c r="J242" s="417" t="str">
        <f aca="false">IF($A$1="Peak","-",'Base Hours'!J242*BaseLoad!P241*'Base Hours'!$AA242)</f>
        <v>-</v>
      </c>
      <c r="K242" s="417" t="str">
        <f aca="false">IF($A$1="Peak","-",'Base Hours'!K242*BaseLoad!Q241*'Base Hours'!$AA242)</f>
        <v>-</v>
      </c>
      <c r="L242" s="417" t="str">
        <f aca="false">IF($A$1="Peak","-",'Base Hours'!L242*BaseLoad!R241*'Base Hours'!$AA242)</f>
        <v>-</v>
      </c>
      <c r="M242" s="417" t="str">
        <f aca="false">IF($A$1="Peak","-",'Base Hours'!M242*BaseLoad!S241*'Base Hours'!$AA242)</f>
        <v>-</v>
      </c>
      <c r="N242" s="417" t="str">
        <f aca="false">IF($A$1="Peak","-",'Base Hours'!N242*BaseLoad!T241*'Base Hours'!$AA242)</f>
        <v>-</v>
      </c>
      <c r="O242" s="417" t="str">
        <f aca="false">IF($A$1="Peak","-",'Base Hours'!O242*BaseLoad!U241*'Base Hours'!$AA242)</f>
        <v>-</v>
      </c>
      <c r="P242" s="417" t="str">
        <f aca="false">IF($A$1="Peak","-",'Base Hours'!P242*BaseLoad!V241*'Base Hours'!$AA242)</f>
        <v>-</v>
      </c>
      <c r="Q242" s="417" t="str">
        <f aca="false">IF($A$1="Peak","-",'Base Hours'!Q242*BaseLoad!W241*'Base Hours'!$AA242)</f>
        <v>-</v>
      </c>
      <c r="R242" s="417" t="str">
        <f aca="false">IF($A$1="Peak","-",'Base Hours'!R242*BaseLoad!X241*'Base Hours'!$AA242)</f>
        <v>-</v>
      </c>
      <c r="S242" s="417" t="str">
        <f aca="false">IF($A$1="Peak","-",'Base Hours'!S242*BaseLoad!Y241*'Base Hours'!$AA242)</f>
        <v>-</v>
      </c>
      <c r="T242" s="417" t="str">
        <f aca="false">IF($A$1="Peak","-",'Base Hours'!T242*BaseLoad!Z241*'Base Hours'!$AA242)</f>
        <v>-</v>
      </c>
      <c r="U242" s="417" t="str">
        <f aca="false">IF($A$1="Peak","-",'Base Hours'!U242*BaseLoad!AA241*'Base Hours'!$AA242)</f>
        <v>-</v>
      </c>
      <c r="V242" s="417" t="n">
        <f aca="false">SUM(B242:U242)-(MAX(B242:U242))</f>
        <v>0</v>
      </c>
      <c r="W242" s="417"/>
      <c r="X242" s="417"/>
      <c r="Y242" s="418"/>
      <c r="Z242" s="418" t="n">
        <f aca="false">(BaseLoad!C241*'Base Hours'!V242*'Base Hours'!$AA242)*-1</f>
        <v>-0</v>
      </c>
      <c r="AA242" s="418"/>
      <c r="AB242" s="418" t="n">
        <f aca="false">(BaseLoad!D241*'Base Hours'!V242*'Base Hours'!$AA242)*-1</f>
        <v>-0</v>
      </c>
      <c r="AC242" s="418"/>
      <c r="AD242" s="418" t="n">
        <f aca="false">(BaseLoad!E241*'Base Hours'!V242*'Base Hours'!$AA242)*-1</f>
        <v>-0</v>
      </c>
      <c r="AE242" s="418"/>
      <c r="AF242" s="418" t="n">
        <f aca="false">(BaseLoad!F241*'Base Hours'!V242*'Base Hours'!$AA242)*-1</f>
        <v>-0</v>
      </c>
      <c r="AG242" s="418"/>
    </row>
    <row r="243" customFormat="false" ht="12.75" hidden="false" customHeight="false" outlineLevel="0" collapsed="false">
      <c r="A243" s="400" t="n">
        <f aca="false">A242+30.417</f>
        <v>43627.161</v>
      </c>
      <c r="B243" s="417" t="str">
        <f aca="false">IF($A$1="Peak","-",'Base Hours'!B243*BaseLoad!H242*'Base Hours'!$AA243)</f>
        <v>-</v>
      </c>
      <c r="C243" s="417" t="str">
        <f aca="false">IF($A$1="Peak","-",'Base Hours'!C243*BaseLoad!I242*'Base Hours'!$AA243)</f>
        <v>-</v>
      </c>
      <c r="D243" s="417" t="str">
        <f aca="false">IF($A$1="Peak","-",'Base Hours'!D243*BaseLoad!J242*'Base Hours'!$AA243)</f>
        <v>-</v>
      </c>
      <c r="E243" s="417" t="str">
        <f aca="false">IF($A$1="Peak","-",'Base Hours'!E243*BaseLoad!K242*'Base Hours'!$AA243)</f>
        <v>-</v>
      </c>
      <c r="F243" s="417" t="str">
        <f aca="false">IF($A$1="Peak","-",'Base Hours'!F243*BaseLoad!L242*'Base Hours'!$AA243)</f>
        <v>-</v>
      </c>
      <c r="G243" s="417" t="str">
        <f aca="false">IF($A$1="Peak","-",'Base Hours'!G243*BaseLoad!M242*'Base Hours'!$AA243)</f>
        <v>-</v>
      </c>
      <c r="H243" s="417" t="str">
        <f aca="false">IF($A$1="Peak","-",'Base Hours'!H243*BaseLoad!N242*'Base Hours'!$AA243)</f>
        <v>-</v>
      </c>
      <c r="I243" s="417" t="str">
        <f aca="false">IF($A$1="Peak","-",'Base Hours'!I243*BaseLoad!O242*'Base Hours'!$AA243)</f>
        <v>-</v>
      </c>
      <c r="J243" s="417" t="str">
        <f aca="false">IF($A$1="Peak","-",'Base Hours'!J243*BaseLoad!P242*'Base Hours'!$AA243)</f>
        <v>-</v>
      </c>
      <c r="K243" s="417" t="str">
        <f aca="false">IF($A$1="Peak","-",'Base Hours'!K243*BaseLoad!Q242*'Base Hours'!$AA243)</f>
        <v>-</v>
      </c>
      <c r="L243" s="417" t="str">
        <f aca="false">IF($A$1="Peak","-",'Base Hours'!L243*BaseLoad!R242*'Base Hours'!$AA243)</f>
        <v>-</v>
      </c>
      <c r="M243" s="417" t="str">
        <f aca="false">IF($A$1="Peak","-",'Base Hours'!M243*BaseLoad!S242*'Base Hours'!$AA243)</f>
        <v>-</v>
      </c>
      <c r="N243" s="417" t="str">
        <f aca="false">IF($A$1="Peak","-",'Base Hours'!N243*BaseLoad!T242*'Base Hours'!$AA243)</f>
        <v>-</v>
      </c>
      <c r="O243" s="417" t="str">
        <f aca="false">IF($A$1="Peak","-",'Base Hours'!O243*BaseLoad!U242*'Base Hours'!$AA243)</f>
        <v>-</v>
      </c>
      <c r="P243" s="417" t="str">
        <f aca="false">IF($A$1="Peak","-",'Base Hours'!P243*BaseLoad!V242*'Base Hours'!$AA243)</f>
        <v>-</v>
      </c>
      <c r="Q243" s="417" t="str">
        <f aca="false">IF($A$1="Peak","-",'Base Hours'!Q243*BaseLoad!W242*'Base Hours'!$AA243)</f>
        <v>-</v>
      </c>
      <c r="R243" s="417" t="str">
        <f aca="false">IF($A$1="Peak","-",'Base Hours'!R243*BaseLoad!X242*'Base Hours'!$AA243)</f>
        <v>-</v>
      </c>
      <c r="S243" s="417" t="str">
        <f aca="false">IF($A$1="Peak","-",'Base Hours'!S243*BaseLoad!Y242*'Base Hours'!$AA243)</f>
        <v>-</v>
      </c>
      <c r="T243" s="417" t="str">
        <f aca="false">IF($A$1="Peak","-",'Base Hours'!T243*BaseLoad!Z242*'Base Hours'!$AA243)</f>
        <v>-</v>
      </c>
      <c r="U243" s="417" t="str">
        <f aca="false">IF($A$1="Peak","-",'Base Hours'!U243*BaseLoad!AA242*'Base Hours'!$AA243)</f>
        <v>-</v>
      </c>
      <c r="V243" s="417" t="n">
        <f aca="false">SUM(B243:U243)-(MAX(B243:U243))</f>
        <v>0</v>
      </c>
      <c r="W243" s="417"/>
      <c r="X243" s="417"/>
      <c r="Y243" s="418"/>
      <c r="Z243" s="418" t="n">
        <f aca="false">(BaseLoad!C242*'Base Hours'!V243*'Base Hours'!$AA243)*-1</f>
        <v>-0</v>
      </c>
      <c r="AA243" s="418"/>
      <c r="AB243" s="418" t="n">
        <f aca="false">(BaseLoad!D242*'Base Hours'!V243*'Base Hours'!$AA243)*-1</f>
        <v>-0</v>
      </c>
      <c r="AC243" s="418"/>
      <c r="AD243" s="418" t="n">
        <f aca="false">(BaseLoad!E242*'Base Hours'!V243*'Base Hours'!$AA243)*-1</f>
        <v>-0</v>
      </c>
      <c r="AE243" s="418"/>
      <c r="AF243" s="418" t="n">
        <f aca="false">(BaseLoad!F242*'Base Hours'!V243*'Base Hours'!$AA243)*-1</f>
        <v>-0</v>
      </c>
      <c r="AG243" s="418"/>
    </row>
    <row r="244" customFormat="false" ht="12.75" hidden="false" customHeight="false" outlineLevel="0" collapsed="false">
      <c r="A244" s="400" t="n">
        <f aca="false">A243+30.417</f>
        <v>43657.578</v>
      </c>
      <c r="B244" s="417" t="str">
        <f aca="false">IF($A$1="Peak","-",'Base Hours'!B244*BaseLoad!H243*'Base Hours'!$AA244)</f>
        <v>-</v>
      </c>
      <c r="C244" s="417" t="str">
        <f aca="false">IF($A$1="Peak","-",'Base Hours'!C244*BaseLoad!I243*'Base Hours'!$AA244)</f>
        <v>-</v>
      </c>
      <c r="D244" s="417" t="str">
        <f aca="false">IF($A$1="Peak","-",'Base Hours'!D244*BaseLoad!J243*'Base Hours'!$AA244)</f>
        <v>-</v>
      </c>
      <c r="E244" s="417" t="str">
        <f aca="false">IF($A$1="Peak","-",'Base Hours'!E244*BaseLoad!K243*'Base Hours'!$AA244)</f>
        <v>-</v>
      </c>
      <c r="F244" s="417" t="str">
        <f aca="false">IF($A$1="Peak","-",'Base Hours'!F244*BaseLoad!L243*'Base Hours'!$AA244)</f>
        <v>-</v>
      </c>
      <c r="G244" s="417" t="str">
        <f aca="false">IF($A$1="Peak","-",'Base Hours'!G244*BaseLoad!M243*'Base Hours'!$AA244)</f>
        <v>-</v>
      </c>
      <c r="H244" s="417" t="str">
        <f aca="false">IF($A$1="Peak","-",'Base Hours'!H244*BaseLoad!N243*'Base Hours'!$AA244)</f>
        <v>-</v>
      </c>
      <c r="I244" s="417" t="str">
        <f aca="false">IF($A$1="Peak","-",'Base Hours'!I244*BaseLoad!O243*'Base Hours'!$AA244)</f>
        <v>-</v>
      </c>
      <c r="J244" s="417" t="str">
        <f aca="false">IF($A$1="Peak","-",'Base Hours'!J244*BaseLoad!P243*'Base Hours'!$AA244)</f>
        <v>-</v>
      </c>
      <c r="K244" s="417" t="str">
        <f aca="false">IF($A$1="Peak","-",'Base Hours'!K244*BaseLoad!Q243*'Base Hours'!$AA244)</f>
        <v>-</v>
      </c>
      <c r="L244" s="417" t="str">
        <f aca="false">IF($A$1="Peak","-",'Base Hours'!L244*BaseLoad!R243*'Base Hours'!$AA244)</f>
        <v>-</v>
      </c>
      <c r="M244" s="417" t="str">
        <f aca="false">IF($A$1="Peak","-",'Base Hours'!M244*BaseLoad!S243*'Base Hours'!$AA244)</f>
        <v>-</v>
      </c>
      <c r="N244" s="417" t="str">
        <f aca="false">IF($A$1="Peak","-",'Base Hours'!N244*BaseLoad!T243*'Base Hours'!$AA244)</f>
        <v>-</v>
      </c>
      <c r="O244" s="417" t="str">
        <f aca="false">IF($A$1="Peak","-",'Base Hours'!O244*BaseLoad!U243*'Base Hours'!$AA244)</f>
        <v>-</v>
      </c>
      <c r="P244" s="417" t="str">
        <f aca="false">IF($A$1="Peak","-",'Base Hours'!P244*BaseLoad!V243*'Base Hours'!$AA244)</f>
        <v>-</v>
      </c>
      <c r="Q244" s="417" t="str">
        <f aca="false">IF($A$1="Peak","-",'Base Hours'!Q244*BaseLoad!W243*'Base Hours'!$AA244)</f>
        <v>-</v>
      </c>
      <c r="R244" s="417" t="str">
        <f aca="false">IF($A$1="Peak","-",'Base Hours'!R244*BaseLoad!X243*'Base Hours'!$AA244)</f>
        <v>-</v>
      </c>
      <c r="S244" s="417" t="str">
        <f aca="false">IF($A$1="Peak","-",'Base Hours'!S244*BaseLoad!Y243*'Base Hours'!$AA244)</f>
        <v>-</v>
      </c>
      <c r="T244" s="417" t="str">
        <f aca="false">IF($A$1="Peak","-",'Base Hours'!T244*BaseLoad!Z243*'Base Hours'!$AA244)</f>
        <v>-</v>
      </c>
      <c r="U244" s="417" t="str">
        <f aca="false">IF($A$1="Peak","-",'Base Hours'!U244*BaseLoad!AA243*'Base Hours'!$AA244)</f>
        <v>-</v>
      </c>
      <c r="V244" s="417" t="n">
        <f aca="false">SUM(B244:U244)-(MAX(B244:U244))</f>
        <v>0</v>
      </c>
      <c r="W244" s="417"/>
      <c r="X244" s="417"/>
      <c r="Y244" s="418"/>
      <c r="Z244" s="418" t="n">
        <f aca="false">(BaseLoad!C243*'Base Hours'!V244*'Base Hours'!$AA244)*-1</f>
        <v>-0</v>
      </c>
      <c r="AA244" s="418"/>
      <c r="AB244" s="418" t="n">
        <f aca="false">(BaseLoad!D243*'Base Hours'!V244*'Base Hours'!$AA244)*-1</f>
        <v>-0</v>
      </c>
      <c r="AC244" s="418"/>
      <c r="AD244" s="418" t="n">
        <f aca="false">(BaseLoad!E243*'Base Hours'!V244*'Base Hours'!$AA244)*-1</f>
        <v>-0</v>
      </c>
      <c r="AE244" s="418"/>
      <c r="AF244" s="418" t="n">
        <f aca="false">(BaseLoad!F243*'Base Hours'!V244*'Base Hours'!$AA244)*-1</f>
        <v>-0</v>
      </c>
      <c r="AG244" s="418"/>
    </row>
    <row r="245" customFormat="false" ht="12.75" hidden="false" customHeight="false" outlineLevel="0" collapsed="false">
      <c r="A245" s="400" t="n">
        <f aca="false">A244+30.417</f>
        <v>43687.995</v>
      </c>
      <c r="B245" s="417" t="str">
        <f aca="false">IF($A$1="Peak","-",'Base Hours'!B245*BaseLoad!H244*'Base Hours'!$AA245)</f>
        <v>-</v>
      </c>
      <c r="C245" s="417" t="str">
        <f aca="false">IF($A$1="Peak","-",'Base Hours'!C245*BaseLoad!I244*'Base Hours'!$AA245)</f>
        <v>-</v>
      </c>
      <c r="D245" s="417" t="str">
        <f aca="false">IF($A$1="Peak","-",'Base Hours'!D245*BaseLoad!J244*'Base Hours'!$AA245)</f>
        <v>-</v>
      </c>
      <c r="E245" s="417" t="str">
        <f aca="false">IF($A$1="Peak","-",'Base Hours'!E245*BaseLoad!K244*'Base Hours'!$AA245)</f>
        <v>-</v>
      </c>
      <c r="F245" s="417" t="str">
        <f aca="false">IF($A$1="Peak","-",'Base Hours'!F245*BaseLoad!L244*'Base Hours'!$AA245)</f>
        <v>-</v>
      </c>
      <c r="G245" s="417" t="str">
        <f aca="false">IF($A$1="Peak","-",'Base Hours'!G245*BaseLoad!M244*'Base Hours'!$AA245)</f>
        <v>-</v>
      </c>
      <c r="H245" s="417" t="str">
        <f aca="false">IF($A$1="Peak","-",'Base Hours'!H245*BaseLoad!N244*'Base Hours'!$AA245)</f>
        <v>-</v>
      </c>
      <c r="I245" s="417" t="str">
        <f aca="false">IF($A$1="Peak","-",'Base Hours'!I245*BaseLoad!O244*'Base Hours'!$AA245)</f>
        <v>-</v>
      </c>
      <c r="J245" s="417" t="str">
        <f aca="false">IF($A$1="Peak","-",'Base Hours'!J245*BaseLoad!P244*'Base Hours'!$AA245)</f>
        <v>-</v>
      </c>
      <c r="K245" s="417" t="str">
        <f aca="false">IF($A$1="Peak","-",'Base Hours'!K245*BaseLoad!Q244*'Base Hours'!$AA245)</f>
        <v>-</v>
      </c>
      <c r="L245" s="417" t="str">
        <f aca="false">IF($A$1="Peak","-",'Base Hours'!L245*BaseLoad!R244*'Base Hours'!$AA245)</f>
        <v>-</v>
      </c>
      <c r="M245" s="417" t="str">
        <f aca="false">IF($A$1="Peak","-",'Base Hours'!M245*BaseLoad!S244*'Base Hours'!$AA245)</f>
        <v>-</v>
      </c>
      <c r="N245" s="417" t="str">
        <f aca="false">IF($A$1="Peak","-",'Base Hours'!N245*BaseLoad!T244*'Base Hours'!$AA245)</f>
        <v>-</v>
      </c>
      <c r="O245" s="417" t="str">
        <f aca="false">IF($A$1="Peak","-",'Base Hours'!O245*BaseLoad!U244*'Base Hours'!$AA245)</f>
        <v>-</v>
      </c>
      <c r="P245" s="417" t="str">
        <f aca="false">IF($A$1="Peak","-",'Base Hours'!P245*BaseLoad!V244*'Base Hours'!$AA245)</f>
        <v>-</v>
      </c>
      <c r="Q245" s="417" t="str">
        <f aca="false">IF($A$1="Peak","-",'Base Hours'!Q245*BaseLoad!W244*'Base Hours'!$AA245)</f>
        <v>-</v>
      </c>
      <c r="R245" s="417" t="str">
        <f aca="false">IF($A$1="Peak","-",'Base Hours'!R245*BaseLoad!X244*'Base Hours'!$AA245)</f>
        <v>-</v>
      </c>
      <c r="S245" s="417" t="str">
        <f aca="false">IF($A$1="Peak","-",'Base Hours'!S245*BaseLoad!Y244*'Base Hours'!$AA245)</f>
        <v>-</v>
      </c>
      <c r="T245" s="417" t="str">
        <f aca="false">IF($A$1="Peak","-",'Base Hours'!T245*BaseLoad!Z244*'Base Hours'!$AA245)</f>
        <v>-</v>
      </c>
      <c r="U245" s="417" t="str">
        <f aca="false">IF($A$1="Peak","-",'Base Hours'!U245*BaseLoad!AA244*'Base Hours'!$AA245)</f>
        <v>-</v>
      </c>
      <c r="V245" s="417" t="n">
        <f aca="false">SUM(B245:U245)-(MAX(B245:U245))</f>
        <v>0</v>
      </c>
      <c r="W245" s="417"/>
      <c r="X245" s="417"/>
      <c r="Y245" s="418"/>
      <c r="Z245" s="418" t="n">
        <f aca="false">(BaseLoad!C244*'Base Hours'!V245*'Base Hours'!$AA245)*-1</f>
        <v>-0</v>
      </c>
      <c r="AA245" s="418"/>
      <c r="AB245" s="418" t="n">
        <f aca="false">(BaseLoad!D244*'Base Hours'!V245*'Base Hours'!$AA245)*-1</f>
        <v>-0</v>
      </c>
      <c r="AC245" s="418"/>
      <c r="AD245" s="418" t="n">
        <f aca="false">(BaseLoad!E244*'Base Hours'!V245*'Base Hours'!$AA245)*-1</f>
        <v>-0</v>
      </c>
      <c r="AE245" s="418"/>
      <c r="AF245" s="418" t="n">
        <f aca="false">(BaseLoad!F244*'Base Hours'!V245*'Base Hours'!$AA245)*-1</f>
        <v>-0</v>
      </c>
      <c r="AG245" s="418"/>
    </row>
    <row r="246" customFormat="false" ht="12.75" hidden="false" customHeight="false" outlineLevel="0" collapsed="false">
      <c r="A246" s="400" t="n">
        <f aca="false">A245+30.417</f>
        <v>43718.412</v>
      </c>
      <c r="B246" s="417" t="str">
        <f aca="false">IF($A$1="Peak","-",'Base Hours'!B246*BaseLoad!H245*'Base Hours'!$AA246)</f>
        <v>-</v>
      </c>
      <c r="C246" s="417" t="str">
        <f aca="false">IF($A$1="Peak","-",'Base Hours'!C246*BaseLoad!I245*'Base Hours'!$AA246)</f>
        <v>-</v>
      </c>
      <c r="D246" s="417" t="str">
        <f aca="false">IF($A$1="Peak","-",'Base Hours'!D246*BaseLoad!J245*'Base Hours'!$AA246)</f>
        <v>-</v>
      </c>
      <c r="E246" s="417" t="str">
        <f aca="false">IF($A$1="Peak","-",'Base Hours'!E246*BaseLoad!K245*'Base Hours'!$AA246)</f>
        <v>-</v>
      </c>
      <c r="F246" s="417" t="str">
        <f aca="false">IF($A$1="Peak","-",'Base Hours'!F246*BaseLoad!L245*'Base Hours'!$AA246)</f>
        <v>-</v>
      </c>
      <c r="G246" s="417" t="str">
        <f aca="false">IF($A$1="Peak","-",'Base Hours'!G246*BaseLoad!M245*'Base Hours'!$AA246)</f>
        <v>-</v>
      </c>
      <c r="H246" s="417" t="str">
        <f aca="false">IF($A$1="Peak","-",'Base Hours'!H246*BaseLoad!N245*'Base Hours'!$AA246)</f>
        <v>-</v>
      </c>
      <c r="I246" s="417" t="str">
        <f aca="false">IF($A$1="Peak","-",'Base Hours'!I246*BaseLoad!O245*'Base Hours'!$AA246)</f>
        <v>-</v>
      </c>
      <c r="J246" s="417" t="str">
        <f aca="false">IF($A$1="Peak","-",'Base Hours'!J246*BaseLoad!P245*'Base Hours'!$AA246)</f>
        <v>-</v>
      </c>
      <c r="K246" s="417" t="str">
        <f aca="false">IF($A$1="Peak","-",'Base Hours'!K246*BaseLoad!Q245*'Base Hours'!$AA246)</f>
        <v>-</v>
      </c>
      <c r="L246" s="417" t="str">
        <f aca="false">IF($A$1="Peak","-",'Base Hours'!L246*BaseLoad!R245*'Base Hours'!$AA246)</f>
        <v>-</v>
      </c>
      <c r="M246" s="417" t="str">
        <f aca="false">IF($A$1="Peak","-",'Base Hours'!M246*BaseLoad!S245*'Base Hours'!$AA246)</f>
        <v>-</v>
      </c>
      <c r="N246" s="417" t="str">
        <f aca="false">IF($A$1="Peak","-",'Base Hours'!N246*BaseLoad!T245*'Base Hours'!$AA246)</f>
        <v>-</v>
      </c>
      <c r="O246" s="417" t="str">
        <f aca="false">IF($A$1="Peak","-",'Base Hours'!O246*BaseLoad!U245*'Base Hours'!$AA246)</f>
        <v>-</v>
      </c>
      <c r="P246" s="417" t="str">
        <f aca="false">IF($A$1="Peak","-",'Base Hours'!P246*BaseLoad!V245*'Base Hours'!$AA246)</f>
        <v>-</v>
      </c>
      <c r="Q246" s="417" t="str">
        <f aca="false">IF($A$1="Peak","-",'Base Hours'!Q246*BaseLoad!W245*'Base Hours'!$AA246)</f>
        <v>-</v>
      </c>
      <c r="R246" s="417" t="str">
        <f aca="false">IF($A$1="Peak","-",'Base Hours'!R246*BaseLoad!X245*'Base Hours'!$AA246)</f>
        <v>-</v>
      </c>
      <c r="S246" s="417" t="str">
        <f aca="false">IF($A$1="Peak","-",'Base Hours'!S246*BaseLoad!Y245*'Base Hours'!$AA246)</f>
        <v>-</v>
      </c>
      <c r="T246" s="417" t="str">
        <f aca="false">IF($A$1="Peak","-",'Base Hours'!T246*BaseLoad!Z245*'Base Hours'!$AA246)</f>
        <v>-</v>
      </c>
      <c r="U246" s="417" t="str">
        <f aca="false">IF($A$1="Peak","-",'Base Hours'!U246*BaseLoad!AA245*'Base Hours'!$AA246)</f>
        <v>-</v>
      </c>
      <c r="V246" s="417" t="n">
        <f aca="false">SUM(B246:U246)-(MAX(B246:U246))</f>
        <v>0</v>
      </c>
      <c r="W246" s="417"/>
      <c r="X246" s="417"/>
      <c r="Y246" s="418"/>
      <c r="Z246" s="418" t="n">
        <f aca="false">(BaseLoad!C245*'Base Hours'!V246*'Base Hours'!$AA246)*-1</f>
        <v>-0</v>
      </c>
      <c r="AA246" s="418"/>
      <c r="AB246" s="418" t="n">
        <f aca="false">(BaseLoad!D245*'Base Hours'!V246*'Base Hours'!$AA246)*-1</f>
        <v>-0</v>
      </c>
      <c r="AC246" s="418"/>
      <c r="AD246" s="418" t="n">
        <f aca="false">(BaseLoad!E245*'Base Hours'!V246*'Base Hours'!$AA246)*-1</f>
        <v>-0</v>
      </c>
      <c r="AE246" s="418"/>
      <c r="AF246" s="418" t="n">
        <f aca="false">(BaseLoad!F245*'Base Hours'!V246*'Base Hours'!$AA246)*-1</f>
        <v>-0</v>
      </c>
      <c r="AG246" s="418"/>
    </row>
    <row r="247" customFormat="false" ht="12.75" hidden="false" customHeight="false" outlineLevel="0" collapsed="false">
      <c r="A247" s="400" t="n">
        <f aca="false">A246+30.417</f>
        <v>43748.829</v>
      </c>
      <c r="B247" s="417" t="str">
        <f aca="false">IF($A$1="Peak","-",'Base Hours'!B247*BaseLoad!H246*'Base Hours'!$AA247)</f>
        <v>-</v>
      </c>
      <c r="C247" s="417" t="str">
        <f aca="false">IF($A$1="Peak","-",'Base Hours'!C247*BaseLoad!I246*'Base Hours'!$AA247)</f>
        <v>-</v>
      </c>
      <c r="D247" s="417" t="str">
        <f aca="false">IF($A$1="Peak","-",'Base Hours'!D247*BaseLoad!J246*'Base Hours'!$AA247)</f>
        <v>-</v>
      </c>
      <c r="E247" s="417" t="str">
        <f aca="false">IF($A$1="Peak","-",'Base Hours'!E247*BaseLoad!K246*'Base Hours'!$AA247)</f>
        <v>-</v>
      </c>
      <c r="F247" s="417" t="str">
        <f aca="false">IF($A$1="Peak","-",'Base Hours'!F247*BaseLoad!L246*'Base Hours'!$AA247)</f>
        <v>-</v>
      </c>
      <c r="G247" s="417" t="str">
        <f aca="false">IF($A$1="Peak","-",'Base Hours'!G247*BaseLoad!M246*'Base Hours'!$AA247)</f>
        <v>-</v>
      </c>
      <c r="H247" s="417" t="str">
        <f aca="false">IF($A$1="Peak","-",'Base Hours'!H247*BaseLoad!N246*'Base Hours'!$AA247)</f>
        <v>-</v>
      </c>
      <c r="I247" s="417" t="str">
        <f aca="false">IF($A$1="Peak","-",'Base Hours'!I247*BaseLoad!O246*'Base Hours'!$AA247)</f>
        <v>-</v>
      </c>
      <c r="J247" s="417" t="str">
        <f aca="false">IF($A$1="Peak","-",'Base Hours'!J247*BaseLoad!P246*'Base Hours'!$AA247)</f>
        <v>-</v>
      </c>
      <c r="K247" s="417" t="str">
        <f aca="false">IF($A$1="Peak","-",'Base Hours'!K247*BaseLoad!Q246*'Base Hours'!$AA247)</f>
        <v>-</v>
      </c>
      <c r="L247" s="417" t="str">
        <f aca="false">IF($A$1="Peak","-",'Base Hours'!L247*BaseLoad!R246*'Base Hours'!$AA247)</f>
        <v>-</v>
      </c>
      <c r="M247" s="417" t="str">
        <f aca="false">IF($A$1="Peak","-",'Base Hours'!M247*BaseLoad!S246*'Base Hours'!$AA247)</f>
        <v>-</v>
      </c>
      <c r="N247" s="417" t="str">
        <f aca="false">IF($A$1="Peak","-",'Base Hours'!N247*BaseLoad!T246*'Base Hours'!$AA247)</f>
        <v>-</v>
      </c>
      <c r="O247" s="417" t="str">
        <f aca="false">IF($A$1="Peak","-",'Base Hours'!O247*BaseLoad!U246*'Base Hours'!$AA247)</f>
        <v>-</v>
      </c>
      <c r="P247" s="417" t="str">
        <f aca="false">IF($A$1="Peak","-",'Base Hours'!P247*BaseLoad!V246*'Base Hours'!$AA247)</f>
        <v>-</v>
      </c>
      <c r="Q247" s="417" t="str">
        <f aca="false">IF($A$1="Peak","-",'Base Hours'!Q247*BaseLoad!W246*'Base Hours'!$AA247)</f>
        <v>-</v>
      </c>
      <c r="R247" s="417" t="str">
        <f aca="false">IF($A$1="Peak","-",'Base Hours'!R247*BaseLoad!X246*'Base Hours'!$AA247)</f>
        <v>-</v>
      </c>
      <c r="S247" s="417" t="str">
        <f aca="false">IF($A$1="Peak","-",'Base Hours'!S247*BaseLoad!Y246*'Base Hours'!$AA247)</f>
        <v>-</v>
      </c>
      <c r="T247" s="417" t="str">
        <f aca="false">IF($A$1="Peak","-",'Base Hours'!T247*BaseLoad!Z246*'Base Hours'!$AA247)</f>
        <v>-</v>
      </c>
      <c r="U247" s="417" t="str">
        <f aca="false">IF($A$1="Peak","-",'Base Hours'!U247*BaseLoad!AA246*'Base Hours'!$AA247)</f>
        <v>-</v>
      </c>
      <c r="V247" s="417" t="n">
        <f aca="false">SUM(B247:U247)-(MAX(B247:U247))</f>
        <v>0</v>
      </c>
      <c r="W247" s="417"/>
      <c r="X247" s="417"/>
      <c r="Y247" s="418"/>
      <c r="Z247" s="418" t="n">
        <f aca="false">(BaseLoad!C246*'Base Hours'!V247*'Base Hours'!$AA247)*-1</f>
        <v>-0</v>
      </c>
      <c r="AA247" s="418"/>
      <c r="AB247" s="418" t="n">
        <f aca="false">(BaseLoad!D246*'Base Hours'!V247*'Base Hours'!$AA247)*-1</f>
        <v>-0</v>
      </c>
      <c r="AC247" s="418"/>
      <c r="AD247" s="418" t="n">
        <f aca="false">(BaseLoad!E246*'Base Hours'!V247*'Base Hours'!$AA247)*-1</f>
        <v>-0</v>
      </c>
      <c r="AE247" s="418"/>
      <c r="AF247" s="418" t="n">
        <f aca="false">(BaseLoad!F246*'Base Hours'!V247*'Base Hours'!$AA247)*-1</f>
        <v>-0</v>
      </c>
      <c r="AG247" s="418"/>
    </row>
    <row r="248" customFormat="false" ht="12.75" hidden="false" customHeight="false" outlineLevel="0" collapsed="false">
      <c r="A248" s="400" t="n">
        <f aca="false">A247+30.417</f>
        <v>43779.246</v>
      </c>
      <c r="B248" s="417" t="str">
        <f aca="false">IF($A$1="Peak","-",'Base Hours'!B248*BaseLoad!H247*'Base Hours'!$AA248)</f>
        <v>-</v>
      </c>
      <c r="C248" s="417" t="str">
        <f aca="false">IF($A$1="Peak","-",'Base Hours'!C248*BaseLoad!I247*'Base Hours'!$AA248)</f>
        <v>-</v>
      </c>
      <c r="D248" s="417" t="str">
        <f aca="false">IF($A$1="Peak","-",'Base Hours'!D248*BaseLoad!J247*'Base Hours'!$AA248)</f>
        <v>-</v>
      </c>
      <c r="E248" s="417" t="str">
        <f aca="false">IF($A$1="Peak","-",'Base Hours'!E248*BaseLoad!K247*'Base Hours'!$AA248)</f>
        <v>-</v>
      </c>
      <c r="F248" s="417" t="str">
        <f aca="false">IF($A$1="Peak","-",'Base Hours'!F248*BaseLoad!L247*'Base Hours'!$AA248)</f>
        <v>-</v>
      </c>
      <c r="G248" s="417" t="str">
        <f aca="false">IF($A$1="Peak","-",'Base Hours'!G248*BaseLoad!M247*'Base Hours'!$AA248)</f>
        <v>-</v>
      </c>
      <c r="H248" s="417" t="str">
        <f aca="false">IF($A$1="Peak","-",'Base Hours'!H248*BaseLoad!N247*'Base Hours'!$AA248)</f>
        <v>-</v>
      </c>
      <c r="I248" s="417" t="str">
        <f aca="false">IF($A$1="Peak","-",'Base Hours'!I248*BaseLoad!O247*'Base Hours'!$AA248)</f>
        <v>-</v>
      </c>
      <c r="J248" s="417" t="str">
        <f aca="false">IF($A$1="Peak","-",'Base Hours'!J248*BaseLoad!P247*'Base Hours'!$AA248)</f>
        <v>-</v>
      </c>
      <c r="K248" s="417" t="str">
        <f aca="false">IF($A$1="Peak","-",'Base Hours'!K248*BaseLoad!Q247*'Base Hours'!$AA248)</f>
        <v>-</v>
      </c>
      <c r="L248" s="417" t="str">
        <f aca="false">IF($A$1="Peak","-",'Base Hours'!L248*BaseLoad!R247*'Base Hours'!$AA248)</f>
        <v>-</v>
      </c>
      <c r="M248" s="417" t="str">
        <f aca="false">IF($A$1="Peak","-",'Base Hours'!M248*BaseLoad!S247*'Base Hours'!$AA248)</f>
        <v>-</v>
      </c>
      <c r="N248" s="417" t="str">
        <f aca="false">IF($A$1="Peak","-",'Base Hours'!N248*BaseLoad!T247*'Base Hours'!$AA248)</f>
        <v>-</v>
      </c>
      <c r="O248" s="417" t="str">
        <f aca="false">IF($A$1="Peak","-",'Base Hours'!O248*BaseLoad!U247*'Base Hours'!$AA248)</f>
        <v>-</v>
      </c>
      <c r="P248" s="417" t="str">
        <f aca="false">IF($A$1="Peak","-",'Base Hours'!P248*BaseLoad!V247*'Base Hours'!$AA248)</f>
        <v>-</v>
      </c>
      <c r="Q248" s="417" t="str">
        <f aca="false">IF($A$1="Peak","-",'Base Hours'!Q248*BaseLoad!W247*'Base Hours'!$AA248)</f>
        <v>-</v>
      </c>
      <c r="R248" s="417" t="str">
        <f aca="false">IF($A$1="Peak","-",'Base Hours'!R248*BaseLoad!X247*'Base Hours'!$AA248)</f>
        <v>-</v>
      </c>
      <c r="S248" s="417" t="str">
        <f aca="false">IF($A$1="Peak","-",'Base Hours'!S248*BaseLoad!Y247*'Base Hours'!$AA248)</f>
        <v>-</v>
      </c>
      <c r="T248" s="417" t="str">
        <f aca="false">IF($A$1="Peak","-",'Base Hours'!T248*BaseLoad!Z247*'Base Hours'!$AA248)</f>
        <v>-</v>
      </c>
      <c r="U248" s="417" t="str">
        <f aca="false">IF($A$1="Peak","-",'Base Hours'!U248*BaseLoad!AA247*'Base Hours'!$AA248)</f>
        <v>-</v>
      </c>
      <c r="V248" s="417" t="n">
        <f aca="false">SUM(B248:U248)-(MAX(B248:U248))</f>
        <v>0</v>
      </c>
      <c r="W248" s="417"/>
      <c r="X248" s="417"/>
      <c r="Y248" s="418"/>
      <c r="Z248" s="418" t="n">
        <f aca="false">(BaseLoad!C247*'Base Hours'!V248*'Base Hours'!$AA248)*-1</f>
        <v>-0</v>
      </c>
      <c r="AA248" s="418"/>
      <c r="AB248" s="418" t="n">
        <f aca="false">(BaseLoad!D247*'Base Hours'!V248*'Base Hours'!$AA248)*-1</f>
        <v>-0</v>
      </c>
      <c r="AC248" s="418"/>
      <c r="AD248" s="418" t="n">
        <f aca="false">(BaseLoad!E247*'Base Hours'!V248*'Base Hours'!$AA248)*-1</f>
        <v>-0</v>
      </c>
      <c r="AE248" s="418"/>
      <c r="AF248" s="418" t="n">
        <f aca="false">(BaseLoad!F247*'Base Hours'!V248*'Base Hours'!$AA248)*-1</f>
        <v>-0</v>
      </c>
      <c r="AG248" s="418"/>
    </row>
    <row r="249" customFormat="false" ht="12.75" hidden="false" customHeight="false" outlineLevel="0" collapsed="false">
      <c r="A249" s="400" t="n">
        <f aca="false">A248+30.417</f>
        <v>43809.663</v>
      </c>
      <c r="B249" s="417" t="str">
        <f aca="false">IF($A$1="Peak","-",'Base Hours'!B249*BaseLoad!H248*'Base Hours'!$AA249)</f>
        <v>-</v>
      </c>
      <c r="C249" s="417" t="str">
        <f aca="false">IF($A$1="Peak","-",'Base Hours'!C249*BaseLoad!I248*'Base Hours'!$AA249)</f>
        <v>-</v>
      </c>
      <c r="D249" s="417" t="str">
        <f aca="false">IF($A$1="Peak","-",'Base Hours'!D249*BaseLoad!J248*'Base Hours'!$AA249)</f>
        <v>-</v>
      </c>
      <c r="E249" s="417" t="str">
        <f aca="false">IF($A$1="Peak","-",'Base Hours'!E249*BaseLoad!K248*'Base Hours'!$AA249)</f>
        <v>-</v>
      </c>
      <c r="F249" s="417" t="str">
        <f aca="false">IF($A$1="Peak","-",'Base Hours'!F249*BaseLoad!L248*'Base Hours'!$AA249)</f>
        <v>-</v>
      </c>
      <c r="G249" s="417" t="str">
        <f aca="false">IF($A$1="Peak","-",'Base Hours'!G249*BaseLoad!M248*'Base Hours'!$AA249)</f>
        <v>-</v>
      </c>
      <c r="H249" s="417" t="str">
        <f aca="false">IF($A$1="Peak","-",'Base Hours'!H249*BaseLoad!N248*'Base Hours'!$AA249)</f>
        <v>-</v>
      </c>
      <c r="I249" s="417" t="str">
        <f aca="false">IF($A$1="Peak","-",'Base Hours'!I249*BaseLoad!O248*'Base Hours'!$AA249)</f>
        <v>-</v>
      </c>
      <c r="J249" s="417" t="str">
        <f aca="false">IF($A$1="Peak","-",'Base Hours'!J249*BaseLoad!P248*'Base Hours'!$AA249)</f>
        <v>-</v>
      </c>
      <c r="K249" s="417" t="str">
        <f aca="false">IF($A$1="Peak","-",'Base Hours'!K249*BaseLoad!Q248*'Base Hours'!$AA249)</f>
        <v>-</v>
      </c>
      <c r="L249" s="417" t="str">
        <f aca="false">IF($A$1="Peak","-",'Base Hours'!L249*BaseLoad!R248*'Base Hours'!$AA249)</f>
        <v>-</v>
      </c>
      <c r="M249" s="417" t="str">
        <f aca="false">IF($A$1="Peak","-",'Base Hours'!M249*BaseLoad!S248*'Base Hours'!$AA249)</f>
        <v>-</v>
      </c>
      <c r="N249" s="417" t="str">
        <f aca="false">IF($A$1="Peak","-",'Base Hours'!N249*BaseLoad!T248*'Base Hours'!$AA249)</f>
        <v>-</v>
      </c>
      <c r="O249" s="417" t="str">
        <f aca="false">IF($A$1="Peak","-",'Base Hours'!O249*BaseLoad!U248*'Base Hours'!$AA249)</f>
        <v>-</v>
      </c>
      <c r="P249" s="417" t="str">
        <f aca="false">IF($A$1="Peak","-",'Base Hours'!P249*BaseLoad!V248*'Base Hours'!$AA249)</f>
        <v>-</v>
      </c>
      <c r="Q249" s="417" t="str">
        <f aca="false">IF($A$1="Peak","-",'Base Hours'!Q249*BaseLoad!W248*'Base Hours'!$AA249)</f>
        <v>-</v>
      </c>
      <c r="R249" s="417" t="str">
        <f aca="false">IF($A$1="Peak","-",'Base Hours'!R249*BaseLoad!X248*'Base Hours'!$AA249)</f>
        <v>-</v>
      </c>
      <c r="S249" s="417" t="str">
        <f aca="false">IF($A$1="Peak","-",'Base Hours'!S249*BaseLoad!Y248*'Base Hours'!$AA249)</f>
        <v>-</v>
      </c>
      <c r="T249" s="417" t="str">
        <f aca="false">IF($A$1="Peak","-",'Base Hours'!T249*BaseLoad!Z248*'Base Hours'!$AA249)</f>
        <v>-</v>
      </c>
      <c r="U249" s="417" t="str">
        <f aca="false">IF($A$1="Peak","-",'Base Hours'!U249*BaseLoad!AA248*'Base Hours'!$AA249)</f>
        <v>-</v>
      </c>
      <c r="V249" s="417" t="n">
        <f aca="false">SUM(B249:U249)-(MAX(B249:U249))</f>
        <v>0</v>
      </c>
      <c r="W249" s="417"/>
      <c r="X249" s="417"/>
      <c r="Y249" s="418" t="n">
        <f aca="false">SUM(B238:U249)</f>
        <v>0</v>
      </c>
      <c r="Z249" s="418" t="n">
        <f aca="false">(BaseLoad!C248*'Base Hours'!V249*'Base Hours'!$AA249)*-1</f>
        <v>-0</v>
      </c>
      <c r="AA249" s="418" t="n">
        <f aca="false">SUM(Z238:Z249)</f>
        <v>0</v>
      </c>
      <c r="AB249" s="418" t="n">
        <f aca="false">(BaseLoad!D248*'Base Hours'!V249*'Base Hours'!$AA249)*-1</f>
        <v>-0</v>
      </c>
      <c r="AC249" s="418" t="n">
        <f aca="false">SUM(AB238:AB249)</f>
        <v>0</v>
      </c>
      <c r="AD249" s="418" t="n">
        <f aca="false">(BaseLoad!E248*'Base Hours'!V249*'Base Hours'!$AA249)*-1</f>
        <v>-0</v>
      </c>
      <c r="AE249" s="418" t="n">
        <f aca="false">SUM(AD238:AD249)</f>
        <v>0</v>
      </c>
      <c r="AF249" s="418" t="n">
        <f aca="false">(BaseLoad!F248*'Base Hours'!V249*'Base Hours'!$AA249)*-1</f>
        <v>-0</v>
      </c>
      <c r="AG249" s="418" t="n">
        <f aca="false">SUM(AF238:AF249)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2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178" activeCellId="0" sqref="A2178:W223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" width="27.99"/>
    <col collapsed="false" customWidth="true" hidden="false" outlineLevel="0" max="2" min="2" style="11" width="27.56"/>
    <col collapsed="false" customWidth="true" hidden="false" outlineLevel="0" max="3" min="3" style="11" width="19.7"/>
    <col collapsed="false" customWidth="true" hidden="false" outlineLevel="0" max="4" min="4" style="11" width="17.85"/>
    <col collapsed="false" customWidth="true" hidden="false" outlineLevel="0" max="5" min="5" style="11" width="17.7"/>
    <col collapsed="false" customWidth="true" hidden="false" outlineLevel="0" max="6" min="6" style="11" width="17.99"/>
    <col collapsed="false" customWidth="true" hidden="false" outlineLevel="0" max="7" min="7" style="11" width="19.85"/>
    <col collapsed="false" customWidth="true" hidden="false" outlineLevel="0" max="8" min="8" style="11" width="18.14"/>
    <col collapsed="false" customWidth="true" hidden="false" outlineLevel="0" max="9" min="9" style="11" width="17.28"/>
    <col collapsed="false" customWidth="true" hidden="false" outlineLevel="0" max="10" min="10" style="11" width="15.99"/>
    <col collapsed="false" customWidth="true" hidden="false" outlineLevel="0" max="11" min="11" style="11" width="17.42"/>
    <col collapsed="false" customWidth="true" hidden="false" outlineLevel="0" max="12" min="12" style="11" width="17.85"/>
    <col collapsed="false" customWidth="true" hidden="false" outlineLevel="0" max="13" min="13" style="11" width="17.99"/>
    <col collapsed="false" customWidth="true" hidden="false" outlineLevel="0" max="14" min="14" style="11" width="17.85"/>
    <col collapsed="false" customWidth="true" hidden="false" outlineLevel="0" max="15" min="15" style="11" width="15.99"/>
    <col collapsed="false" customWidth="true" hidden="false" outlineLevel="0" max="16" min="16" style="11" width="17.99"/>
    <col collapsed="false" customWidth="true" hidden="false" outlineLevel="0" max="17" min="17" style="11" width="17.7"/>
    <col collapsed="false" customWidth="true" hidden="false" outlineLevel="0" max="18" min="18" style="11" width="17.42"/>
    <col collapsed="false" customWidth="true" hidden="false" outlineLevel="0" max="19" min="19" style="11" width="18.28"/>
    <col collapsed="false" customWidth="true" hidden="false" outlineLevel="0" max="20" min="20" style="11" width="17.14"/>
    <col collapsed="false" customWidth="true" hidden="false" outlineLevel="0" max="21" min="21" style="11" width="17.42"/>
    <col collapsed="false" customWidth="true" hidden="false" outlineLevel="0" max="22" min="22" style="11" width="13.28"/>
    <col collapsed="false" customWidth="true" hidden="false" outlineLevel="0" max="23" min="23" style="11" width="3.99"/>
    <col collapsed="false" customWidth="false" hidden="false" outlineLevel="0" max="257" min="24" style="11" width="9.14"/>
  </cols>
  <sheetData>
    <row r="1" customFormat="false" ht="12.75" hidden="false" customHeight="false" outlineLevel="0" collapsed="false">
      <c r="A1" s="48"/>
      <c r="B1" s="49"/>
      <c r="C1" s="50"/>
      <c r="D1" s="2"/>
      <c r="E1" s="2"/>
      <c r="F1" s="51" t="s">
        <v>15</v>
      </c>
      <c r="G1" s="51"/>
      <c r="H1" s="51"/>
      <c r="I1" s="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</row>
    <row r="2" customFormat="false" ht="12.75" hidden="false" customHeight="false" outlineLevel="0" collapsed="false">
      <c r="A2" s="52" t="s">
        <v>5</v>
      </c>
      <c r="B2" s="53" t="n">
        <f aca="false">Summary!C51</f>
        <v>5831.848</v>
      </c>
      <c r="C2" s="54"/>
      <c r="D2" s="55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</row>
    <row r="3" customFormat="false" ht="12.75" hidden="false" customHeight="false" outlineLevel="0" collapsed="false">
      <c r="A3" s="52" t="s">
        <v>16</v>
      </c>
      <c r="B3" s="56" t="n">
        <f aca="false">Assumptions!L16</f>
        <v>0.1</v>
      </c>
      <c r="C3" s="55"/>
      <c r="D3" s="5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</row>
    <row r="4" customFormat="false" ht="12.75" hidden="false" customHeight="false" outlineLevel="0" collapsed="false">
      <c r="A4" s="48"/>
      <c r="B4" s="4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</row>
    <row r="5" customFormat="false" ht="12.75" hidden="false" customHeight="false" outlineLevel="0" collapsed="false">
      <c r="A5" s="2"/>
      <c r="B5" s="3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</row>
    <row r="6" customFormat="false" ht="15.75" hidden="false" customHeight="false" outlineLevel="0" collapsed="false">
      <c r="A6" s="48" t="s">
        <v>17</v>
      </c>
      <c r="B6" s="57" t="s">
        <v>18</v>
      </c>
      <c r="C6" s="58" t="n">
        <v>2000</v>
      </c>
      <c r="D6" s="58" t="n">
        <v>2001</v>
      </c>
      <c r="E6" s="58" t="n">
        <v>2002</v>
      </c>
      <c r="F6" s="58" t="n">
        <v>2003</v>
      </c>
      <c r="G6" s="58" t="n">
        <v>2004</v>
      </c>
      <c r="H6" s="58" t="n">
        <v>2005</v>
      </c>
      <c r="I6" s="58" t="n">
        <v>2006</v>
      </c>
      <c r="J6" s="58" t="n">
        <v>2007</v>
      </c>
      <c r="K6" s="58" t="n">
        <v>2008</v>
      </c>
      <c r="L6" s="58" t="n">
        <v>2009</v>
      </c>
      <c r="M6" s="58" t="n">
        <v>2010</v>
      </c>
      <c r="N6" s="58" t="n">
        <v>2011</v>
      </c>
      <c r="O6" s="58" t="n">
        <v>2012</v>
      </c>
      <c r="P6" s="58" t="n">
        <v>2013</v>
      </c>
      <c r="Q6" s="58" t="n">
        <v>2014</v>
      </c>
      <c r="R6" s="58" t="n">
        <v>2015</v>
      </c>
      <c r="S6" s="58" t="n">
        <v>2016</v>
      </c>
      <c r="T6" s="58" t="n">
        <v>2017</v>
      </c>
      <c r="U6" s="58" t="n">
        <v>2018</v>
      </c>
      <c r="V6" s="58" t="n">
        <v>2019</v>
      </c>
      <c r="W6" s="58" t="s">
        <v>19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customFormat="false" ht="12.75" hidden="false" customHeight="false" outlineLevel="0" collapsed="false">
      <c r="A7" s="59" t="n">
        <f aca="false">Summary!F4</f>
        <v>0</v>
      </c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customFormat="false" ht="12.75" hidden="false" customHeight="false" outlineLevel="0" collapsed="false">
      <c r="A8" s="2"/>
      <c r="B8" s="62" t="s">
        <v>20</v>
      </c>
      <c r="C8" s="63" t="n">
        <v>0</v>
      </c>
      <c r="D8" s="64" t="n">
        <f aca="false">+D68+D134+D200+D266+D332+D398+D464+D530+D596+D662+D728+D794+D860+D926+D992+D1058+D1124+D1190+D1256+D1322+D1388+D1454+D1520+D1586+D1652+D1718+D1784+D1850+D1916+D1982+D2048+D2114+D2180</f>
        <v>1414573071.68368</v>
      </c>
      <c r="E8" s="64" t="n">
        <f aca="false">+E68+E134+E200+E266+E332+E398+E464+E530+E596+E662+E728+E794+E860+E926+E992+E1058+E1124+E1190+E1256+E1322+E1388+E1454+E1520+E1586+E1652+E1718+E1784+E1850+E1916+E1982+E2048+E2114+E2180</f>
        <v>1382436595.11799</v>
      </c>
      <c r="F8" s="64" t="n">
        <f aca="false">+F68+F134+F200+F266+F332+F398+F464+F530+F596+F662+F728+F794+F860+F926+F992+F1058+F1124+F1190+F1256+F1322+F1388+F1454+F1520+F1586+F1652+F1718+F1784+F1850+F1916+F1982+F2048+F2114+F2180</f>
        <v>1409061440.96469</v>
      </c>
      <c r="G8" s="64" t="n">
        <f aca="false">+G68+G134+G200+G266+G332+G398+G464+G530+G596+G662+G728+G794+G860+G926+G992+G1058+G1124+G1190+G1256+G1322+G1388+G1454+G1520+G1586+G1652+G1718+G1784+G1850+G1916+G1982+G2048+G2114+G2180</f>
        <v>1363624808.17713</v>
      </c>
      <c r="H8" s="64" t="n">
        <f aca="false">+H68+H134+H200+H266+H332+H398+H464+H530+H596+H662+H728+H794+H860+H926+H992+H1058+H1124+H1190+H1256+H1322+H1388+H1454+H1520+H1586+H1652+H1718+H1784+H1850+H1916+H1982+H2048+H2114+H2180</f>
        <v>1380904364.76028</v>
      </c>
      <c r="I8" s="64" t="n">
        <f aca="false">+I68+I134+I200+I266+I332+I398+I464+I530+I596+I662+I728+I794+I860+I926+I992+I1058+I1124+I1190+I1256+I1322+I1388+I1454+I1520+I1586+I1652+I1718+I1784+I1850+I1916+I1982+I2048+I2114+I2180</f>
        <v>1478541372.7536</v>
      </c>
      <c r="J8" s="64" t="n">
        <f aca="false">+J68+J134+J200+J266+J332+J398+J464+J530+J596+J662+J728+J794+J860+J926+J992+J1058+J1124+J1190+J1256+J1322+J1388+J1454+J1520+J1586+J1652+J1718+J1784+J1850+J1916+J1982+J2048+J2114+J2180</f>
        <v>1592114015.05314</v>
      </c>
      <c r="K8" s="64" t="n">
        <f aca="false">+K68+K134+K200+K266+K332+K398+K464+K530+K596+K662+K728+K794+K860+K926+K992+K1058+K1124+K1190+K1256+K1322+K1388+K1454+K1520+K1586+K1652+K1718+K1784+K1850+K1916+K1982+K2048+K2114+K2180</f>
        <v>1674572544.6117</v>
      </c>
      <c r="L8" s="64" t="n">
        <f aca="false">+L68+L134+L200+L266+L332+L398+L464+L530+L596+L662+L728+L794+L860+L926+L992+L1058+L1124+L1190+L1256+L1322+L1388+L1454+L1520+L1586+L1652+L1718+L1784+L1850+L1916+L1982+L2048+L2114+L2180</f>
        <v>1706433849.65606</v>
      </c>
      <c r="M8" s="64" t="n">
        <f aca="false">+M68+M134+M200+M266+M332+M398+M464+M530+M596+M662+M728+M794+M860+M926+M992+M1058+M1124+M1190+M1256+M1322+M1388+M1454+M1520+M1586+M1652+M1718+M1784+M1850+M1916+M1982+M2048+M2114+M2180</f>
        <v>1691102725.21232</v>
      </c>
      <c r="N8" s="64" t="n">
        <f aca="false">+N68+N134+N200+N266+N332+N398+N464+N530+N596+N662+N728+N794+N860+N926+N992+N1058+N1124+N1190+N1256+N1322+N1388+N1454+N1520+N1586+N1652+N1718+N1784+N1850+N1916+N1982+N2048+N2114+N2180</f>
        <v>1728369331.08268</v>
      </c>
      <c r="O8" s="64" t="n">
        <f aca="false">+O68+O134+O200+O266+O332+O398+O464+O530+O596+O662+O728+O794+O860+O926+O992+O1058+O1124+O1190+O1256+O1322+O1388+O1454+O1520+O1586+O1652+O1718+O1784+O1850+O1916+O1982+O2048+O2114+O2180</f>
        <v>1739991208.86276</v>
      </c>
      <c r="P8" s="64" t="n">
        <f aca="false">+P68+P134+P200+P266+P332+P398+P464+P530+P596+P662+P728+P794+P860+P926+P992+P1058+P1124+P1190+P1256+P1322+P1388+P1454+P1520+P1586+P1652+P1718+P1784+P1850+P1916+P1982+P2048+P2114+P2180</f>
        <v>1752961669.51015</v>
      </c>
      <c r="Q8" s="64" t="n">
        <f aca="false">+Q68+Q134+Q200+Q266+Q332+Q398+Q464+Q530+Q596+Q662+Q728+Q794+Q860+Q926+Q992+Q1058+Q1124+Q1190+Q1256+Q1322+Q1388+Q1454+Q1520+Q1586+Q1652+Q1718+Q1784+Q1850+Q1916+Q1982+Q2048+Q2114+Q2180</f>
        <v>1837949667.37976</v>
      </c>
      <c r="R8" s="64" t="n">
        <f aca="false">+R68+R134+R200+R266+R332+R398+R464+R530+R596+R662+R728+R794+R860+R926+R992+R1058+R1124+R1190+R1256+R1322+R1388+R1454+R1520+R1586+R1652+R1718+R1784+R1850+R1916+R1982+R2048+R2114+R2180</f>
        <v>1954760355.76545</v>
      </c>
      <c r="S8" s="64" t="n">
        <f aca="false">+S68+S134+S200+S266+S332+S398+S464+S530+S596+S662+S728+S794+S860+S926+S992+S1058+S1124+S1190+S1256+S1322+S1388+S1454+S1520+S1586+S1652+S1718+S1784+S1850+S1916+S1982+S2048+S2114+S2180</f>
        <v>1913137512.85321</v>
      </c>
      <c r="T8" s="64" t="n">
        <f aca="false">+T68+T134+T200+T266+T332+T398+T464+T530+T596+T662+T728+T794+T860+T926+T992+T1058+T1124+T1190+T1256+T1322+T1388+T1454+T1520+T1586+T1652+T1718+T1784+T1850+T1916+T1982+T2048+T2114+T2180</f>
        <v>1929699580.84814</v>
      </c>
      <c r="U8" s="64" t="n">
        <f aca="false">+U68+U134+U200+U266+U332+U398+U464+U530+U596+U662+U728+U794+U860+U926+U992+U1058+U1124+U1190+U1256+U1322+U1388+U1454+U1520+U1586+U1652+U1718+U1784+U1850+U1916+U1982+U2048+U2114+U2180</f>
        <v>2028524965.93522</v>
      </c>
      <c r="V8" s="64" t="n">
        <f aca="false">+V68+V134+V200+V266+V332+V398+V464+V530+V596+V662+V728+V794+V860+V926+V992+V1058+V1124+V1190+V1256+V1322+V1388+V1454+V1520+V1586+V1652+V1718+V1784+V1850+V1916+V1982+V2048+V2114+V2180</f>
        <v>2112047000.47149</v>
      </c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</row>
    <row r="9" customFormat="false" ht="12.75" hidden="false" customHeight="false" outlineLevel="0" collapsed="false">
      <c r="A9" s="2"/>
      <c r="B9" s="62" t="s">
        <v>21</v>
      </c>
      <c r="C9" s="63" t="n">
        <v>0</v>
      </c>
      <c r="D9" s="64" t="n">
        <f aca="false">+D69+D135+D201+D267+D333+D399+D465+D531+D597+D663+D729+D795+D861+D927+D993+D1059+D1125+D1191+D1257+D1323+D1389+D1455+D1521+D1587+D1653+D1719+D1785+D1851+D1917+D1983+D2049+D2115+D2181</f>
        <v>-426786816.511689</v>
      </c>
      <c r="E9" s="64" t="n">
        <f aca="false">+E69+E135+E201+E267+E333+E399+E465+E531+E597+E663+E729+E795+E861+E927+E993+E1059+E1125+E1191+E1257+E1323+E1389+E1455+E1521+E1587+E1653+E1719+E1785+E1851+E1917+E1983+E2049+E2115+E2181</f>
        <v>-439410570.011313</v>
      </c>
      <c r="F9" s="64" t="n">
        <f aca="false">+F69+F135+F201+F267+F333+F399+F465+F531+F597+F663+F729+F795+F861+F927+F993+F1059+F1125+F1191+F1257+F1323+F1389+F1455+F1521+F1587+F1653+F1719+F1785+F1851+F1917+F1983+F2049+F2115+F2181</f>
        <v>-454120006.273307</v>
      </c>
      <c r="G9" s="64" t="n">
        <f aca="false">+G69+G135+G201+G267+G333+G399+G465+G531+G597+G663+G729+G795+G861+G927+G993+G1059+G1125+G1191+G1257+G1323+G1389+G1455+G1521+G1587+G1653+G1719+G1785+G1851+G1917+G1983+G2049+G2115+G2181</f>
        <v>-449055559.793797</v>
      </c>
      <c r="H9" s="64" t="n">
        <f aca="false">+H69+H135+H201+H267+H333+H399+H465+H531+H597+H663+H729+H795+H861+H927+H993+H1059+H1125+H1191+H1257+H1323+H1389+H1455+H1521+H1587+H1653+H1719+H1785+H1851+H1917+H1983+H2049+H2115+H2181</f>
        <v>-467559884.561981</v>
      </c>
      <c r="I9" s="64" t="n">
        <f aca="false">+I69+I135+I201+I267+I333+I399+I465+I531+I597+I663+I729+I795+I861+I927+I993+I1059+I1125+I1191+I1257+I1323+I1389+I1455+I1521+I1587+I1653+I1719+I1785+I1851+I1917+I1983+I2049+I2115+I2181</f>
        <v>-500096943.633822</v>
      </c>
      <c r="J9" s="64" t="n">
        <f aca="false">+J69+J135+J201+J267+J333+J399+J465+J531+J597+J663+J729+J795+J861+J927+J993+J1059+J1125+J1191+J1257+J1323+J1389+J1455+J1521+J1587+J1653+J1719+J1785+J1851+J1917+J1983+J2049+J2115+J2181</f>
        <v>-521958050.970865</v>
      </c>
      <c r="K9" s="64" t="n">
        <f aca="false">+K69+K135+K201+K267+K333+K399+K465+K531+K597+K663+K729+K795+K861+K927+K993+K1059+K1125+K1191+K1257+K1323+K1389+K1455+K1521+K1587+K1653+K1719+K1785+K1851+K1917+K1983+K2049+K2115+K2181</f>
        <v>-554642113.879179</v>
      </c>
      <c r="L9" s="64" t="n">
        <f aca="false">+L69+L135+L201+L267+L333+L399+L465+L531+L597+L663+L729+L795+L861+L927+L993+L1059+L1125+L1191+L1257+L1323+L1389+L1455+L1521+L1587+L1653+L1719+L1785+L1851+L1917+L1983+L2049+L2115+L2181</f>
        <v>-565598497.779143</v>
      </c>
      <c r="M9" s="64" t="n">
        <f aca="false">+M69+M135+M201+M267+M333+M399+M465+M531+M597+M663+M729+M795+M861+M927+M993+M1059+M1125+M1191+M1257+M1323+M1389+M1455+M1521+M1587+M1653+M1719+M1785+M1851+M1917+M1983+M2049+M2115+M2181</f>
        <v>-551038603.662792</v>
      </c>
      <c r="N9" s="64" t="n">
        <f aca="false">+N69+N135+N201+N267+N333+N399+N465+N531+N597+N663+N729+N795+N861+N927+N993+N1059+N1125+N1191+N1257+N1323+N1389+N1455+N1521+N1587+N1653+N1719+N1785+N1851+N1917+N1983+N2049+N2115+N2181</f>
        <v>-575654224.029532</v>
      </c>
      <c r="O9" s="64" t="n">
        <f aca="false">+O69+O135+O201+O267+O333+O399+O465+O531+O597+O663+O729+O795+O861+O927+O993+O1059+O1125+O1191+O1257+O1323+O1389+O1455+O1521+O1587+O1653+O1719+O1785+O1851+O1917+O1983+O2049+O2115+O2181</f>
        <v>-574024953.759224</v>
      </c>
      <c r="P9" s="64" t="n">
        <f aca="false">+P69+P135+P201+P267+P333+P399+P465+P531+P597+P663+P729+P795+P861+P927+P993+P1059+P1125+P1191+P1257+P1323+P1389+P1455+P1521+P1587+P1653+P1719+P1785+P1851+P1917+P1983+P2049+P2115+P2181</f>
        <v>-580119527.963846</v>
      </c>
      <c r="Q9" s="64" t="n">
        <f aca="false">+Q69+Q135+Q201+Q267+Q333+Q399+Q465+Q531+Q597+Q663+Q729+Q795+Q861+Q927+Q993+Q1059+Q1125+Q1191+Q1257+Q1323+Q1389+Q1455+Q1521+Q1587+Q1653+Q1719+Q1785+Q1851+Q1917+Q1983+Q2049+Q2115+Q2181</f>
        <v>-604242693.080059</v>
      </c>
      <c r="R9" s="64" t="n">
        <f aca="false">+R69+R135+R201+R267+R333+R399+R465+R531+R597+R663+R729+R795+R861+R927+R993+R1059+R1125+R1191+R1257+R1323+R1389+R1455+R1521+R1587+R1653+R1719+R1785+R1851+R1917+R1983+R2049+R2115+R2181</f>
        <v>-625412685.648216</v>
      </c>
      <c r="S9" s="64" t="n">
        <f aca="false">+S69+S135+S201+S267+S333+S399+S465+S531+S597+S663+S729+S795+S861+S927+S993+S1059+S1125+S1191+S1257+S1323+S1389+S1455+S1521+S1587+S1653+S1719+S1785+S1851+S1917+S1983+S2049+S2115+S2181</f>
        <v>-618385553.459269</v>
      </c>
      <c r="T9" s="64" t="n">
        <f aca="false">+T69+T135+T201+T267+T333+T399+T465+T531+T597+T663+T729+T795+T861+T927+T993+T1059+T1125+T1191+T1257+T1323+T1389+T1455+T1521+T1587+T1653+T1719+T1785+T1851+T1917+T1983+T2049+T2115+T2181</f>
        <v>-617947521.317602</v>
      </c>
      <c r="U9" s="64" t="n">
        <f aca="false">+U69+U135+U201+U267+U333+U399+U465+U531+U597+U663+U729+U795+U861+U927+U993+U1059+U1125+U1191+U1257+U1323+U1389+U1455+U1521+U1587+U1653+U1719+U1785+U1851+U1917+U1983+U2049+U2115+U2181</f>
        <v>-634374041.974636</v>
      </c>
      <c r="V9" s="64" t="n">
        <f aca="false">+V69+V135+V201+V267+V333+V399+V465+V531+V597+V663+V729+V795+V861+V927+V993+V1059+V1125+V1191+V1257+V1323+V1389+V1455+V1521+V1587+V1653+V1719+V1785+V1851+V1917+V1983+V2049+V2115+V2181</f>
        <v>-677144396.688564</v>
      </c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</row>
    <row r="10" customFormat="false" ht="12.75" hidden="false" customHeight="false" outlineLevel="0" collapsed="false">
      <c r="A10" s="2"/>
      <c r="B10" s="62" t="s">
        <v>22</v>
      </c>
      <c r="C10" s="63" t="n">
        <v>0</v>
      </c>
      <c r="D10" s="64" t="n">
        <f aca="false">+D70+D136+D202+D268+D334+D400+D466+D532+D598+D664+D730+D796+D862+D928+D994+D1060+D1126+D1192+D1258+D1324+D1390+D1456+D1522+D1588+D1654+D1720+D1786+D1852+D1918+D1984+D2050+D2116+D2182</f>
        <v>-32623223.88472</v>
      </c>
      <c r="E10" s="64" t="n">
        <f aca="false">+E70+E136+E202+E268+E334+E400+E466+E532+E598+E664+E730+E796+E862+E928+E994+E1060+E1126+E1192+E1258+E1324+E1390+E1456+E1522+E1588+E1654+E1720+E1786+E1852+E1918+E1984+E2050+E2116+E2182</f>
        <v>-33641589.2886853</v>
      </c>
      <c r="F10" s="64" t="n">
        <f aca="false">+F70+F136+F202+F268+F334+F400+F466+F532+F598+F664+F730+F796+F862+F928+F994+F1060+F1126+F1192+F1258+F1324+F1390+F1456+F1522+F1588+F1654+F1720+F1786+F1852+F1918+F1984+F2050+F2116+F2182</f>
        <v>-45941004.1013753</v>
      </c>
      <c r="G10" s="64" t="n">
        <f aca="false">+G70+G136+G202+G268+G334+G400+G466+G532+G598+G664+G730+G796+G862+G928+G994+G1060+G1126+G1192+G1258+G1324+G1390+G1456+G1522+G1588+G1654+G1720+G1786+G1852+G1918+G1984+G2050+G2116+G2182</f>
        <v>-46697545.5055035</v>
      </c>
      <c r="H10" s="64" t="n">
        <f aca="false">+H70+H136+H202+H268+H334+H400+H466+H532+H598+H664+H730+H796+H862+H928+H994+H1060+H1126+H1192+H1258+H1324+H1390+H1456+H1522+H1588+H1654+H1720+H1786+H1852+H1918+H1984+H2050+H2116+H2182</f>
        <v>-47887191.0909364</v>
      </c>
      <c r="I10" s="64" t="n">
        <f aca="false">+I70+I136+I202+I268+I334+I400+I466+I532+I598+I664+I730+I796+I862+I928+I994+I1060+I1126+I1192+I1258+I1324+I1390+I1456+I1522+I1588+I1654+I1720+I1786+I1852+I1918+I1984+I2050+I2116+I2182</f>
        <v>-49170207.7801545</v>
      </c>
      <c r="J10" s="64" t="n">
        <f aca="false">+J70+J136+J202+J268+J334+J400+J466+J532+J598+J664+J730+J796+J862+J928+J994+J1060+J1126+J1192+J1258+J1324+J1390+J1456+J1522+J1588+J1654+J1720+J1786+J1852+J1918+J1984+J2050+J2116+J2182</f>
        <v>-50368333.4275698</v>
      </c>
      <c r="K10" s="64" t="n">
        <f aca="false">+K70+K136+K202+K268+K334+K400+K466+K532+K598+K664+K730+K796+K862+K928+K994+K1060+K1126+K1192+K1258+K1324+K1390+K1456+K1522+K1588+K1654+K1720+K1786+K1852+K1918+K1984+K2050+K2116+K2182</f>
        <v>-52383164.9636653</v>
      </c>
      <c r="L10" s="64" t="n">
        <f aca="false">+L70+L136+L202+L268+L334+L400+L466+L532+L598+L664+L730+L796+L862+L928+L994+L1060+L1126+L1192+L1258+L1324+L1390+L1456+L1522+L1588+L1654+L1720+L1786+L1852+L1918+L1984+L2050+L2116+L2182</f>
        <v>-53467897.9360342</v>
      </c>
      <c r="M10" s="64" t="n">
        <f aca="false">+M70+M136+M202+M268+M334+M400+M466+M532+M598+M664+M730+M796+M862+M928+M994+M1060+M1126+M1192+M1258+M1324+M1390+M1456+M1522+M1588+M1654+M1720+M1786+M1852+M1918+M1984+M2050+M2116+M2182</f>
        <v>-53930417.0236981</v>
      </c>
      <c r="N10" s="64" t="n">
        <f aca="false">+N70+N136+N202+N268+N334+N400+N466+N532+N598+N664+N730+N796+N862+N928+N994+N1060+N1126+N1192+N1258+N1324+N1390+N1456+N1522+N1588+N1654+N1720+N1786+N1852+N1918+N1984+N2050+N2116+N2182</f>
        <v>-55446030.5249725</v>
      </c>
      <c r="O10" s="64" t="n">
        <f aca="false">+O70+O136+O202+O268+O334+O400+O466+O532+O598+O664+O730+O796+O862+O928+O994+O1060+O1126+O1192+O1258+O1324+O1390+O1456+O1522+O1588+O1654+O1720+O1786+O1852+O1918+O1984+O2050+O2116+O2182</f>
        <v>-56398176.5571168</v>
      </c>
      <c r="P10" s="64" t="n">
        <f aca="false">+P70+P136+P202+P268+P334+P400+P466+P532+P598+P664+P730+P796+P862+P928+P994+P1060+P1126+P1192+P1258+P1324+P1390+P1456+P1522+P1588+P1654+P1720+P1786+P1852+P1918+P1984+P2050+P2116+P2182</f>
        <v>-57327381.827159</v>
      </c>
      <c r="Q10" s="64" t="n">
        <f aca="false">+Q70+Q136+Q202+Q268+Q334+Q400+Q466+Q532+Q598+Q664+Q730+Q796+Q862+Q928+Q994+Q1060+Q1126+Q1192+Q1258+Q1324+Q1390+Q1456+Q1522+Q1588+Q1654+Q1720+Q1786+Q1852+Q1918+Q1984+Q2050+Q2116+Q2182</f>
        <v>-59004898.0431949</v>
      </c>
      <c r="R10" s="64" t="n">
        <f aca="false">+R70+R136+R202+R268+R334+R400+R466+R532+R598+R664+R730+R796+R862+R928+R994+R1060+R1126+R1192+R1258+R1324+R1390+R1456+R1522+R1588+R1654+R1720+R1786+R1852+R1918+R1984+R2050+R2116+R2182</f>
        <v>-60270076.0792144</v>
      </c>
      <c r="S10" s="64" t="n">
        <f aca="false">+S70+S136+S202+S268+S334+S400+S466+S532+S598+S664+S730+S796+S862+S928+S994+S1060+S1126+S1192+S1258+S1324+S1390+S1456+S1522+S1588+S1654+S1720+S1786+S1852+S1918+S1984+S2050+S2116+S2182</f>
        <v>-60977053.1584186</v>
      </c>
      <c r="T10" s="64" t="n">
        <f aca="false">+T70+T136+T202+T268+T334+T400+T466+T532+T598+T664+T730+T796+T862+T928+T994+T1060+T1126+T1192+T1258+T1324+T1390+T1456+T1522+T1588+T1654+T1720+T1786+T1852+T1918+T1984+T2050+T2116+T2182</f>
        <v>-61958978.3194503</v>
      </c>
      <c r="U10" s="64" t="n">
        <f aca="false">+U70+U136+U202+U268+U334+U400+U466+U532+U598+U664+U730+U796+U862+U928+U994+U1060+U1126+U1192+U1258+U1324+U1390+U1456+U1522+U1588+U1654+U1720+U1786+U1852+U1918+U1984+U2050+U2116+U2182</f>
        <v>-63401455.1048947</v>
      </c>
      <c r="V10" s="64" t="n">
        <f aca="false">+V70+V136+V202+V268+V334+V400+V466+V532+V598+V664+V730+V796+V862+V928+V994+V1060+V1126+V1192+V1258+V1324+V1390+V1456+V1522+V1588+V1654+V1720+V1786+V1852+V1918+V1984+V2050+V2116+V2182</f>
        <v>-65664045.9441525</v>
      </c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</row>
    <row r="11" customFormat="false" ht="12.75" hidden="false" customHeight="false" outlineLevel="0" collapsed="false">
      <c r="A11" s="2"/>
      <c r="B11" s="62" t="s">
        <v>23</v>
      </c>
      <c r="C11" s="63" t="n">
        <v>0</v>
      </c>
      <c r="D11" s="64" t="n">
        <f aca="false">+D71+D137+D203+D269+D335+D401+D467+D533+D599+D665+D731+D797+D863+D929+D995+D1061+D1127+D1193+D1259+D1325+D1391+D1457+D1523+D1589+D1655+D1721+D1787+D1853+D1919+D1985+D2051+D2117+D2183</f>
        <v>0</v>
      </c>
      <c r="E11" s="64" t="n">
        <f aca="false">+E71+E137+E203+E269+E335+E401+E467+E533+E599+E665+E731+E797+E863+E929+E995+E1061+E1127+E1193+E1259+E1325+E1391+E1457+E1523+E1589+E1655+E1721+E1787+E1853+E1919+E1985+E2051+E2117+E2183</f>
        <v>0</v>
      </c>
      <c r="F11" s="64" t="n">
        <f aca="false">+F71+F137+F203+F269+F335+F401+F467+F533+F599+F665+F731+F797+F863+F929+F995+F1061+F1127+F1193+F1259+F1325+F1391+F1457+F1523+F1589+F1655+F1721+F1787+F1853+F1919+F1985+F2051+F2117+F2183</f>
        <v>0</v>
      </c>
      <c r="G11" s="64" t="n">
        <f aca="false">+G71+G137+G203+G269+G335+G401+G467+G533+G599+G665+G731+G797+G863+G929+G995+G1061+G1127+G1193+G1259+G1325+G1391+G1457+G1523+G1589+G1655+G1721+G1787+G1853+G1919+G1985+G2051+G2117+G2183</f>
        <v>0</v>
      </c>
      <c r="H11" s="64" t="n">
        <f aca="false">+H71+H137+H203+H269+H335+H401+H467+H533+H599+H665+H731+H797+H863+H929+H995+H1061+H1127+H1193+H1259+H1325+H1391+H1457+H1523+H1589+H1655+H1721+H1787+H1853+H1919+H1985+H2051+H2117+H2183</f>
        <v>0</v>
      </c>
      <c r="I11" s="64" t="n">
        <f aca="false">+I71+I137+I203+I269+I335+I401+I467+I533+I599+I665+I731+I797+I863+I929+I995+I1061+I1127+I1193+I1259+I1325+I1391+I1457+I1523+I1589+I1655+I1721+I1787+I1853+I1919+I1985+I2051+I2117+I2183</f>
        <v>-15898191.4225184</v>
      </c>
      <c r="J11" s="64" t="n">
        <f aca="false">+J71+J137+J203+J269+J335+J401+J467+J533+J599+J665+J731+J797+J863+J929+J995+J1061+J1127+J1193+J1259+J1325+J1391+J1457+J1523+J1589+J1655+J1721+J1787+J1853+J1919+J1985+J2051+J2117+J2183</f>
        <v>-17355060.3925407</v>
      </c>
      <c r="K11" s="64" t="n">
        <f aca="false">+K71+K137+K203+K269+K335+K401+K467+K533+K599+K665+K731+K797+K863+K929+K995+K1061+K1127+K1193+K1259+K1325+K1391+K1457+K1523+K1589+K1655+K1721+K1787+K1853+K1919+K1985+K2051+K2117+K2183</f>
        <v>-21624214.9501855</v>
      </c>
      <c r="L11" s="64" t="n">
        <f aca="false">+L71+L137+L203+L269+L335+L401+L467+L533+L599+L665+L731+L797+L863+L929+L995+L1061+L1127+L1193+L1259+L1325+L1391+L1457+L1523+L1589+L1655+L1721+L1787+L1853+L1919+L1985+L2051+L2117+L2183</f>
        <v>-21138839.6213015</v>
      </c>
      <c r="M11" s="64" t="n">
        <f aca="false">+M71+M137+M203+M269+M335+M401+M467+M533+M599+M665+M731+M797+M863+M929+M995+M1061+M1127+M1193+M1259+M1325+M1391+M1457+M1523+M1589+M1655+M1721+M1787+M1853+M1919+M1985+M2051+M2117+M2183</f>
        <v>-23551801.7332745</v>
      </c>
      <c r="N11" s="64" t="n">
        <f aca="false">+N71+N137+N203+N269+N335+N401+N467+N533+N599+N665+N731+N797+N863+N929+N995+N1061+N1127+N1193+N1259+N1325+N1391+N1457+N1523+N1589+N1655+N1721+N1787+N1853+N1919+N1985+N2051+N2117+N2183</f>
        <v>-26033194.5882366</v>
      </c>
      <c r="O11" s="64" t="n">
        <f aca="false">+O71+O137+O203+O269+O335+O401+O467+O533+O599+O665+O731+O797+O863+O929+O995+O1061+O1127+O1193+O1259+O1325+O1391+O1457+O1523+O1589+O1655+O1721+O1787+O1853+O1919+O1985+O2051+O2117+O2183</f>
        <v>-28768618.8058005</v>
      </c>
      <c r="P11" s="64" t="n">
        <f aca="false">+P71+P137+P203+P269+P335+P401+P467+P533+P599+P665+P731+P797+P863+P929+P995+P1061+P1127+P1193+P1259+P1325+P1391+P1457+P1523+P1589+P1655+P1721+P1787+P1853+P1919+P1985+P2051+P2117+P2183</f>
        <v>-32175947.8831299</v>
      </c>
      <c r="Q11" s="64" t="n">
        <f aca="false">+Q71+Q137+Q203+Q269+Q335+Q401+Q467+Q533+Q599+Q665+Q731+Q797+Q863+Q929+Q995+Q1061+Q1127+Q1193+Q1259+Q1325+Q1391+Q1457+Q1523+Q1589+Q1655+Q1721+Q1787+Q1853+Q1919+Q1985+Q2051+Q2117+Q2183</f>
        <v>-36062267.1034297</v>
      </c>
      <c r="R11" s="64" t="n">
        <f aca="false">+R71+R137+R203+R269+R335+R401+R467+R533+R599+R665+R731+R797+R863+R929+R995+R1061+R1127+R1193+R1259+R1325+R1391+R1457+R1523+R1589+R1655+R1721+R1787+R1853+R1919+R1985+R2051+R2117+R2183</f>
        <v>-40521239.3814049</v>
      </c>
      <c r="S11" s="64" t="n">
        <f aca="false">+S71+S137+S203+S269+S335+S401+S467+S533+S599+S665+S731+S797+S863+S929+S995+S1061+S1127+S1193+S1259+S1325+S1391+S1457+S1523+S1589+S1655+S1721+S1787+S1853+S1919+S1985+S2051+S2117+S2183</f>
        <v>-43619362.3802555</v>
      </c>
      <c r="T11" s="64" t="n">
        <f aca="false">+T71+T137+T203+T269+T335+T401+T467+T533+T599+T665+T731+T797+T863+T929+T995+T1061+T1127+T1193+T1259+T1325+T1391+T1457+T1523+T1589+T1655+T1721+T1787+T1853+T1919+T1985+T2051+T2117+T2183</f>
        <v>-42900943.3459396</v>
      </c>
      <c r="U11" s="64" t="n">
        <f aca="false">+U71+U137+U203+U269+U335+U401+U467+U533+U599+U665+U731+U797+U863+U929+U995+U1061+U1127+U1193+U1259+U1325+U1391+U1457+U1523+U1589+U1655+U1721+U1787+U1853+U1919+U1985+U2051+U2117+U2183</f>
        <v>-37049823.7684234</v>
      </c>
      <c r="V11" s="64" t="n">
        <f aca="false">+V71+V137+V203+V269+V335+V401+V467+V533+V599+V665+V731+V797+V863+V929+V995+V1061+V1127+V1193+V1259+V1325+V1391+V1457+V1523+V1589+V1655+V1721+V1787+V1853+V1919+V1985+V2051+V2117+V2183</f>
        <v>-39453902.144779</v>
      </c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</row>
    <row r="12" customFormat="false" ht="13.5" hidden="false" customHeight="false" outlineLevel="0" collapsed="false">
      <c r="A12" s="2"/>
      <c r="B12" s="66" t="s">
        <v>24</v>
      </c>
      <c r="C12" s="67" t="n">
        <v>0</v>
      </c>
      <c r="D12" s="68" t="n">
        <f aca="false">+D72+D138+D204+D270+D336+D402+D468+D534+D600+D666+D732+D798+D864+D930+D996+D1062+D1128+D1194+D1260+D1326+D1392+D1458+D1524+D1590+D1656+D1722+D1788+D1854+D1920+D1986+D2052+D2118+D2184</f>
        <v>0</v>
      </c>
      <c r="E12" s="68" t="n">
        <f aca="false">+E72+E138+E204+E270+E336+E402+E468+E534+E600+E666+E732+E798+E864+E930+E996+E1062+E1128+E1194+E1260+E1326+E1392+E1458+E1524+E1590+E1656+E1722+E1788+E1854+E1920+E1986+E2052+E2118+E2184</f>
        <v>0</v>
      </c>
      <c r="F12" s="68" t="n">
        <f aca="false">+F72+F138+F204+F270+F336+F402+F468+F534+F600+F666+F732+F798+F864+F930+F996+F1062+F1128+F1194+F1260+F1326+F1392+F1458+F1524+F1590+F1656+F1722+F1788+F1854+F1920+F1986+F2052+F2118+F2184</f>
        <v>-40491751.0408479</v>
      </c>
      <c r="G12" s="68" t="n">
        <f aca="false">+G72+G138+G204+G270+G336+G402+G468+G534+G600+G666+G732+G798+G864+G930+G996+G1062+G1128+G1194+G1260+G1326+G1392+G1458+G1524+G1590+G1656+G1722+G1788+G1854+G1920+G1986+G2052+G2118+G2184</f>
        <v>-34485730.6318189</v>
      </c>
      <c r="H12" s="68" t="n">
        <f aca="false">+H72+H138+H204+H270+H336+H402+H468+H534+H600+H666+H732+H798+H864+H930+H996+H1062+H1128+H1194+H1260+H1326+H1392+H1458+H1524+H1590+H1656+H1722+H1788+H1854+H1920+H1986+H2052+H2118+H2184</f>
        <v>-35767176.4874802</v>
      </c>
      <c r="I12" s="68" t="n">
        <f aca="false">+I72+I138+I204+I270+I336+I402+I468+I534+I600+I666+I732+I798+I864+I930+I996+I1062+I1128+I1194+I1260+I1326+I1392+I1458+I1524+I1590+I1656+I1722+I1788+I1854+I1920+I1986+I2052+I2118+I2184</f>
        <v>-34258606.6164201</v>
      </c>
      <c r="J12" s="68" t="n">
        <f aca="false">+J72+J138+J204+J270+J336+J402+J468+J534+J600+J666+J732+J798+J864+J930+J996+J1062+J1128+J1194+J1260+J1326+J1392+J1458+J1524+J1590+J1656+J1722+J1788+J1854+J1920+J1986+J2052+J2118+J2184</f>
        <v>-44430879.3631925</v>
      </c>
      <c r="K12" s="68" t="n">
        <f aca="false">+K72+K138+K204+K270+K336+K402+K468+K534+K600+K666+K732+K798+K864+K930+K996+K1062+K1128+K1194+K1260+K1326+K1392+K1458+K1524+K1590+K1656+K1722+K1788+K1854+K1920+K1986+K2052+K2118+K2184</f>
        <v>-38962272.6428819</v>
      </c>
      <c r="L12" s="68" t="n">
        <f aca="false">+L72+L138+L204+L270+L336+L402+L468+L534+L600+L666+L732+L798+L864+L930+L996+L1062+L1128+L1194+L1260+L1326+L1392+L1458+L1524+L1590+L1656+L1722+L1788+L1854+L1920+L1986+L2052+L2118+L2184</f>
        <v>-41215955.0438734</v>
      </c>
      <c r="M12" s="68" t="n">
        <f aca="false">+M72+M138+M204+M270+M336+M402+M468+M534+M600+M666+M732+M798+M864+M930+M996+M1062+M1128+M1194+M1260+M1326+M1392+M1458+M1524+M1590+M1656+M1722+M1788+M1854+M1920+M1986+M2052+M2118+M2184</f>
        <v>-39405514.8067511</v>
      </c>
      <c r="N12" s="68" t="n">
        <f aca="false">+N72+N138+N204+N270+N336+N402+N468+N534+N600+N666+N732+N798+N864+N930+N996+N1062+N1128+N1194+N1260+N1326+N1392+N1458+N1524+N1590+N1656+N1722+N1788+N1854+N1920+N1986+N2052+N2118+N2184</f>
        <v>-40927761.0840928</v>
      </c>
      <c r="O12" s="68" t="n">
        <f aca="false">+O72+O138+O204+O270+O336+O402+O468+O534+O600+O666+O732+O798+O864+O930+O996+O1062+O1128+O1194+O1260+O1326+O1392+O1458+O1524+O1590+O1656+O1722+O1788+O1854+O1920+O1986+O2052+O2118+O2184</f>
        <v>-41659212.96924</v>
      </c>
      <c r="P12" s="68" t="n">
        <f aca="false">+P72+P138+P204+P270+P336+P402+P468+P534+P600+P666+P732+P798+P864+P930+P996+P1062+P1128+P1194+P1260+P1326+P1392+P1458+P1524+P1590+P1656+P1722+P1788+P1854+P1920+P1986+P2052+P2118+P2184</f>
        <v>-37176720.9471375</v>
      </c>
      <c r="Q12" s="68" t="n">
        <f aca="false">+Q72+Q138+Q204+Q270+Q336+Q402+Q468+Q534+Q600+Q666+Q732+Q798+Q864+Q930+Q996+Q1062+Q1128+Q1194+Q1260+Q1326+Q1392+Q1458+Q1524+Q1590+Q1656+Q1722+Q1788+Q1854+Q1920+Q1986+Q2052+Q2118+Q2184</f>
        <v>-38919527.87016</v>
      </c>
      <c r="R12" s="68" t="n">
        <f aca="false">+R72+R138+R204+R270+R336+R402+R468+R534+R600+R666+R732+R798+R864+R930+R996+R1062+R1128+R1194+R1260+R1326+R1392+R1458+R1524+R1590+R1656+R1722+R1788+R1854+R1920+R1986+R2052+R2118+R2184</f>
        <v>-40938643.5785322</v>
      </c>
      <c r="S12" s="68" t="n">
        <f aca="false">+S72+S138+S204+S270+S336+S402+S468+S534+S600+S666+S732+S798+S864+S930+S996+S1062+S1128+S1194+S1260+S1326+S1392+S1458+S1524+S1590+S1656+S1722+S1788+S1854+S1920+S1986+S2052+S2118+S2184</f>
        <v>-41976575.5433848</v>
      </c>
      <c r="T12" s="68" t="n">
        <f aca="false">+T72+T138+T204+T270+T336+T402+T468+T534+T600+T666+T732+T798+T864+T930+T996+T1062+T1128+T1194+T1260+T1326+T1392+T1458+T1524+T1590+T1656+T1722+T1788+T1854+T1920+T1986+T2052+T2118+T2184</f>
        <v>-39534806.5230474</v>
      </c>
      <c r="U12" s="68" t="n">
        <f aca="false">+U72+U138+U204+U270+U336+U402+U468+U534+U600+U666+U732+U798+U864+U930+U996+U1062+U1128+U1194+U1260+U1326+U1392+U1458+U1524+U1590+U1656+U1722+U1788+U1854+U1920+U1986+U2052+U2118+U2184</f>
        <v>-44092244.9733698</v>
      </c>
      <c r="V12" s="68" t="n">
        <f aca="false">+V72+V138+V204+V270+V336+V402+V468+V534+V600+V666+V732+V798+V864+V930+V996+V1062+V1128+V1194+V1260+V1326+V1392+V1458+V1524+V1590+V1656+V1722+V1788+V1854+V1920+V1986+V2052+V2118+V2184</f>
        <v>-25387987.0088675</v>
      </c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</row>
    <row r="13" customFormat="false" ht="13.5" hidden="false" customHeight="false" outlineLevel="0" collapsed="false">
      <c r="A13" s="2"/>
      <c r="B13" s="69" t="s">
        <v>25</v>
      </c>
      <c r="C13" s="70" t="n">
        <v>0</v>
      </c>
      <c r="D13" s="71" t="n">
        <f aca="false">SUM(D8:D12)</f>
        <v>955163031.287271</v>
      </c>
      <c r="E13" s="71" t="n">
        <f aca="false">SUM(E8:E12)</f>
        <v>909384435.817995</v>
      </c>
      <c r="F13" s="71" t="n">
        <f aca="false">SUM(F8:F12)</f>
        <v>868508679.549163</v>
      </c>
      <c r="G13" s="71" t="n">
        <f aca="false">SUM(G8:G12)</f>
        <v>833385972.246008</v>
      </c>
      <c r="H13" s="71" t="n">
        <f aca="false">SUM(H8:H12)</f>
        <v>829690112.619882</v>
      </c>
      <c r="I13" s="71" t="n">
        <f aca="false">SUM(I8:I12)</f>
        <v>879117423.30068</v>
      </c>
      <c r="J13" s="71" t="n">
        <f aca="false">SUM(J8:J12)</f>
        <v>958001690.898976</v>
      </c>
      <c r="K13" s="71" t="n">
        <f aca="false">SUM(K8:K12)</f>
        <v>1006960778.17579</v>
      </c>
      <c r="L13" s="71" t="n">
        <f aca="false">SUM(L8:L12)</f>
        <v>1025012659.27571</v>
      </c>
      <c r="M13" s="71" t="n">
        <f aca="false">SUM(M8:M12)</f>
        <v>1023176387.9858</v>
      </c>
      <c r="N13" s="71" t="n">
        <f aca="false">SUM(N8:N12)</f>
        <v>1030308120.85585</v>
      </c>
      <c r="O13" s="71" t="n">
        <f aca="false">SUM(O8:O12)</f>
        <v>1039140246.77138</v>
      </c>
      <c r="P13" s="71" t="n">
        <f aca="false">SUM(P8:P12)</f>
        <v>1046162090.88888</v>
      </c>
      <c r="Q13" s="71" t="n">
        <f aca="false">SUM(Q8:Q12)</f>
        <v>1099720281.28292</v>
      </c>
      <c r="R13" s="71" t="n">
        <f aca="false">SUM(R8:R12)</f>
        <v>1187617711.07808</v>
      </c>
      <c r="S13" s="71" t="n">
        <f aca="false">SUM(S8:S12)</f>
        <v>1148178968.31188</v>
      </c>
      <c r="T13" s="71" t="n">
        <f aca="false">SUM(T8:T12)</f>
        <v>1167357331.3421</v>
      </c>
      <c r="U13" s="71" t="n">
        <f aca="false">SUM(U8:U12)</f>
        <v>1249607400.11389</v>
      </c>
      <c r="V13" s="71" t="n">
        <f aca="false">SUM(V8:V12)</f>
        <v>1304396668.68513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</row>
    <row r="14" customFormat="false" ht="12.75" hidden="false" customHeight="false" outlineLevel="0" collapsed="false">
      <c r="A14" s="2"/>
      <c r="B14" s="62" t="s">
        <v>26</v>
      </c>
      <c r="C14" s="63" t="n">
        <v>0</v>
      </c>
      <c r="D14" s="64" t="n">
        <f aca="false">+D74+D140+D206+D272+D338+D404+D470+D536+D602+D668+D734+D800+D866+D932+D998+D1064+D1130+D1196+D1262+D1328+D1394+D1460+D1526+D1592+D1658+D1724+D1790+D1856+D1922+D1988+D2054+D2120+D2186</f>
        <v>-68695001.7864035</v>
      </c>
      <c r="E14" s="64" t="n">
        <f aca="false">+E74+E140+E206+E272+E338+E404+E470+E536+E602+E668+E734+E800+E866+E932+E998+E1064+E1130+E1196+E1262+E1328+E1394+E1460+E1526+E1592+E1658+E1724+E1790+E1856+E1922+E1988+E2054+E2120+E2186</f>
        <v>-70068901.8221316</v>
      </c>
      <c r="F14" s="64" t="n">
        <f aca="false">+F74+F140+F206+F272+F338+F404+F470+F536+F602+F668+F734+F800+F866+F932+F998+F1064+F1130+F1196+F1262+F1328+F1394+F1460+F1526+F1592+F1658+F1724+F1790+F1856+F1922+F1988+F2054+F2120+F2186</f>
        <v>-71981803.8585742</v>
      </c>
      <c r="G14" s="64" t="n">
        <f aca="false">+G74+G140+G206+G272+G338+G404+G470+G536+G602+G668+G734+G800+G866+G932+G998+G1064+G1130+G1196+G1262+G1328+G1394+G1460+G1526+G1592+G1658+G1724+G1790+G1856+G1922+G1988+G2054+G2120+G2186</f>
        <v>-73423997.5557457</v>
      </c>
      <c r="H14" s="64" t="n">
        <f aca="false">+H74+H140+H206+H272+H338+H404+H470+H536+H602+H668+H734+H800+H866+H932+H998+H1064+H1130+H1196+H1262+H1328+H1394+H1460+H1526+H1592+H1658+H1724+H1790+H1856+H1922+H1988+H2054+H2120+H2186</f>
        <v>-74895099.0673606</v>
      </c>
      <c r="I14" s="64" t="n">
        <f aca="false">+I74+I140+I206+I272+I338+I404+I470+I536+I602+I668+I734+I800+I866+I932+I998+I1064+I1130+I1196+I1262+I1328+I1394+I1460+I1526+I1592+I1658+I1724+I1790+I1856+I1922+I1988+I2054+I2120+I2186</f>
        <v>-76395688.1482203</v>
      </c>
      <c r="J14" s="64" t="n">
        <f aca="false">+J74+J140+J206+J272+J338+J404+J470+J536+J602+J668+J734+J800+J866+J932+J998+J1064+J1130+J1196+J1262+J1328+J1394+J1460+J1526+J1592+J1658+J1724+J1790+J1856+J1922+J1988+J2054+J2120+J2186</f>
        <v>-77926356.188185</v>
      </c>
      <c r="K14" s="64" t="n">
        <f aca="false">+K74+K140+K206+K272+K338+K404+K470+K536+K602+K668+K734+K800+K866+K932+K998+K1064+K1130+K1196+K1262+K1328+K1394+K1460+K1526+K1592+K1658+K1724+K1790+K1856+K1922+K1988+K2054+K2120+K2186</f>
        <v>-79487706.4458741</v>
      </c>
      <c r="L14" s="64" t="n">
        <f aca="false">+L74+L140+L206+L272+L338+L404+L470+L536+L602+L668+L734+L800+L866+L932+L998+L1064+L1130+L1196+L1262+L1328+L1394+L1460+L1526+L1592+L1658+L1724+L1790+L1856+L1922+L1988+L2054+L2120+L2186</f>
        <v>-81080354.2870651</v>
      </c>
      <c r="M14" s="64" t="n">
        <f aca="false">+M74+M140+M206+M272+M338+M404+M470+M536+M602+M668+M734+M800+M866+M932+M998+M1064+M1130+M1196+M1262+M1328+M1394+M1460+M1526+M1592+M1658+M1724+M1790+M1856+M1922+M1988+M2054+M2120+M2186</f>
        <v>-82704927.4278866</v>
      </c>
      <c r="N14" s="64" t="n">
        <f aca="false">+N74+N140+N206+N272+N338+N404+N470+N536+N602+N668+N734+N800+N866+N932+N998+N1064+N1130+N1196+N1262+N1328+N1394+N1460+N1526+N1592+N1658+N1724+N1790+N1856+N1922+N1988+N2054+N2120+N2186</f>
        <v>-84362066.1829016</v>
      </c>
      <c r="O14" s="64" t="n">
        <f aca="false">+O74+O140+O206+O272+O338+O404+O470+O536+O602+O668+O734+O800+O866+O932+O998+O1064+O1130+O1196+O1262+O1328+O1394+O1460+O1526+O1592+O1658+O1724+O1790+O1856+O1922+O1988+O2054+O2120+O2186</f>
        <v>-86052423.7181784</v>
      </c>
      <c r="P14" s="64" t="n">
        <f aca="false">+P74+P140+P206+P272+P338+P404+P470+P536+P602+P668+P734+P800+P866+P932+P998+P1064+P1130+P1196+P1262+P1328+P1394+P1460+P1526+P1592+P1658+P1724+P1790+P1856+P1922+P1988+P2054+P2120+P2186</f>
        <v>-87776666.3094511</v>
      </c>
      <c r="Q14" s="64" t="n">
        <f aca="false">+Q74+Q140+Q206+Q272+Q338+Q404+Q470+Q536+Q602+Q668+Q734+Q800+Q866+Q932+Q998+Q1064+Q1130+Q1196+Q1262+Q1328+Q1394+Q1460+Q1526+Q1592+Q1658+Q1724+Q1790+Q1856+Q1922+Q1988+Q2054+Q2120+Q2186</f>
        <v>-89535473.6054721</v>
      </c>
      <c r="R14" s="64" t="n">
        <f aca="false">+R74+R140+R206+R272+R338+R404+R470+R536+R602+R668+R734+R800+R866+R932+R998+R1064+R1130+R1196+R1262+R1328+R1394+R1460+R1526+R1592+R1658+R1724+R1790+R1856+R1922+R1988+R2054+R2120+R2186</f>
        <v>-91329538.8966593</v>
      </c>
      <c r="S14" s="64" t="n">
        <f aca="false">+S74+S140+S206+S272+S338+S404+S470+S536+S602+S668+S734+S800+S866+S932+S998+S1064+S1130+S1196+S1262+S1328+S1394+S1460+S1526+S1592+S1658+S1724+S1790+S1856+S1922+S1988+S2054+S2120+S2186</f>
        <v>-93159569.3891472</v>
      </c>
      <c r="T14" s="64" t="n">
        <f aca="false">+T74+T140+T206+T272+T338+T404+T470+T536+T602+T668+T734+T800+T866+T932+T998+T1064+T1130+T1196+T1262+T1328+T1394+T1460+T1526+T1592+T1658+T1724+T1790+T1856+T1922+T1988+T2054+T2120+T2186</f>
        <v>-95026286.4843486</v>
      </c>
      <c r="U14" s="64" t="n">
        <f aca="false">+U74+U140+U206+U272+U338+U404+U470+U536+U602+U668+U734+U800+U866+U932+U998+U1064+U1130+U1196+U1262+U1328+U1394+U1460+U1526+U1592+U1658+U1724+U1790+U1856+U1922+U1988+U2054+U2120+U2186</f>
        <v>-96930426.0641397</v>
      </c>
      <c r="V14" s="64" t="n">
        <f aca="false">+V74+V140+V206+V272+V338+V404+V470+V536+V602+V668+V734+V800+V866+V932+V998+V1064+V1130+V1196+V1262+V1328+V1394+V1460+V1526+V1592+V1658+V1724+V1790+V1856+V1922+V1988+V2054+V2120+V2186</f>
        <v>-98872738.781779</v>
      </c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</row>
    <row r="15" customFormat="false" ht="12.75" hidden="false" customHeight="false" outlineLevel="0" collapsed="false">
      <c r="A15" s="2"/>
      <c r="B15" s="62" t="s">
        <v>27</v>
      </c>
      <c r="C15" s="63" t="n">
        <v>0</v>
      </c>
      <c r="D15" s="64" t="n">
        <f aca="false">+D75+D141+D207+D273+D339+D405+D471+D537+D603+D669+D735+D801+D867+D933+D999+D1065+D1131+D1197+D1263+D1329+D1395+D1461+D1527+D1593+D1659+D1725+D1791+D1857+D1923+D1989+D2055+D2121+D2187</f>
        <v>-12767905.9133765</v>
      </c>
      <c r="E15" s="64" t="n">
        <f aca="false">+E75+E141+E207+E273+E339+E405+E471+E537+E603+E669+E735+E801+E867+E933+E999+E1065+E1131+E1197+E1263+E1329+E1395+E1461+E1527+E1593+E1659+E1725+E1791+E1857+E1923+E1989+E2055+E2121+E2187</f>
        <v>-12988349.9450133</v>
      </c>
      <c r="F15" s="64" t="n">
        <f aca="false">+F75+F141+F207+F273+F339+F405+F471+F537+F603+F669+F735+F801+F867+F933+F999+F1065+F1131+F1197+F1263+F1329+F1395+F1461+F1527+F1593+F1659+F1725+F1791+F1857+F1923+F1989+F2055+F2121+F2187</f>
        <v>-13166049.6911895</v>
      </c>
      <c r="G15" s="64" t="n">
        <f aca="false">+G75+G141+G207+G273+G339+G405+G471+G537+G603+G669+G735+G801+G867+G933+G999+G1065+G1131+G1197+G1263+G1329+G1395+G1461+G1527+G1593+G1659+G1725+G1791+G1857+G1923+G1989+G2055+G2121+G2187</f>
        <v>-13394738.925767</v>
      </c>
      <c r="H15" s="64" t="n">
        <f aca="false">+H75+H141+H207+H273+H339+H405+H471+H537+H603+H669+H735+H801+H867+H933+H999+H1065+H1131+H1197+H1263+H1329+H1395+H1461+H1527+H1593+H1659+H1725+H1791+H1857+H1923+H1989+H2055+H2121+H2187</f>
        <v>-13923530.5056582</v>
      </c>
      <c r="I15" s="64" t="n">
        <f aca="false">+I75+I141+I207+I273+I339+I405+I471+I537+I603+I669+I735+I801+I867+I933+I999+I1065+I1131+I1197+I1263+I1329+I1395+I1461+I1527+I1593+I1659+I1725+I1791+I1857+I1923+I1989+I2055+I2121+I2187</f>
        <v>-14845595.0349262</v>
      </c>
      <c r="J15" s="64" t="n">
        <f aca="false">+J75+J141+J207+J273+J339+J405+J471+J537+J603+J669+J735+J801+J867+J933+J999+J1065+J1131+J1197+J1263+J1329+J1395+J1461+J1527+J1593+J1659+J1725+J1791+J1857+J1923+J1989+J2055+J2121+J2187</f>
        <v>-15413329.4572603</v>
      </c>
      <c r="K15" s="64" t="n">
        <f aca="false">+K75+K141+K207+K273+K339+K405+K471+K537+K603+K669+K735+K801+K867+K933+K999+K1065+K1131+K1197+K1263+K1329+K1395+K1461+K1527+K1593+K1659+K1725+K1791+K1857+K1923+K1989+K2055+K2121+K2187</f>
        <v>-15995796.5148673</v>
      </c>
      <c r="L15" s="64" t="n">
        <f aca="false">+L75+L141+L207+L273+L339+L405+L471+L537+L603+L669+L735+L801+L867+L933+L999+L1065+L1131+L1197+L1263+L1329+L1395+L1461+L1527+L1593+L1659+L1725+L1791+L1857+L1923+L1989+L2055+L2121+L2187</f>
        <v>-16537162.9388736</v>
      </c>
      <c r="M15" s="64" t="n">
        <f aca="false">+M75+M141+M207+M273+M339+M405+M471+M537+M603+M669+M735+M801+M867+M933+M999+M1065+M1131+M1197+M1263+M1329+M1395+M1461+M1527+M1593+M1659+M1725+M1791+M1857+M1923+M1989+M2055+M2121+M2187</f>
        <v>-16893245.3696745</v>
      </c>
      <c r="N15" s="64" t="n">
        <f aca="false">+N75+N141+N207+N273+N339+N405+N471+N537+N603+N669+N735+N801+N867+N933+N999+N1065+N1131+N1197+N1263+N1329+N1395+N1461+N1527+N1593+N1659+N1725+N1791+N1857+N1923+N1989+N2055+N2121+N2187</f>
        <v>-17101456.592495</v>
      </c>
      <c r="O15" s="64" t="n">
        <f aca="false">+O75+O141+O207+O273+O339+O405+O471+O537+O603+O669+O735+O801+O867+O933+O999+O1065+O1131+O1197+O1263+O1329+O1395+O1461+O1527+O1593+O1659+O1725+O1791+O1857+O1923+O1989+O2055+O2121+O2187</f>
        <v>-17314791.2040693</v>
      </c>
      <c r="P15" s="64" t="n">
        <f aca="false">+P75+P141+P207+P273+P339+P405+P471+P537+P603+P669+P735+P801+P867+P933+P999+P1065+P1131+P1197+P1263+P1329+P1395+P1461+P1527+P1593+P1659+P1725+P1791+P1857+P1923+P1989+P2055+P2121+P2187</f>
        <v>-17530488.7458492</v>
      </c>
      <c r="Q15" s="64" t="n">
        <f aca="false">+Q75+Q141+Q207+Q273+Q339+Q405+Q471+Q537+Q603+Q669+Q735+Q801+Q867+Q933+Q999+Q1065+Q1131+Q1197+Q1263+Q1329+Q1395+Q1461+Q1527+Q1593+Q1659+Q1725+Q1791+Q1857+Q1923+Q1989+Q2055+Q2121+Q2187</f>
        <v>-17751578.7261736</v>
      </c>
      <c r="R15" s="64" t="n">
        <f aca="false">+R75+R141+R207+R273+R339+R405+R471+R537+R603+R669+R735+R801+R867+R933+R999+R1065+R1131+R1197+R1263+R1329+R1395+R1461+R1527+R1593+R1659+R1725+R1791+R1857+R1923+R1989+R2055+R2121+R2187</f>
        <v>-17978218.0650041</v>
      </c>
      <c r="S15" s="64" t="n">
        <f aca="false">+S75+S141+S207+S273+S339+S405+S471+S537+S603+S669+S735+S801+S867+S933+S999+S1065+S1131+S1197+S1263+S1329+S1395+S1461+S1527+S1593+S1659+S1725+S1791+S1857+S1923+S1989+S2055+S2121+S2187</f>
        <v>-18210523.3873053</v>
      </c>
      <c r="T15" s="64" t="n">
        <f aca="false">+T75+T141+T207+T273+T339+T405+T471+T537+T603+T669+T735+T801+T867+T933+T999+T1065+T1131+T1197+T1263+T1329+T1395+T1461+T1527+T1593+T1659+T1725+T1791+T1857+T1923+T1989+T2055+T2121+T2187</f>
        <v>-18448589.8815997</v>
      </c>
      <c r="U15" s="64" t="n">
        <f aca="false">+U75+U141+U207+U273+U339+U405+U471+U537+U603+U669+U735+U801+U867+U933+U999+U1065+U1131+U1197+U1263+U1329+U1395+U1461+U1527+U1593+U1659+U1725+U1791+U1857+U1923+U1989+U2055+U2121+U2187</f>
        <v>-18692631.8449008</v>
      </c>
      <c r="V15" s="64" t="n">
        <f aca="false">+V75+V141+V207+V273+V339+V405+V471+V537+V603+V669+V735+V801+V867+V933+V999+V1065+V1131+V1197+V1263+V1329+V1395+V1461+V1527+V1593+V1659+V1725+V1791+V1857+V1923+V1989+V2055+V2121+V2187</f>
        <v>-18942799.2614808</v>
      </c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</row>
    <row r="16" customFormat="false" ht="13.5" hidden="false" customHeight="false" outlineLevel="0" collapsed="false">
      <c r="A16" s="2"/>
      <c r="B16" s="66" t="s">
        <v>28</v>
      </c>
      <c r="C16" s="67" t="n">
        <v>0</v>
      </c>
      <c r="D16" s="68" t="n">
        <f aca="false">+D76+D142+D208+D274+D340+D406+D472+D538+D604+D670+D736+D802+D868+D934+D1000+D1066+D1132+D1198+D1264+D1330+D1396+D1462+D1528+D1594+D1660+D1726+D1792+D1858+D1924+D1990+D2056+D2122+D2188</f>
        <v>-10698495.1290022</v>
      </c>
      <c r="E16" s="68" t="n">
        <f aca="false">+E76+E142+E208+E274+E340+E406+E472+E538+E604+E670+E736+E802+E868+E934+E1000+E1066+E1132+E1198+E1264+E1330+E1396+E1462+E1528+E1594+E1660+E1726+E1792+E1858+E1924+E1990+E2056+E2122+E2188</f>
        <v>-10924570.7862243</v>
      </c>
      <c r="F16" s="68" t="n">
        <f aca="false">+F76+F142+F208+F274+F340+F406+F472+F538+F604+F670+F736+F802+F868+F934+F1000+F1066+F1132+F1198+F1264+F1330+F1396+F1462+F1528+F1594+F1660+F1726+F1792+F1858+F1924+F1990+F2056+F2122+F2188</f>
        <v>-11163857.2012226</v>
      </c>
      <c r="G16" s="68" t="n">
        <f aca="false">+G76+G142+G208+G274+G340+G406+G472+G538+G604+G670+G736+G802+G868+G934+G1000+G1066+G1132+G1198+G1264+G1330+G1396+G1462+G1528+G1594+G1660+G1726+G1792+G1858+G1924+G1990+G2056+G2122+G2188</f>
        <v>-11415925.4277392</v>
      </c>
      <c r="H16" s="68" t="n">
        <f aca="false">+H76+H142+H208+H274+H340+H406+H472+H538+H604+H670+H736+H802+H868+H934+H1000+H1066+H1132+H1198+H1264+H1330+H1396+H1462+H1528+H1594+H1660+H1726+H1792+H1858+H1924+H1990+H2056+H2122+H2188</f>
        <v>-11686904.1077753</v>
      </c>
      <c r="I16" s="68" t="n">
        <f aca="false">+I76+I142+I208+I274+I340+I406+I472+I538+I604+I670+I736+I802+I868+I934+I1000+I1066+I1132+I1198+I1264+I1330+I1396+I1462+I1528+I1594+I1660+I1726+I1792+I1858+I1924+I1990+I2056+I2122+I2188</f>
        <v>-11978527.5308511</v>
      </c>
      <c r="J16" s="68" t="n">
        <f aca="false">+J76+J142+J208+J274+J340+J406+J472+J538+J604+J670+J736+J802+J868+J934+J1000+J1066+J1132+J1198+J1264+J1330+J1396+J1462+J1528+J1594+J1660+J1726+J1792+J1858+J1924+J1990+J2056+J2122+J2188</f>
        <v>-12274456.8369253</v>
      </c>
      <c r="K16" s="68" t="n">
        <f aca="false">+K76+K142+K208+K274+K340+K406+K472+K538+K604+K670+K736+K802+K868+K934+K1000+K1066+K1132+K1198+K1264+K1330+K1396+K1462+K1528+K1594+K1660+K1726+K1792+K1858+K1924+K1990+K2056+K2122+K2188</f>
        <v>-12583733.8246795</v>
      </c>
      <c r="L16" s="68" t="n">
        <f aca="false">+L76+L142+L208+L274+L340+L406+L472+L538+L604+L670+L736+L802+L868+L934+L1000+L1066+L1132+L1198+L1264+L1330+L1396+L1462+L1528+L1594+L1660+L1726+L1792+L1858+L1924+L1990+L2056+L2122+L2188</f>
        <v>-12893373.2627759</v>
      </c>
      <c r="M16" s="68" t="n">
        <f aca="false">+M76+M142+M208+M274+M340+M406+M472+M538+M604+M670+M736+M802+M868+M934+M1000+M1066+M1132+M1198+M1264+M1330+M1396+M1462+M1528+M1594+M1660+M1726+M1792+M1858+M1924+M1990+M2056+M2122+M2188</f>
        <v>-13220592.6060011</v>
      </c>
      <c r="N16" s="68" t="n">
        <f aca="false">+N76+N142+N208+N274+N340+N406+N472+N538+N604+N670+N736+N802+N868+N934+N1000+N1066+N1132+N1198+N1264+N1330+N1396+N1462+N1528+N1594+N1660+N1726+N1792+N1858+N1924+N1990+N2056+N2122+N2188</f>
        <v>-13539527.7270621</v>
      </c>
      <c r="O16" s="68" t="n">
        <f aca="false">+O76+O142+O208+O274+O340+O406+O472+O538+O604+O670+O736+O802+O868+O934+O1000+O1066+O1132+O1198+O1264+O1330+O1396+O1462+O1528+O1594+O1660+O1726+O1792+O1858+O1924+O1990+O2056+O2122+O2188</f>
        <v>-13879232.4936468</v>
      </c>
      <c r="P16" s="68" t="n">
        <f aca="false">+P76+P142+P208+P274+P340+P406+P472+P538+P604+P670+P736+P802+P868+P934+P1000+P1066+P1132+P1198+P1264+P1330+P1396+P1462+P1528+P1594+P1660+P1726+P1792+P1858+P1924+P1990+P2056+P2122+P2188</f>
        <v>-14230145.5987008</v>
      </c>
      <c r="Q16" s="68" t="n">
        <f aca="false">+Q76+Q142+Q208+Q274+Q340+Q406+Q472+Q538+Q604+Q670+Q736+Q802+Q868+Q934+Q1000+Q1066+Q1132+Q1198+Q1264+Q1330+Q1396+Q1462+Q1528+Q1594+Q1660+Q1726+Q1792+Q1858+Q1924+Q1990+Q2056+Q2122+Q2188</f>
        <v>-14584438.9206471</v>
      </c>
      <c r="R16" s="68" t="n">
        <f aca="false">+R76+R142+R208+R274+R340+R406+R472+R538+R604+R670+R736+R802+R868+R934+R1000+R1066+R1132+R1198+R1264+R1330+R1396+R1462+R1528+R1594+R1660+R1726+R1792+R1858+R1924+R1990+R2056+R2122+R2188</f>
        <v>-14948966.1443703</v>
      </c>
      <c r="S16" s="68" t="n">
        <f aca="false">+S76+S142+S208+S274+S340+S406+S472+S538+S604+S670+S736+S802+S868+S934+S1000+S1066+S1132+S1198+S1264+S1330+S1396+S1462+S1528+S1594+S1660+S1726+S1792+S1858+S1924+S1990+S2056+S2122+S2188</f>
        <v>-15321165.0191714</v>
      </c>
      <c r="T16" s="68" t="n">
        <f aca="false">+T76+T142+T208+T274+T340+T406+T472+T538+T604+T670+T736+T802+T868+T934+T1000+T1066+T1132+T1198+T1264+T1330+T1396+T1462+T1528+T1594+T1660+T1726+T1792+T1858+T1924+T1990+T2056+T2122+T2188</f>
        <v>-15699674.9990344</v>
      </c>
      <c r="U16" s="68" t="n">
        <f aca="false">+U76+U142+U208+U274+U340+U406+U472+U538+U604+U670+U736+U802+U868+U934+U1000+U1066+U1132+U1198+U1264+U1330+U1396+U1462+U1528+U1594+U1660+U1726+U1792+U1858+U1924+U1990+U2056+U2122+U2188</f>
        <v>-16092090.6078892</v>
      </c>
      <c r="V16" s="68" t="n">
        <f aca="false">+V76+V142+V208+V274+V340+V406+V472+V538+V604+V670+V736+V802+V868+V934+V1000+V1066+V1132+V1198+V1264+V1330+V1396+V1462+V1528+V1594+V1660+V1726+V1792+V1858+V1924+V1990+V2056+V2122+V2188</f>
        <v>-16494319.6313865</v>
      </c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</row>
    <row r="17" customFormat="false" ht="13.5" hidden="false" customHeight="false" outlineLevel="0" collapsed="false">
      <c r="A17" s="2"/>
      <c r="B17" s="69" t="s">
        <v>29</v>
      </c>
      <c r="C17" s="72" t="n">
        <v>0</v>
      </c>
      <c r="D17" s="73" t="n">
        <f aca="false">SUM(D13:D16)</f>
        <v>863001628.458489</v>
      </c>
      <c r="E17" s="73" t="n">
        <f aca="false">SUM(E13:E16)</f>
        <v>815402613.264626</v>
      </c>
      <c r="F17" s="73" t="n">
        <f aca="false">SUM(F13:F16)</f>
        <v>772196968.798177</v>
      </c>
      <c r="G17" s="73" t="n">
        <f aca="false">SUM(G13:G16)</f>
        <v>735151310.336757</v>
      </c>
      <c r="H17" s="73" t="n">
        <f aca="false">SUM(H13:H16)</f>
        <v>729184578.939088</v>
      </c>
      <c r="I17" s="73" t="n">
        <f aca="false">SUM(I13:I16)</f>
        <v>775897612.586683</v>
      </c>
      <c r="J17" s="73" t="n">
        <f aca="false">SUM(J13:J16)</f>
        <v>852387548.416605</v>
      </c>
      <c r="K17" s="73" t="n">
        <f aca="false">SUM(K13:K16)</f>
        <v>898893541.390371</v>
      </c>
      <c r="L17" s="73" t="n">
        <f aca="false">SUM(L13:L16)</f>
        <v>914501768.786992</v>
      </c>
      <c r="M17" s="73" t="n">
        <f aca="false">SUM(M13:M16)</f>
        <v>910357622.582241</v>
      </c>
      <c r="N17" s="73" t="n">
        <f aca="false">SUM(N13:N16)</f>
        <v>915305070.353391</v>
      </c>
      <c r="O17" s="73" t="n">
        <f aca="false">SUM(O13:O16)</f>
        <v>921893799.355488</v>
      </c>
      <c r="P17" s="73" t="n">
        <f aca="false">SUM(P13:P16)</f>
        <v>926624790.234876</v>
      </c>
      <c r="Q17" s="73" t="n">
        <f aca="false">SUM(Q13:Q16)</f>
        <v>977848790.030625</v>
      </c>
      <c r="R17" s="73" t="n">
        <f aca="false">SUM(R13:R16)</f>
        <v>1063360987.97205</v>
      </c>
      <c r="S17" s="73" t="n">
        <f aca="false">SUM(S13:S16)</f>
        <v>1021487710.51626</v>
      </c>
      <c r="T17" s="73" t="n">
        <f aca="false">SUM(T13:T16)</f>
        <v>1038182779.97711</v>
      </c>
      <c r="U17" s="73" t="n">
        <f aca="false">SUM(U13:U16)</f>
        <v>1117892251.59696</v>
      </c>
      <c r="V17" s="73" t="n">
        <f aca="false">SUM(V13:V16)</f>
        <v>1170086811.01048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</row>
    <row r="18" customFormat="false" ht="12.75" hidden="false" customHeight="false" outlineLevel="0" collapsed="false">
      <c r="A18" s="2"/>
      <c r="B18" s="62" t="s">
        <v>30</v>
      </c>
      <c r="C18" s="63" t="n">
        <v>0</v>
      </c>
      <c r="D18" s="64" t="n">
        <f aca="false">+D78+D144+D210+D276+D342+D408+D474+D540+D606+D672+D738+D804+D870+D936+D1002+D1068+D1134+D1200+D1266+D1332+D1398+D1464+D1530+D1596+D1662+D1728+D1794+D1860+D1926+D1992+D2058+D2124+D2190</f>
        <v>-124019323.544879</v>
      </c>
      <c r="E18" s="64" t="n">
        <f aca="false">+E78+E144+E210+E276+E342+E408+E474+E540+E606+E672+E738+E804+E870+E936+E1002+E1068+E1134+E1200+E1266+E1332+E1398+E1464+E1530+E1596+E1662+E1728+E1794+E1860+E1926+E1992+E2058+E2124+E2190</f>
        <v>-136819901.366024</v>
      </c>
      <c r="F18" s="64" t="n">
        <f aca="false">+F78+F144+F210+F276+F342+F408+F474+F540+F606+F672+F738+F804+F870+F936+F1002+F1068+F1134+F1200+F1266+F1332+F1398+F1464+F1530+F1596+F1662+F1728+F1794+F1860+F1926+F1992+F2058+F2124+F2190</f>
        <v>-142342503.453331</v>
      </c>
      <c r="G18" s="64" t="n">
        <f aca="false">+G78+G144+G210+G276+G342+G408+G474+G540+G606+G672+G738+G804+G870+G936+G1002+G1068+G1134+G1200+G1266+G1332+G1398+G1464+G1530+G1596+G1662+G1728+G1794+G1860+G1926+G1992+G2058+G2124+G2190</f>
        <v>-141672891.252106</v>
      </c>
      <c r="H18" s="64" t="n">
        <f aca="false">+H78+H144+H210+H276+H342+H408+H474+H540+H606+H672+H738+H804+H870+H936+H1002+H1068+H1134+H1200+H1266+H1332+H1398+H1464+H1530+H1596+H1662+H1728+H1794+H1860+H1926+H1992+H2058+H2124+H2190</f>
        <v>-96822825.1213692</v>
      </c>
      <c r="I18" s="64" t="n">
        <f aca="false">+I78+I144+I210+I276+I342+I408+I474+I540+I606+I672+I738+I804+I870+I936+I1002+I1068+I1134+I1200+I1266+I1332+I1398+I1464+I1530+I1596+I1662+I1728+I1794+I1860+I1926+I1992+I2058+I2124+I2190</f>
        <v>-88718324.2084719</v>
      </c>
      <c r="J18" s="64" t="n">
        <f aca="false">+J78+J144+J210+J276+J342+J408+J474+J540+J606+J672+J738+J804+J870+J936+J1002+J1068+J1134+J1200+J1266+J1332+J1398+J1464+J1530+J1596+J1662+J1728+J1794+J1860+J1926+J1992+J2058+J2124+J2190</f>
        <v>-73936424.7980741</v>
      </c>
      <c r="K18" s="64" t="n">
        <f aca="false">+K78+K144+K210+K276+K342+K408+K474+K540+K606+K672+K738+K804+K870+K936+K1002+K1068+K1134+K1200+K1266+K1332+K1398+K1464+K1530+K1596+K1662+K1728+K1794+K1860+K1926+K1992+K2058+K2124+K2190</f>
        <v>-62452705.8964955</v>
      </c>
      <c r="L18" s="64" t="n">
        <f aca="false">+L78+L144+L210+L276+L342+L408+L474+L540+L606+L672+L738+L804+L870+L936+L1002+L1068+L1134+L1200+L1266+L1332+L1398+L1464+L1530+L1596+L1662+L1728+L1794+L1860+L1926+L1992+L2058+L2124+L2190</f>
        <v>-60910415.5074775</v>
      </c>
      <c r="M18" s="64" t="n">
        <f aca="false">+M78+M144+M210+M276+M342+M408+M474+M540+M606+M672+M738+M804+M870+M936+M1002+M1068+M1134+M1200+M1266+M1332+M1398+M1464+M1530+M1596+M1662+M1728+M1794+M1860+M1926+M1992+M2058+M2124+M2190</f>
        <v>-61716348.082673</v>
      </c>
      <c r="N18" s="64" t="n">
        <f aca="false">+N78+N144+N210+N276+N342+N408+N474+N540+N606+N672+N738+N804+N870+N936+N1002+N1068+N1134+N1200+N1266+N1332+N1398+N1464+N1530+N1596+N1662+N1728+N1794+N1860+N1926+N1992+N2058+N2124+N2190</f>
        <v>-62993297.9425629</v>
      </c>
      <c r="O18" s="64" t="n">
        <f aca="false">+O78+O144+O210+O276+O342+O408+O474+O540+O606+O672+O738+O804+O870+O936+O1002+O1068+O1134+O1200+O1266+O1332+O1398+O1464+O1530+O1596+O1662+O1728+O1794+O1860+O1926+O1992+O2058+O2124+O2190</f>
        <v>-64212845.7353939</v>
      </c>
      <c r="P18" s="64" t="n">
        <f aca="false">+P78+P144+P210+P276+P342+P408+P474+P540+P606+P672+P738+P804+P870+P936+P1002+P1068+P1134+P1200+P1266+P1332+P1398+P1464+P1530+P1596+P1662+P1728+P1794+P1860+P1926+P1992+P2058+P2124+P2190</f>
        <v>-65615934.8089092</v>
      </c>
      <c r="Q18" s="64" t="n">
        <f aca="false">+Q78+Q144+Q210+Q276+Q342+Q408+Q474+Q540+Q606+Q672+Q738+Q804+Q870+Q936+Q1002+Q1068+Q1134+Q1200+Q1266+Q1332+Q1398+Q1464+Q1530+Q1596+Q1662+Q1728+Q1794+Q1860+Q1926+Q1992+Q2058+Q2124+Q2190</f>
        <v>-66029126.3046301</v>
      </c>
      <c r="R18" s="64" t="n">
        <f aca="false">+R78+R144+R210+R276+R342+R408+R474+R540+R606+R672+R738+R804+R870+R936+R1002+R1068+R1134+R1200+R1266+R1332+R1398+R1464+R1530+R1596+R1662+R1728+R1794+R1860+R1926+R1992+R2058+R2124+R2190</f>
        <v>-56520648.8352226</v>
      </c>
      <c r="S18" s="64" t="n">
        <f aca="false">+S78+S144+S210+S276+S342+S408+S474+S540+S606+S672+S738+S804+S870+S936+S1002+S1068+S1134+S1200+S1266+S1332+S1398+S1464+S1530+S1596+S1662+S1728+S1794+S1860+S1926+S1992+S2058+S2124+S2190</f>
        <v>-58872034.0217328</v>
      </c>
      <c r="T18" s="64" t="n">
        <f aca="false">+T78+T144+T210+T276+T342+T408+T474+T540+T606+T672+T738+T804+T870+T936+T1002+T1068+T1134+T1200+T1266+T1332+T1398+T1464+T1530+T1596+T1662+T1728+T1794+T1860+T1926+T1992+T2058+T2124+T2190</f>
        <v>-61062547.6838384</v>
      </c>
      <c r="U18" s="64" t="n">
        <f aca="false">+U78+U144+U210+U276+U342+U408+U474+U540+U606+U672+U738+U804+U870+U936+U1002+U1068+U1134+U1200+U1266+U1332+U1398+U1464+U1530+U1596+U1662+U1728+U1794+U1860+U1926+U1992+U2058+U2124+U2190</f>
        <v>-63811499.0958071</v>
      </c>
      <c r="V18" s="64" t="n">
        <f aca="false">+V78+V144+V210+V276+V342+V408+V474+V540+V606+V672+V738+V804+V870+V936+V1002+V1068+V1134+V1200+V1266+V1332+V1398+V1464+V1530+V1596+V1662+V1728+V1794+V1860+V1926+V1992+V2058+V2124+V2190</f>
        <v>-66325890.3101349</v>
      </c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</row>
    <row r="19" customFormat="false" ht="13.5" hidden="false" customHeight="false" outlineLevel="0" collapsed="false">
      <c r="A19" s="2"/>
      <c r="B19" s="66" t="s">
        <v>31</v>
      </c>
      <c r="C19" s="67" t="n">
        <v>0</v>
      </c>
      <c r="D19" s="68" t="n">
        <f aca="false">+D79+D145+D211+D277+D343+D409+D475+D541+D607+D673+D739+D805+D871+D937+D1003+D1069+D1135+D1201+D1267+D1333+D1399+D1465+D1531+D1597+D1663+D1729+D1795+D1861+D1927+D1993+D2059+D2125+D2191</f>
        <v>-295592921.965444</v>
      </c>
      <c r="E19" s="68" t="n">
        <f aca="false">+E79+E145+E211+E277+E343+E409+E475+E541+E607+E673+E739+E805+E871+E937+E1003+E1069+E1135+E1201+E1267+E1333+E1399+E1465+E1531+E1597+E1663+E1729+E1795+E1861+E1927+E1993+E2059+E2125+E2191</f>
        <v>-271433084.759441</v>
      </c>
      <c r="F19" s="68" t="n">
        <f aca="false">+F79+F145+F211+F277+F343+F409+F475+F541+F607+F673+F739+F805+F871+F937+F1003+F1069+F1135+F1201+F1267+F1333+F1399+F1465+F1531+F1597+F1663+F1729+F1795+F1861+F1927+F1993+F2059+F2125+F2191</f>
        <v>-251941786.137939</v>
      </c>
      <c r="G19" s="68" t="n">
        <f aca="false">+G79+G145+G211+G277+G343+G409+G475+G541+G607+G673+G739+G805+G871+G937+G1003+G1069+G1135+G1201+G1267+G1333+G1399+G1465+G1531+G1597+G1663+G1729+G1795+G1861+G1927+G1993+G2059+G2125+G2191</f>
        <v>-237391367.63386</v>
      </c>
      <c r="H19" s="68" t="n">
        <f aca="false">+H79+H145+H211+H277+H343+H409+H475+H541+H607+H673+H739+H805+H871+H937+H1003+H1069+H1135+H1201+H1267+H1333+H1399+H1465+H1531+H1597+H1663+H1729+H1795+H1861+H1927+H1993+H2059+H2125+H2191</f>
        <v>-252944701.527088</v>
      </c>
      <c r="I19" s="68" t="n">
        <f aca="false">+I79+I145+I211+I277+I343+I409+I475+I541+I607+I673+I739+I805+I871+I937+I1003+I1069+I1135+I1201+I1267+I1333+I1399+I1465+I1531+I1597+I1663+I1729+I1795+I1861+I1927+I1993+I2059+I2125+I2191</f>
        <v>-274871715.351284</v>
      </c>
      <c r="J19" s="68" t="n">
        <f aca="false">+J79+J145+J211+J277+J343+J409+J475+J541+J607+J673+J739+J805+J871+J937+J1003+J1069+J1135+J1201+J1267+J1333+J1399+J1465+J1531+J1597+J1663+J1729+J1795+J1861+J1927+J1993+J2059+J2125+J2191</f>
        <v>-311380449.447412</v>
      </c>
      <c r="K19" s="68" t="n">
        <f aca="false">+K79+K145+K211+K277+K343+K409+K475+K541+K607+K673+K739+K805+K871+K937+K1003+K1069+K1135+K1201+K1267+K1333+K1399+K1465+K1531+K1597+K1663+K1729+K1795+K1861+K1927+K1993+K2059+K2125+K2191</f>
        <v>-334576334.19755</v>
      </c>
      <c r="L19" s="68" t="n">
        <f aca="false">+L79+L145+L211+L277+L343+L409+L475+L541+L607+L673+L739+L805+L871+L937+L1003+L1069+L1135+L1201+L1267+L1333+L1399+L1465+L1531+L1597+L1663+L1729+L1795+L1861+L1927+L1993+L2059+L2125+L2191</f>
        <v>-341436541.311806</v>
      </c>
      <c r="M19" s="68" t="n">
        <f aca="false">+M79+M145+M211+M277+M343+M409+M475+M541+M607+M673+M739+M805+M871+M937+M1003+M1069+M1135+M1201+M1267+M1333+M1399+M1465+M1531+M1597+M1663+M1729+M1795+M1861+M1927+M1993+M2059+M2125+M2191</f>
        <v>-339456509.799827</v>
      </c>
      <c r="N19" s="68" t="n">
        <f aca="false">+N79+N145+N211+N277+N343+N409+N475+N541+N607+N673+N739+N805+N871+N937+N1003+N1069+N1135+N1201+N1267+N1333+N1399+N1465+N1531+N1597+N1663+N1729+N1795+N1861+N1927+N1993+N2059+N2125+N2191</f>
        <v>-340924708.964331</v>
      </c>
      <c r="O19" s="68" t="n">
        <f aca="false">+O79+O145+O211+O277+O343+O409+O475+O541+O607+O673+O739+O805+O871+O937+O1003+O1069+O1135+O1201+O1267+O1333+O1399+O1465+O1531+O1597+O1663+O1729+O1795+O1861+O1927+O1993+O2059+O2125+O2191</f>
        <v>-343072381.448038</v>
      </c>
      <c r="P19" s="68" t="n">
        <f aca="false">+P79+P145+P211+P277+P343+P409+P475+P541+P607+P673+P739+P805+P871+P937+P1003+P1069+P1135+P1201+P1267+P1333+P1399+P1465+P1531+P1597+P1663+P1729+P1795+P1861+P1927+P1993+P2059+P2125+P2191</f>
        <v>-344403542.170386</v>
      </c>
      <c r="Q19" s="68" t="n">
        <f aca="false">+Q79+Q145+Q211+Q277+Q343+Q409+Q475+Q541+Q607+Q673+Q739+Q805+Q871+Q937+Q1003+Q1069+Q1135+Q1201+Q1267+Q1333+Q1399+Q1465+Q1531+Q1597+Q1663+Q1729+Q1795+Q1861+Q1927+Q1993+Q2059+Q2125+Q2191</f>
        <v>-364727865.490398</v>
      </c>
      <c r="R19" s="68" t="n">
        <f aca="false">+R79+R145+R211+R277+R343+R409+R475+R541+R607+R673+R739+R805+R871+R937+R1003+R1069+R1135+R1201+R1267+R1333+R1399+R1465+R1531+R1597+R1663+R1729+R1795+R1861+R1927+R1993+R2059+R2125+R2191</f>
        <v>-402736135.65473</v>
      </c>
      <c r="S19" s="68" t="n">
        <f aca="false">+S79+S145+S211+S277+S343+S409+S475+S541+S607+S673+S739+S805+S871+S937+S1003+S1069+S1135+S1201+S1267+S1333+S1399+S1465+S1531+S1597+S1663+S1729+S1795+S1861+S1927+S1993+S2059+S2125+S2191</f>
        <v>-385046270.597811</v>
      </c>
      <c r="T19" s="68" t="n">
        <f aca="false">+T79+T145+T211+T277+T343+T409+T475+T541+T607+T673+T739+T805+T871+T937+T1003+T1069+T1135+T1201+T1267+T1333+T1399+T1465+T1531+T1597+T1663+T1729+T1795+T1861+T1927+T1993+T2059+T2125+T2191</f>
        <v>-390848092.917311</v>
      </c>
      <c r="U19" s="68" t="n">
        <f aca="false">+U79+U145+U211+U277+U343+U409+U475+U541+U607+U673+U739+U805+U871+U937+U1003+U1069+U1135+U1201+U1267+U1333+U1399+U1465+U1531+U1597+U1663+U1729+U1795+U1861+U1927+U1993+U2059+U2125+U2191</f>
        <v>-421632301.000463</v>
      </c>
      <c r="V19" s="68" t="n">
        <f aca="false">+V79+V145+V211+V277+V343+V409+V475+V541+V607+V673+V739+V805+V871+V937+V1003+V1069+V1135+V1201+V1267+V1333+V1399+V1465+V1531+V1597+V1663+V1729+V1795+V1861+V1927+V1993+V2059+V2125+V2191</f>
        <v>-441504368.28014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</row>
    <row r="20" customFormat="false" ht="13.5" hidden="false" customHeight="false" outlineLevel="0" collapsed="false">
      <c r="A20" s="2"/>
      <c r="B20" s="69" t="s">
        <v>32</v>
      </c>
      <c r="C20" s="72" t="n">
        <v>0</v>
      </c>
      <c r="D20" s="73" t="n">
        <f aca="false">D17+D18+D19</f>
        <v>443389382.948166</v>
      </c>
      <c r="E20" s="73" t="n">
        <f aca="false">E17+E18+E19</f>
        <v>407149627.13916</v>
      </c>
      <c r="F20" s="73" t="n">
        <f aca="false">F17+F18+F19</f>
        <v>377912679.206907</v>
      </c>
      <c r="G20" s="73" t="n">
        <f aca="false">G17+G18+G19</f>
        <v>356087051.45079</v>
      </c>
      <c r="H20" s="73" t="n">
        <f aca="false">H17+H18+H19</f>
        <v>379417052.290631</v>
      </c>
      <c r="I20" s="73" t="n">
        <f aca="false">I17+I18+I19</f>
        <v>412307573.026926</v>
      </c>
      <c r="J20" s="73" t="n">
        <f aca="false">J17+J18+J19</f>
        <v>467070674.171119</v>
      </c>
      <c r="K20" s="73" t="n">
        <f aca="false">K17+K18+K19</f>
        <v>501864501.296326</v>
      </c>
      <c r="L20" s="73" t="n">
        <f aca="false">L17+L18+L19</f>
        <v>512154811.967708</v>
      </c>
      <c r="M20" s="73" t="n">
        <f aca="false">M17+M18+M19</f>
        <v>509184764.699741</v>
      </c>
      <c r="N20" s="73" t="n">
        <f aca="false">N17+N18+N19</f>
        <v>511387063.446497</v>
      </c>
      <c r="O20" s="73" t="n">
        <f aca="false">O17+O18+O19</f>
        <v>514608572.172056</v>
      </c>
      <c r="P20" s="73" t="n">
        <f aca="false">P17+P18+P19</f>
        <v>516605313.25558</v>
      </c>
      <c r="Q20" s="73" t="n">
        <f aca="false">Q17+Q18+Q19</f>
        <v>547091798.235596</v>
      </c>
      <c r="R20" s="73" t="n">
        <f aca="false">R17+R18+R19</f>
        <v>604104203.482093</v>
      </c>
      <c r="S20" s="73" t="n">
        <f aca="false">S17+S18+S19</f>
        <v>577569405.896716</v>
      </c>
      <c r="T20" s="73" t="n">
        <f aca="false">T17+T18+T19</f>
        <v>586272139.375965</v>
      </c>
      <c r="U20" s="73" t="n">
        <f aca="false">U17+U18+U19</f>
        <v>632448451.500693</v>
      </c>
      <c r="V20" s="73" t="n">
        <f aca="false">V17+V18+V19</f>
        <v>662256552.42021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</row>
    <row r="21" customFormat="false" ht="12.75" hidden="false" customHeight="false" outlineLevel="0" collapsed="false">
      <c r="A21" s="2"/>
      <c r="B21" s="62" t="s">
        <v>30</v>
      </c>
      <c r="C21" s="63" t="n">
        <v>0</v>
      </c>
      <c r="D21" s="64" t="n">
        <f aca="false">-D18</f>
        <v>124019323.544879</v>
      </c>
      <c r="E21" s="64" t="n">
        <f aca="false">-E18</f>
        <v>136819901.366024</v>
      </c>
      <c r="F21" s="64" t="n">
        <f aca="false">-F18</f>
        <v>142342503.453331</v>
      </c>
      <c r="G21" s="64" t="n">
        <f aca="false">-G18</f>
        <v>141672891.252106</v>
      </c>
      <c r="H21" s="64" t="n">
        <f aca="false">-H18</f>
        <v>96822825.1213692</v>
      </c>
      <c r="I21" s="64" t="n">
        <f aca="false">-I18</f>
        <v>88718324.2084719</v>
      </c>
      <c r="J21" s="64" t="n">
        <f aca="false">-J18</f>
        <v>73936424.7980741</v>
      </c>
      <c r="K21" s="64" t="n">
        <f aca="false">-K18</f>
        <v>62452705.8964955</v>
      </c>
      <c r="L21" s="64" t="n">
        <f aca="false">-L18</f>
        <v>60910415.5074775</v>
      </c>
      <c r="M21" s="64" t="n">
        <f aca="false">-M18</f>
        <v>61716348.082673</v>
      </c>
      <c r="N21" s="64" t="n">
        <f aca="false">-N18</f>
        <v>62993297.9425629</v>
      </c>
      <c r="O21" s="64" t="n">
        <f aca="false">-O18</f>
        <v>64212845.7353939</v>
      </c>
      <c r="P21" s="64" t="n">
        <f aca="false">-P18</f>
        <v>65615934.8089092</v>
      </c>
      <c r="Q21" s="64" t="n">
        <f aca="false">-Q18</f>
        <v>66029126.3046301</v>
      </c>
      <c r="R21" s="64" t="n">
        <f aca="false">-R18</f>
        <v>56520648.8352226</v>
      </c>
      <c r="S21" s="64" t="n">
        <f aca="false">-S18</f>
        <v>58872034.0217328</v>
      </c>
      <c r="T21" s="64" t="n">
        <f aca="false">-T18</f>
        <v>61062547.6838384</v>
      </c>
      <c r="U21" s="64" t="n">
        <f aca="false">-U18</f>
        <v>63811499.0958071</v>
      </c>
      <c r="V21" s="64" t="n">
        <f aca="false">-V18</f>
        <v>66325890.3101349</v>
      </c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</row>
    <row r="22" customFormat="false" ht="12.75" hidden="false" customHeight="false" outlineLevel="0" collapsed="false">
      <c r="A22" s="2"/>
      <c r="B22" s="62" t="s">
        <v>33</v>
      </c>
      <c r="C22" s="63" t="n">
        <v>0</v>
      </c>
      <c r="D22" s="64" t="n">
        <f aca="false">+D82+D148+D214+D280+D346+D412+D478+D544+D610+D676+D742+D808+D874+D940+D1006+D1072+D1138+D1204+D1270+D1336+D1402+D1468+D1534+D1600+D1666+D1732+D1798+D1864+D1930+D1996+D2062+D2128+D2194</f>
        <v>-57998154.67</v>
      </c>
      <c r="E22" s="64" t="n">
        <f aca="false">+E82+E148+E214+E280+E346+E412+E478+E544+E610+E676+E742+E808+E874+E940+E1006+E1072+E1138+E1204+E1270+E1336+E1402+E1468+E1534+E1600+E1666+E1732+E1798+E1864+E1930+E1996+E2062+E2128+E2194</f>
        <v>-53017298.62</v>
      </c>
      <c r="F22" s="64" t="n">
        <f aca="false">+F82+F148+F214+F280+F346+F412+F478+F544+F610+F676+F742+F808+F874+F940+F1006+F1072+F1138+F1204+F1270+F1336+F1402+F1468+F1534+F1600+F1666+F1732+F1798+F1864+F1930+F1996+F2062+F2128+F2194</f>
        <v>-39685921.9</v>
      </c>
      <c r="G22" s="64" t="n">
        <f aca="false">+G82+G148+G214+G280+G346+G412+G478+G544+G610+G676+G742+G808+G874+G940+G1006+G1072+G1138+G1204+G1270+G1336+G1402+G1468+G1534+G1600+G1666+G1732+G1798+G1864+G1930+G1996+G2062+G2128+G2194</f>
        <v>-29370635.69</v>
      </c>
      <c r="H22" s="64" t="n">
        <f aca="false">+H82+H148+H214+H280+H346+H412+H478+H544+H610+H676+H742+H808+H874+H940+H1006+H1072+H1138+H1204+H1270+H1336+H1402+H1468+H1534+H1600+H1666+H1732+H1798+H1864+H1930+H1996+H2062+H2128+H2194</f>
        <v>-45513050.084</v>
      </c>
      <c r="I22" s="64" t="n">
        <f aca="false">+I82+I148+I214+I280+I346+I412+I478+I544+I610+I676+I742+I808+I874+I940+I1006+I1072+I1138+I1204+I1270+I1336+I1402+I1468+I1534+I1600+I1666+I1732+I1798+I1864+I1930+I1996+I2062+I2128+I2194</f>
        <v>-46878441.58652</v>
      </c>
      <c r="J22" s="64" t="n">
        <f aca="false">+J82+J148+J214+J280+J346+J412+J478+J544+J610+J676+J742+J808+J874+J940+J1006+J1072+J1138+J1204+J1270+J1336+J1402+J1468+J1534+J1600+J1666+J1732+J1798+J1864+J1930+J1996+J2062+J2128+J2194</f>
        <v>-48284794.8341156</v>
      </c>
      <c r="K22" s="64" t="n">
        <f aca="false">+K82+K148+K214+K280+K346+K412+K478+K544+K610+K676+K742+K808+K874+K940+K1006+K1072+K1138+K1204+K1270+K1336+K1402+K1468+K1534+K1600+K1666+K1732+K1798+K1864+K1930+K1996+K2062+K2128+K2194</f>
        <v>-49733338.6791391</v>
      </c>
      <c r="L22" s="64" t="n">
        <f aca="false">+L82+L148+L214+L280+L346+L412+L478+L544+L610+L676+L742+L808+L874+L940+L1006+L1072+L1138+L1204+L1270+L1336+L1402+L1468+L1534+L1600+L1666+L1732+L1798+L1864+L1930+L1996+L2062+L2128+L2194</f>
        <v>-51225338.8395132</v>
      </c>
      <c r="M22" s="64" t="n">
        <f aca="false">+M82+M148+M214+M280+M346+M412+M478+M544+M610+M676+M742+M808+M874+M940+M1006+M1072+M1138+M1204+M1270+M1336+M1402+M1468+M1534+M1600+M1666+M1732+M1798+M1864+M1930+M1996+M2062+M2128+M2194</f>
        <v>-52762099.0046987</v>
      </c>
      <c r="N22" s="64" t="n">
        <f aca="false">+N82+N148+N214+N280+N346+N412+N478+N544+N610+N676+N742+N808+N874+N940+N1006+N1072+N1138+N1204+N1270+N1336+N1402+N1468+N1534+N1600+N1666+N1732+N1798+N1864+N1930+N1996+N2062+N2128+N2194</f>
        <v>-54344961.9748396</v>
      </c>
      <c r="O22" s="64" t="n">
        <f aca="false">+O82+O148+O214+O280+O346+O412+O478+O544+O610+O676+O742+O808+O874+O940+O1006+O1072+O1138+O1204+O1270+O1336+O1402+O1468+O1534+O1600+O1666+O1732+O1798+O1864+O1930+O1996+O2062+O2128+O2194</f>
        <v>-55975310.8340848</v>
      </c>
      <c r="P22" s="64" t="n">
        <f aca="false">+P82+P148+P214+P280+P346+P412+P478+P544+P610+P676+P742+P808+P874+P940+P1006+P1072+P1138+P1204+P1270+P1336+P1402+P1468+P1534+P1600+P1666+P1732+P1798+P1864+P1930+P1996+P2062+P2128+P2194</f>
        <v>-57654570.1591073</v>
      </c>
      <c r="Q22" s="64" t="n">
        <f aca="false">+Q82+Q148+Q214+Q280+Q346+Q412+Q478+Q544+Q610+Q676+Q742+Q808+Q874+Q940+Q1006+Q1072+Q1138+Q1204+Q1270+Q1336+Q1402+Q1468+Q1534+Q1600+Q1666+Q1732+Q1798+Q1864+Q1930+Q1996+Q2062+Q2128+Q2194</f>
        <v>-59384207.2638806</v>
      </c>
      <c r="R22" s="64" t="n">
        <f aca="false">+R82+R148+R214+R280+R346+R412+R478+R544+R610+R676+R742+R808+R874+R940+R1006+R1072+R1138+R1204+R1270+R1336+R1402+R1468+R1534+R1600+R1666+R1732+R1798+R1864+R1930+R1996+R2062+R2128+R2194</f>
        <v>-61165733.481797</v>
      </c>
      <c r="S22" s="64" t="n">
        <f aca="false">+S82+S148+S214+S280+S346+S412+S478+S544+S610+S676+S742+S808+S874+S940+S1006+S1072+S1138+S1204+S1270+S1336+S1402+S1468+S1534+S1600+S1666+S1732+S1798+S1864+S1930+S1996+S2062+S2128+S2194</f>
        <v>-63000705.4862509</v>
      </c>
      <c r="T22" s="64" t="n">
        <f aca="false">+T82+T148+T214+T280+T346+T412+T478+T544+T610+T676+T742+T808+T874+T940+T1006+T1072+T1138+T1204+T1270+T1336+T1402+T1468+T1534+T1600+T1666+T1732+T1798+T1864+T1930+T1996+T2062+T2128+T2194</f>
        <v>-64890726.6508384</v>
      </c>
      <c r="U22" s="64" t="n">
        <f aca="false">+U82+U148+U214+U280+U346+U412+U478+U544+U610+U676+U742+U808+U874+U940+U1006+U1072+U1138+U1204+U1270+U1336+U1402+U1468+U1534+U1600+U1666+U1732+U1798+U1864+U1930+U1996+U2062+U2128+U2194</f>
        <v>-66837448.4503636</v>
      </c>
      <c r="V22" s="64" t="n">
        <f aca="false">+V82+V148+V214+V280+V346+V412+V478+V544+V610+V676+V742+V808+V874+V940+V1006+V1072+V1138+V1204+V1270+V1336+V1402+V1468+V1534+V1600+V1666+V1732+V1798+V1864+V1930+V1996+V2062+V2128+V2194</f>
        <v>-68842571.9038745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</row>
    <row r="23" customFormat="false" ht="13.5" hidden="false" customHeight="false" outlineLevel="0" collapsed="false">
      <c r="A23" s="2"/>
      <c r="B23" s="66" t="s">
        <v>34</v>
      </c>
      <c r="C23" s="67" t="n">
        <v>0</v>
      </c>
      <c r="D23" s="68" t="n">
        <f aca="false">+D83+D149+D215+D281+D347+D413+D479+D545+D611+D677+D743+D809+D875+D941+D1007+D1073+D1139+D1205+D1271+D1337+D1403+D1469+D1535+D1601+D1667+D1733+D1799+D1865+D1931+D1997+D2063+D2129+D2195</f>
        <v>-97009902.15</v>
      </c>
      <c r="E23" s="68" t="n">
        <f aca="false">+E83+E149+E215+E281+E347+E413+E479+E545+E611+E677+E743+E809+E875+E941+E1007+E1073+E1139+E1205+E1271+E1337+E1403+E1469+E1535+E1601+E1667+E1733+E1799+E1865+E1931+E1997+E2063+E2129+E2195</f>
        <v>-76633621.46</v>
      </c>
      <c r="F23" s="68" t="n">
        <f aca="false">+F83+F149+F215+F281+F347+F413+F479+F545+F611+F677+F743+F809+F875+F941+F1007+F1073+F1139+F1205+F1271+F1337+F1403+F1469+F1535+F1601+F1667+F1733+F1799+F1865+F1931+F1997+F2063+F2129+F2195</f>
        <v>-18151182.47</v>
      </c>
      <c r="G23" s="68" t="n">
        <f aca="false">+G83+G149+G215+G281+G347+G413+G479+G545+G611+G677+G743+G809+G875+G941+G1007+G1073+G1139+G1205+G1271+G1337+G1403+G1469+G1535+G1601+G1667+G1733+G1799+G1865+G1931+G1997+G2063+G2129+G2195</f>
        <v>0</v>
      </c>
      <c r="H23" s="68" t="n">
        <f aca="false">+H83+H149+H215+H281+H347+H413+H479+H545+H611+H677+H743+H809+H875+H941+H1007+H1073+H1139+H1205+H1271+H1337+H1403+H1469+H1535+H1601+H1667+H1733+H1799+H1865+H1931+H1997+H2063+H2129+H2195</f>
        <v>0</v>
      </c>
      <c r="I23" s="68" t="n">
        <f aca="false">+I83+I149+I215+I281+I347+I413+I479+I545+I611+I677+I743+I809+I875+I941+I1007+I1073+I1139+I1205+I1271+I1337+I1403+I1469+I1535+I1601+I1667+I1733+I1799+I1865+I1931+I1997+I2063+I2129+I2195</f>
        <v>0</v>
      </c>
      <c r="J23" s="68" t="n">
        <f aca="false">+J83+J149+J215+J281+J347+J413+J479+J545+J611+J677+J743+J809+J875+J941+J1007+J1073+J1139+J1205+J1271+J1337+J1403+J1469+J1535+J1601+J1667+J1733+J1799+J1865+J1931+J1997+J2063+J2129+J2195</f>
        <v>0</v>
      </c>
      <c r="K23" s="68" t="n">
        <f aca="false">+K83+K149+K215+K281+K347+K413+K479+K545+K611+K677+K743+K809+K875+K941+K1007+K1073+K1139+K1205+K1271+K1337+K1403+K1469+K1535+K1601+K1667+K1733+K1799+K1865+K1931+K1997+K2063+K2129+K2195</f>
        <v>0</v>
      </c>
      <c r="L23" s="68" t="n">
        <f aca="false">+L83+L149+L215+L281+L347+L413+L479+L545+L611+L677+L743+L809+L875+L941+L1007+L1073+L1139+L1205+L1271+L1337+L1403+L1469+L1535+L1601+L1667+L1733+L1799+L1865+L1931+L1997+L2063+L2129+L2195</f>
        <v>0</v>
      </c>
      <c r="M23" s="68" t="n">
        <f aca="false">+M83+M149+M215+M281+M347+M413+M479+M545+M611+M677+M743+M809+M875+M941+M1007+M1073+M1139+M1205+M1271+M1337+M1403+M1469+M1535+M1601+M1667+M1733+M1799+M1865+M1931+M1997+M2063+M2129+M2195</f>
        <v>0</v>
      </c>
      <c r="N23" s="68" t="n">
        <f aca="false">+N83+N149+N215+N281+N347+N413+N479+N545+N611+N677+N743+N809+N875+N941+N1007+N1073+N1139+N1205+N1271+N1337+N1403+N1469+N1535+N1601+N1667+N1733+N1799+N1865+N1931+N1997+N2063+N2129+N2195</f>
        <v>0</v>
      </c>
      <c r="O23" s="68" t="n">
        <f aca="false">+O83+O149+O215+O281+O347+O413+O479+O545+O611+O677+O743+O809+O875+O941+O1007+O1073+O1139+O1205+O1271+O1337+O1403+O1469+O1535+O1601+O1667+O1733+O1799+O1865+O1931+O1997+O2063+O2129+O2195</f>
        <v>0</v>
      </c>
      <c r="P23" s="68" t="n">
        <f aca="false">+P83+P149+P215+P281+P347+P413+P479+P545+P611+P677+P743+P809+P875+P941+P1007+P1073+P1139+P1205+P1271+P1337+P1403+P1469+P1535+P1601+P1667+P1733+P1799+P1865+P1931+P1997+P2063+P2129+P2195</f>
        <v>0</v>
      </c>
      <c r="Q23" s="68" t="n">
        <f aca="false">+Q83+Q149+Q215+Q281+Q347+Q413+Q479+Q545+Q611+Q677+Q743+Q809+Q875+Q941+Q1007+Q1073+Q1139+Q1205+Q1271+Q1337+Q1403+Q1469+Q1535+Q1601+Q1667+Q1733+Q1799+Q1865+Q1931+Q1997+Q2063+Q2129+Q2195</f>
        <v>0</v>
      </c>
      <c r="R23" s="68" t="n">
        <f aca="false">+R83+R149+R215+R281+R347+R413+R479+R545+R611+R677+R743+R809+R875+R941+R1007+R1073+R1139+R1205+R1271+R1337+R1403+R1469+R1535+R1601+R1667+R1733+R1799+R1865+R1931+R1997+R2063+R2129+R2195</f>
        <v>0</v>
      </c>
      <c r="S23" s="68" t="n">
        <f aca="false">+S83+S149+S215+S281+S347+S413+S479+S545+S611+S677+S743+S809+S875+S941+S1007+S1073+S1139+S1205+S1271+S1337+S1403+S1469+S1535+S1601+S1667+S1733+S1799+S1865+S1931+S1997+S2063+S2129+S2195</f>
        <v>0</v>
      </c>
      <c r="T23" s="68" t="n">
        <f aca="false">+T83+T149+T215+T281+T347+T413+T479+T545+T611+T677+T743+T809+T875+T941+T1007+T1073+T1139+T1205+T1271+T1337+T1403+T1469+T1535+T1601+T1667+T1733+T1799+T1865+T1931+T1997+T2063+T2129+T2195</f>
        <v>0</v>
      </c>
      <c r="U23" s="68" t="n">
        <f aca="false">+U83+U149+U215+U281+U347+U413+U479+U545+U611+U677+U743+U809+U875+U941+U1007+U1073+U1139+U1205+U1271+U1337+U1403+U1469+U1535+U1601+U1667+U1733+U1799+U1865+U1931+U1997+U2063+U2129+U2195</f>
        <v>0</v>
      </c>
      <c r="V23" s="68" t="n">
        <f aca="false">+V83+V149+V215+V281+V347+V413+V479+V545+V611+V677+V743+V809+V875+V941+V1007+V1073+V1139+V1205+V1271+V1337+V1403+V1469+V1535+V1601+V1667+V1733+V1799+V1865+V1931+V1997+V2063+V2129+V2195</f>
        <v>0</v>
      </c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</row>
    <row r="24" customFormat="false" ht="13.5" hidden="false" customHeight="false" outlineLevel="0" collapsed="false">
      <c r="A24" s="2"/>
      <c r="B24" s="62"/>
      <c r="C24" s="74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</row>
    <row r="25" customFormat="false" ht="12.75" hidden="false" customHeight="false" outlineLevel="0" collapsed="false">
      <c r="A25" s="2"/>
      <c r="B25" s="69" t="s">
        <v>35</v>
      </c>
      <c r="C25" s="72" t="n">
        <f aca="false">SUM(C20:C23)</f>
        <v>0</v>
      </c>
      <c r="D25" s="73" t="n">
        <f aca="false">SUM(D20:D23)</f>
        <v>412400649.673045</v>
      </c>
      <c r="E25" s="73" t="n">
        <f aca="false">SUM(E20:E23)</f>
        <v>414318608.425185</v>
      </c>
      <c r="F25" s="73" t="n">
        <f aca="false">SUM(F20:F23)</f>
        <v>462418078.290239</v>
      </c>
      <c r="G25" s="73" t="n">
        <f aca="false">SUM(G20:G23)</f>
        <v>468389307.012896</v>
      </c>
      <c r="H25" s="73" t="n">
        <f aca="false">SUM(H20:H23)</f>
        <v>430726827.328</v>
      </c>
      <c r="I25" s="73" t="n">
        <f aca="false">SUM(I20:I23)</f>
        <v>454147455.648878</v>
      </c>
      <c r="J25" s="73" t="n">
        <f aca="false">SUM(J20:J23)</f>
        <v>492722304.135077</v>
      </c>
      <c r="K25" s="73" t="n">
        <f aca="false">SUM(K20:K23)</f>
        <v>514583868.513682</v>
      </c>
      <c r="L25" s="73" t="n">
        <f aca="false">SUM(L20:L23)</f>
        <v>521839888.635673</v>
      </c>
      <c r="M25" s="73" t="n">
        <f aca="false">SUM(M20:M23)</f>
        <v>518139013.777715</v>
      </c>
      <c r="N25" s="73" t="n">
        <f aca="false">SUM(N20:N23)</f>
        <v>520035399.41422</v>
      </c>
      <c r="O25" s="73" t="n">
        <f aca="false">SUM(O20:O23)</f>
        <v>522846107.073365</v>
      </c>
      <c r="P25" s="73" t="n">
        <f aca="false">SUM(P20:P23)</f>
        <v>524566677.905382</v>
      </c>
      <c r="Q25" s="73" t="n">
        <f aca="false">SUM(Q20:Q23)</f>
        <v>553736717.276346</v>
      </c>
      <c r="R25" s="73" t="n">
        <f aca="false">SUM(R20:R23)</f>
        <v>599459118.835519</v>
      </c>
      <c r="S25" s="73" t="n">
        <f aca="false">SUM(S20:S23)</f>
        <v>573440734.432198</v>
      </c>
      <c r="T25" s="73" t="n">
        <f aca="false">SUM(T20:T23)</f>
        <v>582443960.408965</v>
      </c>
      <c r="U25" s="73" t="n">
        <f aca="false">SUM(U20:U23)</f>
        <v>629422502.146137</v>
      </c>
      <c r="V25" s="73" t="n">
        <f aca="false">SUM(V20:V23)</f>
        <v>659739870.82647</v>
      </c>
      <c r="W25" s="73" t="n">
        <f aca="false">+W85+W151+W217+W283+W349+W415+W481+W547+W613+W679+W745+W811+W877+W943+W1009+W1075+W1141+W1207+W1273+W1339+W1405+W1471+W1537+W1603+W1669+W1735+W1801+W1867+W1933+W1999+W2065+W2131+W2197</f>
        <v>3492467547.97552</v>
      </c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</row>
    <row r="26" customFormat="false" ht="12.75" hidden="false" customHeight="false" outlineLevel="0" collapsed="false">
      <c r="A26" s="2"/>
      <c r="B26" s="62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</row>
    <row r="27" customFormat="false" ht="12.75" hidden="false" customHeight="false" outlineLevel="0" collapsed="false">
      <c r="A27" s="48" t="s">
        <v>36</v>
      </c>
      <c r="B27" s="75" t="s">
        <v>37</v>
      </c>
      <c r="C27" s="76" t="n">
        <f aca="false">NPV($B$3,D25:H25)</f>
        <v>1652106971.56404</v>
      </c>
      <c r="D27" s="65"/>
      <c r="E27" s="77" t="s">
        <v>38</v>
      </c>
      <c r="F27" s="78" t="s">
        <v>37</v>
      </c>
      <c r="G27" s="79" t="n">
        <f aca="false">+G87+G153+G219+G285+G351+G417+G483+G549+G615+G681+G747+G813+G879+G945+G1011+G1077+G1143+G1209+G1275+G1341+G1407+G1473+G1539+G1605+G1671+G1737+G1803+G1869+G1935+G2001+G2067+G2133+G2199</f>
        <v>1652106971.56404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</row>
    <row r="28" customFormat="false" ht="12.75" hidden="false" customHeight="false" outlineLevel="0" collapsed="false">
      <c r="A28" s="2"/>
      <c r="B28" s="75" t="s">
        <v>39</v>
      </c>
      <c r="C28" s="76" t="n">
        <f aca="false">(NPV($B$3,I25:V25)/(1+$B$3)^5)</f>
        <v>2421577180.20987</v>
      </c>
      <c r="D28" s="65"/>
      <c r="E28" s="80"/>
      <c r="F28" s="78" t="s">
        <v>39</v>
      </c>
      <c r="G28" s="79" t="n">
        <f aca="false">+G88+G154+G220+G286+G352+G418+G484+G550+G616+G682+G748+G814+G880+G946+G1012+G1078+G1144+G1210+G1276+G1342+G1408+G1474+G1540+G1606+G1672+G1738+G1804+G1870+G1936+G2002+G2068+G2134+G2200</f>
        <v>2421577180.20987</v>
      </c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</row>
    <row r="29" customFormat="false" ht="13.5" hidden="false" customHeight="false" outlineLevel="0" collapsed="false">
      <c r="A29" s="2"/>
      <c r="B29" s="81" t="s">
        <v>40</v>
      </c>
      <c r="C29" s="82" t="n">
        <f aca="false">(W25/(1+$B$3)^(20))</f>
        <v>519133047.087665</v>
      </c>
      <c r="D29" s="83"/>
      <c r="E29" s="80"/>
      <c r="F29" s="78" t="s">
        <v>40</v>
      </c>
      <c r="G29" s="79" t="n">
        <f aca="false">+G89+G155+G221+G287+G353+G419+G485+G551+G617+G683+G749+G815+G881+G947+G1013+G1079+G1145+G1211+G1277+G1343+G1409+G1475+G1541+G1607+G1673+G1739+G1805+G1871+G1937+G2003+G2069+G2135+G2201</f>
        <v>519133047.087665</v>
      </c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</row>
    <row r="30" customFormat="false" ht="14.25" hidden="false" customHeight="false" outlineLevel="0" collapsed="false">
      <c r="A30" s="2"/>
      <c r="B30" s="75" t="s">
        <v>41</v>
      </c>
      <c r="C30" s="76" t="n">
        <f aca="false">NPV($B$3,D25:W25)</f>
        <v>4592817198.86157</v>
      </c>
      <c r="D30" s="65"/>
      <c r="E30" s="80"/>
      <c r="F30" s="84" t="s">
        <v>42</v>
      </c>
      <c r="G30" s="85" t="n">
        <f aca="false">+G90+G156+G222+G288+G354+G420+G486+G552+G618+G684+G750+G816+G882+G948+G1014+G1080+G1146+G1212+G1278+G1344+G1410+G1476+G1542+G1608+G1674+G1740+G1806+G1872+G1938+G2004+G2070+G2136+G2202</f>
        <v>0</v>
      </c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</row>
    <row r="31" customFormat="false" ht="13.5" hidden="false" customHeight="false" outlineLevel="0" collapsed="false">
      <c r="A31" s="2"/>
      <c r="B31" s="62"/>
      <c r="C31" s="64"/>
      <c r="D31" s="65"/>
      <c r="E31" s="80"/>
      <c r="F31" s="78" t="s">
        <v>41</v>
      </c>
      <c r="G31" s="79" t="n">
        <f aca="false">+G91+G157+G223+G289+G355+G421+G487+G553+G619+G685+G751+G817+G883+G949+G1015+G1081+G1147+G1213+G1279+G1345+G1411+G1477+G1543+G1609+G1675+G1741+G1807+G1873+G1939+G2005+G2071+G2137+G2203</f>
        <v>4592817198.86158</v>
      </c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</row>
    <row r="32" customFormat="false" ht="12.75" hidden="false" customHeight="false" outlineLevel="0" collapsed="false">
      <c r="A32" s="2"/>
      <c r="B32" s="62"/>
      <c r="C32" s="64"/>
      <c r="D32" s="65"/>
      <c r="E32" s="80"/>
      <c r="F32" s="78"/>
      <c r="G32" s="86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</row>
    <row r="33" customFormat="false" ht="12.75" hidden="false" customHeight="false" outlineLevel="0" collapsed="false">
      <c r="A33" s="2"/>
      <c r="B33" s="62"/>
      <c r="C33" s="64"/>
      <c r="D33" s="65"/>
      <c r="E33" s="80"/>
      <c r="F33" s="78"/>
      <c r="G33" s="86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</row>
    <row r="34" customFormat="false" ht="12.75" hidden="false" customHeight="false" outlineLevel="0" collapsed="false">
      <c r="A34" s="2"/>
      <c r="B34" s="69" t="s">
        <v>43</v>
      </c>
      <c r="C34" s="64"/>
      <c r="D34" s="65"/>
      <c r="E34" s="80"/>
      <c r="F34" s="78"/>
      <c r="G34" s="86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</row>
    <row r="35" customFormat="false" ht="12.75" hidden="false" customHeight="false" outlineLevel="0" collapsed="false">
      <c r="A35" s="87" t="s">
        <v>44</v>
      </c>
      <c r="B35" s="69" t="s">
        <v>45</v>
      </c>
      <c r="C35" s="73"/>
      <c r="D35" s="88" t="n">
        <f aca="false">D20</f>
        <v>443389382.948166</v>
      </c>
      <c r="E35" s="88" t="n">
        <f aca="false">E20</f>
        <v>407149627.13916</v>
      </c>
      <c r="F35" s="88" t="n">
        <f aca="false">F20</f>
        <v>377912679.206907</v>
      </c>
      <c r="G35" s="88" t="n">
        <f aca="false">G20</f>
        <v>356087051.45079</v>
      </c>
      <c r="H35" s="88" t="n">
        <f aca="false">H20</f>
        <v>379417052.290631</v>
      </c>
      <c r="I35" s="88" t="n">
        <f aca="false">I20</f>
        <v>412307573.026926</v>
      </c>
      <c r="J35" s="88" t="n">
        <f aca="false">J20</f>
        <v>467070674.171119</v>
      </c>
      <c r="K35" s="88" t="n">
        <f aca="false">K20</f>
        <v>501864501.296326</v>
      </c>
      <c r="L35" s="88" t="n">
        <f aca="false">L20</f>
        <v>512154811.967708</v>
      </c>
      <c r="M35" s="88" t="n">
        <f aca="false">M20</f>
        <v>509184764.699741</v>
      </c>
      <c r="N35" s="88" t="n">
        <f aca="false">N20</f>
        <v>511387063.446497</v>
      </c>
      <c r="O35" s="88" t="n">
        <f aca="false">O20</f>
        <v>514608572.172056</v>
      </c>
      <c r="P35" s="88" t="n">
        <f aca="false">P20</f>
        <v>516605313.25558</v>
      </c>
      <c r="Q35" s="88" t="n">
        <f aca="false">Q20</f>
        <v>547091798.235596</v>
      </c>
      <c r="R35" s="88" t="n">
        <f aca="false">R20</f>
        <v>604104203.482093</v>
      </c>
      <c r="S35" s="88" t="n">
        <f aca="false">S20</f>
        <v>577569405.896716</v>
      </c>
      <c r="T35" s="88" t="n">
        <f aca="false">T20</f>
        <v>586272139.375965</v>
      </c>
      <c r="U35" s="88" t="n">
        <f aca="false">U20</f>
        <v>632448451.500693</v>
      </c>
      <c r="V35" s="88" t="n">
        <f aca="false">V20</f>
        <v>662256552.42021</v>
      </c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</row>
    <row r="36" customFormat="false" ht="12.75" hidden="false" customHeight="false" outlineLevel="0" collapsed="false">
      <c r="A36" s="2"/>
      <c r="B36" s="62" t="s">
        <v>46</v>
      </c>
      <c r="C36" s="64"/>
      <c r="D36" s="65" t="n">
        <f aca="false">-D19</f>
        <v>295592921.965444</v>
      </c>
      <c r="E36" s="65" t="n">
        <f aca="false">-E19</f>
        <v>271433084.759441</v>
      </c>
      <c r="F36" s="65" t="n">
        <f aca="false">-F19</f>
        <v>251941786.137939</v>
      </c>
      <c r="G36" s="65" t="n">
        <f aca="false">-G19</f>
        <v>237391367.63386</v>
      </c>
      <c r="H36" s="65" t="n">
        <f aca="false">-H19</f>
        <v>252944701.527088</v>
      </c>
      <c r="I36" s="65" t="n">
        <f aca="false">-I19</f>
        <v>274871715.351284</v>
      </c>
      <c r="J36" s="65" t="n">
        <f aca="false">-J19</f>
        <v>311380449.447412</v>
      </c>
      <c r="K36" s="65" t="n">
        <f aca="false">-K19</f>
        <v>334576334.19755</v>
      </c>
      <c r="L36" s="65" t="n">
        <f aca="false">-L19</f>
        <v>341436541.311806</v>
      </c>
      <c r="M36" s="65" t="n">
        <f aca="false">-M19</f>
        <v>339456509.799827</v>
      </c>
      <c r="N36" s="65" t="n">
        <f aca="false">-N19</f>
        <v>340924708.964331</v>
      </c>
      <c r="O36" s="65" t="n">
        <f aca="false">-O19</f>
        <v>343072381.448038</v>
      </c>
      <c r="P36" s="65" t="n">
        <f aca="false">-P19</f>
        <v>344403542.170386</v>
      </c>
      <c r="Q36" s="65" t="n">
        <f aca="false">-Q19</f>
        <v>364727865.490398</v>
      </c>
      <c r="R36" s="65" t="n">
        <f aca="false">-R19</f>
        <v>402736135.65473</v>
      </c>
      <c r="S36" s="65" t="n">
        <f aca="false">-S19</f>
        <v>385046270.597811</v>
      </c>
      <c r="T36" s="65" t="n">
        <f aca="false">-T19</f>
        <v>390848092.917311</v>
      </c>
      <c r="U36" s="65" t="n">
        <f aca="false">-U19</f>
        <v>421632301.000463</v>
      </c>
      <c r="V36" s="65" t="n">
        <f aca="false">-V19</f>
        <v>441504368.28014</v>
      </c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</row>
    <row r="37" customFormat="false" ht="12.75" hidden="false" customHeight="false" outlineLevel="0" collapsed="false">
      <c r="A37" s="2"/>
      <c r="B37" s="89" t="s">
        <v>47</v>
      </c>
      <c r="C37" s="90"/>
      <c r="D37" s="65" t="n">
        <f aca="false">D21</f>
        <v>124019323.544879</v>
      </c>
      <c r="E37" s="65" t="n">
        <f aca="false">E21</f>
        <v>136819901.366024</v>
      </c>
      <c r="F37" s="65" t="n">
        <f aca="false">F21</f>
        <v>142342503.453331</v>
      </c>
      <c r="G37" s="65" t="n">
        <f aca="false">G21</f>
        <v>141672891.252106</v>
      </c>
      <c r="H37" s="65" t="n">
        <f aca="false">H21</f>
        <v>96822825.1213692</v>
      </c>
      <c r="I37" s="65" t="n">
        <f aca="false">I21</f>
        <v>88718324.2084719</v>
      </c>
      <c r="J37" s="65" t="n">
        <f aca="false">J21</f>
        <v>73936424.7980741</v>
      </c>
      <c r="K37" s="65" t="n">
        <f aca="false">K21</f>
        <v>62452705.8964955</v>
      </c>
      <c r="L37" s="65" t="n">
        <f aca="false">L21</f>
        <v>60910415.5074775</v>
      </c>
      <c r="M37" s="65" t="n">
        <f aca="false">M21</f>
        <v>61716348.082673</v>
      </c>
      <c r="N37" s="65" t="n">
        <f aca="false">N21</f>
        <v>62993297.9425629</v>
      </c>
      <c r="O37" s="65" t="n">
        <f aca="false">O21</f>
        <v>64212845.7353939</v>
      </c>
      <c r="P37" s="65" t="n">
        <f aca="false">P21</f>
        <v>65615934.8089092</v>
      </c>
      <c r="Q37" s="65" t="n">
        <f aca="false">Q21</f>
        <v>66029126.3046301</v>
      </c>
      <c r="R37" s="65" t="n">
        <f aca="false">R21</f>
        <v>56520648.8352226</v>
      </c>
      <c r="S37" s="65" t="n">
        <f aca="false">S21</f>
        <v>58872034.0217328</v>
      </c>
      <c r="T37" s="65" t="n">
        <f aca="false">T21</f>
        <v>61062547.6838384</v>
      </c>
      <c r="U37" s="65" t="n">
        <f aca="false">U21</f>
        <v>63811499.0958071</v>
      </c>
      <c r="V37" s="65" t="n">
        <f aca="false">V21</f>
        <v>66325890.3101349</v>
      </c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</row>
    <row r="38" customFormat="false" ht="13.5" hidden="false" customHeight="false" outlineLevel="0" collapsed="false">
      <c r="A38" s="2"/>
      <c r="B38" s="91" t="s">
        <v>48</v>
      </c>
      <c r="C38" s="92"/>
      <c r="D38" s="93" t="n">
        <f aca="false">SUM(D35:D37)</f>
        <v>863001628.458489</v>
      </c>
      <c r="E38" s="93" t="n">
        <f aca="false">SUM(E35:E37)</f>
        <v>815402613.264626</v>
      </c>
      <c r="F38" s="93" t="n">
        <f aca="false">SUM(F35:F37)</f>
        <v>772196968.798177</v>
      </c>
      <c r="G38" s="93" t="n">
        <f aca="false">SUM(G35:G37)</f>
        <v>735151310.336757</v>
      </c>
      <c r="H38" s="93" t="n">
        <f aca="false">SUM(H35:H37)</f>
        <v>729184578.939088</v>
      </c>
      <c r="I38" s="93" t="n">
        <f aca="false">SUM(I35:I37)</f>
        <v>775897612.586683</v>
      </c>
      <c r="J38" s="93" t="n">
        <f aca="false">SUM(J35:J37)</f>
        <v>852387548.416605</v>
      </c>
      <c r="K38" s="93" t="n">
        <f aca="false">SUM(K35:K37)</f>
        <v>898893541.390371</v>
      </c>
      <c r="L38" s="93" t="n">
        <f aca="false">SUM(L35:L37)</f>
        <v>914501768.786992</v>
      </c>
      <c r="M38" s="93" t="n">
        <f aca="false">SUM(M35:M37)</f>
        <v>910357622.582241</v>
      </c>
      <c r="N38" s="93" t="n">
        <f aca="false">SUM(N35:N37)</f>
        <v>915305070.353391</v>
      </c>
      <c r="O38" s="93" t="n">
        <f aca="false">SUM(O35:O37)</f>
        <v>921893799.355488</v>
      </c>
      <c r="P38" s="93" t="n">
        <f aca="false">SUM(P35:P37)</f>
        <v>926624790.234876</v>
      </c>
      <c r="Q38" s="93" t="n">
        <f aca="false">SUM(Q35:Q37)</f>
        <v>977848790.030625</v>
      </c>
      <c r="R38" s="93" t="n">
        <f aca="false">SUM(R35:R37)</f>
        <v>1063360987.97205</v>
      </c>
      <c r="S38" s="93" t="n">
        <f aca="false">SUM(S35:S37)</f>
        <v>1021487710.51626</v>
      </c>
      <c r="T38" s="93" t="n">
        <f aca="false">SUM(T35:T37)</f>
        <v>1038182779.97711</v>
      </c>
      <c r="U38" s="93" t="n">
        <f aca="false">SUM(U35:U37)</f>
        <v>1117892251.59696</v>
      </c>
      <c r="V38" s="93" t="n">
        <f aca="false">SUM(V35:V37)</f>
        <v>1170086811.01048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</row>
    <row r="39" customFormat="false" ht="13.5" hidden="false" customHeight="false" outlineLevel="0" collapsed="false">
      <c r="A39" s="87" t="s">
        <v>49</v>
      </c>
      <c r="B39" s="62" t="s">
        <v>50</v>
      </c>
      <c r="C39" s="64"/>
      <c r="D39" s="64" t="n">
        <f aca="false">+D99+D165+D231+D297+D363+D429+D495+D561+D627+D693+D759+D825+D891+D957+D1023+D1089+D1155+D1221+D1287+D1353+D1419+D1485+D1551+D1617+D1683+D1749+D1815+D1881+D1947+D2013+D2079+D2145+D2211</f>
        <v>-118773067.409</v>
      </c>
      <c r="E39" s="64" t="n">
        <f aca="false">+E99+E165+E231+E297+E363+E429+E495+E561+E627+E693+E759+E825+E891+E957+E1023+E1089+E1155+E1221+E1287+E1353+E1419+E1485+E1551+E1617+E1683+E1749+E1815+E1881+E1947+E2013+E2079+E2145+E2211</f>
        <v>-125212372.573</v>
      </c>
      <c r="F39" s="64" t="n">
        <f aca="false">+F99+F165+F231+F297+F363+F429+F495+F561+F627+F693+F759+F825+F891+F957+F1023+F1089+F1155+F1221+F1287+F1353+F1419+F1485+F1551+F1617+F1683+F1749+F1815+F1881+F1947+F2013+F2079+F2145+F2211</f>
        <v>-127040289.508</v>
      </c>
      <c r="G39" s="64" t="n">
        <f aca="false">+G99+G165+G231+G297+G363+G429+G495+G561+G627+G693+G759+G825+G891+G957+G1023+G1089+G1155+G1221+G1287+G1353+G1419+G1485+G1551+G1617+G1683+G1749+G1815+G1881+G1947+G2013+G2079+G2145+G2211</f>
        <v>-128111148.7725</v>
      </c>
      <c r="H39" s="64" t="n">
        <f aca="false">+H99+H165+H231+H297+H363+H429+H495+H561+H627+H693+H759+H825+H891+H957+H1023+H1089+H1155+H1221+H1287+H1353+H1419+H1485+H1551+H1617+H1683+H1749+H1815+H1881+H1947+H2013+H2079+H2145+H2211</f>
        <v>-128547431.2367</v>
      </c>
      <c r="I39" s="64" t="n">
        <f aca="false">+I99+I165+I231+I297+I363+I429+I495+I561+I627+I693+I759+I825+I891+I957+I1023+I1089+I1155+I1221+I1287+I1353+I1419+I1485+I1551+I1617+I1683+I1749+I1815+I1881+I1947+I2013+I2079+I2145+I2211</f>
        <v>-130891353.316026</v>
      </c>
      <c r="J39" s="64" t="n">
        <f aca="false">+J99+J165+J231+J297+J363+J429+J495+J561+J627+J693+J759+J825+J891+J957+J1023+J1089+J1155+J1221+J1287+J1353+J1419+J1485+J1551+J1617+J1683+J1749+J1815+J1881+J1947+J2013+J2079+J2145+J2211</f>
        <v>-127068886.257732</v>
      </c>
      <c r="K39" s="64" t="n">
        <f aca="false">+K99+K165+K231+K297+K363+K429+K495+K561+K627+K693+K759+K825+K891+K957+K1023+K1089+K1155+K1221+K1287+K1353+K1419+K1485+K1551+K1617+K1683+K1749+K1815+K1881+K1947+K2013+K2079+K2145+K2211</f>
        <v>-124320150.261689</v>
      </c>
      <c r="L39" s="64" t="n">
        <f aca="false">+L99+L165+L231+L297+L363+L429+L495+L561+L627+L693+L759+L825+L891+L957+L1023+L1089+L1155+L1221+L1287+L1353+L1419+L1485+L1551+L1617+L1683+L1749+L1815+L1881+L1947+L2013+L2079+L2145+L2211</f>
        <v>-126299175.343664</v>
      </c>
      <c r="M39" s="64" t="n">
        <f aca="false">+M99+M165+M231+M297+M363+M429+M495+M561+M627+M693+M759+M825+M891+M957+M1023+M1089+M1155+M1221+M1287+M1353+M1419+M1485+M1551+M1617+M1683+M1749+M1815+M1881+M1947+M2013+M2079+M2145+M2211</f>
        <v>-128733673.573899</v>
      </c>
      <c r="N39" s="64" t="n">
        <f aca="false">+N99+N165+N231+N297+N363+N429+N495+N561+N627+N693+N759+N825+N891+N957+N1023+N1089+N1155+N1221+N1287+N1353+N1419+N1485+N1551+N1617+N1683+N1749+N1815+N1881+N1947+N2013+N2079+N2145+N2211</f>
        <v>-130295422.972641</v>
      </c>
      <c r="O39" s="64" t="n">
        <f aca="false">+O99+O165+O231+O297+O363+O429+O495+O561+O627+O693+O759+O825+O891+O957+O1023+O1089+O1155+O1221+O1287+O1353+O1419+O1485+O1551+O1617+O1683+O1749+O1815+O1881+O1947+O2013+O2079+O2145+O2211</f>
        <v>-133094188.514345</v>
      </c>
      <c r="P39" s="64" t="n">
        <f aca="false">+P99+P165+P231+P297+P363+P429+P495+P561+P627+P693+P759+P825+P891+P957+P1023+P1089+P1155+P1221+P1287+P1353+P1419+P1485+P1551+P1617+P1683+P1749+P1815+P1881+P1947+P2013+P2079+P2145+P2211</f>
        <v>-134589708.132301</v>
      </c>
      <c r="Q39" s="64" t="n">
        <f aca="false">+Q99+Q165+Q231+Q297+Q363+Q429+Q495+Q561+Q627+Q693+Q759+Q825+Q891+Q957+Q1023+Q1089+Q1155+Q1221+Q1287+Q1353+Q1419+Q1485+Q1551+Q1617+Q1683+Q1749+Q1815+Q1881+Q1947+Q2013+Q2079+Q2145+Q2211</f>
        <v>-133681268.665495</v>
      </c>
      <c r="R39" s="64" t="n">
        <f aca="false">+R99+R165+R231+R297+R363+R429+R495+R561+R627+R693+R759+R825+R891+R957+R1023+R1089+R1155+R1221+R1287+R1353+R1419+R1485+R1551+R1617+R1683+R1749+R1815+R1881+R1947+R2013+R2079+R2145+R2211</f>
        <v>-121598581.139585</v>
      </c>
      <c r="S39" s="64" t="n">
        <f aca="false">+S99+S165+S231+S297+S363+S429+S495+S561+S627+S693+S759+S825+S891+S957+S1023+S1089+S1155+S1221+S1287+S1353+S1419+S1485+S1551+S1617+S1683+S1749+S1815+S1881+S1947+S2013+S2079+S2145+S2211</f>
        <v>-112273468.623897</v>
      </c>
      <c r="T39" s="64" t="n">
        <f aca="false">+T99+T165+T231+T297+T363+T429+T495+T561+T627+T693+T759+T825+T891+T957+T1023+T1089+T1155+T1221+T1287+T1353+T1419+T1485+T1551+T1617+T1683+T1749+T1815+T1881+T1947+T2013+T2079+T2145+T2211</f>
        <v>-109022871.326439</v>
      </c>
      <c r="U39" s="64" t="n">
        <f aca="false">+U99+U165+U231+U297+U363+U429+U495+U561+U627+U693+U759+U825+U891+U957+U1023+U1089+U1155+U1221+U1287+U1353+U1419+U1485+U1551+U1617+U1683+U1749+U1815+U1881+U1947+U2013+U2079+U2145+U2211</f>
        <v>-109113115.368957</v>
      </c>
      <c r="V39" s="64" t="n">
        <f aca="false">+V99+V165+V231+V297+V363+V429+V495+V561+V627+V693+V759+V825+V891+V957+V1023+V1089+V1155+V1221+V1287+V1353+V1419+V1485+V1551+V1617+V1683+V1749+V1815+V1881+V1947+V2013+V2079+V2145+V2211</f>
        <v>-112544681.164151</v>
      </c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</row>
    <row r="40" customFormat="false" ht="12.75" hidden="false" customHeight="false" outlineLevel="0" collapsed="false">
      <c r="A40" s="2"/>
      <c r="B40" s="62" t="s">
        <v>51</v>
      </c>
      <c r="C40" s="64"/>
      <c r="D40" s="65" t="n">
        <f aca="false">-D53</f>
        <v>-0</v>
      </c>
      <c r="E40" s="65" t="n">
        <f aca="false">-E53</f>
        <v>-0</v>
      </c>
      <c r="F40" s="65" t="n">
        <f aca="false">-F53</f>
        <v>-0</v>
      </c>
      <c r="G40" s="65" t="n">
        <f aca="false">-G53</f>
        <v>-0</v>
      </c>
      <c r="H40" s="65" t="n">
        <f aca="false">-H53</f>
        <v>-0</v>
      </c>
      <c r="I40" s="65" t="n">
        <f aca="false">-I53</f>
        <v>-0</v>
      </c>
      <c r="J40" s="65" t="n">
        <f aca="false">-J53</f>
        <v>-0</v>
      </c>
      <c r="K40" s="65" t="n">
        <f aca="false">-K53</f>
        <v>-0</v>
      </c>
      <c r="L40" s="65" t="n">
        <f aca="false">-L53</f>
        <v>-0</v>
      </c>
      <c r="M40" s="65" t="n">
        <f aca="false">-M53</f>
        <v>-0</v>
      </c>
      <c r="N40" s="65" t="n">
        <f aca="false">-N53</f>
        <v>-0</v>
      </c>
      <c r="O40" s="65" t="n">
        <f aca="false">-O53</f>
        <v>-0</v>
      </c>
      <c r="P40" s="65" t="n">
        <f aca="false">-P53</f>
        <v>-0</v>
      </c>
      <c r="Q40" s="65" t="n">
        <f aca="false">-Q53</f>
        <v>-0</v>
      </c>
      <c r="R40" s="65" t="n">
        <f aca="false">-R53</f>
        <v>-0</v>
      </c>
      <c r="S40" s="65" t="n">
        <f aca="false">-S53</f>
        <v>-0</v>
      </c>
      <c r="T40" s="65" t="n">
        <f aca="false">-T53</f>
        <v>-0</v>
      </c>
      <c r="U40" s="65" t="n">
        <f aca="false">-U53</f>
        <v>-0</v>
      </c>
      <c r="V40" s="65" t="n">
        <f aca="false">-V53</f>
        <v>-0</v>
      </c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</row>
    <row r="41" customFormat="false" ht="12.75" hidden="false" customHeight="false" outlineLevel="0" collapsed="false">
      <c r="A41" s="2"/>
      <c r="B41" s="69" t="s">
        <v>52</v>
      </c>
      <c r="C41" s="73"/>
      <c r="D41" s="88" t="n">
        <f aca="false">SUM(D38:D40)</f>
        <v>744228561.049489</v>
      </c>
      <c r="E41" s="88" t="n">
        <f aca="false">SUM(E38:E40)</f>
        <v>690190240.691626</v>
      </c>
      <c r="F41" s="88" t="n">
        <f aca="false">SUM(F38:F40)</f>
        <v>645156679.290177</v>
      </c>
      <c r="G41" s="88" t="n">
        <f aca="false">SUM(G38:G40)</f>
        <v>607040161.564257</v>
      </c>
      <c r="H41" s="88" t="n">
        <f aca="false">SUM(H38:H40)</f>
        <v>600637147.702388</v>
      </c>
      <c r="I41" s="88" t="n">
        <f aca="false">SUM(I38:I40)</f>
        <v>645006259.270657</v>
      </c>
      <c r="J41" s="88" t="n">
        <f aca="false">SUM(J38:J40)</f>
        <v>725318662.158873</v>
      </c>
      <c r="K41" s="88" t="n">
        <f aca="false">SUM(K38:K40)</f>
        <v>774573391.128683</v>
      </c>
      <c r="L41" s="88" t="n">
        <f aca="false">SUM(L38:L40)</f>
        <v>788202593.443327</v>
      </c>
      <c r="M41" s="88" t="n">
        <f aca="false">SUM(M38:M40)</f>
        <v>781623949.008342</v>
      </c>
      <c r="N41" s="88" t="n">
        <f aca="false">SUM(N38:N40)</f>
        <v>785009647.38075</v>
      </c>
      <c r="O41" s="88" t="n">
        <f aca="false">SUM(O38:O40)</f>
        <v>788799610.841142</v>
      </c>
      <c r="P41" s="88" t="n">
        <f aca="false">SUM(P38:P40)</f>
        <v>792035082.102575</v>
      </c>
      <c r="Q41" s="88" t="n">
        <f aca="false">SUM(Q38:Q40)</f>
        <v>844167521.36513</v>
      </c>
      <c r="R41" s="88" t="n">
        <f aca="false">SUM(R38:R40)</f>
        <v>941762406.832461</v>
      </c>
      <c r="S41" s="88" t="n">
        <f aca="false">SUM(S38:S40)</f>
        <v>909214241.892362</v>
      </c>
      <c r="T41" s="88" t="n">
        <f aca="false">SUM(T38:T40)</f>
        <v>929159908.650675</v>
      </c>
      <c r="U41" s="88" t="n">
        <f aca="false">SUM(U38:U40)</f>
        <v>1008779136.22801</v>
      </c>
      <c r="V41" s="88" t="n">
        <f aca="false">SUM(V38:V40)</f>
        <v>1057542129.84633</v>
      </c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</row>
    <row r="42" customFormat="false" ht="13.5" hidden="false" customHeight="false" outlineLevel="0" collapsed="false">
      <c r="A42" s="2"/>
      <c r="B42" s="94" t="s">
        <v>53</v>
      </c>
      <c r="C42" s="95"/>
      <c r="D42" s="96" t="n">
        <f aca="false">-D41*Assumptions!$L$15</f>
        <v>-297691424.419796</v>
      </c>
      <c r="E42" s="96" t="n">
        <f aca="false">-E41*Assumptions!$L$15</f>
        <v>-276076096.27665</v>
      </c>
      <c r="F42" s="96" t="n">
        <f aca="false">-F41*Assumptions!$L$15</f>
        <v>-258062671.716071</v>
      </c>
      <c r="G42" s="96" t="n">
        <f aca="false">-G41*Assumptions!$L$15</f>
        <v>-242816064.625703</v>
      </c>
      <c r="H42" s="96" t="n">
        <f aca="false">-H41*Assumptions!$L$15</f>
        <v>-240254859.080955</v>
      </c>
      <c r="I42" s="96" t="n">
        <f aca="false">-I41*Assumptions!$L$15</f>
        <v>-258002503.708263</v>
      </c>
      <c r="J42" s="96" t="n">
        <f aca="false">-J41*Assumptions!$L$15</f>
        <v>-290127464.863549</v>
      </c>
      <c r="K42" s="96" t="n">
        <f aca="false">-K41*Assumptions!$L$15</f>
        <v>-309829356.451473</v>
      </c>
      <c r="L42" s="96" t="n">
        <f aca="false">-L41*Assumptions!$L$15</f>
        <v>-315281037.377331</v>
      </c>
      <c r="M42" s="96" t="n">
        <f aca="false">-M41*Assumptions!$L$15</f>
        <v>-312649579.603337</v>
      </c>
      <c r="N42" s="96" t="n">
        <f aca="false">-N41*Assumptions!$L$15</f>
        <v>-314003858.9523</v>
      </c>
      <c r="O42" s="96" t="n">
        <f aca="false">-O41*Assumptions!$L$15</f>
        <v>-315519844.336457</v>
      </c>
      <c r="P42" s="96" t="n">
        <f aca="false">-P41*Assumptions!$L$15</f>
        <v>-316814032.84103</v>
      </c>
      <c r="Q42" s="96" t="n">
        <f aca="false">-Q41*Assumptions!$L$15</f>
        <v>-337667008.546052</v>
      </c>
      <c r="R42" s="96" t="n">
        <f aca="false">-R41*Assumptions!$L$15</f>
        <v>-376704962.732984</v>
      </c>
      <c r="S42" s="96" t="n">
        <f aca="false">-S41*Assumptions!$L$15</f>
        <v>-363685696.756945</v>
      </c>
      <c r="T42" s="96" t="n">
        <f aca="false">-T41*Assumptions!$L$15</f>
        <v>-371663963.46027</v>
      </c>
      <c r="U42" s="96" t="n">
        <f aca="false">-U41*Assumptions!$L$15</f>
        <v>-403511654.491202</v>
      </c>
      <c r="V42" s="96" t="n">
        <f aca="false">-V41*Assumptions!$L$15</f>
        <v>-423016851.938533</v>
      </c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</row>
    <row r="43" customFormat="false" ht="13.5" hidden="false" customHeight="false" outlineLevel="0" collapsed="false">
      <c r="A43" s="2"/>
      <c r="B43" s="69" t="s">
        <v>54</v>
      </c>
      <c r="C43" s="73"/>
      <c r="D43" s="88" t="n">
        <f aca="false">SUM(D41:D42)</f>
        <v>446537136.629694</v>
      </c>
      <c r="E43" s="88" t="n">
        <f aca="false">SUM(E41:E42)</f>
        <v>414114144.414976</v>
      </c>
      <c r="F43" s="88" t="n">
        <f aca="false">SUM(F41:F42)</f>
        <v>387094007.574106</v>
      </c>
      <c r="G43" s="88" t="n">
        <f aca="false">SUM(G41:G42)</f>
        <v>364224096.938554</v>
      </c>
      <c r="H43" s="88" t="n">
        <f aca="false">SUM(H41:H42)</f>
        <v>360382288.621433</v>
      </c>
      <c r="I43" s="88" t="n">
        <f aca="false">SUM(I41:I42)</f>
        <v>387003755.562394</v>
      </c>
      <c r="J43" s="88" t="n">
        <f aca="false">SUM(J41:J42)</f>
        <v>435191197.295324</v>
      </c>
      <c r="K43" s="88" t="n">
        <f aca="false">SUM(K41:K42)</f>
        <v>464744034.67721</v>
      </c>
      <c r="L43" s="88" t="n">
        <f aca="false">SUM(L41:L42)</f>
        <v>472921556.065996</v>
      </c>
      <c r="M43" s="88" t="n">
        <f aca="false">SUM(M41:M42)</f>
        <v>468974369.405005</v>
      </c>
      <c r="N43" s="88" t="n">
        <f aca="false">SUM(N41:N42)</f>
        <v>471005788.42845</v>
      </c>
      <c r="O43" s="88" t="n">
        <f aca="false">SUM(O41:O42)</f>
        <v>473279766.504685</v>
      </c>
      <c r="P43" s="88" t="n">
        <f aca="false">SUM(P41:P42)</f>
        <v>475221049.261545</v>
      </c>
      <c r="Q43" s="88" t="n">
        <f aca="false">SUM(Q41:Q42)</f>
        <v>506500512.819078</v>
      </c>
      <c r="R43" s="88" t="n">
        <f aca="false">SUM(R41:R42)</f>
        <v>565057444.099477</v>
      </c>
      <c r="S43" s="88" t="n">
        <f aca="false">SUM(S41:S42)</f>
        <v>545528545.135418</v>
      </c>
      <c r="T43" s="88" t="n">
        <f aca="false">SUM(T41:T42)</f>
        <v>557495945.190405</v>
      </c>
      <c r="U43" s="88" t="n">
        <f aca="false">SUM(U41:U42)</f>
        <v>605267481.736803</v>
      </c>
      <c r="V43" s="88" t="n">
        <f aca="false">SUM(V41:V42)</f>
        <v>634525277.9078</v>
      </c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</row>
    <row r="44" customFormat="false" ht="12.75" hidden="false" customHeight="false" outlineLevel="0" collapsed="false">
      <c r="A44" s="2"/>
      <c r="B44" s="65"/>
      <c r="C44" s="64"/>
      <c r="D44" s="65"/>
      <c r="E44" s="80"/>
      <c r="F44" s="78"/>
      <c r="G44" s="86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</row>
    <row r="45" customFormat="false" ht="15.75" hidden="false" customHeight="false" outlineLevel="0" collapsed="false">
      <c r="A45" s="97" t="s">
        <v>55</v>
      </c>
      <c r="B45" s="98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  <c r="IS45" s="65"/>
      <c r="IT45" s="65"/>
      <c r="IU45" s="65"/>
      <c r="IV45" s="65"/>
      <c r="IW45" s="65"/>
    </row>
    <row r="46" customFormat="false" ht="12.75" hidden="false" customHeight="false" outlineLevel="0" collapsed="false">
      <c r="A46" s="99" t="s">
        <v>56</v>
      </c>
      <c r="B46" s="100"/>
      <c r="C46" s="101" t="n">
        <f aca="false">Assumptions!$L$17</f>
        <v>0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</row>
    <row r="47" customFormat="false" ht="12.75" hidden="false" customHeight="false" outlineLevel="0" collapsed="false">
      <c r="A47" s="99" t="s">
        <v>57</v>
      </c>
      <c r="B47" s="100"/>
      <c r="C47" s="103" t="n">
        <f aca="false">+C30*C46</f>
        <v>0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</row>
    <row r="48" customFormat="false" ht="12.75" hidden="false" customHeight="false" outlineLevel="0" collapsed="false">
      <c r="A48" s="99" t="s">
        <v>58</v>
      </c>
      <c r="B48" s="100"/>
      <c r="C48" s="71" t="n">
        <f aca="false">Assumptions!$L$18</f>
        <v>15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</row>
    <row r="49" customFormat="false" ht="12.75" hidden="false" customHeight="false" outlineLevel="0" collapsed="false">
      <c r="A49" s="99" t="s">
        <v>59</v>
      </c>
      <c r="B49" s="100"/>
      <c r="C49" s="103" t="n">
        <f aca="false">C47/C48</f>
        <v>0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</row>
    <row r="50" customFormat="false" ht="12.75" hidden="false" customHeight="false" outlineLevel="0" collapsed="false">
      <c r="A50" s="99" t="s">
        <v>60</v>
      </c>
      <c r="B50" s="100"/>
      <c r="C50" s="101" t="n">
        <f aca="false">Assumptions!L19</f>
        <v>0.0875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</row>
    <row r="51" customFormat="false" ht="12.75" hidden="false" customHeight="false" outlineLevel="0" collapsed="false">
      <c r="A51" s="99"/>
      <c r="B51" s="100"/>
      <c r="C51" s="102"/>
      <c r="D51" s="104" t="n">
        <f aca="false">D6</f>
        <v>2001</v>
      </c>
      <c r="E51" s="104" t="n">
        <f aca="false">E6</f>
        <v>2002</v>
      </c>
      <c r="F51" s="104" t="n">
        <f aca="false">F6</f>
        <v>2003</v>
      </c>
      <c r="G51" s="104" t="n">
        <f aca="false">G6</f>
        <v>2004</v>
      </c>
      <c r="H51" s="104" t="n">
        <f aca="false">H6</f>
        <v>2005</v>
      </c>
      <c r="I51" s="104" t="n">
        <f aca="false">I6</f>
        <v>2006</v>
      </c>
      <c r="J51" s="104" t="n">
        <f aca="false">J6</f>
        <v>2007</v>
      </c>
      <c r="K51" s="104" t="n">
        <f aca="false">K6</f>
        <v>2008</v>
      </c>
      <c r="L51" s="104" t="n">
        <f aca="false">L6</f>
        <v>2009</v>
      </c>
      <c r="M51" s="104" t="n">
        <f aca="false">M6</f>
        <v>2010</v>
      </c>
      <c r="N51" s="104" t="n">
        <f aca="false">N6</f>
        <v>2011</v>
      </c>
      <c r="O51" s="104" t="n">
        <f aca="false">O6</f>
        <v>2012</v>
      </c>
      <c r="P51" s="104" t="n">
        <f aca="false">P6</f>
        <v>2013</v>
      </c>
      <c r="Q51" s="104" t="n">
        <f aca="false">Q6</f>
        <v>2014</v>
      </c>
      <c r="R51" s="104" t="n">
        <f aca="false">R6</f>
        <v>2015</v>
      </c>
      <c r="S51" s="104" t="n">
        <f aca="false">S6</f>
        <v>2016</v>
      </c>
      <c r="T51" s="104" t="n">
        <f aca="false">T6</f>
        <v>2017</v>
      </c>
      <c r="U51" s="104" t="n">
        <f aca="false">U6</f>
        <v>2018</v>
      </c>
      <c r="V51" s="104" t="n">
        <f aca="false">V6</f>
        <v>2019</v>
      </c>
      <c r="W51" s="104" t="str">
        <f aca="false">W6</f>
        <v>TV</v>
      </c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</row>
    <row r="52" customFormat="false" ht="12.75" hidden="false" customHeight="false" outlineLevel="0" collapsed="false">
      <c r="A52" s="99" t="s">
        <v>61</v>
      </c>
      <c r="B52" s="100"/>
      <c r="C52" s="102"/>
      <c r="D52" s="102" t="n">
        <f aca="false">+C47</f>
        <v>0</v>
      </c>
      <c r="E52" s="102" t="n">
        <f aca="false">+D56</f>
        <v>0</v>
      </c>
      <c r="F52" s="102" t="n">
        <f aca="false">+E56</f>
        <v>0</v>
      </c>
      <c r="G52" s="102" t="n">
        <f aca="false">+F56</f>
        <v>0</v>
      </c>
      <c r="H52" s="102" t="n">
        <f aca="false">+G56</f>
        <v>0</v>
      </c>
      <c r="I52" s="102" t="n">
        <f aca="false">+H56</f>
        <v>0</v>
      </c>
      <c r="J52" s="102" t="n">
        <f aca="false">+I56</f>
        <v>0</v>
      </c>
      <c r="K52" s="102" t="n">
        <f aca="false">+J56</f>
        <v>0</v>
      </c>
      <c r="L52" s="102" t="n">
        <f aca="false">+K56</f>
        <v>0</v>
      </c>
      <c r="M52" s="102" t="n">
        <f aca="false">+L56</f>
        <v>0</v>
      </c>
      <c r="N52" s="102" t="n">
        <f aca="false">+M56</f>
        <v>0</v>
      </c>
      <c r="O52" s="102" t="n">
        <f aca="false">+N56</f>
        <v>0</v>
      </c>
      <c r="P52" s="102" t="n">
        <f aca="false">+O56</f>
        <v>0</v>
      </c>
      <c r="Q52" s="102" t="n">
        <f aca="false">+P56</f>
        <v>0</v>
      </c>
      <c r="R52" s="102" t="n">
        <f aca="false">+Q56</f>
        <v>0</v>
      </c>
      <c r="S52" s="102" t="n">
        <f aca="false">+R56</f>
        <v>0</v>
      </c>
      <c r="T52" s="102" t="n">
        <f aca="false">+S56</f>
        <v>0</v>
      </c>
      <c r="U52" s="102" t="n">
        <f aca="false">+T56</f>
        <v>0</v>
      </c>
      <c r="V52" s="102" t="n">
        <f aca="false">+U56</f>
        <v>0</v>
      </c>
      <c r="W52" s="102" t="n">
        <f aca="false">+V56</f>
        <v>0</v>
      </c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</row>
    <row r="53" customFormat="false" ht="12.75" hidden="false" customHeight="false" outlineLevel="0" collapsed="false">
      <c r="A53" s="99" t="s">
        <v>62</v>
      </c>
      <c r="B53" s="100"/>
      <c r="C53" s="102"/>
      <c r="D53" s="102" t="n">
        <f aca="false">+D52*$C$50</f>
        <v>0</v>
      </c>
      <c r="E53" s="102" t="n">
        <f aca="false">+E52*$C$50</f>
        <v>0</v>
      </c>
      <c r="F53" s="102" t="n">
        <f aca="false">+F52*$C$50</f>
        <v>0</v>
      </c>
      <c r="G53" s="102" t="n">
        <f aca="false">+G52*$C$50</f>
        <v>0</v>
      </c>
      <c r="H53" s="102" t="n">
        <f aca="false">+H52*$C$50</f>
        <v>0</v>
      </c>
      <c r="I53" s="102" t="n">
        <f aca="false">+I52*$C$50</f>
        <v>0</v>
      </c>
      <c r="J53" s="102" t="n">
        <f aca="false">+J52*$C$50</f>
        <v>0</v>
      </c>
      <c r="K53" s="102" t="n">
        <f aca="false">+K52*$C$50</f>
        <v>0</v>
      </c>
      <c r="L53" s="102" t="n">
        <f aca="false">+L52*$C$50</f>
        <v>0</v>
      </c>
      <c r="M53" s="102" t="n">
        <f aca="false">+M52*$C$50</f>
        <v>0</v>
      </c>
      <c r="N53" s="102" t="n">
        <f aca="false">+N52*$C$50</f>
        <v>0</v>
      </c>
      <c r="O53" s="102" t="n">
        <f aca="false">+O52*$C$50</f>
        <v>0</v>
      </c>
      <c r="P53" s="102" t="n">
        <f aca="false">+P52*$C$50</f>
        <v>0</v>
      </c>
      <c r="Q53" s="102" t="n">
        <f aca="false">+Q52*$C$50</f>
        <v>0</v>
      </c>
      <c r="R53" s="102" t="n">
        <f aca="false">+R52*$C$50</f>
        <v>0</v>
      </c>
      <c r="S53" s="102" t="n">
        <f aca="false">+S52*$C$50</f>
        <v>0</v>
      </c>
      <c r="T53" s="102" t="n">
        <f aca="false">+T52*$C$50</f>
        <v>0</v>
      </c>
      <c r="U53" s="102" t="n">
        <f aca="false">+U52*$C$50</f>
        <v>0</v>
      </c>
      <c r="V53" s="102" t="n">
        <f aca="false">+V52*$C$50</f>
        <v>0</v>
      </c>
      <c r="W53" s="102" t="n">
        <f aca="false">+W52*$C$50</f>
        <v>0</v>
      </c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</row>
    <row r="54" customFormat="false" ht="12.75" hidden="false" customHeight="false" outlineLevel="0" collapsed="false">
      <c r="A54" s="99" t="s">
        <v>63</v>
      </c>
      <c r="B54" s="100"/>
      <c r="C54" s="102"/>
      <c r="D54" s="102" t="n">
        <f aca="false">IF((D51-$D$51)&gt;=$C$48,0,$C$49)</f>
        <v>0</v>
      </c>
      <c r="E54" s="102" t="n">
        <f aca="false">IF((E51-$D$51)&gt;=$C$48,0,$C$49)</f>
        <v>0</v>
      </c>
      <c r="F54" s="102" t="n">
        <f aca="false">IF((F51-$D$51)&gt;=$C$48,0,$C$49)</f>
        <v>0</v>
      </c>
      <c r="G54" s="102" t="n">
        <f aca="false">IF((G51-$D$51)&gt;=$C$48,0,$C$49)</f>
        <v>0</v>
      </c>
      <c r="H54" s="102" t="n">
        <f aca="false">IF((H51-$D$51)&gt;=$C$48,0,$C$49)</f>
        <v>0</v>
      </c>
      <c r="I54" s="102" t="n">
        <f aca="false">IF((I51-$D$51)&gt;=$C$48,0,$C$49)</f>
        <v>0</v>
      </c>
      <c r="J54" s="102" t="n">
        <f aca="false">IF((J51-$D$51)&gt;=$C$48,0,$C$49)</f>
        <v>0</v>
      </c>
      <c r="K54" s="102" t="n">
        <f aca="false">IF((K51-$D$51)&gt;=$C$48,0,$C$49)</f>
        <v>0</v>
      </c>
      <c r="L54" s="102" t="n">
        <f aca="false">IF((L51-$D$51)&gt;=$C$48,0,$C$49)</f>
        <v>0</v>
      </c>
      <c r="M54" s="102" t="n">
        <f aca="false">IF((M51-$D$51)&gt;=$C$48,0,$C$49)</f>
        <v>0</v>
      </c>
      <c r="N54" s="102" t="n">
        <f aca="false">IF((N51-$D$51)&gt;=$C$48,0,$C$49)</f>
        <v>0</v>
      </c>
      <c r="O54" s="102" t="n">
        <f aca="false">IF((O51-$D$51)&gt;=$C$48,0,$C$49)</f>
        <v>0</v>
      </c>
      <c r="P54" s="102" t="n">
        <f aca="false">IF((P51-$D$51)&gt;=$C$48,0,$C$49)</f>
        <v>0</v>
      </c>
      <c r="Q54" s="102" t="n">
        <f aca="false">IF((Q51-$D$51)&gt;=$C$48,0,$C$49)</f>
        <v>0</v>
      </c>
      <c r="R54" s="102" t="n">
        <f aca="false">IF((R51-$D$51)&gt;=$C$48,0,$C$49)</f>
        <v>0</v>
      </c>
      <c r="S54" s="102" t="n">
        <f aca="false">IF((S51-$D$51)&gt;=$C$48,0,$C$49)</f>
        <v>0</v>
      </c>
      <c r="T54" s="102" t="n">
        <f aca="false">IF((T51-$D$51)&gt;=$C$48,0,$C$49)</f>
        <v>0</v>
      </c>
      <c r="U54" s="102" t="n">
        <f aca="false">IF((U51-$D$51)&gt;=$C$48,0,$C$49)</f>
        <v>0</v>
      </c>
      <c r="V54" s="102" t="n">
        <f aca="false">IF((V51-$D$51)&gt;=$C$48,0,$C$49)</f>
        <v>0</v>
      </c>
      <c r="W54" s="102" t="n">
        <f aca="false">V54</f>
        <v>0</v>
      </c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</row>
    <row r="55" customFormat="false" ht="12.75" hidden="false" customHeight="false" outlineLevel="0" collapsed="false">
      <c r="A55" s="99" t="s">
        <v>64</v>
      </c>
      <c r="B55" s="100"/>
      <c r="C55" s="102"/>
      <c r="D55" s="105" t="n">
        <f aca="false">SUM(D53:D54)</f>
        <v>0</v>
      </c>
      <c r="E55" s="105" t="n">
        <f aca="false">SUM(E53:E54)</f>
        <v>0</v>
      </c>
      <c r="F55" s="105" t="n">
        <f aca="false">SUM(F53:F54)</f>
        <v>0</v>
      </c>
      <c r="G55" s="105" t="n">
        <f aca="false">SUM(G53:G54)</f>
        <v>0</v>
      </c>
      <c r="H55" s="105" t="n">
        <f aca="false">SUM(H53:H54)</f>
        <v>0</v>
      </c>
      <c r="I55" s="105" t="n">
        <f aca="false">SUM(I53:I54)</f>
        <v>0</v>
      </c>
      <c r="J55" s="105" t="n">
        <f aca="false">SUM(J53:J54)</f>
        <v>0</v>
      </c>
      <c r="K55" s="105" t="n">
        <f aca="false">SUM(K53:K54)</f>
        <v>0</v>
      </c>
      <c r="L55" s="105" t="n">
        <f aca="false">SUM(L53:L54)</f>
        <v>0</v>
      </c>
      <c r="M55" s="105" t="n">
        <f aca="false">SUM(M53:M54)</f>
        <v>0</v>
      </c>
      <c r="N55" s="105" t="n">
        <f aca="false">SUM(N53:N54)</f>
        <v>0</v>
      </c>
      <c r="O55" s="105" t="n">
        <f aca="false">SUM(O53:O54)</f>
        <v>0</v>
      </c>
      <c r="P55" s="105" t="n">
        <f aca="false">SUM(P53:P54)</f>
        <v>0</v>
      </c>
      <c r="Q55" s="105" t="n">
        <f aca="false">SUM(Q53:Q54)</f>
        <v>0</v>
      </c>
      <c r="R55" s="105" t="n">
        <f aca="false">SUM(R53:R54)</f>
        <v>0</v>
      </c>
      <c r="S55" s="105" t="n">
        <f aca="false">SUM(S53:S54)</f>
        <v>0</v>
      </c>
      <c r="T55" s="105" t="n">
        <f aca="false">SUM(T53:T54)</f>
        <v>0</v>
      </c>
      <c r="U55" s="105" t="n">
        <f aca="false">SUM(U53:U54)</f>
        <v>0</v>
      </c>
      <c r="V55" s="105" t="n">
        <f aca="false">SUM(V53:V54)</f>
        <v>0</v>
      </c>
      <c r="W55" s="105" t="n">
        <f aca="false">SUM(W53:W54)</f>
        <v>0</v>
      </c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</row>
    <row r="56" customFormat="false" ht="13.5" hidden="false" customHeight="false" outlineLevel="0" collapsed="false">
      <c r="A56" s="99" t="s">
        <v>65</v>
      </c>
      <c r="B56" s="100"/>
      <c r="C56" s="102"/>
      <c r="D56" s="106" t="n">
        <f aca="false">+D52-D54</f>
        <v>0</v>
      </c>
      <c r="E56" s="106" t="n">
        <f aca="false">+E52-E54</f>
        <v>0</v>
      </c>
      <c r="F56" s="106" t="n">
        <f aca="false">+F52-F54</f>
        <v>0</v>
      </c>
      <c r="G56" s="106" t="n">
        <f aca="false">+G52-G54</f>
        <v>0</v>
      </c>
      <c r="H56" s="106" t="n">
        <f aca="false">+H52-H54</f>
        <v>0</v>
      </c>
      <c r="I56" s="106" t="n">
        <f aca="false">+I52-I54</f>
        <v>0</v>
      </c>
      <c r="J56" s="106" t="n">
        <f aca="false">+J52-J54</f>
        <v>0</v>
      </c>
      <c r="K56" s="106" t="n">
        <f aca="false">+K52-K54</f>
        <v>0</v>
      </c>
      <c r="L56" s="106" t="n">
        <f aca="false">+L52-L54</f>
        <v>0</v>
      </c>
      <c r="M56" s="106" t="n">
        <f aca="false">+M52-M54</f>
        <v>0</v>
      </c>
      <c r="N56" s="106" t="n">
        <f aca="false">+N52-N54</f>
        <v>0</v>
      </c>
      <c r="O56" s="106" t="n">
        <f aca="false">+O52-O54</f>
        <v>0</v>
      </c>
      <c r="P56" s="106" t="n">
        <f aca="false">+P52-P54</f>
        <v>0</v>
      </c>
      <c r="Q56" s="106" t="n">
        <f aca="false">+Q52-Q54</f>
        <v>0</v>
      </c>
      <c r="R56" s="106" t="n">
        <f aca="false">+R52-R54</f>
        <v>0</v>
      </c>
      <c r="S56" s="106" t="n">
        <f aca="false">+S52-S54</f>
        <v>0</v>
      </c>
      <c r="T56" s="106" t="n">
        <f aca="false">+T52-T54</f>
        <v>0</v>
      </c>
      <c r="U56" s="106" t="n">
        <f aca="false">+U52-U54</f>
        <v>0</v>
      </c>
      <c r="V56" s="106" t="n">
        <f aca="false">+V52-V54</f>
        <v>0</v>
      </c>
      <c r="W56" s="106" t="n">
        <f aca="false">+W52-W54</f>
        <v>0</v>
      </c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</row>
    <row r="57" customFormat="false" ht="13.5" hidden="false" customHeight="false" outlineLevel="0" collapsed="false">
      <c r="A57" s="99"/>
      <c r="B57" s="100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</row>
    <row r="58" customFormat="false" ht="12.75" hidden="false" customHeight="false" outlineLevel="0" collapsed="false">
      <c r="A58" s="99" t="s">
        <v>66</v>
      </c>
      <c r="B58" s="100"/>
      <c r="C58" s="102"/>
      <c r="D58" s="102" t="n">
        <f aca="false">+D53*0.4</f>
        <v>0</v>
      </c>
      <c r="E58" s="102" t="n">
        <f aca="false">+E53*0.4</f>
        <v>0</v>
      </c>
      <c r="F58" s="102" t="n">
        <f aca="false">+F53*0.4</f>
        <v>0</v>
      </c>
      <c r="G58" s="102" t="n">
        <f aca="false">+G53*0.4</f>
        <v>0</v>
      </c>
      <c r="H58" s="102" t="n">
        <f aca="false">+H53*0.4</f>
        <v>0</v>
      </c>
      <c r="I58" s="102" t="n">
        <f aca="false">+I53*0.4</f>
        <v>0</v>
      </c>
      <c r="J58" s="102" t="n">
        <f aca="false">+J53*0.4</f>
        <v>0</v>
      </c>
      <c r="K58" s="102" t="n">
        <f aca="false">+K53*0.4</f>
        <v>0</v>
      </c>
      <c r="L58" s="102" t="n">
        <f aca="false">+L53*0.4</f>
        <v>0</v>
      </c>
      <c r="M58" s="102" t="n">
        <f aca="false">+M53*0.4</f>
        <v>0</v>
      </c>
      <c r="N58" s="102" t="n">
        <f aca="false">+N53*0.4</f>
        <v>0</v>
      </c>
      <c r="O58" s="102" t="n">
        <f aca="false">+O53*0.4</f>
        <v>0</v>
      </c>
      <c r="P58" s="102" t="n">
        <f aca="false">+P53*0.4</f>
        <v>0</v>
      </c>
      <c r="Q58" s="102" t="n">
        <f aca="false">+Q53*0.4</f>
        <v>0</v>
      </c>
      <c r="R58" s="102" t="n">
        <f aca="false">+R53*0.4</f>
        <v>0</v>
      </c>
      <c r="S58" s="102" t="n">
        <f aca="false">+S53*0.4</f>
        <v>0</v>
      </c>
      <c r="T58" s="102" t="n">
        <f aca="false">+T53*0.4</f>
        <v>0</v>
      </c>
      <c r="U58" s="102" t="n">
        <f aca="false">+U53*0.4</f>
        <v>0</v>
      </c>
      <c r="V58" s="102" t="n">
        <f aca="false">+V53*0.4</f>
        <v>0</v>
      </c>
      <c r="W58" s="102" t="n">
        <f aca="false">+W53*0.4</f>
        <v>0</v>
      </c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</row>
    <row r="59" customFormat="false" ht="12.75" hidden="false" customHeight="false" outlineLevel="0" collapsed="false">
      <c r="A59" s="99"/>
      <c r="B59" s="100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</row>
    <row r="60" customFormat="false" ht="12.75" hidden="false" customHeight="false" outlineLevel="0" collapsed="false">
      <c r="A60" s="99" t="s">
        <v>67</v>
      </c>
      <c r="B60" s="100"/>
      <c r="C60" s="102"/>
      <c r="D60" s="102" t="n">
        <f aca="false">+D55-D58</f>
        <v>0</v>
      </c>
      <c r="E60" s="102" t="n">
        <f aca="false">+E55-E58</f>
        <v>0</v>
      </c>
      <c r="F60" s="102" t="n">
        <f aca="false">+F55-F58</f>
        <v>0</v>
      </c>
      <c r="G60" s="102" t="n">
        <f aca="false">+G55-G58</f>
        <v>0</v>
      </c>
      <c r="H60" s="102" t="n">
        <f aca="false">+H55-H58</f>
        <v>0</v>
      </c>
      <c r="I60" s="102" t="n">
        <f aca="false">+I55-I58</f>
        <v>0</v>
      </c>
      <c r="J60" s="102" t="n">
        <f aca="false">+J55-J58</f>
        <v>0</v>
      </c>
      <c r="K60" s="102" t="n">
        <f aca="false">+K55-K58</f>
        <v>0</v>
      </c>
      <c r="L60" s="102" t="n">
        <f aca="false">+L55-L58</f>
        <v>0</v>
      </c>
      <c r="M60" s="102" t="n">
        <f aca="false">+M55-M58</f>
        <v>0</v>
      </c>
      <c r="N60" s="102" t="n">
        <f aca="false">+N55-N58</f>
        <v>0</v>
      </c>
      <c r="O60" s="102" t="n">
        <f aca="false">+O55-O58</f>
        <v>0</v>
      </c>
      <c r="P60" s="102" t="n">
        <f aca="false">+P55-P58</f>
        <v>0</v>
      </c>
      <c r="Q60" s="102" t="n">
        <f aca="false">+Q55-Q58</f>
        <v>0</v>
      </c>
      <c r="R60" s="102" t="n">
        <f aca="false">+R55-R58</f>
        <v>0</v>
      </c>
      <c r="S60" s="102" t="n">
        <f aca="false">+S55-S58</f>
        <v>0</v>
      </c>
      <c r="T60" s="102" t="n">
        <f aca="false">+T55-T58</f>
        <v>0</v>
      </c>
      <c r="U60" s="102" t="n">
        <f aca="false">+U55-U58</f>
        <v>0</v>
      </c>
      <c r="V60" s="102" t="n">
        <f aca="false">+V55-V58</f>
        <v>0</v>
      </c>
      <c r="W60" s="102" t="n">
        <f aca="false">+W55-W58</f>
        <v>0</v>
      </c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</row>
    <row r="61" customFormat="false" ht="12.75" hidden="false" customHeight="false" outlineLevel="0" collapsed="false">
      <c r="A61" s="107"/>
      <c r="B61" s="100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</row>
    <row r="62" customFormat="false" ht="12.75" hidden="false" customHeight="false" outlineLevel="0" collapsed="false">
      <c r="A62" s="107"/>
      <c r="B62" s="100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</row>
    <row r="63" customFormat="false" ht="12.75" hidden="false" customHeight="false" outlineLevel="0" collapsed="false">
      <c r="A63" s="99" t="s">
        <v>68</v>
      </c>
      <c r="B63" s="108"/>
      <c r="C63" s="109"/>
      <c r="D63" s="79" t="n">
        <f aca="false">+D25-D60</f>
        <v>412400649.673045</v>
      </c>
      <c r="E63" s="79" t="n">
        <f aca="false">+E25-E60</f>
        <v>414318608.425185</v>
      </c>
      <c r="F63" s="79" t="n">
        <f aca="false">+F25-F60</f>
        <v>462418078.290239</v>
      </c>
      <c r="G63" s="79" t="n">
        <f aca="false">+G25-G60</f>
        <v>468389307.012896</v>
      </c>
      <c r="H63" s="79" t="n">
        <f aca="false">+H25-H60</f>
        <v>430726827.328</v>
      </c>
      <c r="I63" s="79" t="n">
        <f aca="false">+I25-I60</f>
        <v>454147455.648878</v>
      </c>
      <c r="J63" s="79" t="n">
        <f aca="false">+J25-J60</f>
        <v>492722304.135077</v>
      </c>
      <c r="K63" s="79" t="n">
        <f aca="false">+K25-K60</f>
        <v>514583868.513682</v>
      </c>
      <c r="L63" s="79" t="n">
        <f aca="false">+L25-L60</f>
        <v>521839888.635673</v>
      </c>
      <c r="M63" s="79" t="n">
        <f aca="false">+M25-M60</f>
        <v>518139013.777715</v>
      </c>
      <c r="N63" s="79" t="n">
        <f aca="false">+N25-N60</f>
        <v>520035399.41422</v>
      </c>
      <c r="O63" s="79" t="n">
        <f aca="false">+O25-O60</f>
        <v>522846107.073365</v>
      </c>
      <c r="P63" s="79" t="n">
        <f aca="false">+P25-P60</f>
        <v>524566677.905382</v>
      </c>
      <c r="Q63" s="79" t="n">
        <f aca="false">+Q25-Q60</f>
        <v>553736717.276346</v>
      </c>
      <c r="R63" s="79" t="n">
        <f aca="false">+R25-R60</f>
        <v>599459118.835519</v>
      </c>
      <c r="S63" s="79" t="n">
        <f aca="false">+S25-S60</f>
        <v>573440734.432198</v>
      </c>
      <c r="T63" s="79" t="n">
        <f aca="false">+T25-T60</f>
        <v>582443960.408965</v>
      </c>
      <c r="U63" s="79" t="n">
        <f aca="false">+U25-U60</f>
        <v>629422502.146137</v>
      </c>
      <c r="V63" s="79" t="n">
        <f aca="false">+V25-V60</f>
        <v>659739870.82647</v>
      </c>
      <c r="W63" s="79" t="n">
        <f aca="false">+W25-W60</f>
        <v>3492467547.97552</v>
      </c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  <c r="IP63" s="110"/>
      <c r="IQ63" s="110"/>
      <c r="IR63" s="110"/>
      <c r="IS63" s="110"/>
      <c r="IT63" s="110"/>
      <c r="IU63" s="110"/>
      <c r="IV63" s="110"/>
      <c r="IW63" s="110"/>
    </row>
    <row r="64" customFormat="false" ht="16.5" hidden="false" customHeight="false" outlineLevel="0" collapsed="false">
      <c r="A64" s="111"/>
      <c r="B64" s="112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</row>
    <row r="65" customFormat="false" ht="12.75" hidden="false" customHeight="false" outlineLevel="0" collapsed="false">
      <c r="A65" s="51"/>
      <c r="B65" s="115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</row>
    <row r="66" customFormat="false" ht="15.75" hidden="false" customHeight="false" outlineLevel="0" collapsed="false">
      <c r="A66" s="48" t="s">
        <v>17</v>
      </c>
      <c r="B66" s="57" t="s">
        <v>69</v>
      </c>
      <c r="C66" s="58" t="n">
        <v>2000</v>
      </c>
      <c r="D66" s="58" t="n">
        <v>2001</v>
      </c>
      <c r="E66" s="58" t="n">
        <v>2002</v>
      </c>
      <c r="F66" s="58" t="n">
        <v>2003</v>
      </c>
      <c r="G66" s="58" t="n">
        <v>2004</v>
      </c>
      <c r="H66" s="58" t="n">
        <v>2005</v>
      </c>
      <c r="I66" s="58" t="n">
        <v>2006</v>
      </c>
      <c r="J66" s="58" t="n">
        <v>2007</v>
      </c>
      <c r="K66" s="58" t="n">
        <v>2008</v>
      </c>
      <c r="L66" s="58" t="n">
        <v>2009</v>
      </c>
      <c r="M66" s="58" t="n">
        <v>2010</v>
      </c>
      <c r="N66" s="58" t="n">
        <v>2011</v>
      </c>
      <c r="O66" s="58" t="n">
        <v>2012</v>
      </c>
      <c r="P66" s="58" t="n">
        <v>2013</v>
      </c>
      <c r="Q66" s="58" t="n">
        <v>2014</v>
      </c>
      <c r="R66" s="58" t="n">
        <v>2015</v>
      </c>
      <c r="S66" s="58" t="n">
        <v>2016</v>
      </c>
      <c r="T66" s="58" t="n">
        <v>2017</v>
      </c>
      <c r="U66" s="58" t="n">
        <v>2018</v>
      </c>
      <c r="V66" s="58" t="n">
        <v>2019</v>
      </c>
      <c r="W66" s="58" t="s">
        <v>19</v>
      </c>
    </row>
    <row r="67" customFormat="false" ht="12.75" hidden="false" customHeight="false" outlineLevel="0" collapsed="false">
      <c r="A67" s="48" t="s">
        <v>5</v>
      </c>
      <c r="B67" s="49" t="n">
        <v>312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</row>
    <row r="68" customFormat="false" ht="12.75" hidden="false" customHeight="false" outlineLevel="0" collapsed="false">
      <c r="A68" s="2"/>
      <c r="B68" s="117" t="s">
        <v>20</v>
      </c>
      <c r="C68" s="118" t="n">
        <v>0</v>
      </c>
      <c r="D68" s="64" t="n">
        <v>85927433.3939198</v>
      </c>
      <c r="E68" s="64" t="n">
        <v>84735727.0596678</v>
      </c>
      <c r="F68" s="64" t="n">
        <v>86366744.4019175</v>
      </c>
      <c r="G68" s="64" t="n">
        <v>85142598.3585731</v>
      </c>
      <c r="H68" s="64" t="n">
        <v>85783908.2167111</v>
      </c>
      <c r="I68" s="64" t="n">
        <v>91576197.0798269</v>
      </c>
      <c r="J68" s="64" t="n">
        <v>98193054.3084622</v>
      </c>
      <c r="K68" s="64" t="n">
        <v>100734070.387802</v>
      </c>
      <c r="L68" s="64" t="n">
        <v>102842515.183845</v>
      </c>
      <c r="M68" s="64" t="n">
        <v>103209657.280504</v>
      </c>
      <c r="N68" s="64" t="n">
        <v>105439495.097296</v>
      </c>
      <c r="O68" s="64" t="n">
        <v>106623558.178626</v>
      </c>
      <c r="P68" s="64" t="n">
        <v>107878309.035435</v>
      </c>
      <c r="Q68" s="64" t="n">
        <v>111675757.216143</v>
      </c>
      <c r="R68" s="64" t="n">
        <v>119599040.147664</v>
      </c>
      <c r="S68" s="64" t="n">
        <v>118910062.819526</v>
      </c>
      <c r="T68" s="64" t="n">
        <v>120425550.06173</v>
      </c>
      <c r="U68" s="64" t="n">
        <v>126212651.79636</v>
      </c>
      <c r="V68" s="64" t="n">
        <v>130046181.168714</v>
      </c>
      <c r="W68" s="65"/>
    </row>
    <row r="69" customFormat="false" ht="12.75" hidden="false" customHeight="false" outlineLevel="0" collapsed="false">
      <c r="A69" s="2"/>
      <c r="B69" s="117" t="s">
        <v>21</v>
      </c>
      <c r="C69" s="118" t="n">
        <v>0</v>
      </c>
      <c r="D69" s="64" t="n">
        <v>-22632816.6719836</v>
      </c>
      <c r="E69" s="64" t="n">
        <v>-22580344.9177209</v>
      </c>
      <c r="F69" s="64" t="n">
        <v>-22361712.6082929</v>
      </c>
      <c r="G69" s="64" t="n">
        <v>-22265514.3921446</v>
      </c>
      <c r="H69" s="64" t="n">
        <v>-22116844.4217336</v>
      </c>
      <c r="I69" s="64" t="n">
        <v>-22523500.5172696</v>
      </c>
      <c r="J69" s="64" t="n">
        <v>-23225310.2305334</v>
      </c>
      <c r="K69" s="64" t="n">
        <v>-23868089.2202516</v>
      </c>
      <c r="L69" s="64" t="n">
        <v>-24596134.8106468</v>
      </c>
      <c r="M69" s="64" t="n">
        <v>-24950319.1519201</v>
      </c>
      <c r="N69" s="64" t="n">
        <v>-25370093.1860218</v>
      </c>
      <c r="O69" s="64" t="n">
        <v>-25510017.8640557</v>
      </c>
      <c r="P69" s="64" t="n">
        <v>-25503458.8947729</v>
      </c>
      <c r="Q69" s="64" t="n">
        <v>-25689296.3577866</v>
      </c>
      <c r="R69" s="64" t="n">
        <v>-25800798.8355949</v>
      </c>
      <c r="S69" s="64" t="n">
        <v>-26004126.8833629</v>
      </c>
      <c r="T69" s="64" t="n">
        <v>-26220572.8696966</v>
      </c>
      <c r="U69" s="64" t="n">
        <v>-26395478.717239</v>
      </c>
      <c r="V69" s="64" t="n">
        <v>-26533217.0721786</v>
      </c>
      <c r="W69" s="65"/>
    </row>
    <row r="70" customFormat="false" ht="12.75" hidden="false" customHeight="false" outlineLevel="0" collapsed="false">
      <c r="A70" s="2"/>
      <c r="B70" s="117" t="s">
        <v>22</v>
      </c>
      <c r="C70" s="118" t="n">
        <v>0</v>
      </c>
      <c r="D70" s="64" t="n">
        <v>-1956276.23058504</v>
      </c>
      <c r="E70" s="64" t="n">
        <v>-1995762.40583444</v>
      </c>
      <c r="F70" s="64" t="n">
        <v>-2036045.58408957</v>
      </c>
      <c r="G70" s="64" t="n">
        <v>-2077141.85234259</v>
      </c>
      <c r="H70" s="64" t="n">
        <v>-2119067.62229121</v>
      </c>
      <c r="I70" s="64" t="n">
        <v>-2161839.63689269</v>
      </c>
      <c r="J70" s="64" t="n">
        <v>-2205474.9770501</v>
      </c>
      <c r="K70" s="64" t="n">
        <v>-2249991.06843353</v>
      </c>
      <c r="L70" s="64" t="n">
        <v>-2295405.68843899</v>
      </c>
      <c r="M70" s="64" t="n">
        <v>-2341736.97328779</v>
      </c>
      <c r="N70" s="64" t="n">
        <v>-2389003.42526915</v>
      </c>
      <c r="O70" s="64" t="n">
        <v>-2437223.92012911</v>
      </c>
      <c r="P70" s="64" t="n">
        <v>-2486417.71460846</v>
      </c>
      <c r="Q70" s="64" t="n">
        <v>-2536604.4541329</v>
      </c>
      <c r="R70" s="64" t="n">
        <v>-2587804.1806584</v>
      </c>
      <c r="S70" s="64" t="n">
        <v>-2640037.34067489</v>
      </c>
      <c r="T70" s="64" t="n">
        <v>-2693324.79337152</v>
      </c>
      <c r="U70" s="64" t="n">
        <v>-2747687.81896674</v>
      </c>
      <c r="V70" s="64" t="n">
        <v>-2803148.12720649</v>
      </c>
      <c r="W70" s="65"/>
    </row>
    <row r="71" customFormat="false" ht="12.75" hidden="false" customHeight="false" outlineLevel="0" collapsed="false">
      <c r="A71" s="2"/>
      <c r="B71" s="117" t="s">
        <v>23</v>
      </c>
      <c r="C71" s="118" t="n">
        <v>0</v>
      </c>
      <c r="D71" s="64" t="n">
        <v>0</v>
      </c>
      <c r="E71" s="64" t="n">
        <v>0</v>
      </c>
      <c r="F71" s="64" t="n">
        <v>0</v>
      </c>
      <c r="G71" s="64" t="n">
        <v>0</v>
      </c>
      <c r="H71" s="64" t="n">
        <v>0</v>
      </c>
      <c r="I71" s="64" t="n">
        <v>-5869544.50915965</v>
      </c>
      <c r="J71" s="64" t="n">
        <v>-6505921.2059702</v>
      </c>
      <c r="K71" s="64" t="n">
        <v>-7574145.61092931</v>
      </c>
      <c r="L71" s="64" t="n">
        <v>-7885011.96068793</v>
      </c>
      <c r="M71" s="64" t="n">
        <v>-8769345.62471004</v>
      </c>
      <c r="N71" s="64" t="n">
        <v>-9660097.37651531</v>
      </c>
      <c r="O71" s="64" t="n">
        <v>-10703098.2747018</v>
      </c>
      <c r="P71" s="64" t="n">
        <v>-12000988.7200614</v>
      </c>
      <c r="Q71" s="64" t="n">
        <v>-13358973.1639343</v>
      </c>
      <c r="R71" s="64" t="n">
        <v>-14797661.335407</v>
      </c>
      <c r="S71" s="64" t="n">
        <v>-16247813.9486963</v>
      </c>
      <c r="T71" s="64" t="n">
        <v>-15962685.0854803</v>
      </c>
      <c r="U71" s="64" t="n">
        <v>-13656940.4726186</v>
      </c>
      <c r="V71" s="64" t="n">
        <v>-14159727.6118784</v>
      </c>
      <c r="W71" s="65"/>
    </row>
    <row r="72" customFormat="false" ht="13.5" hidden="false" customHeight="false" outlineLevel="0" collapsed="false">
      <c r="A72" s="2"/>
      <c r="B72" s="119" t="s">
        <v>24</v>
      </c>
      <c r="C72" s="120" t="n">
        <v>0</v>
      </c>
      <c r="D72" s="68" t="n">
        <v>0</v>
      </c>
      <c r="E72" s="68" t="n">
        <v>0</v>
      </c>
      <c r="F72" s="68" t="n">
        <v>-1464693.33926432</v>
      </c>
      <c r="G72" s="68" t="n">
        <v>-1248010.53660724</v>
      </c>
      <c r="H72" s="68" t="n">
        <v>-1295605.44057547</v>
      </c>
      <c r="I72" s="68" t="n">
        <v>-1345600.32467251</v>
      </c>
      <c r="J72" s="68" t="n">
        <v>-1690367.8933821</v>
      </c>
      <c r="K72" s="68" t="n">
        <v>-1476517.41073317</v>
      </c>
      <c r="L72" s="68" t="n">
        <v>-1562789.35467534</v>
      </c>
      <c r="M72" s="68" t="n">
        <v>-1487053.92418056</v>
      </c>
      <c r="N72" s="68" t="n">
        <v>-1529644.37416625</v>
      </c>
      <c r="O72" s="68" t="n">
        <v>-1569309.38658175</v>
      </c>
      <c r="P72" s="68" t="n">
        <v>-1401722.53430012</v>
      </c>
      <c r="Q72" s="68" t="n">
        <v>-1451840.67290154</v>
      </c>
      <c r="R72" s="68" t="n">
        <v>-1481843.51385109</v>
      </c>
      <c r="S72" s="68" t="n">
        <v>-1573613.69998041</v>
      </c>
      <c r="T72" s="68" t="n">
        <v>-1479360.08786778</v>
      </c>
      <c r="U72" s="68" t="n">
        <v>-1629333.23649529</v>
      </c>
      <c r="V72" s="68" t="n">
        <v>-887091.38389173</v>
      </c>
      <c r="W72" s="65"/>
    </row>
    <row r="73" customFormat="false" ht="13.5" hidden="false" customHeight="false" outlineLevel="0" collapsed="false">
      <c r="A73" s="2"/>
      <c r="B73" s="121" t="s">
        <v>25</v>
      </c>
      <c r="C73" s="122" t="n">
        <v>0</v>
      </c>
      <c r="D73" s="71" t="n">
        <v>61338340.4913512</v>
      </c>
      <c r="E73" s="71" t="n">
        <v>60159619.7361125</v>
      </c>
      <c r="F73" s="71" t="n">
        <v>60504292.8702707</v>
      </c>
      <c r="G73" s="71" t="n">
        <v>59551931.5774787</v>
      </c>
      <c r="H73" s="71" t="n">
        <v>60252390.7321108</v>
      </c>
      <c r="I73" s="71" t="n">
        <v>59675712.0918325</v>
      </c>
      <c r="J73" s="71" t="n">
        <v>64565980.0015264</v>
      </c>
      <c r="K73" s="71" t="n">
        <v>65565327.0774547</v>
      </c>
      <c r="L73" s="71" t="n">
        <v>66503173.3693959</v>
      </c>
      <c r="M73" s="71" t="n">
        <v>65661201.6064056</v>
      </c>
      <c r="N73" s="71" t="n">
        <v>66490656.7353239</v>
      </c>
      <c r="O73" s="71" t="n">
        <v>66403908.7331579</v>
      </c>
      <c r="P73" s="71" t="n">
        <v>66485721.1716916</v>
      </c>
      <c r="Q73" s="71" t="n">
        <v>68639042.5673872</v>
      </c>
      <c r="R73" s="71" t="n">
        <v>74930932.2821523</v>
      </c>
      <c r="S73" s="71" t="n">
        <v>72444470.9468113</v>
      </c>
      <c r="T73" s="71" t="n">
        <v>74069607.2253142</v>
      </c>
      <c r="U73" s="71" t="n">
        <v>81783211.5510403</v>
      </c>
      <c r="V73" s="71" t="n">
        <v>85662996.9735585</v>
      </c>
      <c r="W73" s="65"/>
    </row>
    <row r="74" customFormat="false" ht="12.75" hidden="false" customHeight="false" outlineLevel="0" collapsed="false">
      <c r="A74" s="2"/>
      <c r="B74" s="117" t="s">
        <v>26</v>
      </c>
      <c r="C74" s="118" t="n">
        <v>0</v>
      </c>
      <c r="D74" s="64" t="n">
        <v>-4215278.36817158</v>
      </c>
      <c r="E74" s="64" t="n">
        <v>-4299583.93553501</v>
      </c>
      <c r="F74" s="64" t="n">
        <v>-4428651.61424571</v>
      </c>
      <c r="G74" s="64" t="n">
        <v>-4517440.02653063</v>
      </c>
      <c r="H74" s="64" t="n">
        <v>-4608009.59156124</v>
      </c>
      <c r="I74" s="64" t="n">
        <v>-4700396.06700496</v>
      </c>
      <c r="J74" s="64" t="n">
        <v>-4794635.92904787</v>
      </c>
      <c r="K74" s="64" t="n">
        <v>-4890766.38684921</v>
      </c>
      <c r="L74" s="64" t="n">
        <v>-4988825.39728709</v>
      </c>
      <c r="M74" s="64" t="n">
        <v>-5088851.68000125</v>
      </c>
      <c r="N74" s="64" t="n">
        <v>-5190884.7327389</v>
      </c>
      <c r="O74" s="64" t="n">
        <v>-5294964.84700974</v>
      </c>
      <c r="P74" s="64" t="n">
        <v>-5401133.1240564</v>
      </c>
      <c r="Q74" s="64" t="n">
        <v>-5509431.49114666</v>
      </c>
      <c r="R74" s="64" t="n">
        <v>-5619902.71819395</v>
      </c>
      <c r="S74" s="64" t="n">
        <v>-5732590.4347128</v>
      </c>
      <c r="T74" s="64" t="n">
        <v>-5847539.14711589</v>
      </c>
      <c r="U74" s="64" t="n">
        <v>-5964794.25635977</v>
      </c>
      <c r="V74" s="64" t="n">
        <v>-6084402.07594607</v>
      </c>
      <c r="W74" s="65"/>
    </row>
    <row r="75" customFormat="false" ht="12.75" hidden="false" customHeight="false" outlineLevel="0" collapsed="false">
      <c r="A75" s="2"/>
      <c r="B75" s="117" t="s">
        <v>27</v>
      </c>
      <c r="C75" s="118" t="n">
        <v>0</v>
      </c>
      <c r="D75" s="64" t="n">
        <v>-381835.514003752</v>
      </c>
      <c r="E75" s="64" t="n">
        <v>-446848.790682125</v>
      </c>
      <c r="F75" s="64" t="n">
        <v>-457081.358119755</v>
      </c>
      <c r="G75" s="64" t="n">
        <v>-467545.181581475</v>
      </c>
      <c r="H75" s="64" t="n">
        <v>-478258.044041584</v>
      </c>
      <c r="I75" s="64" t="n">
        <v>-489735.036444115</v>
      </c>
      <c r="J75" s="64" t="n">
        <v>-500988.731838212</v>
      </c>
      <c r="K75" s="64" t="n">
        <v>-512527.28151933</v>
      </c>
      <c r="L75" s="64" t="n">
        <v>-524350.833377572</v>
      </c>
      <c r="M75" s="64" t="n">
        <v>-536475.885808199</v>
      </c>
      <c r="N75" s="64" t="n">
        <v>-548894.364507647</v>
      </c>
      <c r="O75" s="64" t="n">
        <v>-561625.788870322</v>
      </c>
      <c r="P75" s="64" t="n">
        <v>-574680.591411808</v>
      </c>
      <c r="Q75" s="64" t="n">
        <v>-588061.764016831</v>
      </c>
      <c r="R75" s="64" t="n">
        <v>-601778.804054241</v>
      </c>
      <c r="S75" s="64" t="n">
        <v>-615838.770092586</v>
      </c>
      <c r="T75" s="64" t="n">
        <v>-630247.423288681</v>
      </c>
      <c r="U75" s="64" t="n">
        <v>-645017.733679999</v>
      </c>
      <c r="V75" s="64" t="n">
        <v>-660158.778862139</v>
      </c>
      <c r="W75" s="65"/>
    </row>
    <row r="76" customFormat="false" ht="13.5" hidden="false" customHeight="false" outlineLevel="0" collapsed="false">
      <c r="A76" s="2"/>
      <c r="B76" s="119" t="s">
        <v>28</v>
      </c>
      <c r="C76" s="120" t="n">
        <v>0</v>
      </c>
      <c r="D76" s="68" t="n">
        <v>-526501.973231713</v>
      </c>
      <c r="E76" s="68" t="n">
        <v>-537611.164866905</v>
      </c>
      <c r="F76" s="68" t="n">
        <v>-549384.849377491</v>
      </c>
      <c r="G76" s="68" t="n">
        <v>-561800.946973418</v>
      </c>
      <c r="H76" s="68" t="n">
        <v>-575171.809511387</v>
      </c>
      <c r="I76" s="68" t="n">
        <v>-589585.672880798</v>
      </c>
      <c r="J76" s="68" t="n">
        <v>-604209.040078254</v>
      </c>
      <c r="K76" s="68" t="n">
        <v>-619502.819525451</v>
      </c>
      <c r="L76" s="68" t="n">
        <v>-634804.539167731</v>
      </c>
      <c r="M76" s="68" t="n">
        <v>-650992.054916505</v>
      </c>
      <c r="N76" s="68" t="n">
        <v>-666746.062645488</v>
      </c>
      <c r="O76" s="68" t="n">
        <v>-683548.063424152</v>
      </c>
      <c r="P76" s="68" t="n">
        <v>-700910.184235124</v>
      </c>
      <c r="Q76" s="68" t="n">
        <v>-718432.938841002</v>
      </c>
      <c r="R76" s="68" t="n">
        <v>-736465.605605911</v>
      </c>
      <c r="S76" s="68" t="n">
        <v>-754877.24574606</v>
      </c>
      <c r="T76" s="68" t="n">
        <v>-773598.201440562</v>
      </c>
      <c r="U76" s="68" t="n">
        <v>-793015.516296721</v>
      </c>
      <c r="V76" s="68" t="n">
        <v>-812920.205755769</v>
      </c>
      <c r="W76" s="65"/>
    </row>
    <row r="77" customFormat="false" ht="13.5" hidden="false" customHeight="false" outlineLevel="0" collapsed="false">
      <c r="A77" s="2"/>
      <c r="B77" s="121" t="s">
        <v>29</v>
      </c>
      <c r="C77" s="123" t="n">
        <v>0</v>
      </c>
      <c r="D77" s="73" t="n">
        <v>56214724.6359442</v>
      </c>
      <c r="E77" s="73" t="n">
        <v>54875575.8450284</v>
      </c>
      <c r="F77" s="73" t="n">
        <v>55069175.0485277</v>
      </c>
      <c r="G77" s="73" t="n">
        <v>54005145.4223932</v>
      </c>
      <c r="H77" s="73" t="n">
        <v>54590951.2869966</v>
      </c>
      <c r="I77" s="73" t="n">
        <v>53895995.3155026</v>
      </c>
      <c r="J77" s="73" t="n">
        <v>58666146.3005621</v>
      </c>
      <c r="K77" s="73" t="n">
        <v>59542530.5895607</v>
      </c>
      <c r="L77" s="73" t="n">
        <v>60355192.5995635</v>
      </c>
      <c r="M77" s="73" t="n">
        <v>59384881.9856797</v>
      </c>
      <c r="N77" s="73" t="n">
        <v>60084131.5754319</v>
      </c>
      <c r="O77" s="73" t="n">
        <v>59863770.0338537</v>
      </c>
      <c r="P77" s="73" t="n">
        <v>59808997.2719883</v>
      </c>
      <c r="Q77" s="73" t="n">
        <v>61823116.3733827</v>
      </c>
      <c r="R77" s="73" t="n">
        <v>67972785.1542982</v>
      </c>
      <c r="S77" s="73" t="n">
        <v>65341164.4962599</v>
      </c>
      <c r="T77" s="73" t="n">
        <v>66818222.4534691</v>
      </c>
      <c r="U77" s="73" t="n">
        <v>74380384.0447038</v>
      </c>
      <c r="V77" s="73" t="n">
        <v>78105515.9129945</v>
      </c>
      <c r="W77" s="65"/>
    </row>
    <row r="78" customFormat="false" ht="12.75" hidden="false" customHeight="false" outlineLevel="0" collapsed="false">
      <c r="A78" s="2"/>
      <c r="B78" s="117" t="s">
        <v>30</v>
      </c>
      <c r="C78" s="118" t="n">
        <v>0</v>
      </c>
      <c r="D78" s="64" t="n">
        <v>-1434872.260174</v>
      </c>
      <c r="E78" s="64" t="n">
        <v>-3155929.526158</v>
      </c>
      <c r="F78" s="64" t="n">
        <v>-4939391.0633485</v>
      </c>
      <c r="G78" s="64" t="n">
        <v>-5108167.5928594</v>
      </c>
      <c r="H78" s="64" t="n">
        <v>-5062073.521589</v>
      </c>
      <c r="I78" s="64" t="n">
        <v>-4941076.96508517</v>
      </c>
      <c r="J78" s="64" t="n">
        <v>-3557780.89928039</v>
      </c>
      <c r="K78" s="64" t="n">
        <v>-1786747.97214422</v>
      </c>
      <c r="L78" s="64" t="n">
        <v>-1294028.96340548</v>
      </c>
      <c r="M78" s="64" t="n">
        <v>-1310279.0760657</v>
      </c>
      <c r="N78" s="64" t="n">
        <v>-1190373.21364089</v>
      </c>
      <c r="O78" s="64" t="n">
        <v>-1071222.9967528</v>
      </c>
      <c r="P78" s="64" t="n">
        <v>-1099507.61731988</v>
      </c>
      <c r="Q78" s="64" t="n">
        <v>-1128510.85650397</v>
      </c>
      <c r="R78" s="64" t="n">
        <v>-1048759.11286358</v>
      </c>
      <c r="S78" s="64" t="n">
        <v>-969829.546913981</v>
      </c>
      <c r="T78" s="64" t="n">
        <v>-1001607.10398589</v>
      </c>
      <c r="U78" s="64" t="n">
        <v>-1034307.53776996</v>
      </c>
      <c r="V78" s="64" t="n">
        <v>-1034621.43456755</v>
      </c>
      <c r="W78" s="65"/>
    </row>
    <row r="79" customFormat="false" ht="13.5" hidden="false" customHeight="false" outlineLevel="0" collapsed="false">
      <c r="A79" s="2"/>
      <c r="B79" s="119" t="s">
        <v>70</v>
      </c>
      <c r="C79" s="120" t="n">
        <v>0</v>
      </c>
      <c r="D79" s="68" t="n">
        <v>-21911940.9503081</v>
      </c>
      <c r="E79" s="68" t="n">
        <v>-20687858.5275482</v>
      </c>
      <c r="F79" s="68" t="n">
        <v>-20051913.5940717</v>
      </c>
      <c r="G79" s="68" t="n">
        <v>-19558791.1318135</v>
      </c>
      <c r="H79" s="68" t="n">
        <v>-19811551.106163</v>
      </c>
      <c r="I79" s="68" t="n">
        <v>-19581967.340167</v>
      </c>
      <c r="J79" s="68" t="n">
        <v>-22043346.1605127</v>
      </c>
      <c r="K79" s="68" t="n">
        <v>-23102313.0469666</v>
      </c>
      <c r="L79" s="68" t="n">
        <v>-23624465.4544632</v>
      </c>
      <c r="M79" s="68" t="n">
        <v>-23229841.1638456</v>
      </c>
      <c r="N79" s="68" t="n">
        <v>-23557503.3447164</v>
      </c>
      <c r="O79" s="68" t="n">
        <v>-23517018.8148404</v>
      </c>
      <c r="P79" s="68" t="n">
        <v>-23483795.8618674</v>
      </c>
      <c r="Q79" s="68" t="n">
        <v>-24277842.2067515</v>
      </c>
      <c r="R79" s="68" t="n">
        <v>-26769610.4165739</v>
      </c>
      <c r="S79" s="68" t="n">
        <v>-25748533.9797384</v>
      </c>
      <c r="T79" s="68" t="n">
        <v>-26326646.1397933</v>
      </c>
      <c r="U79" s="68" t="n">
        <v>-29338430.6027735</v>
      </c>
      <c r="V79" s="68" t="n">
        <v>-30828357.7913708</v>
      </c>
      <c r="W79" s="65"/>
    </row>
    <row r="80" customFormat="false" ht="13.5" hidden="false" customHeight="false" outlineLevel="0" collapsed="false">
      <c r="A80" s="2"/>
      <c r="B80" s="121" t="s">
        <v>32</v>
      </c>
      <c r="C80" s="123" t="n">
        <v>0</v>
      </c>
      <c r="D80" s="73" t="n">
        <v>32867911.4254621</v>
      </c>
      <c r="E80" s="73" t="n">
        <v>31031787.7913223</v>
      </c>
      <c r="F80" s="73" t="n">
        <v>30077870.3911075</v>
      </c>
      <c r="G80" s="73" t="n">
        <v>29338186.6977203</v>
      </c>
      <c r="H80" s="73" t="n">
        <v>29717326.6592446</v>
      </c>
      <c r="I80" s="73" t="n">
        <v>29372951.0102505</v>
      </c>
      <c r="J80" s="73" t="n">
        <v>33065019.240769</v>
      </c>
      <c r="K80" s="73" t="n">
        <v>34653469.5704499</v>
      </c>
      <c r="L80" s="73" t="n">
        <v>35436698.1816948</v>
      </c>
      <c r="M80" s="73" t="n">
        <v>34844761.7457684</v>
      </c>
      <c r="N80" s="73" t="n">
        <v>35336255.0170746</v>
      </c>
      <c r="O80" s="73" t="n">
        <v>35275528.2222605</v>
      </c>
      <c r="P80" s="73" t="n">
        <v>35225693.792801</v>
      </c>
      <c r="Q80" s="73" t="n">
        <v>36416763.3101273</v>
      </c>
      <c r="R80" s="73" t="n">
        <v>40154415.6248608</v>
      </c>
      <c r="S80" s="73" t="n">
        <v>38622800.9696076</v>
      </c>
      <c r="T80" s="73" t="n">
        <v>39489969.2096899</v>
      </c>
      <c r="U80" s="73" t="n">
        <v>44007645.9041603</v>
      </c>
      <c r="V80" s="73" t="n">
        <v>46242536.6870562</v>
      </c>
      <c r="W80" s="65"/>
    </row>
    <row r="81" customFormat="false" ht="12.75" hidden="false" customHeight="false" outlineLevel="0" collapsed="false">
      <c r="A81" s="2"/>
      <c r="B81" s="117" t="s">
        <v>30</v>
      </c>
      <c r="C81" s="118" t="n">
        <v>0</v>
      </c>
      <c r="D81" s="64" t="n">
        <v>1434872.260174</v>
      </c>
      <c r="E81" s="64" t="n">
        <v>3155929.526158</v>
      </c>
      <c r="F81" s="64" t="n">
        <v>4939391.0633485</v>
      </c>
      <c r="G81" s="64" t="n">
        <v>5108167.5928594</v>
      </c>
      <c r="H81" s="64" t="n">
        <v>5062073.521589</v>
      </c>
      <c r="I81" s="64" t="n">
        <v>4941076.96508517</v>
      </c>
      <c r="J81" s="64" t="n">
        <v>3557780.89928039</v>
      </c>
      <c r="K81" s="64" t="n">
        <v>1786747.97214422</v>
      </c>
      <c r="L81" s="64" t="n">
        <v>1294028.96340548</v>
      </c>
      <c r="M81" s="64" t="n">
        <v>1310279.0760657</v>
      </c>
      <c r="N81" s="64" t="n">
        <v>1190373.21364089</v>
      </c>
      <c r="O81" s="64" t="n">
        <v>1071222.9967528</v>
      </c>
      <c r="P81" s="64" t="n">
        <v>1099507.61731988</v>
      </c>
      <c r="Q81" s="64" t="n">
        <v>1128510.85650397</v>
      </c>
      <c r="R81" s="64" t="n">
        <v>1048759.11286358</v>
      </c>
      <c r="S81" s="64" t="n">
        <v>969829.546913981</v>
      </c>
      <c r="T81" s="64" t="n">
        <v>1001607.10398589</v>
      </c>
      <c r="U81" s="64" t="n">
        <v>1034307.53776996</v>
      </c>
      <c r="V81" s="64" t="n">
        <v>1034621.43456755</v>
      </c>
      <c r="W81" s="65"/>
    </row>
    <row r="82" customFormat="false" ht="12.75" hidden="false" customHeight="false" outlineLevel="0" collapsed="false">
      <c r="A82" s="2"/>
      <c r="B82" s="117" t="s">
        <v>33</v>
      </c>
      <c r="C82" s="118" t="n">
        <v>0</v>
      </c>
      <c r="D82" s="64" t="n">
        <v>-1242599.9</v>
      </c>
      <c r="E82" s="64" t="n">
        <v>-239999.949999999</v>
      </c>
      <c r="F82" s="64" t="n">
        <v>-399999.96</v>
      </c>
      <c r="G82" s="64" t="n">
        <v>-239999.88</v>
      </c>
      <c r="H82" s="64" t="n">
        <v>-474999.938</v>
      </c>
      <c r="I82" s="64" t="n">
        <v>-489249.93614</v>
      </c>
      <c r="J82" s="64" t="n">
        <v>-503927.4342242</v>
      </c>
      <c r="K82" s="64" t="n">
        <v>-519045.257250926</v>
      </c>
      <c r="L82" s="64" t="n">
        <v>-534616.614968454</v>
      </c>
      <c r="M82" s="64" t="n">
        <v>-550655.113417507</v>
      </c>
      <c r="N82" s="64" t="n">
        <v>-567174.766820033</v>
      </c>
      <c r="O82" s="64" t="n">
        <v>-584190.009824634</v>
      </c>
      <c r="P82" s="64" t="n">
        <v>-601715.710119373</v>
      </c>
      <c r="Q82" s="64" t="n">
        <v>-619767.181422954</v>
      </c>
      <c r="R82" s="64" t="n">
        <v>-638360.196865642</v>
      </c>
      <c r="S82" s="64" t="n">
        <v>-657511.002771612</v>
      </c>
      <c r="T82" s="64" t="n">
        <v>-677236.33285476</v>
      </c>
      <c r="U82" s="64" t="n">
        <v>-697553.422840403</v>
      </c>
      <c r="V82" s="64" t="n">
        <v>-718480.025525615</v>
      </c>
      <c r="W82" s="65"/>
    </row>
    <row r="83" customFormat="false" ht="13.5" hidden="false" customHeight="false" outlineLevel="0" collapsed="false">
      <c r="A83" s="2"/>
      <c r="B83" s="119" t="s">
        <v>34</v>
      </c>
      <c r="C83" s="120" t="n">
        <v>0</v>
      </c>
      <c r="D83" s="68" t="n">
        <v>-1471963.2</v>
      </c>
      <c r="E83" s="68" t="n">
        <v>-21211947.96</v>
      </c>
      <c r="F83" s="68" t="n">
        <v>-2835914.52</v>
      </c>
      <c r="G83" s="68" t="n">
        <v>0</v>
      </c>
      <c r="H83" s="68" t="n">
        <v>0</v>
      </c>
      <c r="I83" s="68" t="n">
        <v>0</v>
      </c>
      <c r="J83" s="68" t="n">
        <v>0</v>
      </c>
      <c r="K83" s="68" t="n">
        <v>0</v>
      </c>
      <c r="L83" s="68" t="n">
        <v>0</v>
      </c>
      <c r="M83" s="68" t="n">
        <v>0</v>
      </c>
      <c r="N83" s="68" t="n">
        <v>0</v>
      </c>
      <c r="O83" s="68" t="n">
        <v>0</v>
      </c>
      <c r="P83" s="68" t="n">
        <v>0</v>
      </c>
      <c r="Q83" s="68" t="n">
        <v>0</v>
      </c>
      <c r="R83" s="68" t="n">
        <v>0</v>
      </c>
      <c r="S83" s="68" t="n">
        <v>0</v>
      </c>
      <c r="T83" s="68" t="n">
        <v>0</v>
      </c>
      <c r="U83" s="68" t="n">
        <v>0</v>
      </c>
      <c r="V83" s="68" t="n">
        <v>0</v>
      </c>
      <c r="W83" s="65"/>
    </row>
    <row r="84" customFormat="false" ht="13.5" hidden="false" customHeight="false" outlineLevel="0" collapsed="false">
      <c r="A84" s="2"/>
      <c r="B84" s="117"/>
      <c r="C84" s="124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</row>
    <row r="85" customFormat="false" ht="12.75" hidden="false" customHeight="false" outlineLevel="0" collapsed="false">
      <c r="A85" s="2"/>
      <c r="B85" s="121" t="s">
        <v>35</v>
      </c>
      <c r="C85" s="123" t="n">
        <v>0</v>
      </c>
      <c r="D85" s="73" t="n">
        <v>31588220.5856361</v>
      </c>
      <c r="E85" s="73" t="n">
        <v>12735769.4074803</v>
      </c>
      <c r="F85" s="73" t="n">
        <v>31781346.974456</v>
      </c>
      <c r="G85" s="73" t="n">
        <v>34206354.4105797</v>
      </c>
      <c r="H85" s="73" t="n">
        <v>34304400.2428336</v>
      </c>
      <c r="I85" s="73" t="n">
        <v>33824778.0391956</v>
      </c>
      <c r="J85" s="73" t="n">
        <v>36118872.7058252</v>
      </c>
      <c r="K85" s="73" t="n">
        <v>35921172.2853432</v>
      </c>
      <c r="L85" s="73" t="n">
        <v>36196110.5301318</v>
      </c>
      <c r="M85" s="73" t="n">
        <v>35604385.7084166</v>
      </c>
      <c r="N85" s="73" t="n">
        <v>35959453.4638954</v>
      </c>
      <c r="O85" s="73" t="n">
        <v>35762561.2091887</v>
      </c>
      <c r="P85" s="73" t="n">
        <v>35723485.7000016</v>
      </c>
      <c r="Q85" s="73" t="n">
        <v>36925506.9852083</v>
      </c>
      <c r="R85" s="73" t="n">
        <v>40564814.5408587</v>
      </c>
      <c r="S85" s="73" t="n">
        <v>38935119.5137499</v>
      </c>
      <c r="T85" s="73" t="n">
        <v>39814339.9808211</v>
      </c>
      <c r="U85" s="73" t="n">
        <v>44344400.0190899</v>
      </c>
      <c r="V85" s="73" t="n">
        <v>46558678.0960981</v>
      </c>
      <c r="W85" s="71" t="n">
        <v>239756550.7147</v>
      </c>
    </row>
    <row r="86" customFormat="false" ht="12.75" hidden="false" customHeight="false" outlineLevel="0" collapsed="false">
      <c r="A86" s="2"/>
      <c r="B86" s="1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customFormat="false" ht="12.75" hidden="false" customHeight="false" outlineLevel="0" collapsed="false">
      <c r="A87" s="48" t="s">
        <v>36</v>
      </c>
      <c r="B87" s="126" t="s">
        <v>37</v>
      </c>
      <c r="C87" s="76" t="n">
        <v>107783523.712581</v>
      </c>
      <c r="D87" s="2"/>
      <c r="E87" s="127" t="s">
        <v>38</v>
      </c>
      <c r="F87" s="128" t="s">
        <v>37</v>
      </c>
      <c r="G87" s="79" t="n">
        <v>107783523.712581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customFormat="false" ht="12.75" hidden="false" customHeight="false" outlineLevel="0" collapsed="false">
      <c r="A88" s="2"/>
      <c r="B88" s="126" t="s">
        <v>39</v>
      </c>
      <c r="C88" s="76" t="n">
        <v>169183002.407019</v>
      </c>
      <c r="D88" s="2"/>
      <c r="E88" s="129"/>
      <c r="F88" s="128" t="s">
        <v>39</v>
      </c>
      <c r="G88" s="79" t="n">
        <v>169183002.407019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customFormat="false" ht="13.5" hidden="false" customHeight="false" outlineLevel="0" collapsed="false">
      <c r="A89" s="2"/>
      <c r="B89" s="130" t="s">
        <v>40</v>
      </c>
      <c r="C89" s="82" t="n">
        <v>35638283.5407876</v>
      </c>
      <c r="D89" s="131"/>
      <c r="E89" s="129"/>
      <c r="F89" s="128" t="s">
        <v>40</v>
      </c>
      <c r="G89" s="79" t="n">
        <v>35638283.5407876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customFormat="false" ht="14.25" hidden="false" customHeight="false" outlineLevel="0" collapsed="false">
      <c r="A90" s="2"/>
      <c r="B90" s="126" t="s">
        <v>41</v>
      </c>
      <c r="C90" s="76" t="n">
        <v>312604809.660387</v>
      </c>
      <c r="D90" s="132"/>
      <c r="E90" s="129"/>
      <c r="F90" s="133" t="s">
        <v>42</v>
      </c>
      <c r="G90" s="85" t="n">
        <v>0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customFormat="false" ht="13.5" hidden="false" customHeight="false" outlineLevel="0" collapsed="false">
      <c r="A91" s="2"/>
      <c r="B91" s="125"/>
      <c r="C91" s="134"/>
      <c r="D91" s="2"/>
      <c r="E91" s="135"/>
      <c r="F91" s="128" t="s">
        <v>41</v>
      </c>
      <c r="G91" s="79" t="n">
        <v>312604809.660387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customFormat="false" ht="12.75" hidden="false" customHeight="false" outlineLevel="0" collapsed="false">
      <c r="A92" s="2"/>
      <c r="B92" s="125"/>
      <c r="C92" s="134"/>
      <c r="D92" s="2"/>
      <c r="E92" s="135"/>
      <c r="F92" s="128"/>
      <c r="G92" s="13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customFormat="false" ht="12.75" hidden="false" customHeight="false" outlineLevel="0" collapsed="false">
      <c r="A93" s="2"/>
      <c r="B93" s="125"/>
      <c r="C93" s="134"/>
      <c r="D93" s="2"/>
      <c r="E93" s="135"/>
      <c r="F93" s="128"/>
      <c r="G93" s="13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customFormat="false" ht="12.75" hidden="false" customHeight="false" outlineLevel="0" collapsed="false">
      <c r="A94" s="2"/>
      <c r="B94" s="137" t="s">
        <v>43</v>
      </c>
      <c r="C94" s="134"/>
      <c r="D94" s="2"/>
      <c r="E94" s="135"/>
      <c r="F94" s="128"/>
      <c r="G94" s="13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customFormat="false" ht="12.75" hidden="false" customHeight="false" outlineLevel="0" collapsed="false">
      <c r="A95" s="87" t="s">
        <v>44</v>
      </c>
      <c r="B95" s="137" t="s">
        <v>45</v>
      </c>
      <c r="C95" s="138"/>
      <c r="D95" s="88" t="n">
        <v>32867911.4254621</v>
      </c>
      <c r="E95" s="88" t="n">
        <v>31031787.7913223</v>
      </c>
      <c r="F95" s="88" t="n">
        <v>30077870.3911075</v>
      </c>
      <c r="G95" s="88" t="n">
        <v>29338186.6977203</v>
      </c>
      <c r="H95" s="88" t="n">
        <v>29717326.6592446</v>
      </c>
      <c r="I95" s="88" t="n">
        <v>29372951.0102505</v>
      </c>
      <c r="J95" s="88" t="n">
        <v>33065019.240769</v>
      </c>
      <c r="K95" s="88" t="n">
        <v>34653469.5704499</v>
      </c>
      <c r="L95" s="88" t="n">
        <v>35436698.1816948</v>
      </c>
      <c r="M95" s="88" t="n">
        <v>34844761.7457684</v>
      </c>
      <c r="N95" s="88" t="n">
        <v>35336255.0170746</v>
      </c>
      <c r="O95" s="88" t="n">
        <v>35275528.2222605</v>
      </c>
      <c r="P95" s="88" t="n">
        <v>35225693.792801</v>
      </c>
      <c r="Q95" s="88" t="n">
        <v>36416763.3101273</v>
      </c>
      <c r="R95" s="88" t="n">
        <v>40154415.6248608</v>
      </c>
      <c r="S95" s="88" t="n">
        <v>38622800.9696076</v>
      </c>
      <c r="T95" s="88" t="n">
        <v>39489969.2096899</v>
      </c>
      <c r="U95" s="88" t="n">
        <v>44007645.9041603</v>
      </c>
      <c r="V95" s="88" t="n">
        <v>46242536.6870562</v>
      </c>
      <c r="W95" s="2"/>
    </row>
    <row r="96" customFormat="false" ht="12.75" hidden="false" customHeight="false" outlineLevel="0" collapsed="false">
      <c r="A96" s="2"/>
      <c r="B96" s="125" t="s">
        <v>46</v>
      </c>
      <c r="C96" s="134"/>
      <c r="D96" s="65" t="n">
        <v>21911940.9503081</v>
      </c>
      <c r="E96" s="65" t="n">
        <v>20687858.5275482</v>
      </c>
      <c r="F96" s="65" t="n">
        <v>20051913.5940717</v>
      </c>
      <c r="G96" s="65" t="n">
        <v>19558791.1318135</v>
      </c>
      <c r="H96" s="65" t="n">
        <v>19811551.106163</v>
      </c>
      <c r="I96" s="65" t="n">
        <v>19581967.340167</v>
      </c>
      <c r="J96" s="65" t="n">
        <v>22043346.1605127</v>
      </c>
      <c r="K96" s="65" t="n">
        <v>23102313.0469666</v>
      </c>
      <c r="L96" s="65" t="n">
        <v>23624465.4544632</v>
      </c>
      <c r="M96" s="65" t="n">
        <v>23229841.1638456</v>
      </c>
      <c r="N96" s="65" t="n">
        <v>23557503.3447164</v>
      </c>
      <c r="O96" s="65" t="n">
        <v>23517018.8148404</v>
      </c>
      <c r="P96" s="65" t="n">
        <v>23483795.8618674</v>
      </c>
      <c r="Q96" s="65" t="n">
        <v>24277842.2067515</v>
      </c>
      <c r="R96" s="65" t="n">
        <v>26769610.4165739</v>
      </c>
      <c r="S96" s="65" t="n">
        <v>25748533.9797384</v>
      </c>
      <c r="T96" s="65" t="n">
        <v>26326646.1397933</v>
      </c>
      <c r="U96" s="65" t="n">
        <v>29338430.6027735</v>
      </c>
      <c r="V96" s="65" t="n">
        <v>30828357.7913708</v>
      </c>
      <c r="W96" s="2"/>
    </row>
    <row r="97" customFormat="false" ht="12.75" hidden="false" customHeight="false" outlineLevel="0" collapsed="false">
      <c r="A97" s="2"/>
      <c r="B97" s="139" t="s">
        <v>47</v>
      </c>
      <c r="C97" s="140"/>
      <c r="D97" s="65" t="n">
        <v>1434872.260174</v>
      </c>
      <c r="E97" s="65" t="n">
        <v>3155929.526158</v>
      </c>
      <c r="F97" s="65" t="n">
        <v>4939391.0633485</v>
      </c>
      <c r="G97" s="65" t="n">
        <v>5108167.5928594</v>
      </c>
      <c r="H97" s="65" t="n">
        <v>5062073.521589</v>
      </c>
      <c r="I97" s="65" t="n">
        <v>4941076.96508517</v>
      </c>
      <c r="J97" s="65" t="n">
        <v>3557780.89928039</v>
      </c>
      <c r="K97" s="65" t="n">
        <v>1786747.97214422</v>
      </c>
      <c r="L97" s="65" t="n">
        <v>1294028.96340548</v>
      </c>
      <c r="M97" s="65" t="n">
        <v>1310279.0760657</v>
      </c>
      <c r="N97" s="65" t="n">
        <v>1190373.21364089</v>
      </c>
      <c r="O97" s="65" t="n">
        <v>1071222.9967528</v>
      </c>
      <c r="P97" s="65" t="n">
        <v>1099507.61731988</v>
      </c>
      <c r="Q97" s="65" t="n">
        <v>1128510.85650397</v>
      </c>
      <c r="R97" s="65" t="n">
        <v>1048759.11286358</v>
      </c>
      <c r="S97" s="65" t="n">
        <v>969829.546913981</v>
      </c>
      <c r="T97" s="65" t="n">
        <v>1001607.10398589</v>
      </c>
      <c r="U97" s="65" t="n">
        <v>1034307.53776996</v>
      </c>
      <c r="V97" s="65" t="n">
        <v>1034621.43456755</v>
      </c>
      <c r="W97" s="2"/>
    </row>
    <row r="98" customFormat="false" ht="13.5" hidden="false" customHeight="false" outlineLevel="0" collapsed="false">
      <c r="A98" s="2"/>
      <c r="B98" s="141" t="s">
        <v>48</v>
      </c>
      <c r="C98" s="142"/>
      <c r="D98" s="93" t="n">
        <v>56214724.6359442</v>
      </c>
      <c r="E98" s="93" t="n">
        <v>54875575.8450284</v>
      </c>
      <c r="F98" s="93" t="n">
        <v>55069175.0485277</v>
      </c>
      <c r="G98" s="93" t="n">
        <v>54005145.4223932</v>
      </c>
      <c r="H98" s="93" t="n">
        <v>54590951.2869966</v>
      </c>
      <c r="I98" s="93" t="n">
        <v>53895995.3155026</v>
      </c>
      <c r="J98" s="93" t="n">
        <v>58666146.3005621</v>
      </c>
      <c r="K98" s="93" t="n">
        <v>59542530.5895607</v>
      </c>
      <c r="L98" s="93" t="n">
        <v>60355192.5995635</v>
      </c>
      <c r="M98" s="93" t="n">
        <v>59384881.9856797</v>
      </c>
      <c r="N98" s="93" t="n">
        <v>60084131.5754319</v>
      </c>
      <c r="O98" s="93" t="n">
        <v>59863770.0338537</v>
      </c>
      <c r="P98" s="93" t="n">
        <v>59808997.2719883</v>
      </c>
      <c r="Q98" s="93" t="n">
        <v>61823116.3733827</v>
      </c>
      <c r="R98" s="93" t="n">
        <v>67972785.1542983</v>
      </c>
      <c r="S98" s="93" t="n">
        <v>65341164.4962599</v>
      </c>
      <c r="T98" s="93" t="n">
        <v>66818222.4534691</v>
      </c>
      <c r="U98" s="93" t="n">
        <v>74380384.0447038</v>
      </c>
      <c r="V98" s="93" t="n">
        <v>78105515.9129945</v>
      </c>
      <c r="W98" s="2"/>
    </row>
    <row r="99" customFormat="false" ht="13.5" hidden="false" customHeight="false" outlineLevel="0" collapsed="false">
      <c r="A99" s="87" t="s">
        <v>49</v>
      </c>
      <c r="B99" s="125" t="s">
        <v>50</v>
      </c>
      <c r="C99" s="134"/>
      <c r="D99" s="65" t="n">
        <v>-2592003.16307303</v>
      </c>
      <c r="E99" s="65" t="n">
        <v>-3664600.55857303</v>
      </c>
      <c r="F99" s="65" t="n">
        <v>-3684600.55657303</v>
      </c>
      <c r="G99" s="65" t="n">
        <v>-3696600.55057303</v>
      </c>
      <c r="H99" s="65" t="n">
        <v>-3720350.54747303</v>
      </c>
      <c r="I99" s="65" t="n">
        <v>-3744813.04428003</v>
      </c>
      <c r="J99" s="65" t="n">
        <v>-3770009.41599124</v>
      </c>
      <c r="K99" s="65" t="n">
        <v>-3795961.67885379</v>
      </c>
      <c r="L99" s="65" t="n">
        <v>-3822692.50960221</v>
      </c>
      <c r="M99" s="65" t="n">
        <v>-3850225.26527308</v>
      </c>
      <c r="N99" s="65" t="n">
        <v>-3878584.00361409</v>
      </c>
      <c r="O99" s="65" t="n">
        <v>-3907793.50410532</v>
      </c>
      <c r="P99" s="65" t="n">
        <v>-3935067.55961129</v>
      </c>
      <c r="Q99" s="65" t="n">
        <v>-1979920.40868243</v>
      </c>
      <c r="R99" s="65" t="n">
        <v>-1644004.45852572</v>
      </c>
      <c r="S99" s="65" t="n">
        <v>-1676880.0086643</v>
      </c>
      <c r="T99" s="65" t="n">
        <v>-1710741.82530703</v>
      </c>
      <c r="U99" s="65" t="n">
        <v>-1745619.49644905</v>
      </c>
      <c r="V99" s="65" t="n">
        <v>-1781543.49772534</v>
      </c>
      <c r="W99" s="2"/>
    </row>
    <row r="100" customFormat="false" ht="12.75" hidden="false" customHeight="false" outlineLevel="0" collapsed="false">
      <c r="A100" s="2"/>
      <c r="B100" s="125" t="s">
        <v>51</v>
      </c>
      <c r="C100" s="134"/>
      <c r="D100" s="65" t="n">
        <v>0</v>
      </c>
      <c r="E100" s="65" t="n">
        <v>0</v>
      </c>
      <c r="F100" s="65" t="n">
        <v>0</v>
      </c>
      <c r="G100" s="65" t="n">
        <v>0</v>
      </c>
      <c r="H100" s="65" t="n">
        <v>0</v>
      </c>
      <c r="I100" s="65" t="n">
        <v>0</v>
      </c>
      <c r="J100" s="65" t="n">
        <v>0</v>
      </c>
      <c r="K100" s="65" t="n">
        <v>0</v>
      </c>
      <c r="L100" s="65" t="n">
        <v>0</v>
      </c>
      <c r="M100" s="65" t="n">
        <v>0</v>
      </c>
      <c r="N100" s="65" t="n">
        <v>0</v>
      </c>
      <c r="O100" s="65" t="n">
        <v>0</v>
      </c>
      <c r="P100" s="65" t="n">
        <v>0</v>
      </c>
      <c r="Q100" s="65" t="n">
        <v>0</v>
      </c>
      <c r="R100" s="65" t="n">
        <v>0</v>
      </c>
      <c r="S100" s="65" t="n">
        <v>0</v>
      </c>
      <c r="T100" s="65" t="n">
        <v>0</v>
      </c>
      <c r="U100" s="65" t="n">
        <v>0</v>
      </c>
      <c r="V100" s="65" t="n">
        <v>0</v>
      </c>
      <c r="W100" s="2"/>
    </row>
    <row r="101" customFormat="false" ht="12.75" hidden="false" customHeight="false" outlineLevel="0" collapsed="false">
      <c r="A101" s="2"/>
      <c r="B101" s="137" t="s">
        <v>52</v>
      </c>
      <c r="C101" s="138"/>
      <c r="D101" s="88" t="n">
        <v>53622721.4728711</v>
      </c>
      <c r="E101" s="88" t="n">
        <v>51210975.2864554</v>
      </c>
      <c r="F101" s="88" t="n">
        <v>51384574.4919547</v>
      </c>
      <c r="G101" s="88" t="n">
        <v>50308544.8718201</v>
      </c>
      <c r="H101" s="88" t="n">
        <v>50870600.7395236</v>
      </c>
      <c r="I101" s="88" t="n">
        <v>50151182.2712226</v>
      </c>
      <c r="J101" s="88" t="n">
        <v>54896136.8845708</v>
      </c>
      <c r="K101" s="88" t="n">
        <v>55746568.9107069</v>
      </c>
      <c r="L101" s="88" t="n">
        <v>56532500.0899613</v>
      </c>
      <c r="M101" s="88" t="n">
        <v>55534656.7204066</v>
      </c>
      <c r="N101" s="88" t="n">
        <v>56205547.5718178</v>
      </c>
      <c r="O101" s="88" t="n">
        <v>55955976.5297484</v>
      </c>
      <c r="P101" s="88" t="n">
        <v>55873929.712377</v>
      </c>
      <c r="Q101" s="88" t="n">
        <v>59843195.9647003</v>
      </c>
      <c r="R101" s="88" t="n">
        <v>66328780.6957725</v>
      </c>
      <c r="S101" s="88" t="n">
        <v>63664284.4875956</v>
      </c>
      <c r="T101" s="88" t="n">
        <v>65107480.6281621</v>
      </c>
      <c r="U101" s="88" t="n">
        <v>72634764.5482548</v>
      </c>
      <c r="V101" s="88" t="n">
        <v>76323972.4152692</v>
      </c>
      <c r="W101" s="2"/>
    </row>
    <row r="102" customFormat="false" ht="13.5" hidden="false" customHeight="false" outlineLevel="0" collapsed="false">
      <c r="A102" s="2"/>
      <c r="B102" s="143" t="s">
        <v>53</v>
      </c>
      <c r="C102" s="144"/>
      <c r="D102" s="96" t="n">
        <v>-21449088.5891484</v>
      </c>
      <c r="E102" s="96" t="n">
        <v>-20484390.1145822</v>
      </c>
      <c r="F102" s="96" t="n">
        <v>-20553829.7967819</v>
      </c>
      <c r="G102" s="96" t="n">
        <v>-20123417.9487281</v>
      </c>
      <c r="H102" s="96" t="n">
        <v>-20348240.2958094</v>
      </c>
      <c r="I102" s="96" t="n">
        <v>-20060472.908489</v>
      </c>
      <c r="J102" s="96" t="n">
        <v>-21958454.7538283</v>
      </c>
      <c r="K102" s="96" t="n">
        <v>-22298627.5642828</v>
      </c>
      <c r="L102" s="96" t="n">
        <v>-22613000.0359845</v>
      </c>
      <c r="M102" s="96" t="n">
        <v>-22213862.6881626</v>
      </c>
      <c r="N102" s="96" t="n">
        <v>-22482219.0287271</v>
      </c>
      <c r="O102" s="96" t="n">
        <v>-22382390.6118994</v>
      </c>
      <c r="P102" s="96" t="n">
        <v>-22349571.8849508</v>
      </c>
      <c r="Q102" s="96" t="n">
        <v>-23937278.3858801</v>
      </c>
      <c r="R102" s="96" t="n">
        <v>-26531512.278309</v>
      </c>
      <c r="S102" s="96" t="n">
        <v>-25465713.7950382</v>
      </c>
      <c r="T102" s="96" t="n">
        <v>-26042992.2512648</v>
      </c>
      <c r="U102" s="96" t="n">
        <v>-29053905.8193019</v>
      </c>
      <c r="V102" s="96" t="n">
        <v>-30529588.9661077</v>
      </c>
      <c r="W102" s="2"/>
    </row>
    <row r="103" customFormat="false" ht="13.5" hidden="false" customHeight="false" outlineLevel="0" collapsed="false">
      <c r="A103" s="2"/>
      <c r="B103" s="137" t="s">
        <v>54</v>
      </c>
      <c r="C103" s="138"/>
      <c r="D103" s="88" t="n">
        <v>32173632.8837227</v>
      </c>
      <c r="E103" s="88" t="n">
        <v>30726585.1718733</v>
      </c>
      <c r="F103" s="88" t="n">
        <v>30830744.6951728</v>
      </c>
      <c r="G103" s="88" t="n">
        <v>30185126.9230921</v>
      </c>
      <c r="H103" s="88" t="n">
        <v>30522360.4437141</v>
      </c>
      <c r="I103" s="88" t="n">
        <v>30090709.3627335</v>
      </c>
      <c r="J103" s="88" t="n">
        <v>32937682.1307425</v>
      </c>
      <c r="K103" s="88" t="n">
        <v>33447941.3464242</v>
      </c>
      <c r="L103" s="88" t="n">
        <v>33919500.0539768</v>
      </c>
      <c r="M103" s="88" t="n">
        <v>33320794.0322439</v>
      </c>
      <c r="N103" s="88" t="n">
        <v>33723328.5430907</v>
      </c>
      <c r="O103" s="88" t="n">
        <v>33573585.917849</v>
      </c>
      <c r="P103" s="88" t="n">
        <v>33524357.8274262</v>
      </c>
      <c r="Q103" s="88" t="n">
        <v>35905917.5788202</v>
      </c>
      <c r="R103" s="88" t="n">
        <v>39797268.4174635</v>
      </c>
      <c r="S103" s="88" t="n">
        <v>38198570.6925574</v>
      </c>
      <c r="T103" s="88" t="n">
        <v>39064488.3768972</v>
      </c>
      <c r="U103" s="88" t="n">
        <v>43580858.7289529</v>
      </c>
      <c r="V103" s="88" t="n">
        <v>45794383.4491615</v>
      </c>
      <c r="W103" s="2"/>
    </row>
    <row r="104" customFormat="false" ht="12.75" hidden="false" customHeight="false" outlineLevel="0" collapsed="false">
      <c r="A104" s="2"/>
      <c r="B104" s="2"/>
      <c r="C104" s="134"/>
      <c r="D104" s="2"/>
      <c r="E104" s="135"/>
      <c r="F104" s="128"/>
      <c r="G104" s="13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customFormat="false" ht="15.75" hidden="false" customHeight="false" outlineLevel="0" collapsed="false">
      <c r="A105" s="97" t="s">
        <v>55</v>
      </c>
      <c r="B105" s="14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customFormat="false" ht="12.75" hidden="false" customHeight="false" outlineLevel="0" collapsed="false">
      <c r="A106" s="99" t="s">
        <v>56</v>
      </c>
      <c r="B106" s="49"/>
      <c r="C106" s="101" t="n">
        <v>0</v>
      </c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customFormat="false" ht="12.75" hidden="false" customHeight="false" outlineLevel="0" collapsed="false">
      <c r="A107" s="99" t="s">
        <v>57</v>
      </c>
      <c r="B107" s="49"/>
      <c r="C107" s="146" t="n">
        <v>0</v>
      </c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customFormat="false" ht="12.75" hidden="false" customHeight="false" outlineLevel="0" collapsed="false">
      <c r="A108" s="99" t="s">
        <v>58</v>
      </c>
      <c r="B108" s="49"/>
      <c r="C108" s="99" t="n">
        <v>15</v>
      </c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</row>
    <row r="109" customFormat="false" ht="12.75" hidden="false" customHeight="false" outlineLevel="0" collapsed="false">
      <c r="A109" s="99" t="s">
        <v>59</v>
      </c>
      <c r="B109" s="49"/>
      <c r="C109" s="146" t="n">
        <v>0</v>
      </c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</row>
    <row r="110" customFormat="false" ht="12.75" hidden="false" customHeight="false" outlineLevel="0" collapsed="false">
      <c r="A110" s="99" t="s">
        <v>60</v>
      </c>
      <c r="B110" s="49"/>
      <c r="C110" s="147" t="n">
        <v>0.0875</v>
      </c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</row>
    <row r="111" customFormat="false" ht="12.75" hidden="false" customHeight="false" outlineLevel="0" collapsed="false">
      <c r="A111" s="99"/>
      <c r="B111" s="49"/>
      <c r="C111" s="107"/>
      <c r="D111" s="58" t="n">
        <v>2001</v>
      </c>
      <c r="E111" s="58" t="n">
        <v>2002</v>
      </c>
      <c r="F111" s="58" t="n">
        <v>2003</v>
      </c>
      <c r="G111" s="58" t="n">
        <v>2004</v>
      </c>
      <c r="H111" s="58" t="n">
        <v>2005</v>
      </c>
      <c r="I111" s="58" t="n">
        <v>2006</v>
      </c>
      <c r="J111" s="58" t="n">
        <v>2007</v>
      </c>
      <c r="K111" s="58" t="n">
        <v>2008</v>
      </c>
      <c r="L111" s="58" t="n">
        <v>2009</v>
      </c>
      <c r="M111" s="58" t="n">
        <v>2010</v>
      </c>
      <c r="N111" s="58" t="n">
        <v>2011</v>
      </c>
      <c r="O111" s="58" t="n">
        <v>2012</v>
      </c>
      <c r="P111" s="58" t="n">
        <v>2013</v>
      </c>
      <c r="Q111" s="58" t="n">
        <v>2014</v>
      </c>
      <c r="R111" s="58" t="n">
        <v>2015</v>
      </c>
      <c r="S111" s="58" t="n">
        <v>2016</v>
      </c>
      <c r="T111" s="58" t="n">
        <v>2017</v>
      </c>
      <c r="U111" s="58" t="n">
        <v>2018</v>
      </c>
      <c r="V111" s="58" t="n">
        <v>2019</v>
      </c>
      <c r="W111" s="58" t="s">
        <v>19</v>
      </c>
    </row>
    <row r="112" customFormat="false" ht="12.75" hidden="false" customHeight="false" outlineLevel="0" collapsed="false">
      <c r="A112" s="99" t="s">
        <v>61</v>
      </c>
      <c r="B112" s="49"/>
      <c r="C112" s="107"/>
      <c r="D112" s="102" t="n">
        <v>0</v>
      </c>
      <c r="E112" s="102" t="n">
        <v>0</v>
      </c>
      <c r="F112" s="102" t="n">
        <v>0</v>
      </c>
      <c r="G112" s="102" t="n">
        <v>0</v>
      </c>
      <c r="H112" s="102" t="n">
        <v>0</v>
      </c>
      <c r="I112" s="102" t="n">
        <v>0</v>
      </c>
      <c r="J112" s="102" t="n">
        <v>0</v>
      </c>
      <c r="K112" s="102" t="n">
        <v>0</v>
      </c>
      <c r="L112" s="102" t="n">
        <v>0</v>
      </c>
      <c r="M112" s="102" t="n">
        <v>0</v>
      </c>
      <c r="N112" s="102" t="n">
        <v>0</v>
      </c>
      <c r="O112" s="102" t="n">
        <v>0</v>
      </c>
      <c r="P112" s="102" t="n">
        <v>0</v>
      </c>
      <c r="Q112" s="102" t="n">
        <v>0</v>
      </c>
      <c r="R112" s="102" t="n">
        <v>0</v>
      </c>
      <c r="S112" s="102" t="n">
        <v>0</v>
      </c>
      <c r="T112" s="102" t="n">
        <v>0</v>
      </c>
      <c r="U112" s="102" t="n">
        <v>0</v>
      </c>
      <c r="V112" s="102" t="n">
        <v>0</v>
      </c>
      <c r="W112" s="102" t="n">
        <v>0</v>
      </c>
    </row>
    <row r="113" customFormat="false" ht="12.75" hidden="false" customHeight="false" outlineLevel="0" collapsed="false">
      <c r="A113" s="99" t="s">
        <v>62</v>
      </c>
      <c r="B113" s="49"/>
      <c r="C113" s="107"/>
      <c r="D113" s="102" t="n">
        <v>0</v>
      </c>
      <c r="E113" s="102" t="n">
        <v>0</v>
      </c>
      <c r="F113" s="102" t="n">
        <v>0</v>
      </c>
      <c r="G113" s="102" t="n">
        <v>0</v>
      </c>
      <c r="H113" s="102" t="n">
        <v>0</v>
      </c>
      <c r="I113" s="102" t="n">
        <v>0</v>
      </c>
      <c r="J113" s="102" t="n">
        <v>0</v>
      </c>
      <c r="K113" s="102" t="n">
        <v>0</v>
      </c>
      <c r="L113" s="102" t="n">
        <v>0</v>
      </c>
      <c r="M113" s="102" t="n">
        <v>0</v>
      </c>
      <c r="N113" s="102" t="n">
        <v>0</v>
      </c>
      <c r="O113" s="102" t="n">
        <v>0</v>
      </c>
      <c r="P113" s="102" t="n">
        <v>0</v>
      </c>
      <c r="Q113" s="102" t="n">
        <v>0</v>
      </c>
      <c r="R113" s="102" t="n">
        <v>0</v>
      </c>
      <c r="S113" s="102" t="n">
        <v>0</v>
      </c>
      <c r="T113" s="102" t="n">
        <v>0</v>
      </c>
      <c r="U113" s="102" t="n">
        <v>0</v>
      </c>
      <c r="V113" s="102" t="n">
        <v>0</v>
      </c>
      <c r="W113" s="102" t="n">
        <v>0</v>
      </c>
    </row>
    <row r="114" customFormat="false" ht="12.75" hidden="false" customHeight="false" outlineLevel="0" collapsed="false">
      <c r="A114" s="99" t="s">
        <v>63</v>
      </c>
      <c r="B114" s="49"/>
      <c r="C114" s="107"/>
      <c r="D114" s="102" t="n">
        <v>0</v>
      </c>
      <c r="E114" s="102" t="n">
        <v>0</v>
      </c>
      <c r="F114" s="102" t="n">
        <v>0</v>
      </c>
      <c r="G114" s="102" t="n">
        <v>0</v>
      </c>
      <c r="H114" s="102" t="n">
        <v>0</v>
      </c>
      <c r="I114" s="102" t="n">
        <v>0</v>
      </c>
      <c r="J114" s="102" t="n">
        <v>0</v>
      </c>
      <c r="K114" s="102" t="n">
        <v>0</v>
      </c>
      <c r="L114" s="102" t="n">
        <v>0</v>
      </c>
      <c r="M114" s="102" t="n">
        <v>0</v>
      </c>
      <c r="N114" s="102" t="n">
        <v>0</v>
      </c>
      <c r="O114" s="102" t="n">
        <v>0</v>
      </c>
      <c r="P114" s="102" t="n">
        <v>0</v>
      </c>
      <c r="Q114" s="102" t="n">
        <v>0</v>
      </c>
      <c r="R114" s="102" t="n">
        <v>0</v>
      </c>
      <c r="S114" s="102" t="n">
        <v>0</v>
      </c>
      <c r="T114" s="102" t="n">
        <v>0</v>
      </c>
      <c r="U114" s="102" t="n">
        <v>0</v>
      </c>
      <c r="V114" s="102" t="n">
        <v>0</v>
      </c>
      <c r="W114" s="102" t="n">
        <v>0</v>
      </c>
    </row>
    <row r="115" customFormat="false" ht="12.75" hidden="false" customHeight="false" outlineLevel="0" collapsed="false">
      <c r="A115" s="99" t="s">
        <v>64</v>
      </c>
      <c r="B115" s="49"/>
      <c r="C115" s="107"/>
      <c r="D115" s="105" t="n">
        <v>0</v>
      </c>
      <c r="E115" s="105" t="n">
        <v>0</v>
      </c>
      <c r="F115" s="105" t="n">
        <v>0</v>
      </c>
      <c r="G115" s="105" t="n">
        <v>0</v>
      </c>
      <c r="H115" s="105" t="n">
        <v>0</v>
      </c>
      <c r="I115" s="105" t="n">
        <v>0</v>
      </c>
      <c r="J115" s="105" t="n">
        <v>0</v>
      </c>
      <c r="K115" s="105" t="n">
        <v>0</v>
      </c>
      <c r="L115" s="105" t="n">
        <v>0</v>
      </c>
      <c r="M115" s="105" t="n">
        <v>0</v>
      </c>
      <c r="N115" s="105" t="n">
        <v>0</v>
      </c>
      <c r="O115" s="105" t="n">
        <v>0</v>
      </c>
      <c r="P115" s="105" t="n">
        <v>0</v>
      </c>
      <c r="Q115" s="105" t="n">
        <v>0</v>
      </c>
      <c r="R115" s="105" t="n">
        <v>0</v>
      </c>
      <c r="S115" s="105" t="n">
        <v>0</v>
      </c>
      <c r="T115" s="105" t="n">
        <v>0</v>
      </c>
      <c r="U115" s="105" t="n">
        <v>0</v>
      </c>
      <c r="V115" s="105" t="n">
        <v>0</v>
      </c>
      <c r="W115" s="105" t="n">
        <v>0</v>
      </c>
    </row>
    <row r="116" customFormat="false" ht="13.5" hidden="false" customHeight="false" outlineLevel="0" collapsed="false">
      <c r="A116" s="99" t="s">
        <v>65</v>
      </c>
      <c r="B116" s="49"/>
      <c r="C116" s="107"/>
      <c r="D116" s="106" t="n">
        <v>0</v>
      </c>
      <c r="E116" s="106" t="n">
        <v>0</v>
      </c>
      <c r="F116" s="106" t="n">
        <v>0</v>
      </c>
      <c r="G116" s="106" t="n">
        <v>0</v>
      </c>
      <c r="H116" s="106" t="n">
        <v>0</v>
      </c>
      <c r="I116" s="106" t="n">
        <v>0</v>
      </c>
      <c r="J116" s="106" t="n">
        <v>0</v>
      </c>
      <c r="K116" s="106" t="n">
        <v>0</v>
      </c>
      <c r="L116" s="106" t="n">
        <v>0</v>
      </c>
      <c r="M116" s="106" t="n">
        <v>0</v>
      </c>
      <c r="N116" s="106" t="n">
        <v>0</v>
      </c>
      <c r="O116" s="106" t="n">
        <v>0</v>
      </c>
      <c r="P116" s="106" t="n">
        <v>0</v>
      </c>
      <c r="Q116" s="106" t="n">
        <v>0</v>
      </c>
      <c r="R116" s="106" t="n">
        <v>0</v>
      </c>
      <c r="S116" s="106" t="n">
        <v>0</v>
      </c>
      <c r="T116" s="106" t="n">
        <v>0</v>
      </c>
      <c r="U116" s="106" t="n">
        <v>0</v>
      </c>
      <c r="V116" s="106" t="n">
        <v>0</v>
      </c>
      <c r="W116" s="106" t="n">
        <v>0</v>
      </c>
    </row>
    <row r="117" customFormat="false" ht="13.5" hidden="false" customHeight="false" outlineLevel="0" collapsed="false">
      <c r="A117" s="99"/>
      <c r="B117" s="49"/>
      <c r="C117" s="107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</row>
    <row r="118" customFormat="false" ht="12.75" hidden="false" customHeight="false" outlineLevel="0" collapsed="false">
      <c r="A118" s="99" t="s">
        <v>66</v>
      </c>
      <c r="B118" s="49"/>
      <c r="C118" s="107"/>
      <c r="D118" s="102" t="n">
        <v>0</v>
      </c>
      <c r="E118" s="102" t="n">
        <v>0</v>
      </c>
      <c r="F118" s="102" t="n">
        <v>0</v>
      </c>
      <c r="G118" s="102" t="n">
        <v>0</v>
      </c>
      <c r="H118" s="102" t="n">
        <v>0</v>
      </c>
      <c r="I118" s="102" t="n">
        <v>0</v>
      </c>
      <c r="J118" s="102" t="n">
        <v>0</v>
      </c>
      <c r="K118" s="102" t="n">
        <v>0</v>
      </c>
      <c r="L118" s="102" t="n">
        <v>0</v>
      </c>
      <c r="M118" s="102" t="n">
        <v>0</v>
      </c>
      <c r="N118" s="102" t="n">
        <v>0</v>
      </c>
      <c r="O118" s="102" t="n">
        <v>0</v>
      </c>
      <c r="P118" s="102" t="n">
        <v>0</v>
      </c>
      <c r="Q118" s="102" t="n">
        <v>0</v>
      </c>
      <c r="R118" s="102" t="n">
        <v>0</v>
      </c>
      <c r="S118" s="102" t="n">
        <v>0</v>
      </c>
      <c r="T118" s="102" t="n">
        <v>0</v>
      </c>
      <c r="U118" s="102" t="n">
        <v>0</v>
      </c>
      <c r="V118" s="102" t="n">
        <v>0</v>
      </c>
      <c r="W118" s="102" t="n">
        <v>0</v>
      </c>
    </row>
    <row r="119" customFormat="false" ht="12.75" hidden="false" customHeight="false" outlineLevel="0" collapsed="false">
      <c r="A119" s="99"/>
      <c r="B119" s="49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</row>
    <row r="120" customFormat="false" ht="12.75" hidden="false" customHeight="false" outlineLevel="0" collapsed="false">
      <c r="A120" s="99" t="s">
        <v>67</v>
      </c>
      <c r="B120" s="49"/>
      <c r="C120" s="107"/>
      <c r="D120" s="102" t="n">
        <v>0</v>
      </c>
      <c r="E120" s="102" t="n">
        <v>0</v>
      </c>
      <c r="F120" s="102" t="n">
        <v>0</v>
      </c>
      <c r="G120" s="102" t="n">
        <v>0</v>
      </c>
      <c r="H120" s="102" t="n">
        <v>0</v>
      </c>
      <c r="I120" s="102" t="n">
        <v>0</v>
      </c>
      <c r="J120" s="102" t="n">
        <v>0</v>
      </c>
      <c r="K120" s="102" t="n">
        <v>0</v>
      </c>
      <c r="L120" s="102" t="n">
        <v>0</v>
      </c>
      <c r="M120" s="102" t="n">
        <v>0</v>
      </c>
      <c r="N120" s="102" t="n">
        <v>0</v>
      </c>
      <c r="O120" s="102" t="n">
        <v>0</v>
      </c>
      <c r="P120" s="102" t="n">
        <v>0</v>
      </c>
      <c r="Q120" s="102" t="n">
        <v>0</v>
      </c>
      <c r="R120" s="102" t="n">
        <v>0</v>
      </c>
      <c r="S120" s="102" t="n">
        <v>0</v>
      </c>
      <c r="T120" s="102" t="n">
        <v>0</v>
      </c>
      <c r="U120" s="102" t="n">
        <v>0</v>
      </c>
      <c r="V120" s="102" t="n">
        <v>0</v>
      </c>
      <c r="W120" s="102" t="n">
        <v>0</v>
      </c>
    </row>
    <row r="121" customFormat="false" ht="12.75" hidden="false" customHeight="false" outlineLevel="0" collapsed="false">
      <c r="A121" s="107"/>
      <c r="B121" s="49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customFormat="false" ht="12.75" hidden="false" customHeight="false" outlineLevel="0" collapsed="false">
      <c r="A122" s="107"/>
      <c r="B122" s="49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</row>
    <row r="123" customFormat="false" ht="12.75" hidden="false" customHeight="false" outlineLevel="0" collapsed="false">
      <c r="A123" s="99" t="s">
        <v>68</v>
      </c>
      <c r="B123" s="148"/>
      <c r="C123" s="149"/>
      <c r="D123" s="79" t="n">
        <v>31588220.5856361</v>
      </c>
      <c r="E123" s="79" t="n">
        <v>12735769.4074803</v>
      </c>
      <c r="F123" s="79" t="n">
        <v>31781346.974456</v>
      </c>
      <c r="G123" s="79" t="n">
        <v>34206354.4105797</v>
      </c>
      <c r="H123" s="79" t="n">
        <v>34304400.2428336</v>
      </c>
      <c r="I123" s="79" t="n">
        <v>33824778.0391956</v>
      </c>
      <c r="J123" s="79" t="n">
        <v>36118872.7058252</v>
      </c>
      <c r="K123" s="79" t="n">
        <v>35921172.2853432</v>
      </c>
      <c r="L123" s="79" t="n">
        <v>36196110.5301318</v>
      </c>
      <c r="M123" s="79" t="n">
        <v>35604385.7084166</v>
      </c>
      <c r="N123" s="79" t="n">
        <v>35959453.4638954</v>
      </c>
      <c r="O123" s="79" t="n">
        <v>35762561.2091887</v>
      </c>
      <c r="P123" s="79" t="n">
        <v>35723485.7000016</v>
      </c>
      <c r="Q123" s="79" t="n">
        <v>36925506.9852083</v>
      </c>
      <c r="R123" s="79" t="n">
        <v>40564814.5408587</v>
      </c>
      <c r="S123" s="79" t="n">
        <v>38935119.5137499</v>
      </c>
      <c r="T123" s="79" t="n">
        <v>39814339.9808211</v>
      </c>
      <c r="U123" s="79" t="n">
        <v>44344400.0190899</v>
      </c>
      <c r="V123" s="79" t="n">
        <v>46558678.0960981</v>
      </c>
      <c r="W123" s="79" t="n">
        <v>239756550.7147</v>
      </c>
    </row>
    <row r="124" customFormat="false" ht="12.75" hidden="false" customHeight="false" outlineLevel="0" collapsed="false">
      <c r="A124" s="2"/>
      <c r="B124" s="3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customFormat="false" ht="12.75" hidden="false" customHeight="false" outlineLevel="0" collapsed="false">
      <c r="A125" s="51"/>
      <c r="B125" s="115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</row>
    <row r="126" customFormat="false" ht="12.75" hidden="false" customHeight="false" outlineLevel="0" collapsed="false">
      <c r="B126" s="150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16"/>
    </row>
    <row r="127" customFormat="false" ht="12.75" hidden="false" customHeight="false" outlineLevel="0" collapsed="false">
      <c r="B127" s="150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16"/>
    </row>
    <row r="128" customFormat="false" ht="15.75" hidden="false" customHeight="false" outlineLevel="0" collapsed="false">
      <c r="A128" s="51"/>
      <c r="B128" s="57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</row>
    <row r="129" customFormat="false" ht="12.75" hidden="false" customHeight="false" outlineLevel="0" collapsed="false">
      <c r="A129" s="51"/>
      <c r="B129" s="115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</row>
    <row r="130" customFormat="false" ht="12.75" hidden="false" customHeight="false" outlineLevel="0" collapsed="false">
      <c r="B130" s="150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16"/>
    </row>
    <row r="131" customFormat="false" ht="12.75" hidden="false" customHeight="false" outlineLevel="0" collapsed="false">
      <c r="B131" s="150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16"/>
    </row>
    <row r="132" customFormat="false" ht="15.75" hidden="false" customHeight="false" outlineLevel="0" collapsed="false">
      <c r="A132" s="48" t="s">
        <v>17</v>
      </c>
      <c r="B132" s="57" t="s">
        <v>71</v>
      </c>
      <c r="C132" s="58" t="n">
        <v>2000</v>
      </c>
      <c r="D132" s="58" t="n">
        <v>2001</v>
      </c>
      <c r="E132" s="58" t="n">
        <v>2002</v>
      </c>
      <c r="F132" s="58" t="n">
        <v>2003</v>
      </c>
      <c r="G132" s="58" t="n">
        <v>2004</v>
      </c>
      <c r="H132" s="58" t="n">
        <v>2005</v>
      </c>
      <c r="I132" s="58" t="n">
        <v>2006</v>
      </c>
      <c r="J132" s="58" t="n">
        <v>2007</v>
      </c>
      <c r="K132" s="58" t="n">
        <v>2008</v>
      </c>
      <c r="L132" s="58" t="n">
        <v>2009</v>
      </c>
      <c r="M132" s="58" t="n">
        <v>2010</v>
      </c>
      <c r="N132" s="58" t="n">
        <v>2011</v>
      </c>
      <c r="O132" s="58" t="n">
        <v>2012</v>
      </c>
      <c r="P132" s="58" t="n">
        <v>2013</v>
      </c>
      <c r="Q132" s="58" t="n">
        <v>2014</v>
      </c>
      <c r="R132" s="58" t="n">
        <v>2015</v>
      </c>
      <c r="S132" s="58" t="n">
        <v>2016</v>
      </c>
      <c r="T132" s="58" t="n">
        <v>2017</v>
      </c>
      <c r="U132" s="58" t="n">
        <v>2018</v>
      </c>
      <c r="V132" s="58" t="n">
        <v>2019</v>
      </c>
      <c r="W132" s="58" t="s">
        <v>19</v>
      </c>
    </row>
    <row r="133" customFormat="false" ht="12.75" hidden="false" customHeight="false" outlineLevel="0" collapsed="false">
      <c r="A133" s="48" t="s">
        <v>5</v>
      </c>
      <c r="B133" s="49" t="n">
        <v>414</v>
      </c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</row>
    <row r="134" customFormat="false" ht="12.75" hidden="false" customHeight="false" outlineLevel="0" collapsed="false">
      <c r="A134" s="2"/>
      <c r="B134" s="117" t="s">
        <v>20</v>
      </c>
      <c r="C134" s="118" t="n">
        <v>0</v>
      </c>
      <c r="D134" s="64" t="n">
        <v>122148115.219499</v>
      </c>
      <c r="E134" s="64" t="n">
        <v>120454073.202013</v>
      </c>
      <c r="F134" s="64" t="n">
        <v>122772607.416026</v>
      </c>
      <c r="G134" s="64" t="n">
        <v>121032451.495594</v>
      </c>
      <c r="H134" s="64" t="n">
        <v>121944090.390755</v>
      </c>
      <c r="I134" s="64" t="n">
        <v>130177981.937277</v>
      </c>
      <c r="J134" s="64" t="n">
        <v>139584019.18558</v>
      </c>
      <c r="K134" s="64" t="n">
        <v>143196140.630089</v>
      </c>
      <c r="L134" s="64" t="n">
        <v>146193350.574675</v>
      </c>
      <c r="M134" s="64" t="n">
        <v>146715252.758336</v>
      </c>
      <c r="N134" s="64" t="n">
        <v>149885026.086927</v>
      </c>
      <c r="O134" s="64" t="n">
        <v>151568203.018587</v>
      </c>
      <c r="P134" s="64" t="n">
        <v>153351864.489384</v>
      </c>
      <c r="Q134" s="64" t="n">
        <v>158750037.33822</v>
      </c>
      <c r="R134" s="64" t="n">
        <v>170013193.215335</v>
      </c>
      <c r="S134" s="64" t="n">
        <v>169033793.753056</v>
      </c>
      <c r="T134" s="64" t="n">
        <v>171188098.879637</v>
      </c>
      <c r="U134" s="64" t="n">
        <v>179414616.786065</v>
      </c>
      <c r="V134" s="64" t="n">
        <v>184864080.001438</v>
      </c>
      <c r="W134" s="65"/>
    </row>
    <row r="135" customFormat="false" ht="12.75" hidden="false" customHeight="false" outlineLevel="0" collapsed="false">
      <c r="A135" s="2"/>
      <c r="B135" s="117" t="s">
        <v>21</v>
      </c>
      <c r="C135" s="118" t="n">
        <v>0</v>
      </c>
      <c r="D135" s="64" t="n">
        <v>-29354569.5075102</v>
      </c>
      <c r="E135" s="64" t="n">
        <v>-29249629.54502</v>
      </c>
      <c r="F135" s="64" t="n">
        <v>-29313229.5222868</v>
      </c>
      <c r="G135" s="64" t="n">
        <v>-29669389.3949811</v>
      </c>
      <c r="H135" s="64" t="n">
        <v>-30225889.196066</v>
      </c>
      <c r="I135" s="64" t="n">
        <v>-31259388.8266521</v>
      </c>
      <c r="J135" s="64" t="n">
        <v>-32505948.3810822</v>
      </c>
      <c r="K135" s="64" t="n">
        <v>-33514008.0207616</v>
      </c>
      <c r="L135" s="64" t="n">
        <v>-34528427.6581677</v>
      </c>
      <c r="M135" s="64" t="n">
        <v>-35740007.225101</v>
      </c>
      <c r="N135" s="64" t="n">
        <v>-36922966.8022643</v>
      </c>
      <c r="O135" s="64" t="n">
        <v>-37673446.534013</v>
      </c>
      <c r="P135" s="64" t="n">
        <v>-38188606.3498744</v>
      </c>
      <c r="Q135" s="64" t="n">
        <v>-38945446.0793498</v>
      </c>
      <c r="R135" s="64" t="n">
        <v>-39699105.8099618</v>
      </c>
      <c r="S135" s="64" t="n">
        <v>-40478205.5314806</v>
      </c>
      <c r="T135" s="64" t="n">
        <v>-41266845.2495895</v>
      </c>
      <c r="U135" s="64" t="n">
        <v>-42074564.9608783</v>
      </c>
      <c r="V135" s="64" t="n">
        <v>-42891824.6687572</v>
      </c>
      <c r="W135" s="65"/>
    </row>
    <row r="136" customFormat="false" ht="12.75" hidden="false" customHeight="false" outlineLevel="0" collapsed="false">
      <c r="A136" s="2"/>
      <c r="B136" s="117" t="s">
        <v>22</v>
      </c>
      <c r="C136" s="118" t="n">
        <v>0</v>
      </c>
      <c r="D136" s="64" t="n">
        <v>-6565213.53891586</v>
      </c>
      <c r="E136" s="64" t="n">
        <v>-6697728.14411035</v>
      </c>
      <c r="F136" s="64" t="n">
        <v>-8452152.2266267</v>
      </c>
      <c r="G136" s="64" t="n">
        <v>-8630551.13209328</v>
      </c>
      <c r="H136" s="64" t="n">
        <v>-8812745.84598723</v>
      </c>
      <c r="I136" s="64" t="n">
        <v>-8998817.85779263</v>
      </c>
      <c r="J136" s="64" t="n">
        <v>-9188850.42364465</v>
      </c>
      <c r="K136" s="64" t="n">
        <v>-9382928.60503434</v>
      </c>
      <c r="L136" s="64" t="n">
        <v>-9581139.30837058</v>
      </c>
      <c r="M136" s="64" t="n">
        <v>-9783571.32541879</v>
      </c>
      <c r="N136" s="64" t="n">
        <v>-9990315.37463578</v>
      </c>
      <c r="O136" s="64" t="n">
        <v>-10201464.1434209</v>
      </c>
      <c r="P136" s="64" t="n">
        <v>-10417112.3313043</v>
      </c>
      <c r="Q136" s="64" t="n">
        <v>-10637356.6940925</v>
      </c>
      <c r="R136" s="64" t="n">
        <v>-10862296.088994</v>
      </c>
      <c r="S136" s="64" t="n">
        <v>-11092031.5207459</v>
      </c>
      <c r="T136" s="64" t="n">
        <v>-11326666.1887643</v>
      </c>
      <c r="U136" s="64" t="n">
        <v>-11566305.5353415</v>
      </c>
      <c r="V136" s="64" t="n">
        <v>-11811057.2949137</v>
      </c>
      <c r="W136" s="65"/>
    </row>
    <row r="137" customFormat="false" ht="12.75" hidden="false" customHeight="false" outlineLevel="0" collapsed="false">
      <c r="A137" s="2"/>
      <c r="B137" s="117" t="s">
        <v>23</v>
      </c>
      <c r="C137" s="118" t="n">
        <v>0</v>
      </c>
      <c r="D137" s="64" t="n">
        <v>0</v>
      </c>
      <c r="E137" s="64" t="n">
        <v>0</v>
      </c>
      <c r="F137" s="64" t="n">
        <v>0</v>
      </c>
      <c r="G137" s="64" t="n">
        <v>0</v>
      </c>
      <c r="H137" s="64" t="n">
        <v>0</v>
      </c>
      <c r="I137" s="64" t="n">
        <v>2563557.46642627</v>
      </c>
      <c r="J137" s="64" t="n">
        <v>2841498.66442257</v>
      </c>
      <c r="K137" s="64" t="n">
        <v>3064812.33466997</v>
      </c>
      <c r="L137" s="64" t="n">
        <v>3443824.51707075</v>
      </c>
      <c r="M137" s="64" t="n">
        <v>3830062.35267762</v>
      </c>
      <c r="N137" s="64" t="n">
        <v>4219103.32519417</v>
      </c>
      <c r="O137" s="64" t="n">
        <v>4674639.99177244</v>
      </c>
      <c r="P137" s="64" t="n">
        <v>5241501.14030154</v>
      </c>
      <c r="Q137" s="64" t="n">
        <v>5834608.68977976</v>
      </c>
      <c r="R137" s="64" t="n">
        <v>6462964.05842591</v>
      </c>
      <c r="S137" s="64" t="n">
        <v>7096326.58825325</v>
      </c>
      <c r="T137" s="64" t="n">
        <v>6971794.91036061</v>
      </c>
      <c r="U137" s="64" t="n">
        <v>5964747.63288455</v>
      </c>
      <c r="V137" s="64" t="n">
        <v>6184342.82001725</v>
      </c>
      <c r="W137" s="65"/>
    </row>
    <row r="138" customFormat="false" ht="13.5" hidden="false" customHeight="false" outlineLevel="0" collapsed="false">
      <c r="A138" s="2"/>
      <c r="B138" s="119" t="s">
        <v>24</v>
      </c>
      <c r="C138" s="120" t="n">
        <v>0</v>
      </c>
      <c r="D138" s="68" t="n">
        <v>0</v>
      </c>
      <c r="E138" s="68" t="n">
        <v>0</v>
      </c>
      <c r="F138" s="68" t="n">
        <v>-1597793.28802944</v>
      </c>
      <c r="G138" s="68" t="n">
        <v>-1361420.03607569</v>
      </c>
      <c r="H138" s="68" t="n">
        <v>-1413339.99506387</v>
      </c>
      <c r="I138" s="68" t="n">
        <v>-1467878.02572507</v>
      </c>
      <c r="J138" s="68" t="n">
        <v>-1843975.3919431</v>
      </c>
      <c r="K138" s="68" t="n">
        <v>-1610691.83923034</v>
      </c>
      <c r="L138" s="68" t="n">
        <v>-1704803.50703193</v>
      </c>
      <c r="M138" s="68" t="n">
        <v>-1622185.82914219</v>
      </c>
      <c r="N138" s="68" t="n">
        <v>-1668646.56825873</v>
      </c>
      <c r="O138" s="68" t="n">
        <v>-1711916.02877182</v>
      </c>
      <c r="P138" s="68" t="n">
        <v>-1529100.18564656</v>
      </c>
      <c r="Q138" s="68" t="n">
        <v>-1583772.67122371</v>
      </c>
      <c r="R138" s="68" t="n">
        <v>-1616501.93721127</v>
      </c>
      <c r="S138" s="68" t="n">
        <v>-1716611.48472399</v>
      </c>
      <c r="T138" s="68" t="n">
        <v>-1613792.83677292</v>
      </c>
      <c r="U138" s="68" t="n">
        <v>-1777394.37972938</v>
      </c>
      <c r="V138" s="68" t="n">
        <v>-967703.355408766</v>
      </c>
      <c r="W138" s="65"/>
    </row>
    <row r="139" customFormat="false" ht="13.5" hidden="false" customHeight="false" outlineLevel="0" collapsed="false">
      <c r="A139" s="2"/>
      <c r="B139" s="121" t="s">
        <v>25</v>
      </c>
      <c r="C139" s="122" t="n">
        <v>0</v>
      </c>
      <c r="D139" s="71" t="n">
        <v>86228332.1730727</v>
      </c>
      <c r="E139" s="71" t="n">
        <v>84506715.5128826</v>
      </c>
      <c r="F139" s="71" t="n">
        <v>83409432.3790828</v>
      </c>
      <c r="G139" s="71" t="n">
        <v>81371090.9324441</v>
      </c>
      <c r="H139" s="71" t="n">
        <v>81492115.3536379</v>
      </c>
      <c r="I139" s="71" t="n">
        <v>91015454.693533</v>
      </c>
      <c r="J139" s="71" t="n">
        <v>98886743.6533324</v>
      </c>
      <c r="K139" s="71" t="n">
        <v>101753324.499733</v>
      </c>
      <c r="L139" s="71" t="n">
        <v>103822804.618175</v>
      </c>
      <c r="M139" s="71" t="n">
        <v>103399550.731351</v>
      </c>
      <c r="N139" s="71" t="n">
        <v>105522200.666962</v>
      </c>
      <c r="O139" s="71" t="n">
        <v>106656016.304154</v>
      </c>
      <c r="P139" s="71" t="n">
        <v>108458546.76286</v>
      </c>
      <c r="Q139" s="71" t="n">
        <v>113418070.583333</v>
      </c>
      <c r="R139" s="71" t="n">
        <v>124298253.437593</v>
      </c>
      <c r="S139" s="71" t="n">
        <v>122843271.804359</v>
      </c>
      <c r="T139" s="71" t="n">
        <v>123952589.514871</v>
      </c>
      <c r="U139" s="71" t="n">
        <v>129961099.543</v>
      </c>
      <c r="V139" s="71" t="n">
        <v>135377837.502376</v>
      </c>
      <c r="W139" s="65"/>
    </row>
    <row r="140" customFormat="false" ht="12.75" hidden="false" customHeight="false" outlineLevel="0" collapsed="false">
      <c r="A140" s="2"/>
      <c r="B140" s="117" t="s">
        <v>26</v>
      </c>
      <c r="C140" s="118" t="n">
        <v>0</v>
      </c>
      <c r="D140" s="64" t="n">
        <v>-2407054.28618824</v>
      </c>
      <c r="E140" s="64" t="n">
        <v>-2455195.371912</v>
      </c>
      <c r="F140" s="64" t="n">
        <v>-2578604.27935024</v>
      </c>
      <c r="G140" s="64" t="n">
        <v>-2630547.88993725</v>
      </c>
      <c r="H140" s="64" t="n">
        <v>-2683539.66086099</v>
      </c>
      <c r="I140" s="64" t="n">
        <v>-2737600.78753134</v>
      </c>
      <c r="J140" s="64" t="n">
        <v>-2792752.89507142</v>
      </c>
      <c r="K140" s="64" t="n">
        <v>-2849018.04705703</v>
      </c>
      <c r="L140" s="64" t="n">
        <v>-2906418.75443447</v>
      </c>
      <c r="M140" s="64" t="n">
        <v>-2964977.98462036</v>
      </c>
      <c r="N140" s="64" t="n">
        <v>-3024719.1707874</v>
      </c>
      <c r="O140" s="64" t="n">
        <v>-3085666.22133964</v>
      </c>
      <c r="P140" s="64" t="n">
        <v>-3147843.52958135</v>
      </c>
      <c r="Q140" s="64" t="n">
        <v>-3211275.98358326</v>
      </c>
      <c r="R140" s="64" t="n">
        <v>-3275988.97625046</v>
      </c>
      <c r="S140" s="64" t="n">
        <v>-3342008.4155959</v>
      </c>
      <c r="T140" s="64" t="n">
        <v>-3409360.73522376</v>
      </c>
      <c r="U140" s="64" t="n">
        <v>-3478072.90502707</v>
      </c>
      <c r="V140" s="64" t="n">
        <v>-3548172.44210392</v>
      </c>
      <c r="W140" s="65"/>
    </row>
    <row r="141" customFormat="false" ht="12.75" hidden="false" customHeight="false" outlineLevel="0" collapsed="false">
      <c r="A141" s="2"/>
      <c r="B141" s="117" t="s">
        <v>27</v>
      </c>
      <c r="C141" s="118" t="n">
        <v>0</v>
      </c>
      <c r="D141" s="64" t="n">
        <v>-597318.549387791</v>
      </c>
      <c r="E141" s="64" t="n">
        <v>-613373.928467066</v>
      </c>
      <c r="F141" s="64" t="n">
        <v>-629780.920348176</v>
      </c>
      <c r="G141" s="64" t="n">
        <v>-646558.7102458</v>
      </c>
      <c r="H141" s="64" t="n">
        <v>-663735.811542987</v>
      </c>
      <c r="I141" s="64" t="n">
        <v>-681343.372725527</v>
      </c>
      <c r="J141" s="64" t="n">
        <v>-699387.650477799</v>
      </c>
      <c r="K141" s="64" t="n">
        <v>-717888.66618982</v>
      </c>
      <c r="L141" s="64" t="n">
        <v>-736846.656989928</v>
      </c>
      <c r="M141" s="64" t="n">
        <v>-756288.076555439</v>
      </c>
      <c r="N141" s="64" t="n">
        <v>-776199.978474435</v>
      </c>
      <c r="O141" s="64" t="n">
        <v>-796613.660321789</v>
      </c>
      <c r="P141" s="64" t="n">
        <v>-817545.849688067</v>
      </c>
      <c r="Q141" s="64" t="n">
        <v>-839001.343788501</v>
      </c>
      <c r="R141" s="64" t="n">
        <v>-860995.370790857</v>
      </c>
      <c r="S141" s="64" t="n">
        <v>-883539.248468271</v>
      </c>
      <c r="T141" s="64" t="n">
        <v>-906642.214312085</v>
      </c>
      <c r="U141" s="64" t="n">
        <v>-930325.064598579</v>
      </c>
      <c r="V141" s="64" t="n">
        <v>-954602.354427264</v>
      </c>
      <c r="W141" s="65"/>
    </row>
    <row r="142" customFormat="false" ht="13.5" hidden="false" customHeight="false" outlineLevel="0" collapsed="false">
      <c r="A142" s="2"/>
      <c r="B142" s="119" t="s">
        <v>28</v>
      </c>
      <c r="C142" s="120" t="n">
        <v>0</v>
      </c>
      <c r="D142" s="68" t="n">
        <v>-972786.000315297</v>
      </c>
      <c r="E142" s="68" t="n">
        <v>-993311.784921956</v>
      </c>
      <c r="F142" s="68" t="n">
        <v>-1015065.31301175</v>
      </c>
      <c r="G142" s="68" t="n">
        <v>-1038005.78908581</v>
      </c>
      <c r="H142" s="68" t="n">
        <v>-1062710.32686605</v>
      </c>
      <c r="I142" s="68" t="n">
        <v>-1089341.95449349</v>
      </c>
      <c r="J142" s="68" t="n">
        <v>-1116360.6697318</v>
      </c>
      <c r="K142" s="68" t="n">
        <v>-1144618.06532488</v>
      </c>
      <c r="L142" s="68" t="n">
        <v>-1172890.1315384</v>
      </c>
      <c r="M142" s="68" t="n">
        <v>-1202798.82989263</v>
      </c>
      <c r="N142" s="68" t="n">
        <v>-1231906.56157603</v>
      </c>
      <c r="O142" s="68" t="n">
        <v>-1262950.60692775</v>
      </c>
      <c r="P142" s="68" t="n">
        <v>-1295029.55234371</v>
      </c>
      <c r="Q142" s="68" t="n">
        <v>-1327405.2911523</v>
      </c>
      <c r="R142" s="68" t="n">
        <v>-1360723.16396022</v>
      </c>
      <c r="S142" s="68" t="n">
        <v>-1394741.24305923</v>
      </c>
      <c r="T142" s="68" t="n">
        <v>-1429330.8258871</v>
      </c>
      <c r="U142" s="68" t="n">
        <v>-1465207.02961687</v>
      </c>
      <c r="V142" s="68" t="n">
        <v>-1501983.72606025</v>
      </c>
      <c r="W142" s="65"/>
    </row>
    <row r="143" customFormat="false" ht="13.5" hidden="false" customHeight="false" outlineLevel="0" collapsed="false">
      <c r="A143" s="2"/>
      <c r="B143" s="121" t="s">
        <v>29</v>
      </c>
      <c r="C143" s="123" t="n">
        <v>0</v>
      </c>
      <c r="D143" s="73" t="n">
        <v>82251173.3371814</v>
      </c>
      <c r="E143" s="73" t="n">
        <v>80444834.4275815</v>
      </c>
      <c r="F143" s="73" t="n">
        <v>79185981.8663726</v>
      </c>
      <c r="G143" s="73" t="n">
        <v>77055978.5431752</v>
      </c>
      <c r="H143" s="73" t="n">
        <v>77082129.5543678</v>
      </c>
      <c r="I143" s="73" t="n">
        <v>86507168.5787827</v>
      </c>
      <c r="J143" s="73" t="n">
        <v>94278242.4380514</v>
      </c>
      <c r="K143" s="73" t="n">
        <v>97041799.7211614</v>
      </c>
      <c r="L143" s="73" t="n">
        <v>99006649.0752127</v>
      </c>
      <c r="M143" s="73" t="n">
        <v>98475485.8402828</v>
      </c>
      <c r="N143" s="73" t="n">
        <v>100489374.956125</v>
      </c>
      <c r="O143" s="73" t="n">
        <v>101510785.815565</v>
      </c>
      <c r="P143" s="73" t="n">
        <v>103198127.831247</v>
      </c>
      <c r="Q143" s="73" t="n">
        <v>108040387.964809</v>
      </c>
      <c r="R143" s="73" t="n">
        <v>118800545.926592</v>
      </c>
      <c r="S143" s="73" t="n">
        <v>117222982.897235</v>
      </c>
      <c r="T143" s="73" t="n">
        <v>118207255.739448</v>
      </c>
      <c r="U143" s="73" t="n">
        <v>124087494.543758</v>
      </c>
      <c r="V143" s="73" t="n">
        <v>129373078.979784</v>
      </c>
      <c r="W143" s="65"/>
    </row>
    <row r="144" customFormat="false" ht="12.75" hidden="false" customHeight="false" outlineLevel="0" collapsed="false">
      <c r="A144" s="2"/>
      <c r="B144" s="117" t="s">
        <v>30</v>
      </c>
      <c r="C144" s="118" t="n">
        <v>0</v>
      </c>
      <c r="D144" s="64" t="n">
        <v>-4174403.421576</v>
      </c>
      <c r="E144" s="64" t="n">
        <v>-5849582.9851518</v>
      </c>
      <c r="F144" s="64" t="n">
        <v>-6167306.2830159</v>
      </c>
      <c r="G144" s="64" t="n">
        <v>-6508233.2379047</v>
      </c>
      <c r="H144" s="64" t="n">
        <v>-6249775.3503996</v>
      </c>
      <c r="I144" s="64" t="n">
        <v>-4937861.47714864</v>
      </c>
      <c r="J144" s="64" t="n">
        <v>-4072087.30699666</v>
      </c>
      <c r="K144" s="64" t="n">
        <v>-4336067.06145012</v>
      </c>
      <c r="L144" s="64" t="n">
        <v>-4634929.19904435</v>
      </c>
      <c r="M144" s="64" t="n">
        <v>-4946409.99885768</v>
      </c>
      <c r="N144" s="64" t="n">
        <v>-5011399.33272419</v>
      </c>
      <c r="O144" s="64" t="n">
        <v>-5083722.11197752</v>
      </c>
      <c r="P144" s="64" t="n">
        <v>-5431112.34495272</v>
      </c>
      <c r="Q144" s="64" t="n">
        <v>-5606434.45491718</v>
      </c>
      <c r="R144" s="64" t="n">
        <v>-5792288.21818057</v>
      </c>
      <c r="S144" s="64" t="n">
        <v>-6172099.79434187</v>
      </c>
      <c r="T144" s="64" t="n">
        <v>-6563190.007788</v>
      </c>
      <c r="U144" s="64" t="n">
        <v>-6827935.63763752</v>
      </c>
      <c r="V144" s="64" t="n">
        <v>-7094544.71638252</v>
      </c>
      <c r="W144" s="65"/>
    </row>
    <row r="145" customFormat="false" ht="13.5" hidden="false" customHeight="false" outlineLevel="0" collapsed="false">
      <c r="A145" s="2"/>
      <c r="B145" s="119" t="s">
        <v>70</v>
      </c>
      <c r="C145" s="120" t="n">
        <v>0</v>
      </c>
      <c r="D145" s="68" t="n">
        <v>-31230707.9662422</v>
      </c>
      <c r="E145" s="68" t="n">
        <v>-29838100.5769719</v>
      </c>
      <c r="F145" s="68" t="n">
        <v>-29207470.2333427</v>
      </c>
      <c r="G145" s="68" t="n">
        <v>-28219098.1221082</v>
      </c>
      <c r="H145" s="68" t="n">
        <v>-28332941.6815873</v>
      </c>
      <c r="I145" s="68" t="n">
        <v>-32627722.8406536</v>
      </c>
      <c r="J145" s="68" t="n">
        <v>-36082462.0524219</v>
      </c>
      <c r="K145" s="68" t="n">
        <v>-37082293.0638845</v>
      </c>
      <c r="L145" s="68" t="n">
        <v>-37748687.9504673</v>
      </c>
      <c r="M145" s="68" t="n">
        <v>-37411630.3365701</v>
      </c>
      <c r="N145" s="68" t="n">
        <v>-38191190.2493601</v>
      </c>
      <c r="O145" s="68" t="n">
        <v>-38570825.481435</v>
      </c>
      <c r="P145" s="68" t="n">
        <v>-39106806.1945177</v>
      </c>
      <c r="Q145" s="68" t="n">
        <v>-40973581.4039569</v>
      </c>
      <c r="R145" s="68" t="n">
        <v>-45203303.0833645</v>
      </c>
      <c r="S145" s="68" t="n">
        <v>-44420353.2411573</v>
      </c>
      <c r="T145" s="68" t="n">
        <v>-44657626.292664</v>
      </c>
      <c r="U145" s="68" t="n">
        <v>-46903823.5624482</v>
      </c>
      <c r="V145" s="68" t="n">
        <v>-48911413.7053607</v>
      </c>
      <c r="W145" s="65"/>
    </row>
    <row r="146" customFormat="false" ht="13.5" hidden="false" customHeight="false" outlineLevel="0" collapsed="false">
      <c r="A146" s="2"/>
      <c r="B146" s="121" t="s">
        <v>32</v>
      </c>
      <c r="C146" s="123" t="n">
        <v>0</v>
      </c>
      <c r="D146" s="73" t="n">
        <v>46846061.9493632</v>
      </c>
      <c r="E146" s="73" t="n">
        <v>44757150.8654578</v>
      </c>
      <c r="F146" s="73" t="n">
        <v>43811205.350014</v>
      </c>
      <c r="G146" s="73" t="n">
        <v>42328647.1831623</v>
      </c>
      <c r="H146" s="73" t="n">
        <v>42499412.522381</v>
      </c>
      <c r="I146" s="73" t="n">
        <v>48941584.2609804</v>
      </c>
      <c r="J146" s="73" t="n">
        <v>54123693.0786329</v>
      </c>
      <c r="K146" s="73" t="n">
        <v>55623439.5958268</v>
      </c>
      <c r="L146" s="73" t="n">
        <v>56623031.925701</v>
      </c>
      <c r="M146" s="73" t="n">
        <v>56117445.5048551</v>
      </c>
      <c r="N146" s="73" t="n">
        <v>57286785.3740402</v>
      </c>
      <c r="O146" s="73" t="n">
        <v>57856238.2221524</v>
      </c>
      <c r="P146" s="73" t="n">
        <v>58660209.2917766</v>
      </c>
      <c r="Q146" s="73" t="n">
        <v>61460372.1059353</v>
      </c>
      <c r="R146" s="73" t="n">
        <v>67804954.6250468</v>
      </c>
      <c r="S146" s="73" t="n">
        <v>66630529.861736</v>
      </c>
      <c r="T146" s="73" t="n">
        <v>66986439.438996</v>
      </c>
      <c r="U146" s="73" t="n">
        <v>70355735.3436723</v>
      </c>
      <c r="V146" s="73" t="n">
        <v>73367120.5580411</v>
      </c>
      <c r="W146" s="65"/>
    </row>
    <row r="147" customFormat="false" ht="12.75" hidden="false" customHeight="false" outlineLevel="0" collapsed="false">
      <c r="A147" s="2"/>
      <c r="B147" s="117" t="s">
        <v>30</v>
      </c>
      <c r="C147" s="118" t="n">
        <v>0</v>
      </c>
      <c r="D147" s="64" t="n">
        <v>4174403.421576</v>
      </c>
      <c r="E147" s="64" t="n">
        <v>5849582.9851518</v>
      </c>
      <c r="F147" s="64" t="n">
        <v>6167306.2830159</v>
      </c>
      <c r="G147" s="64" t="n">
        <v>6508233.2379047</v>
      </c>
      <c r="H147" s="64" t="n">
        <v>6249775.3503996</v>
      </c>
      <c r="I147" s="64" t="n">
        <v>4937861.47714864</v>
      </c>
      <c r="J147" s="64" t="n">
        <v>4072087.30699666</v>
      </c>
      <c r="K147" s="64" t="n">
        <v>4336067.06145012</v>
      </c>
      <c r="L147" s="64" t="n">
        <v>4634929.19904435</v>
      </c>
      <c r="M147" s="64" t="n">
        <v>4946409.99885768</v>
      </c>
      <c r="N147" s="64" t="n">
        <v>5011399.33272419</v>
      </c>
      <c r="O147" s="64" t="n">
        <v>5083722.11197752</v>
      </c>
      <c r="P147" s="64" t="n">
        <v>5431112.34495272</v>
      </c>
      <c r="Q147" s="64" t="n">
        <v>5606434.45491718</v>
      </c>
      <c r="R147" s="64" t="n">
        <v>5792288.21818057</v>
      </c>
      <c r="S147" s="64" t="n">
        <v>6172099.79434187</v>
      </c>
      <c r="T147" s="64" t="n">
        <v>6563190.007788</v>
      </c>
      <c r="U147" s="64" t="n">
        <v>6827935.63763752</v>
      </c>
      <c r="V147" s="64" t="n">
        <v>7094544.71638252</v>
      </c>
      <c r="W147" s="65"/>
    </row>
    <row r="148" customFormat="false" ht="12.75" hidden="false" customHeight="false" outlineLevel="0" collapsed="false">
      <c r="A148" s="2"/>
      <c r="B148" s="117" t="s">
        <v>33</v>
      </c>
      <c r="C148" s="118" t="n">
        <v>0</v>
      </c>
      <c r="D148" s="64" t="n">
        <v>-6476152.92</v>
      </c>
      <c r="E148" s="64" t="n">
        <v>-4148462.07</v>
      </c>
      <c r="F148" s="64" t="n">
        <v>-9273526.55</v>
      </c>
      <c r="G148" s="64" t="n">
        <v>-4044029</v>
      </c>
      <c r="H148" s="64" t="n">
        <v>-5849494.476</v>
      </c>
      <c r="I148" s="64" t="n">
        <v>-6024979.31028</v>
      </c>
      <c r="J148" s="64" t="n">
        <v>-6205728.6895884</v>
      </c>
      <c r="K148" s="64" t="n">
        <v>-6391900.55027605</v>
      </c>
      <c r="L148" s="64" t="n">
        <v>-6583657.56678433</v>
      </c>
      <c r="M148" s="64" t="n">
        <v>-6781167.29378787</v>
      </c>
      <c r="N148" s="64" t="n">
        <v>-6984602.3126015</v>
      </c>
      <c r="O148" s="64" t="n">
        <v>-7194140.38197955</v>
      </c>
      <c r="P148" s="64" t="n">
        <v>-7409964.59343893</v>
      </c>
      <c r="Q148" s="64" t="n">
        <v>-7632263.5312421</v>
      </c>
      <c r="R148" s="64" t="n">
        <v>-7861231.43717936</v>
      </c>
      <c r="S148" s="64" t="n">
        <v>-8097068.38029475</v>
      </c>
      <c r="T148" s="64" t="n">
        <v>-8339980.43170359</v>
      </c>
      <c r="U148" s="64" t="n">
        <v>-8590179.84465469</v>
      </c>
      <c r="V148" s="64" t="n">
        <v>-8847885.23999434</v>
      </c>
      <c r="W148" s="65"/>
    </row>
    <row r="149" customFormat="false" ht="13.5" hidden="false" customHeight="false" outlineLevel="0" collapsed="false">
      <c r="A149" s="2"/>
      <c r="B149" s="119" t="s">
        <v>34</v>
      </c>
      <c r="C149" s="120" t="n">
        <v>0</v>
      </c>
      <c r="D149" s="68" t="n">
        <v>-18826276.36</v>
      </c>
      <c r="E149" s="68" t="n">
        <v>0</v>
      </c>
      <c r="F149" s="68" t="n">
        <v>0</v>
      </c>
      <c r="G149" s="68" t="n">
        <v>0</v>
      </c>
      <c r="H149" s="68" t="n">
        <v>0</v>
      </c>
      <c r="I149" s="68" t="n">
        <v>0</v>
      </c>
      <c r="J149" s="68" t="n">
        <v>0</v>
      </c>
      <c r="K149" s="68" t="n">
        <v>0</v>
      </c>
      <c r="L149" s="68" t="n">
        <v>0</v>
      </c>
      <c r="M149" s="68" t="n">
        <v>0</v>
      </c>
      <c r="N149" s="68" t="n">
        <v>0</v>
      </c>
      <c r="O149" s="68" t="n">
        <v>0</v>
      </c>
      <c r="P149" s="68" t="n">
        <v>0</v>
      </c>
      <c r="Q149" s="68" t="n">
        <v>0</v>
      </c>
      <c r="R149" s="68" t="n">
        <v>0</v>
      </c>
      <c r="S149" s="68" t="n">
        <v>0</v>
      </c>
      <c r="T149" s="68" t="n">
        <v>0</v>
      </c>
      <c r="U149" s="68" t="n">
        <v>0</v>
      </c>
      <c r="V149" s="68" t="n">
        <v>0</v>
      </c>
      <c r="W149" s="65"/>
    </row>
    <row r="150" customFormat="false" ht="13.5" hidden="false" customHeight="false" outlineLevel="0" collapsed="false">
      <c r="A150" s="2"/>
      <c r="B150" s="117"/>
      <c r="C150" s="124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</row>
    <row r="151" customFormat="false" ht="12.75" hidden="false" customHeight="false" outlineLevel="0" collapsed="false">
      <c r="A151" s="2"/>
      <c r="B151" s="121" t="s">
        <v>35</v>
      </c>
      <c r="C151" s="123" t="n">
        <v>0</v>
      </c>
      <c r="D151" s="73" t="n">
        <v>25718036.0909392</v>
      </c>
      <c r="E151" s="73" t="n">
        <v>46458271.7806096</v>
      </c>
      <c r="F151" s="73" t="n">
        <v>40704985.0830299</v>
      </c>
      <c r="G151" s="73" t="n">
        <v>44792851.421067</v>
      </c>
      <c r="H151" s="73" t="n">
        <v>42899693.3967806</v>
      </c>
      <c r="I151" s="73" t="n">
        <v>47854466.427849</v>
      </c>
      <c r="J151" s="73" t="n">
        <v>51990051.6960411</v>
      </c>
      <c r="K151" s="73" t="n">
        <v>53567606.1070008</v>
      </c>
      <c r="L151" s="73" t="n">
        <v>54674303.557961</v>
      </c>
      <c r="M151" s="73" t="n">
        <v>54282688.2099249</v>
      </c>
      <c r="N151" s="73" t="n">
        <v>55313582.3941629</v>
      </c>
      <c r="O151" s="73" t="n">
        <v>55745819.9521504</v>
      </c>
      <c r="P151" s="73" t="n">
        <v>56681357.0432904</v>
      </c>
      <c r="Q151" s="73" t="n">
        <v>59434543.0296104</v>
      </c>
      <c r="R151" s="73" t="n">
        <v>65736011.406048</v>
      </c>
      <c r="S151" s="73" t="n">
        <v>64705561.2757831</v>
      </c>
      <c r="T151" s="73" t="n">
        <v>65209649.0150804</v>
      </c>
      <c r="U151" s="73" t="n">
        <v>68593491.1366551</v>
      </c>
      <c r="V151" s="73" t="n">
        <v>71613780.0344293</v>
      </c>
      <c r="W151" s="71" t="n">
        <v>379314255.830578</v>
      </c>
    </row>
    <row r="152" customFormat="false" ht="12.75" hidden="false" customHeight="false" outlineLevel="0" collapsed="false">
      <c r="A152" s="2"/>
      <c r="B152" s="1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customFormat="false" ht="12.75" hidden="false" customHeight="false" outlineLevel="0" collapsed="false">
      <c r="A153" s="48" t="s">
        <v>36</v>
      </c>
      <c r="B153" s="126" t="s">
        <v>37</v>
      </c>
      <c r="C153" s="76" t="n">
        <v>149589011.115209</v>
      </c>
      <c r="D153" s="2"/>
      <c r="E153" s="127" t="s">
        <v>38</v>
      </c>
      <c r="F153" s="128" t="s">
        <v>37</v>
      </c>
      <c r="G153" s="79" t="n">
        <v>149589011.115209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customFormat="false" ht="12.75" hidden="false" customHeight="false" outlineLevel="0" collapsed="false">
      <c r="A154" s="2"/>
      <c r="B154" s="126" t="s">
        <v>39</v>
      </c>
      <c r="C154" s="76" t="n">
        <v>258782362.682519</v>
      </c>
      <c r="D154" s="2"/>
      <c r="E154" s="129"/>
      <c r="F154" s="128" t="s">
        <v>39</v>
      </c>
      <c r="G154" s="79" t="n">
        <v>258782362.682519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customFormat="false" ht="13.5" hidden="false" customHeight="false" outlineLevel="0" collapsed="false">
      <c r="A155" s="2"/>
      <c r="B155" s="130" t="s">
        <v>40</v>
      </c>
      <c r="C155" s="82" t="n">
        <v>56382647.1479353</v>
      </c>
      <c r="D155" s="131"/>
      <c r="E155" s="129"/>
      <c r="F155" s="128" t="s">
        <v>40</v>
      </c>
      <c r="G155" s="79" t="n">
        <v>56382647.1479353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customFormat="false" ht="14.25" hidden="false" customHeight="false" outlineLevel="0" collapsed="false">
      <c r="A156" s="2"/>
      <c r="B156" s="126" t="s">
        <v>41</v>
      </c>
      <c r="C156" s="76" t="n">
        <v>464754020.945664</v>
      </c>
      <c r="D156" s="132"/>
      <c r="E156" s="129"/>
      <c r="F156" s="133" t="s">
        <v>42</v>
      </c>
      <c r="G156" s="85" t="n">
        <v>0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customFormat="false" ht="13.5" hidden="false" customHeight="false" outlineLevel="0" collapsed="false">
      <c r="A157" s="2"/>
      <c r="B157" s="125"/>
      <c r="C157" s="134"/>
      <c r="D157" s="2"/>
      <c r="E157" s="135"/>
      <c r="F157" s="128" t="s">
        <v>41</v>
      </c>
      <c r="G157" s="79" t="n">
        <v>464754020.945664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customFormat="false" ht="12.75" hidden="false" customHeight="false" outlineLevel="0" collapsed="false">
      <c r="A158" s="2"/>
      <c r="B158" s="125"/>
      <c r="C158" s="134"/>
      <c r="D158" s="2"/>
      <c r="E158" s="135"/>
      <c r="F158" s="128"/>
      <c r="G158" s="13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customFormat="false" ht="12.75" hidden="false" customHeight="false" outlineLevel="0" collapsed="false">
      <c r="A159" s="2"/>
      <c r="B159" s="125"/>
      <c r="C159" s="134"/>
      <c r="D159" s="2"/>
      <c r="E159" s="135"/>
      <c r="F159" s="128"/>
      <c r="G159" s="13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customFormat="false" ht="12.75" hidden="false" customHeight="false" outlineLevel="0" collapsed="false">
      <c r="A160" s="2"/>
      <c r="B160" s="137" t="s">
        <v>43</v>
      </c>
      <c r="C160" s="134"/>
      <c r="D160" s="2"/>
      <c r="E160" s="135"/>
      <c r="F160" s="128"/>
      <c r="G160" s="13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customFormat="false" ht="12.75" hidden="false" customHeight="false" outlineLevel="0" collapsed="false">
      <c r="A161" s="87" t="s">
        <v>44</v>
      </c>
      <c r="B161" s="137" t="s">
        <v>45</v>
      </c>
      <c r="C161" s="138"/>
      <c r="D161" s="88" t="n">
        <v>46846061.9493632</v>
      </c>
      <c r="E161" s="88" t="n">
        <v>44757150.8654578</v>
      </c>
      <c r="F161" s="88" t="n">
        <v>43811205.350014</v>
      </c>
      <c r="G161" s="88" t="n">
        <v>42328647.1831623</v>
      </c>
      <c r="H161" s="88" t="n">
        <v>42499412.522381</v>
      </c>
      <c r="I161" s="88" t="n">
        <v>48941584.2609804</v>
      </c>
      <c r="J161" s="88" t="n">
        <v>54123693.0786329</v>
      </c>
      <c r="K161" s="88" t="n">
        <v>55623439.5958268</v>
      </c>
      <c r="L161" s="88" t="n">
        <v>56623031.925701</v>
      </c>
      <c r="M161" s="88" t="n">
        <v>56117445.5048551</v>
      </c>
      <c r="N161" s="88" t="n">
        <v>57286785.3740402</v>
      </c>
      <c r="O161" s="88" t="n">
        <v>57856238.2221524</v>
      </c>
      <c r="P161" s="88" t="n">
        <v>58660209.2917766</v>
      </c>
      <c r="Q161" s="88" t="n">
        <v>61460372.1059353</v>
      </c>
      <c r="R161" s="88" t="n">
        <v>67804954.6250468</v>
      </c>
      <c r="S161" s="88" t="n">
        <v>66630529.861736</v>
      </c>
      <c r="T161" s="88" t="n">
        <v>66986439.438996</v>
      </c>
      <c r="U161" s="88" t="n">
        <v>70355735.3436723</v>
      </c>
      <c r="V161" s="88" t="n">
        <v>73367120.5580411</v>
      </c>
      <c r="W161" s="2"/>
    </row>
    <row r="162" customFormat="false" ht="12.75" hidden="false" customHeight="false" outlineLevel="0" collapsed="false">
      <c r="A162" s="2"/>
      <c r="B162" s="125" t="s">
        <v>46</v>
      </c>
      <c r="C162" s="134"/>
      <c r="D162" s="65" t="n">
        <v>31230707.9662422</v>
      </c>
      <c r="E162" s="65" t="n">
        <v>29838100.5769719</v>
      </c>
      <c r="F162" s="65" t="n">
        <v>29207470.2333427</v>
      </c>
      <c r="G162" s="65" t="n">
        <v>28219098.1221082</v>
      </c>
      <c r="H162" s="65" t="n">
        <v>28332941.6815873</v>
      </c>
      <c r="I162" s="65" t="n">
        <v>32627722.8406536</v>
      </c>
      <c r="J162" s="65" t="n">
        <v>36082462.0524219</v>
      </c>
      <c r="K162" s="65" t="n">
        <v>37082293.0638845</v>
      </c>
      <c r="L162" s="65" t="n">
        <v>37748687.9504673</v>
      </c>
      <c r="M162" s="65" t="n">
        <v>37411630.3365701</v>
      </c>
      <c r="N162" s="65" t="n">
        <v>38191190.2493601</v>
      </c>
      <c r="O162" s="65" t="n">
        <v>38570825.481435</v>
      </c>
      <c r="P162" s="65" t="n">
        <v>39106806.1945177</v>
      </c>
      <c r="Q162" s="65" t="n">
        <v>40973581.4039569</v>
      </c>
      <c r="R162" s="65" t="n">
        <v>45203303.0833645</v>
      </c>
      <c r="S162" s="65" t="n">
        <v>44420353.2411573</v>
      </c>
      <c r="T162" s="65" t="n">
        <v>44657626.292664</v>
      </c>
      <c r="U162" s="65" t="n">
        <v>46903823.5624482</v>
      </c>
      <c r="V162" s="65" t="n">
        <v>48911413.7053607</v>
      </c>
      <c r="W162" s="2"/>
    </row>
    <row r="163" customFormat="false" ht="12.75" hidden="false" customHeight="false" outlineLevel="0" collapsed="false">
      <c r="A163" s="2"/>
      <c r="B163" s="139" t="s">
        <v>47</v>
      </c>
      <c r="C163" s="140"/>
      <c r="D163" s="65" t="n">
        <v>4174403.421576</v>
      </c>
      <c r="E163" s="65" t="n">
        <v>5849582.9851518</v>
      </c>
      <c r="F163" s="65" t="n">
        <v>6167306.2830159</v>
      </c>
      <c r="G163" s="65" t="n">
        <v>6508233.2379047</v>
      </c>
      <c r="H163" s="65" t="n">
        <v>6249775.3503996</v>
      </c>
      <c r="I163" s="65" t="n">
        <v>4937861.47714864</v>
      </c>
      <c r="J163" s="65" t="n">
        <v>4072087.30699666</v>
      </c>
      <c r="K163" s="65" t="n">
        <v>4336067.06145012</v>
      </c>
      <c r="L163" s="65" t="n">
        <v>4634929.19904435</v>
      </c>
      <c r="M163" s="65" t="n">
        <v>4946409.99885768</v>
      </c>
      <c r="N163" s="65" t="n">
        <v>5011399.33272419</v>
      </c>
      <c r="O163" s="65" t="n">
        <v>5083722.11197752</v>
      </c>
      <c r="P163" s="65" t="n">
        <v>5431112.34495272</v>
      </c>
      <c r="Q163" s="65" t="n">
        <v>5606434.45491718</v>
      </c>
      <c r="R163" s="65" t="n">
        <v>5792288.21818057</v>
      </c>
      <c r="S163" s="65" t="n">
        <v>6172099.79434187</v>
      </c>
      <c r="T163" s="65" t="n">
        <v>6563190.007788</v>
      </c>
      <c r="U163" s="65" t="n">
        <v>6827935.63763752</v>
      </c>
      <c r="V163" s="65" t="n">
        <v>7094544.71638252</v>
      </c>
      <c r="W163" s="2"/>
    </row>
    <row r="164" customFormat="false" ht="13.5" hidden="false" customHeight="false" outlineLevel="0" collapsed="false">
      <c r="A164" s="2"/>
      <c r="B164" s="141" t="s">
        <v>48</v>
      </c>
      <c r="C164" s="142"/>
      <c r="D164" s="93" t="n">
        <v>82251173.3371814</v>
      </c>
      <c r="E164" s="93" t="n">
        <v>80444834.4275815</v>
      </c>
      <c r="F164" s="93" t="n">
        <v>79185981.8663726</v>
      </c>
      <c r="G164" s="93" t="n">
        <v>77055978.5431752</v>
      </c>
      <c r="H164" s="93" t="n">
        <v>77082129.5543678</v>
      </c>
      <c r="I164" s="93" t="n">
        <v>86507168.5787827</v>
      </c>
      <c r="J164" s="93" t="n">
        <v>94278242.4380514</v>
      </c>
      <c r="K164" s="93" t="n">
        <v>97041799.7211614</v>
      </c>
      <c r="L164" s="93" t="n">
        <v>99006649.0752127</v>
      </c>
      <c r="M164" s="93" t="n">
        <v>98475485.8402828</v>
      </c>
      <c r="N164" s="93" t="n">
        <v>100489374.956125</v>
      </c>
      <c r="O164" s="93" t="n">
        <v>101510785.815565</v>
      </c>
      <c r="P164" s="93" t="n">
        <v>103198127.831247</v>
      </c>
      <c r="Q164" s="93" t="n">
        <v>108040387.964809</v>
      </c>
      <c r="R164" s="93" t="n">
        <v>118800545.926592</v>
      </c>
      <c r="S164" s="93" t="n">
        <v>117222982.897235</v>
      </c>
      <c r="T164" s="93" t="n">
        <v>118207255.739448</v>
      </c>
      <c r="U164" s="93" t="n">
        <v>124087494.543758</v>
      </c>
      <c r="V164" s="93" t="n">
        <v>129373078.979784</v>
      </c>
      <c r="W164" s="2"/>
    </row>
    <row r="165" customFormat="false" ht="13.5" hidden="false" customHeight="false" outlineLevel="0" collapsed="false">
      <c r="A165" s="87" t="s">
        <v>49</v>
      </c>
      <c r="B165" s="125" t="s">
        <v>50</v>
      </c>
      <c r="C165" s="134"/>
      <c r="D165" s="65" t="n">
        <v>-11246222.150726</v>
      </c>
      <c r="E165" s="65" t="n">
        <v>-11453645.254226</v>
      </c>
      <c r="F165" s="65" t="n">
        <v>-11917321.581726</v>
      </c>
      <c r="G165" s="65" t="n">
        <v>-12119523.031726</v>
      </c>
      <c r="H165" s="65" t="n">
        <v>-12411997.755526</v>
      </c>
      <c r="I165" s="65" t="n">
        <v>-12713246.72104</v>
      </c>
      <c r="J165" s="65" t="n">
        <v>-13023533.1555194</v>
      </c>
      <c r="K165" s="65" t="n">
        <v>-13343128.1830332</v>
      </c>
      <c r="L165" s="65" t="n">
        <v>-13672311.0613724</v>
      </c>
      <c r="M165" s="65" t="n">
        <v>-14011369.4260618</v>
      </c>
      <c r="N165" s="65" t="n">
        <v>-14360599.5416919</v>
      </c>
      <c r="O165" s="65" t="n">
        <v>-14720306.5607909</v>
      </c>
      <c r="P165" s="65" t="n">
        <v>-15090804.7904628</v>
      </c>
      <c r="Q165" s="65" t="n">
        <v>-15472417.9670249</v>
      </c>
      <c r="R165" s="65" t="n">
        <v>-15865479.5388839</v>
      </c>
      <c r="S165" s="65" t="n">
        <v>-11638557.3478985</v>
      </c>
      <c r="T165" s="65" t="n">
        <v>-7487617.0194838</v>
      </c>
      <c r="U165" s="65" t="n">
        <v>-7917126.01171654</v>
      </c>
      <c r="V165" s="65" t="n">
        <v>-8359520.27371625</v>
      </c>
      <c r="W165" s="2"/>
    </row>
    <row r="166" customFormat="false" ht="12.75" hidden="false" customHeight="false" outlineLevel="0" collapsed="false">
      <c r="A166" s="2"/>
      <c r="B166" s="125" t="s">
        <v>51</v>
      </c>
      <c r="C166" s="134"/>
      <c r="D166" s="65" t="n">
        <v>0</v>
      </c>
      <c r="E166" s="65" t="n">
        <v>0</v>
      </c>
      <c r="F166" s="65" t="n">
        <v>0</v>
      </c>
      <c r="G166" s="65" t="n">
        <v>0</v>
      </c>
      <c r="H166" s="65" t="n">
        <v>0</v>
      </c>
      <c r="I166" s="65" t="n">
        <v>0</v>
      </c>
      <c r="J166" s="65" t="n">
        <v>0</v>
      </c>
      <c r="K166" s="65" t="n">
        <v>0</v>
      </c>
      <c r="L166" s="65" t="n">
        <v>0</v>
      </c>
      <c r="M166" s="65" t="n">
        <v>0</v>
      </c>
      <c r="N166" s="65" t="n">
        <v>0</v>
      </c>
      <c r="O166" s="65" t="n">
        <v>0</v>
      </c>
      <c r="P166" s="65" t="n">
        <v>0</v>
      </c>
      <c r="Q166" s="65" t="n">
        <v>0</v>
      </c>
      <c r="R166" s="65" t="n">
        <v>0</v>
      </c>
      <c r="S166" s="65" t="n">
        <v>0</v>
      </c>
      <c r="T166" s="65" t="n">
        <v>0</v>
      </c>
      <c r="U166" s="65" t="n">
        <v>0</v>
      </c>
      <c r="V166" s="65" t="n">
        <v>0</v>
      </c>
      <c r="W166" s="2"/>
    </row>
    <row r="167" customFormat="false" ht="12.75" hidden="false" customHeight="false" outlineLevel="0" collapsed="false">
      <c r="A167" s="2"/>
      <c r="B167" s="137" t="s">
        <v>52</v>
      </c>
      <c r="C167" s="138"/>
      <c r="D167" s="88" t="n">
        <v>71004951.1864554</v>
      </c>
      <c r="E167" s="88" t="n">
        <v>68991189.1733556</v>
      </c>
      <c r="F167" s="88" t="n">
        <v>67268660.2846467</v>
      </c>
      <c r="G167" s="88" t="n">
        <v>64936455.5114492</v>
      </c>
      <c r="H167" s="88" t="n">
        <v>64670131.7988419</v>
      </c>
      <c r="I167" s="88" t="n">
        <v>73793921.8577427</v>
      </c>
      <c r="J167" s="88" t="n">
        <v>81254709.282532</v>
      </c>
      <c r="K167" s="88" t="n">
        <v>83698671.5381282</v>
      </c>
      <c r="L167" s="88" t="n">
        <v>85334338.0138402</v>
      </c>
      <c r="M167" s="88" t="n">
        <v>84464116.414221</v>
      </c>
      <c r="N167" s="88" t="n">
        <v>86128775.4144326</v>
      </c>
      <c r="O167" s="88" t="n">
        <v>86790479.254774</v>
      </c>
      <c r="P167" s="88" t="n">
        <v>88107323.0407842</v>
      </c>
      <c r="Q167" s="88" t="n">
        <v>92567969.9977845</v>
      </c>
      <c r="R167" s="88" t="n">
        <v>102935066.387708</v>
      </c>
      <c r="S167" s="88" t="n">
        <v>105584425.549337</v>
      </c>
      <c r="T167" s="88" t="n">
        <v>110719638.719964</v>
      </c>
      <c r="U167" s="88" t="n">
        <v>116170368.532041</v>
      </c>
      <c r="V167" s="88" t="n">
        <v>121013558.706068</v>
      </c>
      <c r="W167" s="2"/>
    </row>
    <row r="168" customFormat="false" ht="13.5" hidden="false" customHeight="false" outlineLevel="0" collapsed="false">
      <c r="A168" s="2"/>
      <c r="B168" s="143" t="s">
        <v>53</v>
      </c>
      <c r="C168" s="144"/>
      <c r="D168" s="96" t="n">
        <v>-28401980.4745822</v>
      </c>
      <c r="E168" s="96" t="n">
        <v>-27596475.6693422</v>
      </c>
      <c r="F168" s="96" t="n">
        <v>-26907464.1138587</v>
      </c>
      <c r="G168" s="96" t="n">
        <v>-25974582.2045797</v>
      </c>
      <c r="H168" s="96" t="n">
        <v>-25868052.7195367</v>
      </c>
      <c r="I168" s="96" t="n">
        <v>-29517568.7430971</v>
      </c>
      <c r="J168" s="96" t="n">
        <v>-32501883.7130128</v>
      </c>
      <c r="K168" s="96" t="n">
        <v>-33479468.6152513</v>
      </c>
      <c r="L168" s="96" t="n">
        <v>-34133735.2055361</v>
      </c>
      <c r="M168" s="96" t="n">
        <v>-33785646.5656884</v>
      </c>
      <c r="N168" s="96" t="n">
        <v>-34451510.1657731</v>
      </c>
      <c r="O168" s="96" t="n">
        <v>-34716191.7019096</v>
      </c>
      <c r="P168" s="96" t="n">
        <v>-35242929.2163137</v>
      </c>
      <c r="Q168" s="96" t="n">
        <v>-37027187.9991138</v>
      </c>
      <c r="R168" s="96" t="n">
        <v>-41174026.5550832</v>
      </c>
      <c r="S168" s="96" t="n">
        <v>-42233770.2197347</v>
      </c>
      <c r="T168" s="96" t="n">
        <v>-44287855.4879857</v>
      </c>
      <c r="U168" s="96" t="n">
        <v>-46468147.4128166</v>
      </c>
      <c r="V168" s="96" t="n">
        <v>-48405423.4824272</v>
      </c>
      <c r="W168" s="2"/>
    </row>
    <row r="169" customFormat="false" ht="13.5" hidden="false" customHeight="false" outlineLevel="0" collapsed="false">
      <c r="A169" s="2"/>
      <c r="B169" s="137" t="s">
        <v>54</v>
      </c>
      <c r="C169" s="138"/>
      <c r="D169" s="88" t="n">
        <v>42602970.7118732</v>
      </c>
      <c r="E169" s="88" t="n">
        <v>41394713.5040133</v>
      </c>
      <c r="F169" s="88" t="n">
        <v>40361196.170788</v>
      </c>
      <c r="G169" s="88" t="n">
        <v>38961873.3068695</v>
      </c>
      <c r="H169" s="88" t="n">
        <v>38802079.0793051</v>
      </c>
      <c r="I169" s="88" t="n">
        <v>44276353.1146456</v>
      </c>
      <c r="J169" s="88" t="n">
        <v>48752825.5695192</v>
      </c>
      <c r="K169" s="88" t="n">
        <v>50219202.9228769</v>
      </c>
      <c r="L169" s="88" t="n">
        <v>51200602.8083041</v>
      </c>
      <c r="M169" s="88" t="n">
        <v>50678469.8485326</v>
      </c>
      <c r="N169" s="88" t="n">
        <v>51677265.2486596</v>
      </c>
      <c r="O169" s="88" t="n">
        <v>52074287.5528644</v>
      </c>
      <c r="P169" s="88" t="n">
        <v>52864393.8244705</v>
      </c>
      <c r="Q169" s="88" t="n">
        <v>55540781.9986707</v>
      </c>
      <c r="R169" s="88" t="n">
        <v>61761039.8326248</v>
      </c>
      <c r="S169" s="88" t="n">
        <v>63350655.329602</v>
      </c>
      <c r="T169" s="88" t="n">
        <v>66431783.2319785</v>
      </c>
      <c r="U169" s="88" t="n">
        <v>69702221.1192249</v>
      </c>
      <c r="V169" s="88" t="n">
        <v>72608135.2236408</v>
      </c>
      <c r="W169" s="2"/>
    </row>
    <row r="170" customFormat="false" ht="12.75" hidden="false" customHeight="false" outlineLevel="0" collapsed="false">
      <c r="A170" s="2"/>
      <c r="B170" s="2"/>
      <c r="C170" s="134"/>
      <c r="D170" s="2"/>
      <c r="E170" s="135"/>
      <c r="F170" s="128"/>
      <c r="G170" s="13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customFormat="false" ht="15.75" hidden="false" customHeight="false" outlineLevel="0" collapsed="false">
      <c r="A171" s="97" t="s">
        <v>55</v>
      </c>
      <c r="B171" s="14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customFormat="false" ht="12.75" hidden="false" customHeight="false" outlineLevel="0" collapsed="false">
      <c r="A172" s="99" t="s">
        <v>56</v>
      </c>
      <c r="B172" s="49"/>
      <c r="C172" s="101" t="n">
        <v>0</v>
      </c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customFormat="false" ht="12.75" hidden="false" customHeight="false" outlineLevel="0" collapsed="false">
      <c r="A173" s="99" t="s">
        <v>57</v>
      </c>
      <c r="B173" s="49"/>
      <c r="C173" s="146" t="n">
        <v>0</v>
      </c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</row>
    <row r="174" customFormat="false" ht="12.75" hidden="false" customHeight="false" outlineLevel="0" collapsed="false">
      <c r="A174" s="99" t="s">
        <v>58</v>
      </c>
      <c r="B174" s="49"/>
      <c r="C174" s="99" t="n">
        <v>15</v>
      </c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customFormat="false" ht="12.75" hidden="false" customHeight="false" outlineLevel="0" collapsed="false">
      <c r="A175" s="99" t="s">
        <v>59</v>
      </c>
      <c r="B175" s="49"/>
      <c r="C175" s="146" t="n">
        <v>0</v>
      </c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customFormat="false" ht="12.75" hidden="false" customHeight="false" outlineLevel="0" collapsed="false">
      <c r="A176" s="99" t="s">
        <v>60</v>
      </c>
      <c r="B176" s="49"/>
      <c r="C176" s="147" t="n">
        <v>0.0875</v>
      </c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</row>
    <row r="177" customFormat="false" ht="12.75" hidden="false" customHeight="false" outlineLevel="0" collapsed="false">
      <c r="A177" s="99"/>
      <c r="B177" s="49"/>
      <c r="C177" s="107"/>
      <c r="D177" s="58" t="n">
        <v>2001</v>
      </c>
      <c r="E177" s="58" t="n">
        <v>2002</v>
      </c>
      <c r="F177" s="58" t="n">
        <v>2003</v>
      </c>
      <c r="G177" s="58" t="n">
        <v>2004</v>
      </c>
      <c r="H177" s="58" t="n">
        <v>2005</v>
      </c>
      <c r="I177" s="58" t="n">
        <v>2006</v>
      </c>
      <c r="J177" s="58" t="n">
        <v>2007</v>
      </c>
      <c r="K177" s="58" t="n">
        <v>2008</v>
      </c>
      <c r="L177" s="58" t="n">
        <v>2009</v>
      </c>
      <c r="M177" s="58" t="n">
        <v>2010</v>
      </c>
      <c r="N177" s="58" t="n">
        <v>2011</v>
      </c>
      <c r="O177" s="58" t="n">
        <v>2012</v>
      </c>
      <c r="P177" s="58" t="n">
        <v>2013</v>
      </c>
      <c r="Q177" s="58" t="n">
        <v>2014</v>
      </c>
      <c r="R177" s="58" t="n">
        <v>2015</v>
      </c>
      <c r="S177" s="58" t="n">
        <v>2016</v>
      </c>
      <c r="T177" s="58" t="n">
        <v>2017</v>
      </c>
      <c r="U177" s="58" t="n">
        <v>2018</v>
      </c>
      <c r="V177" s="58" t="n">
        <v>2019</v>
      </c>
      <c r="W177" s="58" t="s">
        <v>19</v>
      </c>
    </row>
    <row r="178" customFormat="false" ht="12.75" hidden="false" customHeight="false" outlineLevel="0" collapsed="false">
      <c r="A178" s="99" t="s">
        <v>61</v>
      </c>
      <c r="B178" s="49"/>
      <c r="C178" s="107"/>
      <c r="D178" s="102" t="n">
        <v>0</v>
      </c>
      <c r="E178" s="102" t="n">
        <v>0</v>
      </c>
      <c r="F178" s="102" t="n">
        <v>0</v>
      </c>
      <c r="G178" s="102" t="n">
        <v>0</v>
      </c>
      <c r="H178" s="102" t="n">
        <v>0</v>
      </c>
      <c r="I178" s="102" t="n">
        <v>0</v>
      </c>
      <c r="J178" s="102" t="n">
        <v>0</v>
      </c>
      <c r="K178" s="102" t="n">
        <v>0</v>
      </c>
      <c r="L178" s="102" t="n">
        <v>0</v>
      </c>
      <c r="M178" s="102" t="n">
        <v>0</v>
      </c>
      <c r="N178" s="102" t="n">
        <v>0</v>
      </c>
      <c r="O178" s="102" t="n">
        <v>0</v>
      </c>
      <c r="P178" s="102" t="n">
        <v>0</v>
      </c>
      <c r="Q178" s="102" t="n">
        <v>0</v>
      </c>
      <c r="R178" s="102" t="n">
        <v>0</v>
      </c>
      <c r="S178" s="102" t="n">
        <v>0</v>
      </c>
      <c r="T178" s="102" t="n">
        <v>0</v>
      </c>
      <c r="U178" s="102" t="n">
        <v>0</v>
      </c>
      <c r="V178" s="102" t="n">
        <v>0</v>
      </c>
      <c r="W178" s="102" t="n">
        <v>0</v>
      </c>
    </row>
    <row r="179" customFormat="false" ht="12.75" hidden="false" customHeight="false" outlineLevel="0" collapsed="false">
      <c r="A179" s="99" t="s">
        <v>62</v>
      </c>
      <c r="B179" s="49"/>
      <c r="C179" s="107"/>
      <c r="D179" s="102" t="n">
        <v>0</v>
      </c>
      <c r="E179" s="102" t="n">
        <v>0</v>
      </c>
      <c r="F179" s="102" t="n">
        <v>0</v>
      </c>
      <c r="G179" s="102" t="n">
        <v>0</v>
      </c>
      <c r="H179" s="102" t="n">
        <v>0</v>
      </c>
      <c r="I179" s="102" t="n">
        <v>0</v>
      </c>
      <c r="J179" s="102" t="n">
        <v>0</v>
      </c>
      <c r="K179" s="102" t="n">
        <v>0</v>
      </c>
      <c r="L179" s="102" t="n">
        <v>0</v>
      </c>
      <c r="M179" s="102" t="n">
        <v>0</v>
      </c>
      <c r="N179" s="102" t="n">
        <v>0</v>
      </c>
      <c r="O179" s="102" t="n">
        <v>0</v>
      </c>
      <c r="P179" s="102" t="n">
        <v>0</v>
      </c>
      <c r="Q179" s="102" t="n">
        <v>0</v>
      </c>
      <c r="R179" s="102" t="n">
        <v>0</v>
      </c>
      <c r="S179" s="102" t="n">
        <v>0</v>
      </c>
      <c r="T179" s="102" t="n">
        <v>0</v>
      </c>
      <c r="U179" s="102" t="n">
        <v>0</v>
      </c>
      <c r="V179" s="102" t="n">
        <v>0</v>
      </c>
      <c r="W179" s="102" t="n">
        <v>0</v>
      </c>
    </row>
    <row r="180" customFormat="false" ht="12.75" hidden="false" customHeight="false" outlineLevel="0" collapsed="false">
      <c r="A180" s="99" t="s">
        <v>63</v>
      </c>
      <c r="B180" s="49"/>
      <c r="C180" s="107"/>
      <c r="D180" s="102" t="n">
        <v>0</v>
      </c>
      <c r="E180" s="102" t="n">
        <v>0</v>
      </c>
      <c r="F180" s="102" t="n">
        <v>0</v>
      </c>
      <c r="G180" s="102" t="n">
        <v>0</v>
      </c>
      <c r="H180" s="102" t="n">
        <v>0</v>
      </c>
      <c r="I180" s="102" t="n">
        <v>0</v>
      </c>
      <c r="J180" s="102" t="n">
        <v>0</v>
      </c>
      <c r="K180" s="102" t="n">
        <v>0</v>
      </c>
      <c r="L180" s="102" t="n">
        <v>0</v>
      </c>
      <c r="M180" s="102" t="n">
        <v>0</v>
      </c>
      <c r="N180" s="102" t="n">
        <v>0</v>
      </c>
      <c r="O180" s="102" t="n">
        <v>0</v>
      </c>
      <c r="P180" s="102" t="n">
        <v>0</v>
      </c>
      <c r="Q180" s="102" t="n">
        <v>0</v>
      </c>
      <c r="R180" s="102" t="n">
        <v>0</v>
      </c>
      <c r="S180" s="102" t="n">
        <v>0</v>
      </c>
      <c r="T180" s="102" t="n">
        <v>0</v>
      </c>
      <c r="U180" s="102" t="n">
        <v>0</v>
      </c>
      <c r="V180" s="102" t="n">
        <v>0</v>
      </c>
      <c r="W180" s="102" t="n">
        <v>0</v>
      </c>
    </row>
    <row r="181" customFormat="false" ht="12.75" hidden="false" customHeight="false" outlineLevel="0" collapsed="false">
      <c r="A181" s="99" t="s">
        <v>64</v>
      </c>
      <c r="B181" s="49"/>
      <c r="C181" s="107"/>
      <c r="D181" s="105" t="n">
        <v>0</v>
      </c>
      <c r="E181" s="105" t="n">
        <v>0</v>
      </c>
      <c r="F181" s="105" t="n">
        <v>0</v>
      </c>
      <c r="G181" s="105" t="n">
        <v>0</v>
      </c>
      <c r="H181" s="105" t="n">
        <v>0</v>
      </c>
      <c r="I181" s="105" t="n">
        <v>0</v>
      </c>
      <c r="J181" s="105" t="n">
        <v>0</v>
      </c>
      <c r="K181" s="105" t="n">
        <v>0</v>
      </c>
      <c r="L181" s="105" t="n">
        <v>0</v>
      </c>
      <c r="M181" s="105" t="n">
        <v>0</v>
      </c>
      <c r="N181" s="105" t="n">
        <v>0</v>
      </c>
      <c r="O181" s="105" t="n">
        <v>0</v>
      </c>
      <c r="P181" s="105" t="n">
        <v>0</v>
      </c>
      <c r="Q181" s="105" t="n">
        <v>0</v>
      </c>
      <c r="R181" s="105" t="n">
        <v>0</v>
      </c>
      <c r="S181" s="105" t="n">
        <v>0</v>
      </c>
      <c r="T181" s="105" t="n">
        <v>0</v>
      </c>
      <c r="U181" s="105" t="n">
        <v>0</v>
      </c>
      <c r="V181" s="105" t="n">
        <v>0</v>
      </c>
      <c r="W181" s="105" t="n">
        <v>0</v>
      </c>
    </row>
    <row r="182" customFormat="false" ht="13.5" hidden="false" customHeight="false" outlineLevel="0" collapsed="false">
      <c r="A182" s="99" t="s">
        <v>65</v>
      </c>
      <c r="B182" s="49"/>
      <c r="C182" s="107"/>
      <c r="D182" s="106" t="n">
        <v>0</v>
      </c>
      <c r="E182" s="106" t="n">
        <v>0</v>
      </c>
      <c r="F182" s="106" t="n">
        <v>0</v>
      </c>
      <c r="G182" s="106" t="n">
        <v>0</v>
      </c>
      <c r="H182" s="106" t="n">
        <v>0</v>
      </c>
      <c r="I182" s="106" t="n">
        <v>0</v>
      </c>
      <c r="J182" s="106" t="n">
        <v>0</v>
      </c>
      <c r="K182" s="106" t="n">
        <v>0</v>
      </c>
      <c r="L182" s="106" t="n">
        <v>0</v>
      </c>
      <c r="M182" s="106" t="n">
        <v>0</v>
      </c>
      <c r="N182" s="106" t="n">
        <v>0</v>
      </c>
      <c r="O182" s="106" t="n">
        <v>0</v>
      </c>
      <c r="P182" s="106" t="n">
        <v>0</v>
      </c>
      <c r="Q182" s="106" t="n">
        <v>0</v>
      </c>
      <c r="R182" s="106" t="n">
        <v>0</v>
      </c>
      <c r="S182" s="106" t="n">
        <v>0</v>
      </c>
      <c r="T182" s="106" t="n">
        <v>0</v>
      </c>
      <c r="U182" s="106" t="n">
        <v>0</v>
      </c>
      <c r="V182" s="106" t="n">
        <v>0</v>
      </c>
      <c r="W182" s="106" t="n">
        <v>0</v>
      </c>
    </row>
    <row r="183" customFormat="false" ht="13.5" hidden="false" customHeight="false" outlineLevel="0" collapsed="false">
      <c r="A183" s="99"/>
      <c r="B183" s="49"/>
      <c r="C183" s="107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</row>
    <row r="184" customFormat="false" ht="12.75" hidden="false" customHeight="false" outlineLevel="0" collapsed="false">
      <c r="A184" s="99" t="s">
        <v>66</v>
      </c>
      <c r="B184" s="49"/>
      <c r="C184" s="107"/>
      <c r="D184" s="102" t="n">
        <v>0</v>
      </c>
      <c r="E184" s="102" t="n">
        <v>0</v>
      </c>
      <c r="F184" s="102" t="n">
        <v>0</v>
      </c>
      <c r="G184" s="102" t="n">
        <v>0</v>
      </c>
      <c r="H184" s="102" t="n">
        <v>0</v>
      </c>
      <c r="I184" s="102" t="n">
        <v>0</v>
      </c>
      <c r="J184" s="102" t="n">
        <v>0</v>
      </c>
      <c r="K184" s="102" t="n">
        <v>0</v>
      </c>
      <c r="L184" s="102" t="n">
        <v>0</v>
      </c>
      <c r="M184" s="102" t="n">
        <v>0</v>
      </c>
      <c r="N184" s="102" t="n">
        <v>0</v>
      </c>
      <c r="O184" s="102" t="n">
        <v>0</v>
      </c>
      <c r="P184" s="102" t="n">
        <v>0</v>
      </c>
      <c r="Q184" s="102" t="n">
        <v>0</v>
      </c>
      <c r="R184" s="102" t="n">
        <v>0</v>
      </c>
      <c r="S184" s="102" t="n">
        <v>0</v>
      </c>
      <c r="T184" s="102" t="n">
        <v>0</v>
      </c>
      <c r="U184" s="102" t="n">
        <v>0</v>
      </c>
      <c r="V184" s="102" t="n">
        <v>0</v>
      </c>
      <c r="W184" s="102" t="n">
        <v>0</v>
      </c>
    </row>
    <row r="185" customFormat="false" ht="12.75" hidden="false" customHeight="false" outlineLevel="0" collapsed="false">
      <c r="A185" s="99"/>
      <c r="B185" s="49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</row>
    <row r="186" customFormat="false" ht="12.75" hidden="false" customHeight="false" outlineLevel="0" collapsed="false">
      <c r="A186" s="99" t="s">
        <v>67</v>
      </c>
      <c r="B186" s="49"/>
      <c r="C186" s="107"/>
      <c r="D186" s="102" t="n">
        <v>0</v>
      </c>
      <c r="E186" s="102" t="n">
        <v>0</v>
      </c>
      <c r="F186" s="102" t="n">
        <v>0</v>
      </c>
      <c r="G186" s="102" t="n">
        <v>0</v>
      </c>
      <c r="H186" s="102" t="n">
        <v>0</v>
      </c>
      <c r="I186" s="102" t="n">
        <v>0</v>
      </c>
      <c r="J186" s="102" t="n">
        <v>0</v>
      </c>
      <c r="K186" s="102" t="n">
        <v>0</v>
      </c>
      <c r="L186" s="102" t="n">
        <v>0</v>
      </c>
      <c r="M186" s="102" t="n">
        <v>0</v>
      </c>
      <c r="N186" s="102" t="n">
        <v>0</v>
      </c>
      <c r="O186" s="102" t="n">
        <v>0</v>
      </c>
      <c r="P186" s="102" t="n">
        <v>0</v>
      </c>
      <c r="Q186" s="102" t="n">
        <v>0</v>
      </c>
      <c r="R186" s="102" t="n">
        <v>0</v>
      </c>
      <c r="S186" s="102" t="n">
        <v>0</v>
      </c>
      <c r="T186" s="102" t="n">
        <v>0</v>
      </c>
      <c r="U186" s="102" t="n">
        <v>0</v>
      </c>
      <c r="V186" s="102" t="n">
        <v>0</v>
      </c>
      <c r="W186" s="102" t="n">
        <v>0</v>
      </c>
    </row>
    <row r="187" customFormat="false" ht="12.75" hidden="false" customHeight="false" outlineLevel="0" collapsed="false">
      <c r="A187" s="107"/>
      <c r="B187" s="49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</row>
    <row r="188" customFormat="false" ht="12.75" hidden="false" customHeight="false" outlineLevel="0" collapsed="false">
      <c r="A188" s="107"/>
      <c r="B188" s="49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</row>
    <row r="189" customFormat="false" ht="12.75" hidden="false" customHeight="false" outlineLevel="0" collapsed="false">
      <c r="A189" s="99" t="s">
        <v>68</v>
      </c>
      <c r="B189" s="148"/>
      <c r="C189" s="149"/>
      <c r="D189" s="79" t="n">
        <v>25718036.0909392</v>
      </c>
      <c r="E189" s="79" t="n">
        <v>46458271.7806096</v>
      </c>
      <c r="F189" s="79" t="n">
        <v>40704985.0830299</v>
      </c>
      <c r="G189" s="79" t="n">
        <v>44792851.421067</v>
      </c>
      <c r="H189" s="79" t="n">
        <v>42899693.3967806</v>
      </c>
      <c r="I189" s="79" t="n">
        <v>47854466.427849</v>
      </c>
      <c r="J189" s="79" t="n">
        <v>51990051.6960411</v>
      </c>
      <c r="K189" s="79" t="n">
        <v>53567606.1070008</v>
      </c>
      <c r="L189" s="79" t="n">
        <v>54674303.557961</v>
      </c>
      <c r="M189" s="79" t="n">
        <v>54282688.2099249</v>
      </c>
      <c r="N189" s="79" t="n">
        <v>55313582.3941629</v>
      </c>
      <c r="O189" s="79" t="n">
        <v>55745819.9521504</v>
      </c>
      <c r="P189" s="79" t="n">
        <v>56681357.0432904</v>
      </c>
      <c r="Q189" s="79" t="n">
        <v>59434543.0296104</v>
      </c>
      <c r="R189" s="79" t="n">
        <v>65736011.406048</v>
      </c>
      <c r="S189" s="79" t="n">
        <v>64705561.2757831</v>
      </c>
      <c r="T189" s="79" t="n">
        <v>65209649.0150804</v>
      </c>
      <c r="U189" s="79" t="n">
        <v>68593491.1366551</v>
      </c>
      <c r="V189" s="79" t="n">
        <v>71613780.0344293</v>
      </c>
      <c r="W189" s="79" t="n">
        <v>379314255.830578</v>
      </c>
    </row>
    <row r="190" customFormat="false" ht="12.75" hidden="false" customHeight="false" outlineLevel="0" collapsed="false">
      <c r="A190" s="2"/>
      <c r="B190" s="3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customFormat="false" ht="12.75" hidden="false" customHeight="false" outlineLevel="0" collapsed="false">
      <c r="B191" s="150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16"/>
    </row>
    <row r="192" customFormat="false" ht="15.75" hidden="false" customHeight="false" outlineLevel="0" collapsed="false">
      <c r="A192" s="51"/>
      <c r="B192" s="57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</row>
    <row r="193" customFormat="false" ht="12.75" hidden="false" customHeight="false" outlineLevel="0" collapsed="false">
      <c r="A193" s="51"/>
      <c r="B193" s="115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</row>
    <row r="194" customFormat="false" ht="12.75" hidden="false" customHeight="false" outlineLevel="0" collapsed="false">
      <c r="B194" s="150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16"/>
    </row>
    <row r="195" customFormat="false" ht="12.75" hidden="false" customHeight="false" outlineLevel="0" collapsed="false">
      <c r="B195" s="150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16"/>
    </row>
    <row r="196" customFormat="false" ht="12.75" hidden="false" customHeight="false" outlineLevel="0" collapsed="false">
      <c r="B196" s="150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16"/>
    </row>
    <row r="197" customFormat="false" ht="12.75" hidden="false" customHeight="false" outlineLevel="0" collapsed="false">
      <c r="B197" s="150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16"/>
    </row>
    <row r="198" customFormat="false" ht="15.75" hidden="false" customHeight="false" outlineLevel="0" collapsed="false">
      <c r="A198" s="48" t="s">
        <v>17</v>
      </c>
      <c r="B198" s="57" t="s">
        <v>72</v>
      </c>
      <c r="C198" s="58" t="n">
        <v>2000</v>
      </c>
      <c r="D198" s="58" t="n">
        <v>2001</v>
      </c>
      <c r="E198" s="58" t="n">
        <v>2002</v>
      </c>
      <c r="F198" s="58" t="n">
        <v>2003</v>
      </c>
      <c r="G198" s="58" t="n">
        <v>2004</v>
      </c>
      <c r="H198" s="58" t="n">
        <v>2005</v>
      </c>
      <c r="I198" s="58" t="n">
        <v>2006</v>
      </c>
      <c r="J198" s="58" t="n">
        <v>2007</v>
      </c>
      <c r="K198" s="58" t="n">
        <v>2008</v>
      </c>
      <c r="L198" s="58" t="n">
        <v>2009</v>
      </c>
      <c r="M198" s="58" t="n">
        <v>2010</v>
      </c>
      <c r="N198" s="58" t="n">
        <v>2011</v>
      </c>
      <c r="O198" s="58" t="n">
        <v>2012</v>
      </c>
      <c r="P198" s="58" t="n">
        <v>2013</v>
      </c>
      <c r="Q198" s="58" t="n">
        <v>2014</v>
      </c>
      <c r="R198" s="58" t="n">
        <v>2015</v>
      </c>
      <c r="S198" s="58" t="n">
        <v>2016</v>
      </c>
      <c r="T198" s="58" t="n">
        <v>2017</v>
      </c>
      <c r="U198" s="58" t="n">
        <v>2018</v>
      </c>
      <c r="V198" s="58" t="n">
        <v>2019</v>
      </c>
      <c r="W198" s="58" t="s">
        <v>19</v>
      </c>
    </row>
    <row r="199" customFormat="false" ht="12.75" hidden="false" customHeight="false" outlineLevel="0" collapsed="false">
      <c r="A199" s="48" t="s">
        <v>5</v>
      </c>
      <c r="B199" s="49" t="n">
        <v>228.15</v>
      </c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</row>
    <row r="200" customFormat="false" ht="12.75" hidden="false" customHeight="false" outlineLevel="0" collapsed="false">
      <c r="A200" s="2"/>
      <c r="B200" s="117" t="s">
        <v>20</v>
      </c>
      <c r="C200" s="118" t="n">
        <v>0</v>
      </c>
      <c r="D200" s="64" t="n">
        <v>64146320.490171</v>
      </c>
      <c r="E200" s="64" t="n">
        <v>63256691.0269395</v>
      </c>
      <c r="F200" s="64" t="n">
        <v>64474273.7828603</v>
      </c>
      <c r="G200" s="64" t="n">
        <v>63560427.5137281</v>
      </c>
      <c r="H200" s="64" t="n">
        <v>64039176.4541862</v>
      </c>
      <c r="I200" s="64" t="n">
        <v>68363220.6285508</v>
      </c>
      <c r="J200" s="64" t="n">
        <v>73302819.3999924</v>
      </c>
      <c r="K200" s="64" t="n">
        <v>75199732.0082022</v>
      </c>
      <c r="L200" s="64" t="n">
        <v>76773722.6451942</v>
      </c>
      <c r="M200" s="64" t="n">
        <v>77047800.5929174</v>
      </c>
      <c r="N200" s="64" t="n">
        <v>78712413.2269448</v>
      </c>
      <c r="O200" s="64" t="n">
        <v>79596336.8692043</v>
      </c>
      <c r="P200" s="64" t="n">
        <v>80533030.1628018</v>
      </c>
      <c r="Q200" s="64" t="n">
        <v>83367891.1428547</v>
      </c>
      <c r="R200" s="64" t="n">
        <v>89282759.3774229</v>
      </c>
      <c r="S200" s="64" t="n">
        <v>88768425.8432349</v>
      </c>
      <c r="T200" s="64" t="n">
        <v>89899763.3741903</v>
      </c>
      <c r="U200" s="64" t="n">
        <v>94219935.2671057</v>
      </c>
      <c r="V200" s="64" t="n">
        <v>97081731.4829914</v>
      </c>
      <c r="W200" s="65"/>
    </row>
    <row r="201" customFormat="false" ht="12.75" hidden="false" customHeight="false" outlineLevel="0" collapsed="false">
      <c r="A201" s="2"/>
      <c r="B201" s="117" t="s">
        <v>21</v>
      </c>
      <c r="C201" s="118" t="n">
        <v>0</v>
      </c>
      <c r="D201" s="64" t="n">
        <v>-19021493.9317019</v>
      </c>
      <c r="E201" s="64" t="n">
        <v>-19294003.6051538</v>
      </c>
      <c r="F201" s="64" t="n">
        <v>-19628664.6076385</v>
      </c>
      <c r="G201" s="64" t="n">
        <v>-20192807.4403984</v>
      </c>
      <c r="H201" s="64" t="n">
        <v>-20898782.793259</v>
      </c>
      <c r="I201" s="64" t="n">
        <v>-21706750.0706864</v>
      </c>
      <c r="J201" s="64" t="n">
        <v>-22207147.950592</v>
      </c>
      <c r="K201" s="64" t="n">
        <v>-22685235.0969988</v>
      </c>
      <c r="L201" s="64" t="n">
        <v>-23054955.8235533</v>
      </c>
      <c r="M201" s="64" t="n">
        <v>-23233441.6915451</v>
      </c>
      <c r="N201" s="64" t="n">
        <v>-23545791.9605309</v>
      </c>
      <c r="O201" s="64" t="n">
        <v>-24055751.5833647</v>
      </c>
      <c r="P201" s="64" t="n">
        <v>-24602364.5540897</v>
      </c>
      <c r="Q201" s="64" t="n">
        <v>-25123479.543673</v>
      </c>
      <c r="R201" s="64" t="n">
        <v>-25475670.4081926</v>
      </c>
      <c r="S201" s="64" t="n">
        <v>-25996785.397776</v>
      </c>
      <c r="T201" s="64" t="n">
        <v>-26589613.4593203</v>
      </c>
      <c r="U201" s="64" t="n">
        <v>-27242999.2260761</v>
      </c>
      <c r="V201" s="64" t="n">
        <v>-27915508.4786883</v>
      </c>
      <c r="W201" s="65"/>
    </row>
    <row r="202" customFormat="false" ht="12.75" hidden="false" customHeight="false" outlineLevel="0" collapsed="false">
      <c r="A202" s="2"/>
      <c r="B202" s="117" t="s">
        <v>22</v>
      </c>
      <c r="C202" s="118" t="n">
        <v>0</v>
      </c>
      <c r="D202" s="64" t="n">
        <v>-1430282.94182629</v>
      </c>
      <c r="E202" s="64" t="n">
        <v>-1459152.2814493</v>
      </c>
      <c r="F202" s="64" t="n">
        <v>-2421156.14317972</v>
      </c>
      <c r="G202" s="64" t="n">
        <v>-2474516.45777451</v>
      </c>
      <c r="H202" s="64" t="n">
        <v>-2529066.08688438</v>
      </c>
      <c r="I202" s="64" t="n">
        <v>-2584831.84283015</v>
      </c>
      <c r="J202" s="64" t="n">
        <v>-2641841.14929143</v>
      </c>
      <c r="K202" s="64" t="n">
        <v>-2700122.0554007</v>
      </c>
      <c r="L202" s="64" t="n">
        <v>-2759703.25016577</v>
      </c>
      <c r="M202" s="64" t="n">
        <v>-2820614.07722829</v>
      </c>
      <c r="N202" s="64" t="n">
        <v>-2882884.54996623</v>
      </c>
      <c r="O202" s="64" t="n">
        <v>-2946545.36694845</v>
      </c>
      <c r="P202" s="64" t="n">
        <v>-3011627.92774954</v>
      </c>
      <c r="Q202" s="64" t="n">
        <v>-3078164.34913357</v>
      </c>
      <c r="R202" s="64" t="n">
        <v>-3146187.48161535</v>
      </c>
      <c r="S202" s="64" t="n">
        <v>-3215730.92640802</v>
      </c>
      <c r="T202" s="64" t="n">
        <v>-3286829.05276628</v>
      </c>
      <c r="U202" s="64" t="n">
        <v>-3359517.01573434</v>
      </c>
      <c r="V202" s="64" t="n">
        <v>-3433830.77430827</v>
      </c>
      <c r="W202" s="65"/>
    </row>
    <row r="203" customFormat="false" ht="12.75" hidden="false" customHeight="false" outlineLevel="0" collapsed="false">
      <c r="A203" s="2"/>
      <c r="B203" s="117" t="s">
        <v>23</v>
      </c>
      <c r="C203" s="118" t="n">
        <v>0</v>
      </c>
      <c r="D203" s="64" t="n">
        <v>0</v>
      </c>
      <c r="E203" s="64" t="n">
        <v>0</v>
      </c>
      <c r="F203" s="64" t="n">
        <v>0</v>
      </c>
      <c r="G203" s="64" t="n">
        <v>0</v>
      </c>
      <c r="H203" s="64" t="n">
        <v>0</v>
      </c>
      <c r="I203" s="64" t="n">
        <v>-483450.735166032</v>
      </c>
      <c r="J203" s="64" t="n">
        <v>-535866.519974459</v>
      </c>
      <c r="K203" s="64" t="n">
        <v>-729020.624646983</v>
      </c>
      <c r="L203" s="64" t="n">
        <v>-649456.66963403</v>
      </c>
      <c r="M203" s="64" t="n">
        <v>-722295.670911963</v>
      </c>
      <c r="N203" s="64" t="n">
        <v>-795663.304224678</v>
      </c>
      <c r="O203" s="64" t="n">
        <v>-881571.08637374</v>
      </c>
      <c r="P203" s="64" t="n">
        <v>-988473.093675137</v>
      </c>
      <c r="Q203" s="64" t="n">
        <v>-1100324.80153933</v>
      </c>
      <c r="R203" s="64" t="n">
        <v>-1218823.75032278</v>
      </c>
      <c r="S203" s="64" t="n">
        <v>-1338266.97899302</v>
      </c>
      <c r="T203" s="64" t="n">
        <v>-1314782.06320037</v>
      </c>
      <c r="U203" s="64" t="n">
        <v>-1124867.16836422</v>
      </c>
      <c r="V203" s="64" t="n">
        <v>-1166279.71949623</v>
      </c>
      <c r="W203" s="65"/>
    </row>
    <row r="204" customFormat="false" ht="13.5" hidden="false" customHeight="false" outlineLevel="0" collapsed="false">
      <c r="A204" s="2"/>
      <c r="B204" s="119" t="s">
        <v>24</v>
      </c>
      <c r="C204" s="120" t="n">
        <v>0</v>
      </c>
      <c r="D204" s="68" t="n">
        <v>0</v>
      </c>
      <c r="E204" s="68" t="n">
        <v>0</v>
      </c>
      <c r="F204" s="68" t="n">
        <v>-1512466.80797761</v>
      </c>
      <c r="G204" s="68" t="n">
        <v>-1288716.52654122</v>
      </c>
      <c r="H204" s="68" t="n">
        <v>-1337863.81939161</v>
      </c>
      <c r="I204" s="68" t="n">
        <v>-1389489.37181164</v>
      </c>
      <c r="J204" s="68" t="n">
        <v>-1745502.12216817</v>
      </c>
      <c r="K204" s="68" t="n">
        <v>-1524676.54168254</v>
      </c>
      <c r="L204" s="68" t="n">
        <v>-1613762.39206114</v>
      </c>
      <c r="M204" s="68" t="n">
        <v>-1535556.72146746</v>
      </c>
      <c r="N204" s="68" t="n">
        <v>-1579536.33154239</v>
      </c>
      <c r="O204" s="68" t="n">
        <v>-1620495.08591659</v>
      </c>
      <c r="P204" s="68" t="n">
        <v>-1447442.10292378</v>
      </c>
      <c r="Q204" s="68" t="n">
        <v>-1499194.93000384</v>
      </c>
      <c r="R204" s="68" t="n">
        <v>-1530176.36472792</v>
      </c>
      <c r="S204" s="68" t="n">
        <v>-1624939.79183017</v>
      </c>
      <c r="T204" s="68" t="n">
        <v>-1527611.93757506</v>
      </c>
      <c r="U204" s="68" t="n">
        <v>-1682476.71595996</v>
      </c>
      <c r="V204" s="68" t="n">
        <v>-916025.380748347</v>
      </c>
      <c r="W204" s="65"/>
    </row>
    <row r="205" customFormat="false" ht="13.5" hidden="false" customHeight="false" outlineLevel="0" collapsed="false">
      <c r="A205" s="2"/>
      <c r="B205" s="121" t="s">
        <v>25</v>
      </c>
      <c r="C205" s="122" t="n">
        <v>0</v>
      </c>
      <c r="D205" s="71" t="n">
        <v>43694543.6166428</v>
      </c>
      <c r="E205" s="71" t="n">
        <v>42503535.1403364</v>
      </c>
      <c r="F205" s="71" t="n">
        <v>40911986.2240645</v>
      </c>
      <c r="G205" s="71" t="n">
        <v>39604387.0890139</v>
      </c>
      <c r="H205" s="71" t="n">
        <v>39273463.7546512</v>
      </c>
      <c r="I205" s="71" t="n">
        <v>42198698.6080566</v>
      </c>
      <c r="J205" s="71" t="n">
        <v>46172461.6579663</v>
      </c>
      <c r="K205" s="71" t="n">
        <v>47560677.6894732</v>
      </c>
      <c r="L205" s="71" t="n">
        <v>48695844.5097799</v>
      </c>
      <c r="M205" s="71" t="n">
        <v>48735892.4317646</v>
      </c>
      <c r="N205" s="71" t="n">
        <v>49908537.0806806</v>
      </c>
      <c r="O205" s="71" t="n">
        <v>50091973.7466008</v>
      </c>
      <c r="P205" s="71" t="n">
        <v>50483122.4843637</v>
      </c>
      <c r="Q205" s="71" t="n">
        <v>52566727.518505</v>
      </c>
      <c r="R205" s="71" t="n">
        <v>57911901.3725642</v>
      </c>
      <c r="S205" s="71" t="n">
        <v>56592702.7482277</v>
      </c>
      <c r="T205" s="71" t="n">
        <v>57180926.8613283</v>
      </c>
      <c r="U205" s="71" t="n">
        <v>60810075.1409711</v>
      </c>
      <c r="V205" s="71" t="n">
        <v>63650087.1297502</v>
      </c>
      <c r="W205" s="65"/>
    </row>
    <row r="206" customFormat="false" ht="12.75" hidden="false" customHeight="false" outlineLevel="0" collapsed="false">
      <c r="A206" s="2"/>
      <c r="B206" s="117" t="s">
        <v>26</v>
      </c>
      <c r="C206" s="118" t="n">
        <v>0</v>
      </c>
      <c r="D206" s="64" t="n">
        <v>-2764657.7517132</v>
      </c>
      <c r="E206" s="64" t="n">
        <v>-2819950.90674747</v>
      </c>
      <c r="F206" s="64" t="n">
        <v>-2918348.92488242</v>
      </c>
      <c r="G206" s="64" t="n">
        <v>-2976925.89838006</v>
      </c>
      <c r="H206" s="64" t="n">
        <v>-3036679.66122267</v>
      </c>
      <c r="I206" s="64" t="n">
        <v>-3097633.88044399</v>
      </c>
      <c r="J206" s="64" t="n">
        <v>-3159812.69969967</v>
      </c>
      <c r="K206" s="64" t="n">
        <v>-3223240.74888163</v>
      </c>
      <c r="L206" s="64" t="n">
        <v>-3287943.15392693</v>
      </c>
      <c r="M206" s="64" t="n">
        <v>-3353945.54682483</v>
      </c>
      <c r="N206" s="64" t="n">
        <v>-3421274.07582616</v>
      </c>
      <c r="O206" s="64" t="n">
        <v>-3489955.41585915</v>
      </c>
      <c r="P206" s="64" t="n">
        <v>-3560016.77915571</v>
      </c>
      <c r="Q206" s="64" t="n">
        <v>-3631485.92609268</v>
      </c>
      <c r="R206" s="64" t="n">
        <v>-3704391.17625224</v>
      </c>
      <c r="S206" s="64" t="n">
        <v>-3778761.41970593</v>
      </c>
      <c r="T206" s="64" t="n">
        <v>-3854626.12852691</v>
      </c>
      <c r="U206" s="64" t="n">
        <v>-3932015.36853499</v>
      </c>
      <c r="V206" s="64" t="n">
        <v>-4010959.81127916</v>
      </c>
      <c r="W206" s="65"/>
    </row>
    <row r="207" customFormat="false" ht="12.75" hidden="false" customHeight="false" outlineLevel="0" collapsed="false">
      <c r="A207" s="2"/>
      <c r="B207" s="117" t="s">
        <v>27</v>
      </c>
      <c r="C207" s="118" t="n">
        <v>0</v>
      </c>
      <c r="D207" s="64" t="n">
        <v>-388299.792155906</v>
      </c>
      <c r="E207" s="64" t="n">
        <v>-397276.518286144</v>
      </c>
      <c r="F207" s="64" t="n">
        <v>-406449.834718634</v>
      </c>
      <c r="G207" s="64" t="n">
        <v>-415830.468102499</v>
      </c>
      <c r="H207" s="64" t="n">
        <v>-425434.3605609</v>
      </c>
      <c r="I207" s="64" t="n">
        <v>-435680.840213219</v>
      </c>
      <c r="J207" s="64" t="n">
        <v>-445769.579868652</v>
      </c>
      <c r="K207" s="64" t="n">
        <v>-456535.84705077</v>
      </c>
      <c r="L207" s="64" t="n">
        <v>-467135.452986692</v>
      </c>
      <c r="M207" s="64" t="n">
        <v>-478005.348873979</v>
      </c>
      <c r="N207" s="64" t="n">
        <v>-489138.296241738</v>
      </c>
      <c r="O207" s="64" t="n">
        <v>-500551.793883165</v>
      </c>
      <c r="P207" s="64" t="n">
        <v>-512255.194364685</v>
      </c>
      <c r="Q207" s="64" t="n">
        <v>-524251.179858242</v>
      </c>
      <c r="R207" s="64" t="n">
        <v>-536548.264587687</v>
      </c>
      <c r="S207" s="64" t="n">
        <v>-549152.776435369</v>
      </c>
      <c r="T207" s="64" t="n">
        <v>-562069.880176873</v>
      </c>
      <c r="U207" s="64" t="n">
        <v>-575311.203222289</v>
      </c>
      <c r="V207" s="64" t="n">
        <v>-588884.883476145</v>
      </c>
      <c r="W207" s="65"/>
    </row>
    <row r="208" customFormat="false" ht="13.5" hidden="false" customHeight="false" outlineLevel="0" collapsed="false">
      <c r="A208" s="2"/>
      <c r="B208" s="119" t="s">
        <v>28</v>
      </c>
      <c r="C208" s="120" t="n">
        <v>0</v>
      </c>
      <c r="D208" s="68" t="n">
        <v>-535405.353751207</v>
      </c>
      <c r="E208" s="68" t="n">
        <v>-546702.406715361</v>
      </c>
      <c r="F208" s="68" t="n">
        <v>-558675.189422428</v>
      </c>
      <c r="G208" s="68" t="n">
        <v>-571301.24870337</v>
      </c>
      <c r="H208" s="68" t="n">
        <v>-584898.218422512</v>
      </c>
      <c r="I208" s="68" t="n">
        <v>-599555.826577049</v>
      </c>
      <c r="J208" s="68" t="n">
        <v>-614426.48136174</v>
      </c>
      <c r="K208" s="68" t="n">
        <v>-629978.885362923</v>
      </c>
      <c r="L208" s="68" t="n">
        <v>-645539.363831388</v>
      </c>
      <c r="M208" s="68" t="n">
        <v>-662000.617609086</v>
      </c>
      <c r="N208" s="68" t="n">
        <v>-678021.032555229</v>
      </c>
      <c r="O208" s="68" t="n">
        <v>-695107.162575619</v>
      </c>
      <c r="P208" s="68" t="n">
        <v>-712762.884505038</v>
      </c>
      <c r="Q208" s="68" t="n">
        <v>-730581.956617664</v>
      </c>
      <c r="R208" s="68" t="n">
        <v>-748919.563728767</v>
      </c>
      <c r="S208" s="68" t="n">
        <v>-767642.552821988</v>
      </c>
      <c r="T208" s="68" t="n">
        <v>-786680.088131972</v>
      </c>
      <c r="U208" s="68" t="n">
        <v>-806425.758344086</v>
      </c>
      <c r="V208" s="68" t="n">
        <v>-826667.044878523</v>
      </c>
      <c r="W208" s="65"/>
    </row>
    <row r="209" customFormat="false" ht="13.5" hidden="false" customHeight="false" outlineLevel="0" collapsed="false">
      <c r="A209" s="2"/>
      <c r="B209" s="121" t="s">
        <v>29</v>
      </c>
      <c r="C209" s="123" t="n">
        <v>0</v>
      </c>
      <c r="D209" s="73" t="n">
        <v>40006180.7190224</v>
      </c>
      <c r="E209" s="73" t="n">
        <v>38739605.3085874</v>
      </c>
      <c r="F209" s="73" t="n">
        <v>37028512.275041</v>
      </c>
      <c r="G209" s="73" t="n">
        <v>35640329.473828</v>
      </c>
      <c r="H209" s="73" t="n">
        <v>35226451.5144451</v>
      </c>
      <c r="I209" s="73" t="n">
        <v>38065828.0608223</v>
      </c>
      <c r="J209" s="73" t="n">
        <v>41952452.8970362</v>
      </c>
      <c r="K209" s="73" t="n">
        <v>43250922.2081779</v>
      </c>
      <c r="L209" s="73" t="n">
        <v>44295226.5390349</v>
      </c>
      <c r="M209" s="73" t="n">
        <v>44241940.9184567</v>
      </c>
      <c r="N209" s="73" t="n">
        <v>45320103.6760575</v>
      </c>
      <c r="O209" s="73" t="n">
        <v>45406359.3742829</v>
      </c>
      <c r="P209" s="73" t="n">
        <v>45698087.6263382</v>
      </c>
      <c r="Q209" s="73" t="n">
        <v>47680408.4559364</v>
      </c>
      <c r="R209" s="73" t="n">
        <v>52922042.3679955</v>
      </c>
      <c r="S209" s="73" t="n">
        <v>51497145.9992644</v>
      </c>
      <c r="T209" s="73" t="n">
        <v>51977550.7644925</v>
      </c>
      <c r="U209" s="73" t="n">
        <v>55496322.8108697</v>
      </c>
      <c r="V209" s="73" t="n">
        <v>58223575.3901164</v>
      </c>
      <c r="W209" s="65"/>
    </row>
    <row r="210" customFormat="false" ht="12.75" hidden="false" customHeight="false" outlineLevel="0" collapsed="false">
      <c r="A210" s="2"/>
      <c r="B210" s="117" t="s">
        <v>30</v>
      </c>
      <c r="C210" s="118" t="n">
        <v>0</v>
      </c>
      <c r="D210" s="64" t="n">
        <v>-2062980.3675</v>
      </c>
      <c r="E210" s="64" t="n">
        <v>-2822411.90358</v>
      </c>
      <c r="F210" s="64" t="n">
        <v>-3154240.7992298</v>
      </c>
      <c r="G210" s="64" t="n">
        <v>-3254999.0104907</v>
      </c>
      <c r="H210" s="64" t="n">
        <v>-3219881.2151525</v>
      </c>
      <c r="I210" s="64" t="n">
        <v>-2867391.13094432</v>
      </c>
      <c r="J210" s="64" t="n">
        <v>-2289319.49164179</v>
      </c>
      <c r="K210" s="64" t="n">
        <v>-1952719.02745095</v>
      </c>
      <c r="L210" s="64" t="n">
        <v>-1735110.75649361</v>
      </c>
      <c r="M210" s="64" t="n">
        <v>-1655481.66270151</v>
      </c>
      <c r="N210" s="64" t="n">
        <v>-1740136.26458522</v>
      </c>
      <c r="O210" s="64" t="n">
        <v>-1708880.67183541</v>
      </c>
      <c r="P210" s="64" t="n">
        <v>-1679547.76043394</v>
      </c>
      <c r="Q210" s="64" t="n">
        <v>-1701928.75669042</v>
      </c>
      <c r="R210" s="64" t="n">
        <v>-1726919.7803346</v>
      </c>
      <c r="S210" s="64" t="n">
        <v>-1704232.58218811</v>
      </c>
      <c r="T210" s="64" t="n">
        <v>-1684408.36559722</v>
      </c>
      <c r="U210" s="64" t="n">
        <v>-1786630.6100086</v>
      </c>
      <c r="V210" s="64" t="n">
        <v>-1864013.89675233</v>
      </c>
      <c r="W210" s="65"/>
    </row>
    <row r="211" customFormat="false" ht="13.5" hidden="false" customHeight="false" outlineLevel="0" collapsed="false">
      <c r="A211" s="2"/>
      <c r="B211" s="119" t="s">
        <v>70</v>
      </c>
      <c r="C211" s="120" t="n">
        <v>0</v>
      </c>
      <c r="D211" s="68" t="n">
        <v>-15177280.140609</v>
      </c>
      <c r="E211" s="68" t="n">
        <v>-14366877.362003</v>
      </c>
      <c r="F211" s="68" t="n">
        <v>-13549708.5903245</v>
      </c>
      <c r="G211" s="68" t="n">
        <v>-12954132.1853349</v>
      </c>
      <c r="H211" s="68" t="n">
        <v>-12802628.119717</v>
      </c>
      <c r="I211" s="68" t="n">
        <v>-14079374.7719512</v>
      </c>
      <c r="J211" s="68" t="n">
        <v>-15865253.3621578</v>
      </c>
      <c r="K211" s="68" t="n">
        <v>-16519281.2722908</v>
      </c>
      <c r="L211" s="68" t="n">
        <v>-17024046.3130165</v>
      </c>
      <c r="M211" s="68" t="n">
        <v>-17034583.7023021</v>
      </c>
      <c r="N211" s="68" t="n">
        <v>-17431986.9645889</v>
      </c>
      <c r="O211" s="68" t="n">
        <v>-17478991.480979</v>
      </c>
      <c r="P211" s="68" t="n">
        <v>-17607415.9463617</v>
      </c>
      <c r="Q211" s="68" t="n">
        <v>-18391391.8796984</v>
      </c>
      <c r="R211" s="68" t="n">
        <v>-20478049.0350644</v>
      </c>
      <c r="S211" s="68" t="n">
        <v>-19917165.3668305</v>
      </c>
      <c r="T211" s="68" t="n">
        <v>-20117256.9595581</v>
      </c>
      <c r="U211" s="68" t="n">
        <v>-21483876.8803444</v>
      </c>
      <c r="V211" s="68" t="n">
        <v>-22543824.5973456</v>
      </c>
      <c r="W211" s="65"/>
    </row>
    <row r="212" customFormat="false" ht="13.5" hidden="false" customHeight="false" outlineLevel="0" collapsed="false">
      <c r="A212" s="2"/>
      <c r="B212" s="121" t="s">
        <v>32</v>
      </c>
      <c r="C212" s="123" t="n">
        <v>0</v>
      </c>
      <c r="D212" s="73" t="n">
        <v>22765920.2109135</v>
      </c>
      <c r="E212" s="73" t="n">
        <v>21550316.0430044</v>
      </c>
      <c r="F212" s="73" t="n">
        <v>20324562.8854867</v>
      </c>
      <c r="G212" s="73" t="n">
        <v>19431198.2780024</v>
      </c>
      <c r="H212" s="73" t="n">
        <v>19203942.1795756</v>
      </c>
      <c r="I212" s="73" t="n">
        <v>21119062.1579268</v>
      </c>
      <c r="J212" s="73" t="n">
        <v>23797880.0432367</v>
      </c>
      <c r="K212" s="73" t="n">
        <v>24778921.9084362</v>
      </c>
      <c r="L212" s="73" t="n">
        <v>25536069.4695248</v>
      </c>
      <c r="M212" s="73" t="n">
        <v>25551875.5534531</v>
      </c>
      <c r="N212" s="73" t="n">
        <v>26147980.4468834</v>
      </c>
      <c r="O212" s="73" t="n">
        <v>26218487.2214685</v>
      </c>
      <c r="P212" s="73" t="n">
        <v>26411123.9195426</v>
      </c>
      <c r="Q212" s="73" t="n">
        <v>27587087.8195476</v>
      </c>
      <c r="R212" s="73" t="n">
        <v>30717073.5525965</v>
      </c>
      <c r="S212" s="73" t="n">
        <v>29875748.0502458</v>
      </c>
      <c r="T212" s="73" t="n">
        <v>30175885.4393372</v>
      </c>
      <c r="U212" s="73" t="n">
        <v>32225815.3205167</v>
      </c>
      <c r="V212" s="73" t="n">
        <v>33815736.8960185</v>
      </c>
      <c r="W212" s="65"/>
    </row>
    <row r="213" customFormat="false" ht="12.75" hidden="false" customHeight="false" outlineLevel="0" collapsed="false">
      <c r="A213" s="2"/>
      <c r="B213" s="117" t="s">
        <v>30</v>
      </c>
      <c r="C213" s="118" t="n">
        <v>0</v>
      </c>
      <c r="D213" s="64" t="n">
        <v>2062980.3675</v>
      </c>
      <c r="E213" s="64" t="n">
        <v>2822411.90358</v>
      </c>
      <c r="F213" s="64" t="n">
        <v>3154240.7992298</v>
      </c>
      <c r="G213" s="64" t="n">
        <v>3254999.0104907</v>
      </c>
      <c r="H213" s="64" t="n">
        <v>3219881.2151525</v>
      </c>
      <c r="I213" s="64" t="n">
        <v>2867391.13094432</v>
      </c>
      <c r="J213" s="64" t="n">
        <v>2289319.49164179</v>
      </c>
      <c r="K213" s="64" t="n">
        <v>1952719.02745095</v>
      </c>
      <c r="L213" s="64" t="n">
        <v>1735110.75649361</v>
      </c>
      <c r="M213" s="64" t="n">
        <v>1655481.66270151</v>
      </c>
      <c r="N213" s="64" t="n">
        <v>1740136.26458522</v>
      </c>
      <c r="O213" s="64" t="n">
        <v>1708880.67183541</v>
      </c>
      <c r="P213" s="64" t="n">
        <v>1679547.76043394</v>
      </c>
      <c r="Q213" s="64" t="n">
        <v>1701928.75669042</v>
      </c>
      <c r="R213" s="64" t="n">
        <v>1726919.7803346</v>
      </c>
      <c r="S213" s="64" t="n">
        <v>1704232.58218811</v>
      </c>
      <c r="T213" s="64" t="n">
        <v>1684408.36559722</v>
      </c>
      <c r="U213" s="64" t="n">
        <v>1786630.6100086</v>
      </c>
      <c r="V213" s="64" t="n">
        <v>1864013.89675233</v>
      </c>
      <c r="W213" s="65"/>
    </row>
    <row r="214" customFormat="false" ht="12.75" hidden="false" customHeight="false" outlineLevel="0" collapsed="false">
      <c r="A214" s="2"/>
      <c r="B214" s="117" t="s">
        <v>33</v>
      </c>
      <c r="C214" s="118" t="n">
        <v>0</v>
      </c>
      <c r="D214" s="64" t="n">
        <v>-1392192</v>
      </c>
      <c r="E214" s="64" t="n">
        <v>-288695.92</v>
      </c>
      <c r="F214" s="64" t="n">
        <v>-1959781.09</v>
      </c>
      <c r="G214" s="64" t="n">
        <v>-716258.43</v>
      </c>
      <c r="H214" s="64" t="n">
        <v>-1484360.488</v>
      </c>
      <c r="I214" s="64" t="n">
        <v>-1528891.30264</v>
      </c>
      <c r="J214" s="64" t="n">
        <v>-1574758.0417192</v>
      </c>
      <c r="K214" s="64" t="n">
        <v>-1622000.78297078</v>
      </c>
      <c r="L214" s="64" t="n">
        <v>-1670660.8064599</v>
      </c>
      <c r="M214" s="64" t="n">
        <v>-1720780.6306537</v>
      </c>
      <c r="N214" s="64" t="n">
        <v>-1772404.04957331</v>
      </c>
      <c r="O214" s="64" t="n">
        <v>-1825576.17106051</v>
      </c>
      <c r="P214" s="64" t="n">
        <v>-1880343.45619232</v>
      </c>
      <c r="Q214" s="64" t="n">
        <v>-1936753.75987809</v>
      </c>
      <c r="R214" s="64" t="n">
        <v>-1994856.37267443</v>
      </c>
      <c r="S214" s="64" t="n">
        <v>-2054702.06385467</v>
      </c>
      <c r="T214" s="64" t="n">
        <v>-2116343.12577031</v>
      </c>
      <c r="U214" s="64" t="n">
        <v>-2179833.41954342</v>
      </c>
      <c r="V214" s="64" t="n">
        <v>-2245228.42212972</v>
      </c>
      <c r="W214" s="65"/>
    </row>
    <row r="215" customFormat="false" ht="13.5" hidden="false" customHeight="false" outlineLevel="0" collapsed="false">
      <c r="A215" s="2"/>
      <c r="B215" s="119" t="s">
        <v>34</v>
      </c>
      <c r="C215" s="120" t="n">
        <v>0</v>
      </c>
      <c r="D215" s="68" t="n">
        <v>-6225024</v>
      </c>
      <c r="E215" s="68" t="n">
        <v>-4058147.2</v>
      </c>
      <c r="F215" s="68" t="n">
        <v>-2200091.69</v>
      </c>
      <c r="G215" s="68" t="n">
        <v>0</v>
      </c>
      <c r="H215" s="68" t="n">
        <v>0</v>
      </c>
      <c r="I215" s="68" t="n">
        <v>0</v>
      </c>
      <c r="J215" s="68" t="n">
        <v>0</v>
      </c>
      <c r="K215" s="68" t="n">
        <v>0</v>
      </c>
      <c r="L215" s="68" t="n">
        <v>0</v>
      </c>
      <c r="M215" s="68" t="n">
        <v>0</v>
      </c>
      <c r="N215" s="68" t="n">
        <v>0</v>
      </c>
      <c r="O215" s="68" t="n">
        <v>0</v>
      </c>
      <c r="P215" s="68" t="n">
        <v>0</v>
      </c>
      <c r="Q215" s="68" t="n">
        <v>0</v>
      </c>
      <c r="R215" s="68" t="n">
        <v>0</v>
      </c>
      <c r="S215" s="68" t="n">
        <v>0</v>
      </c>
      <c r="T215" s="68" t="n">
        <v>0</v>
      </c>
      <c r="U215" s="68" t="n">
        <v>0</v>
      </c>
      <c r="V215" s="68" t="n">
        <v>0</v>
      </c>
      <c r="W215" s="65"/>
    </row>
    <row r="216" customFormat="false" ht="13.5" hidden="false" customHeight="false" outlineLevel="0" collapsed="false">
      <c r="A216" s="2"/>
      <c r="B216" s="117"/>
      <c r="C216" s="124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</row>
    <row r="217" customFormat="false" ht="12.75" hidden="false" customHeight="false" outlineLevel="0" collapsed="false">
      <c r="A217" s="2"/>
      <c r="B217" s="121" t="s">
        <v>35</v>
      </c>
      <c r="C217" s="123" t="n">
        <v>0</v>
      </c>
      <c r="D217" s="73" t="n">
        <v>17211684.5784135</v>
      </c>
      <c r="E217" s="73" t="n">
        <v>20025884.8265844</v>
      </c>
      <c r="F217" s="73" t="n">
        <v>19318930.9047165</v>
      </c>
      <c r="G217" s="73" t="n">
        <v>21969938.8584931</v>
      </c>
      <c r="H217" s="73" t="n">
        <v>20939462.9067281</v>
      </c>
      <c r="I217" s="73" t="n">
        <v>22457561.9862311</v>
      </c>
      <c r="J217" s="73" t="n">
        <v>24512441.4931593</v>
      </c>
      <c r="K217" s="73" t="n">
        <v>25109640.1529163</v>
      </c>
      <c r="L217" s="73" t="n">
        <v>25600519.4195585</v>
      </c>
      <c r="M217" s="73" t="n">
        <v>25486576.5855009</v>
      </c>
      <c r="N217" s="73" t="n">
        <v>26115712.6618953</v>
      </c>
      <c r="O217" s="73" t="n">
        <v>26101791.7222434</v>
      </c>
      <c r="P217" s="73" t="n">
        <v>26210328.2237842</v>
      </c>
      <c r="Q217" s="73" t="n">
        <v>27352262.8163599</v>
      </c>
      <c r="R217" s="73" t="n">
        <v>30449136.9602567</v>
      </c>
      <c r="S217" s="73" t="n">
        <v>29525278.5685792</v>
      </c>
      <c r="T217" s="73" t="n">
        <v>29743950.6791641</v>
      </c>
      <c r="U217" s="73" t="n">
        <v>31832612.5109819</v>
      </c>
      <c r="V217" s="73" t="n">
        <v>33434522.3706411</v>
      </c>
      <c r="W217" s="71" t="n">
        <v>175889568.67631</v>
      </c>
    </row>
    <row r="218" customFormat="false" ht="12.75" hidden="false" customHeight="false" outlineLevel="0" collapsed="false">
      <c r="A218" s="2"/>
      <c r="B218" s="1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customFormat="false" ht="12.75" hidden="false" customHeight="false" outlineLevel="0" collapsed="false">
      <c r="A219" s="48" t="s">
        <v>36</v>
      </c>
      <c r="B219" s="126" t="s">
        <v>37</v>
      </c>
      <c r="C219" s="76" t="n">
        <v>74719425.6112762</v>
      </c>
      <c r="D219" s="2"/>
      <c r="E219" s="127" t="s">
        <v>38</v>
      </c>
      <c r="F219" s="128" t="s">
        <v>37</v>
      </c>
      <c r="G219" s="79" t="n">
        <v>74719425.6112762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customFormat="false" ht="12.75" hidden="false" customHeight="false" outlineLevel="0" collapsed="false">
      <c r="A220" s="2"/>
      <c r="B220" s="126" t="s">
        <v>39</v>
      </c>
      <c r="C220" s="76" t="n">
        <v>120709445.283487</v>
      </c>
      <c r="D220" s="2"/>
      <c r="E220" s="129"/>
      <c r="F220" s="128" t="s">
        <v>39</v>
      </c>
      <c r="G220" s="79" t="n">
        <v>120709445.283487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customFormat="false" ht="13.5" hidden="false" customHeight="false" outlineLevel="0" collapsed="false">
      <c r="A221" s="2"/>
      <c r="B221" s="130" t="s">
        <v>40</v>
      </c>
      <c r="C221" s="82" t="n">
        <v>26144863.6196484</v>
      </c>
      <c r="D221" s="131"/>
      <c r="E221" s="129"/>
      <c r="F221" s="128" t="s">
        <v>40</v>
      </c>
      <c r="G221" s="79" t="n">
        <v>26144863.6196484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customFormat="false" ht="14.25" hidden="false" customHeight="false" outlineLevel="0" collapsed="false">
      <c r="A222" s="2"/>
      <c r="B222" s="126" t="s">
        <v>41</v>
      </c>
      <c r="C222" s="76" t="n">
        <v>221573734.514412</v>
      </c>
      <c r="D222" s="132"/>
      <c r="E222" s="129"/>
      <c r="F222" s="133" t="s">
        <v>42</v>
      </c>
      <c r="G222" s="85" t="n">
        <v>0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customFormat="false" ht="13.5" hidden="false" customHeight="false" outlineLevel="0" collapsed="false">
      <c r="A223" s="2"/>
      <c r="B223" s="125"/>
      <c r="C223" s="134"/>
      <c r="D223" s="2"/>
      <c r="E223" s="135"/>
      <c r="F223" s="128" t="s">
        <v>41</v>
      </c>
      <c r="G223" s="79" t="n">
        <v>221573734.514412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customFormat="false" ht="12.75" hidden="false" customHeight="false" outlineLevel="0" collapsed="false">
      <c r="A224" s="2"/>
      <c r="B224" s="125"/>
      <c r="C224" s="134"/>
      <c r="D224" s="2"/>
      <c r="E224" s="135"/>
      <c r="F224" s="128"/>
      <c r="G224" s="13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customFormat="false" ht="12.75" hidden="false" customHeight="false" outlineLevel="0" collapsed="false">
      <c r="A225" s="2"/>
      <c r="B225" s="125"/>
      <c r="C225" s="134"/>
      <c r="D225" s="2"/>
      <c r="E225" s="135"/>
      <c r="F225" s="128"/>
      <c r="G225" s="13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customFormat="false" ht="12.75" hidden="false" customHeight="false" outlineLevel="0" collapsed="false">
      <c r="A226" s="2"/>
      <c r="B226" s="137" t="s">
        <v>43</v>
      </c>
      <c r="C226" s="134"/>
      <c r="D226" s="2"/>
      <c r="E226" s="135"/>
      <c r="F226" s="128"/>
      <c r="G226" s="13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customFormat="false" ht="12.75" hidden="false" customHeight="false" outlineLevel="0" collapsed="false">
      <c r="A227" s="87" t="s">
        <v>44</v>
      </c>
      <c r="B227" s="137" t="s">
        <v>45</v>
      </c>
      <c r="C227" s="138"/>
      <c r="D227" s="88" t="n">
        <v>22765920.2109135</v>
      </c>
      <c r="E227" s="88" t="n">
        <v>21550316.0430044</v>
      </c>
      <c r="F227" s="88" t="n">
        <v>20324562.8854867</v>
      </c>
      <c r="G227" s="88" t="n">
        <v>19431198.2780024</v>
      </c>
      <c r="H227" s="88" t="n">
        <v>19203942.1795756</v>
      </c>
      <c r="I227" s="88" t="n">
        <v>21119062.1579268</v>
      </c>
      <c r="J227" s="88" t="n">
        <v>23797880.0432367</v>
      </c>
      <c r="K227" s="88" t="n">
        <v>24778921.9084362</v>
      </c>
      <c r="L227" s="88" t="n">
        <v>25536069.4695248</v>
      </c>
      <c r="M227" s="88" t="n">
        <v>25551875.5534531</v>
      </c>
      <c r="N227" s="88" t="n">
        <v>26147980.4468834</v>
      </c>
      <c r="O227" s="88" t="n">
        <v>26218487.2214685</v>
      </c>
      <c r="P227" s="88" t="n">
        <v>26411123.9195426</v>
      </c>
      <c r="Q227" s="88" t="n">
        <v>27587087.8195476</v>
      </c>
      <c r="R227" s="88" t="n">
        <v>30717073.5525965</v>
      </c>
      <c r="S227" s="88" t="n">
        <v>29875748.0502458</v>
      </c>
      <c r="T227" s="88" t="n">
        <v>30175885.4393372</v>
      </c>
      <c r="U227" s="88" t="n">
        <v>32225815.3205167</v>
      </c>
      <c r="V227" s="88" t="n">
        <v>33815736.8960185</v>
      </c>
      <c r="W227" s="2"/>
    </row>
    <row r="228" customFormat="false" ht="12.75" hidden="false" customHeight="false" outlineLevel="0" collapsed="false">
      <c r="A228" s="2"/>
      <c r="B228" s="125" t="s">
        <v>46</v>
      </c>
      <c r="C228" s="134"/>
      <c r="D228" s="65" t="n">
        <v>15177280.140609</v>
      </c>
      <c r="E228" s="65" t="n">
        <v>14366877.362003</v>
      </c>
      <c r="F228" s="65" t="n">
        <v>13549708.5903245</v>
      </c>
      <c r="G228" s="65" t="n">
        <v>12954132.1853349</v>
      </c>
      <c r="H228" s="65" t="n">
        <v>12802628.119717</v>
      </c>
      <c r="I228" s="65" t="n">
        <v>14079374.7719512</v>
      </c>
      <c r="J228" s="65" t="n">
        <v>15865253.3621578</v>
      </c>
      <c r="K228" s="65" t="n">
        <v>16519281.2722908</v>
      </c>
      <c r="L228" s="65" t="n">
        <v>17024046.3130165</v>
      </c>
      <c r="M228" s="65" t="n">
        <v>17034583.7023021</v>
      </c>
      <c r="N228" s="65" t="n">
        <v>17431986.9645889</v>
      </c>
      <c r="O228" s="65" t="n">
        <v>17478991.480979</v>
      </c>
      <c r="P228" s="65" t="n">
        <v>17607415.9463617</v>
      </c>
      <c r="Q228" s="65" t="n">
        <v>18391391.8796984</v>
      </c>
      <c r="R228" s="65" t="n">
        <v>20478049.0350644</v>
      </c>
      <c r="S228" s="65" t="n">
        <v>19917165.3668305</v>
      </c>
      <c r="T228" s="65" t="n">
        <v>20117256.9595581</v>
      </c>
      <c r="U228" s="65" t="n">
        <v>21483876.8803444</v>
      </c>
      <c r="V228" s="65" t="n">
        <v>22543824.5973456</v>
      </c>
      <c r="W228" s="2"/>
    </row>
    <row r="229" customFormat="false" ht="12.75" hidden="false" customHeight="false" outlineLevel="0" collapsed="false">
      <c r="A229" s="2"/>
      <c r="B229" s="139" t="s">
        <v>47</v>
      </c>
      <c r="C229" s="140"/>
      <c r="D229" s="65" t="n">
        <v>2062980.3675</v>
      </c>
      <c r="E229" s="65" t="n">
        <v>2822411.90358</v>
      </c>
      <c r="F229" s="65" t="n">
        <v>3154240.7992298</v>
      </c>
      <c r="G229" s="65" t="n">
        <v>3254999.0104907</v>
      </c>
      <c r="H229" s="65" t="n">
        <v>3219881.2151525</v>
      </c>
      <c r="I229" s="65" t="n">
        <v>2867391.13094432</v>
      </c>
      <c r="J229" s="65" t="n">
        <v>2289319.49164179</v>
      </c>
      <c r="K229" s="65" t="n">
        <v>1952719.02745095</v>
      </c>
      <c r="L229" s="65" t="n">
        <v>1735110.75649361</v>
      </c>
      <c r="M229" s="65" t="n">
        <v>1655481.66270151</v>
      </c>
      <c r="N229" s="65" t="n">
        <v>1740136.26458522</v>
      </c>
      <c r="O229" s="65" t="n">
        <v>1708880.67183541</v>
      </c>
      <c r="P229" s="65" t="n">
        <v>1679547.76043394</v>
      </c>
      <c r="Q229" s="65" t="n">
        <v>1701928.75669042</v>
      </c>
      <c r="R229" s="65" t="n">
        <v>1726919.7803346</v>
      </c>
      <c r="S229" s="65" t="n">
        <v>1704232.58218811</v>
      </c>
      <c r="T229" s="65" t="n">
        <v>1684408.36559722</v>
      </c>
      <c r="U229" s="65" t="n">
        <v>1786630.6100086</v>
      </c>
      <c r="V229" s="65" t="n">
        <v>1864013.89675233</v>
      </c>
      <c r="W229" s="2"/>
    </row>
    <row r="230" customFormat="false" ht="13.5" hidden="false" customHeight="false" outlineLevel="0" collapsed="false">
      <c r="A230" s="2"/>
      <c r="B230" s="141" t="s">
        <v>48</v>
      </c>
      <c r="C230" s="142"/>
      <c r="D230" s="93" t="n">
        <v>40006180.7190224</v>
      </c>
      <c r="E230" s="93" t="n">
        <v>38739605.3085874</v>
      </c>
      <c r="F230" s="93" t="n">
        <v>37028512.275041</v>
      </c>
      <c r="G230" s="93" t="n">
        <v>35640329.473828</v>
      </c>
      <c r="H230" s="93" t="n">
        <v>35226451.5144451</v>
      </c>
      <c r="I230" s="93" t="n">
        <v>38065828.0608223</v>
      </c>
      <c r="J230" s="93" t="n">
        <v>41952452.8970362</v>
      </c>
      <c r="K230" s="93" t="n">
        <v>43250922.2081779</v>
      </c>
      <c r="L230" s="93" t="n">
        <v>44295226.5390349</v>
      </c>
      <c r="M230" s="93" t="n">
        <v>44241940.9184567</v>
      </c>
      <c r="N230" s="93" t="n">
        <v>45320103.6760575</v>
      </c>
      <c r="O230" s="93" t="n">
        <v>45406359.3742829</v>
      </c>
      <c r="P230" s="93" t="n">
        <v>45698087.6263382</v>
      </c>
      <c r="Q230" s="93" t="n">
        <v>47680408.4559364</v>
      </c>
      <c r="R230" s="93" t="n">
        <v>52922042.3679955</v>
      </c>
      <c r="S230" s="93" t="n">
        <v>51497145.9992644</v>
      </c>
      <c r="T230" s="93" t="n">
        <v>51977550.7644925</v>
      </c>
      <c r="U230" s="93" t="n">
        <v>55496322.8108697</v>
      </c>
      <c r="V230" s="93" t="n">
        <v>58223575.3901164</v>
      </c>
      <c r="W230" s="2"/>
    </row>
    <row r="231" customFormat="false" ht="13.5" hidden="false" customHeight="false" outlineLevel="0" collapsed="false">
      <c r="A231" s="87" t="s">
        <v>49</v>
      </c>
      <c r="B231" s="125" t="s">
        <v>50</v>
      </c>
      <c r="C231" s="134"/>
      <c r="D231" s="65" t="n">
        <v>-2761556.10553438</v>
      </c>
      <c r="E231" s="65" t="n">
        <v>-2978898.26153438</v>
      </c>
      <c r="F231" s="65" t="n">
        <v>-3076887.31603438</v>
      </c>
      <c r="G231" s="65" t="n">
        <v>-3112700.23753438</v>
      </c>
      <c r="H231" s="65" t="n">
        <v>-3186918.26193438</v>
      </c>
      <c r="I231" s="65" t="n">
        <v>-3263362.82706638</v>
      </c>
      <c r="J231" s="65" t="n">
        <v>-3342100.72915234</v>
      </c>
      <c r="K231" s="65" t="n">
        <v>-3423200.76830088</v>
      </c>
      <c r="L231" s="65" t="n">
        <v>-3506733.80862387</v>
      </c>
      <c r="M231" s="65" t="n">
        <v>-3592772.84015656</v>
      </c>
      <c r="N231" s="65" t="n">
        <v>-3681393.04263522</v>
      </c>
      <c r="O231" s="65" t="n">
        <v>-3772671.85118825</v>
      </c>
      <c r="P231" s="65" t="n">
        <v>-3866689.02399787</v>
      </c>
      <c r="Q231" s="65" t="n">
        <v>-3963526.71199177</v>
      </c>
      <c r="R231" s="65" t="n">
        <v>-3133862.69312551</v>
      </c>
      <c r="S231" s="65" t="n">
        <v>-1905925.47131823</v>
      </c>
      <c r="T231" s="65" t="n">
        <v>-2010538.35510674</v>
      </c>
      <c r="U231" s="65" t="n">
        <v>-2119530.02608391</v>
      </c>
      <c r="V231" s="65" t="n">
        <v>-2231791.4471904</v>
      </c>
      <c r="W231" s="2"/>
    </row>
    <row r="232" customFormat="false" ht="12.75" hidden="false" customHeight="false" outlineLevel="0" collapsed="false">
      <c r="A232" s="2"/>
      <c r="B232" s="125" t="s">
        <v>51</v>
      </c>
      <c r="C232" s="134"/>
      <c r="D232" s="65" t="n">
        <v>0</v>
      </c>
      <c r="E232" s="65" t="n">
        <v>0</v>
      </c>
      <c r="F232" s="65" t="n">
        <v>0</v>
      </c>
      <c r="G232" s="65" t="n">
        <v>0</v>
      </c>
      <c r="H232" s="65" t="n">
        <v>0</v>
      </c>
      <c r="I232" s="65" t="n">
        <v>0</v>
      </c>
      <c r="J232" s="65" t="n">
        <v>0</v>
      </c>
      <c r="K232" s="65" t="n">
        <v>0</v>
      </c>
      <c r="L232" s="65" t="n">
        <v>0</v>
      </c>
      <c r="M232" s="65" t="n">
        <v>0</v>
      </c>
      <c r="N232" s="65" t="n">
        <v>0</v>
      </c>
      <c r="O232" s="65" t="n">
        <v>0</v>
      </c>
      <c r="P232" s="65" t="n">
        <v>0</v>
      </c>
      <c r="Q232" s="65" t="n">
        <v>0</v>
      </c>
      <c r="R232" s="65" t="n">
        <v>0</v>
      </c>
      <c r="S232" s="65" t="n">
        <v>0</v>
      </c>
      <c r="T232" s="65" t="n">
        <v>0</v>
      </c>
      <c r="U232" s="65" t="n">
        <v>0</v>
      </c>
      <c r="V232" s="65" t="n">
        <v>0</v>
      </c>
      <c r="W232" s="2"/>
    </row>
    <row r="233" customFormat="false" ht="12.75" hidden="false" customHeight="false" outlineLevel="0" collapsed="false">
      <c r="A233" s="2"/>
      <c r="B233" s="137" t="s">
        <v>52</v>
      </c>
      <c r="C233" s="138"/>
      <c r="D233" s="88" t="n">
        <v>37244624.6134881</v>
      </c>
      <c r="E233" s="88" t="n">
        <v>35760707.047053</v>
      </c>
      <c r="F233" s="88" t="n">
        <v>33951624.9590066</v>
      </c>
      <c r="G233" s="88" t="n">
        <v>32527629.2362936</v>
      </c>
      <c r="H233" s="88" t="n">
        <v>32039533.2525107</v>
      </c>
      <c r="I233" s="88" t="n">
        <v>34802465.233756</v>
      </c>
      <c r="J233" s="88" t="n">
        <v>38610352.1678839</v>
      </c>
      <c r="K233" s="88" t="n">
        <v>39827721.439877</v>
      </c>
      <c r="L233" s="88" t="n">
        <v>40788492.7304111</v>
      </c>
      <c r="M233" s="88" t="n">
        <v>40649168.0783001</v>
      </c>
      <c r="N233" s="88" t="n">
        <v>41638710.6334223</v>
      </c>
      <c r="O233" s="88" t="n">
        <v>41633687.5230946</v>
      </c>
      <c r="P233" s="88" t="n">
        <v>41831398.6023404</v>
      </c>
      <c r="Q233" s="88" t="n">
        <v>43716881.7439446</v>
      </c>
      <c r="R233" s="88" t="n">
        <v>49788179.67487</v>
      </c>
      <c r="S233" s="88" t="n">
        <v>49591220.5279462</v>
      </c>
      <c r="T233" s="88" t="n">
        <v>49967012.4093858</v>
      </c>
      <c r="U233" s="88" t="n">
        <v>53376792.7847858</v>
      </c>
      <c r="V233" s="88" t="n">
        <v>55991783.942926</v>
      </c>
      <c r="W233" s="2"/>
    </row>
    <row r="234" customFormat="false" ht="13.5" hidden="false" customHeight="false" outlineLevel="0" collapsed="false">
      <c r="A234" s="2"/>
      <c r="B234" s="143" t="s">
        <v>53</v>
      </c>
      <c r="C234" s="144"/>
      <c r="D234" s="96" t="n">
        <v>-14897849.8453952</v>
      </c>
      <c r="E234" s="96" t="n">
        <v>-14304282.8188212</v>
      </c>
      <c r="F234" s="96" t="n">
        <v>-13580649.9836027</v>
      </c>
      <c r="G234" s="96" t="n">
        <v>-13011051.6945174</v>
      </c>
      <c r="H234" s="96" t="n">
        <v>-12815813.3010043</v>
      </c>
      <c r="I234" s="96" t="n">
        <v>-13920986.0935024</v>
      </c>
      <c r="J234" s="96" t="n">
        <v>-15444140.8671536</v>
      </c>
      <c r="K234" s="96" t="n">
        <v>-15931088.5759508</v>
      </c>
      <c r="L234" s="96" t="n">
        <v>-16315397.0921644</v>
      </c>
      <c r="M234" s="96" t="n">
        <v>-16259667.23132</v>
      </c>
      <c r="N234" s="96" t="n">
        <v>-16655484.2533689</v>
      </c>
      <c r="O234" s="96" t="n">
        <v>-16653475.0092378</v>
      </c>
      <c r="P234" s="96" t="n">
        <v>-16732559.4409361</v>
      </c>
      <c r="Q234" s="96" t="n">
        <v>-17486752.6975778</v>
      </c>
      <c r="R234" s="96" t="n">
        <v>-19915271.869948</v>
      </c>
      <c r="S234" s="96" t="n">
        <v>-19836488.2111785</v>
      </c>
      <c r="T234" s="96" t="n">
        <v>-19986804.9637543</v>
      </c>
      <c r="U234" s="96" t="n">
        <v>-21350717.1139143</v>
      </c>
      <c r="V234" s="96" t="n">
        <v>-22396713.5771704</v>
      </c>
      <c r="W234" s="2"/>
    </row>
    <row r="235" customFormat="false" ht="13.5" hidden="false" customHeight="false" outlineLevel="0" collapsed="false">
      <c r="A235" s="2"/>
      <c r="B235" s="137" t="s">
        <v>54</v>
      </c>
      <c r="C235" s="138"/>
      <c r="D235" s="88" t="n">
        <v>22346774.7680928</v>
      </c>
      <c r="E235" s="88" t="n">
        <v>21456424.2282318</v>
      </c>
      <c r="F235" s="88" t="n">
        <v>20370974.975404</v>
      </c>
      <c r="G235" s="88" t="n">
        <v>19516577.5417762</v>
      </c>
      <c r="H235" s="88" t="n">
        <v>19223719.9515064</v>
      </c>
      <c r="I235" s="88" t="n">
        <v>20881479.1402536</v>
      </c>
      <c r="J235" s="88" t="n">
        <v>23166211.3007303</v>
      </c>
      <c r="K235" s="88" t="n">
        <v>23896632.8639262</v>
      </c>
      <c r="L235" s="88" t="n">
        <v>24473095.6382466</v>
      </c>
      <c r="M235" s="88" t="n">
        <v>24389500.8469801</v>
      </c>
      <c r="N235" s="88" t="n">
        <v>24983226.3800534</v>
      </c>
      <c r="O235" s="88" t="n">
        <v>24980212.5138568</v>
      </c>
      <c r="P235" s="88" t="n">
        <v>25098839.1614042</v>
      </c>
      <c r="Q235" s="88" t="n">
        <v>26230129.0463668</v>
      </c>
      <c r="R235" s="88" t="n">
        <v>29872907.804922</v>
      </c>
      <c r="S235" s="88" t="n">
        <v>29754732.3167677</v>
      </c>
      <c r="T235" s="88" t="n">
        <v>29980207.4456315</v>
      </c>
      <c r="U235" s="88" t="n">
        <v>32026075.6708715</v>
      </c>
      <c r="V235" s="88" t="n">
        <v>33595070.3657556</v>
      </c>
      <c r="W235" s="2"/>
    </row>
    <row r="236" customFormat="false" ht="12.75" hidden="false" customHeight="false" outlineLevel="0" collapsed="false">
      <c r="A236" s="2"/>
      <c r="B236" s="2"/>
      <c r="C236" s="134"/>
      <c r="D236" s="2"/>
      <c r="E236" s="135"/>
      <c r="F236" s="128"/>
      <c r="G236" s="13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customFormat="false" ht="15.75" hidden="false" customHeight="false" outlineLevel="0" collapsed="false">
      <c r="A237" s="97" t="s">
        <v>55</v>
      </c>
      <c r="B237" s="14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customFormat="false" ht="12.75" hidden="false" customHeight="false" outlineLevel="0" collapsed="false">
      <c r="A238" s="99" t="s">
        <v>56</v>
      </c>
      <c r="B238" s="49"/>
      <c r="C238" s="101" t="n">
        <v>0</v>
      </c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</row>
    <row r="239" customFormat="false" ht="12.75" hidden="false" customHeight="false" outlineLevel="0" collapsed="false">
      <c r="A239" s="99" t="s">
        <v>57</v>
      </c>
      <c r="B239" s="49"/>
      <c r="C239" s="146" t="n">
        <v>0</v>
      </c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customFormat="false" ht="12.75" hidden="false" customHeight="false" outlineLevel="0" collapsed="false">
      <c r="A240" s="99" t="s">
        <v>58</v>
      </c>
      <c r="B240" s="49"/>
      <c r="C240" s="99" t="n">
        <v>15</v>
      </c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customFormat="false" ht="12.75" hidden="false" customHeight="false" outlineLevel="0" collapsed="false">
      <c r="A241" s="99" t="s">
        <v>59</v>
      </c>
      <c r="B241" s="49"/>
      <c r="C241" s="146" t="n">
        <v>0</v>
      </c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</row>
    <row r="242" customFormat="false" ht="12.75" hidden="false" customHeight="false" outlineLevel="0" collapsed="false">
      <c r="A242" s="99" t="s">
        <v>60</v>
      </c>
      <c r="B242" s="49"/>
      <c r="C242" s="147" t="n">
        <v>0.0875</v>
      </c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customFormat="false" ht="12.75" hidden="false" customHeight="false" outlineLevel="0" collapsed="false">
      <c r="A243" s="99"/>
      <c r="B243" s="49"/>
      <c r="C243" s="107"/>
      <c r="D243" s="58" t="n">
        <v>2001</v>
      </c>
      <c r="E243" s="58" t="n">
        <v>2002</v>
      </c>
      <c r="F243" s="58" t="n">
        <v>2003</v>
      </c>
      <c r="G243" s="58" t="n">
        <v>2004</v>
      </c>
      <c r="H243" s="58" t="n">
        <v>2005</v>
      </c>
      <c r="I243" s="58" t="n">
        <v>2006</v>
      </c>
      <c r="J243" s="58" t="n">
        <v>2007</v>
      </c>
      <c r="K243" s="58" t="n">
        <v>2008</v>
      </c>
      <c r="L243" s="58" t="n">
        <v>2009</v>
      </c>
      <c r="M243" s="58" t="n">
        <v>2010</v>
      </c>
      <c r="N243" s="58" t="n">
        <v>2011</v>
      </c>
      <c r="O243" s="58" t="n">
        <v>2012</v>
      </c>
      <c r="P243" s="58" t="n">
        <v>2013</v>
      </c>
      <c r="Q243" s="58" t="n">
        <v>2014</v>
      </c>
      <c r="R243" s="58" t="n">
        <v>2015</v>
      </c>
      <c r="S243" s="58" t="n">
        <v>2016</v>
      </c>
      <c r="T243" s="58" t="n">
        <v>2017</v>
      </c>
      <c r="U243" s="58" t="n">
        <v>2018</v>
      </c>
      <c r="V243" s="58" t="n">
        <v>2019</v>
      </c>
      <c r="W243" s="58" t="s">
        <v>19</v>
      </c>
    </row>
    <row r="244" customFormat="false" ht="12.75" hidden="false" customHeight="false" outlineLevel="0" collapsed="false">
      <c r="A244" s="99" t="s">
        <v>61</v>
      </c>
      <c r="B244" s="49"/>
      <c r="C244" s="107"/>
      <c r="D244" s="102" t="n">
        <v>0</v>
      </c>
      <c r="E244" s="102" t="n">
        <v>0</v>
      </c>
      <c r="F244" s="102" t="n">
        <v>0</v>
      </c>
      <c r="G244" s="102" t="n">
        <v>0</v>
      </c>
      <c r="H244" s="102" t="n">
        <v>0</v>
      </c>
      <c r="I244" s="102" t="n">
        <v>0</v>
      </c>
      <c r="J244" s="102" t="n">
        <v>0</v>
      </c>
      <c r="K244" s="102" t="n">
        <v>0</v>
      </c>
      <c r="L244" s="102" t="n">
        <v>0</v>
      </c>
      <c r="M244" s="102" t="n">
        <v>0</v>
      </c>
      <c r="N244" s="102" t="n">
        <v>0</v>
      </c>
      <c r="O244" s="102" t="n">
        <v>0</v>
      </c>
      <c r="P244" s="102" t="n">
        <v>0</v>
      </c>
      <c r="Q244" s="102" t="n">
        <v>0</v>
      </c>
      <c r="R244" s="102" t="n">
        <v>0</v>
      </c>
      <c r="S244" s="102" t="n">
        <v>0</v>
      </c>
      <c r="T244" s="102" t="n">
        <v>0</v>
      </c>
      <c r="U244" s="102" t="n">
        <v>0</v>
      </c>
      <c r="V244" s="102" t="n">
        <v>0</v>
      </c>
      <c r="W244" s="102" t="n">
        <v>0</v>
      </c>
    </row>
    <row r="245" customFormat="false" ht="12.75" hidden="false" customHeight="false" outlineLevel="0" collapsed="false">
      <c r="A245" s="99" t="s">
        <v>62</v>
      </c>
      <c r="B245" s="49"/>
      <c r="C245" s="107"/>
      <c r="D245" s="102" t="n">
        <v>0</v>
      </c>
      <c r="E245" s="102" t="n">
        <v>0</v>
      </c>
      <c r="F245" s="102" t="n">
        <v>0</v>
      </c>
      <c r="G245" s="102" t="n">
        <v>0</v>
      </c>
      <c r="H245" s="102" t="n">
        <v>0</v>
      </c>
      <c r="I245" s="102" t="n">
        <v>0</v>
      </c>
      <c r="J245" s="102" t="n">
        <v>0</v>
      </c>
      <c r="K245" s="102" t="n">
        <v>0</v>
      </c>
      <c r="L245" s="102" t="n">
        <v>0</v>
      </c>
      <c r="M245" s="102" t="n">
        <v>0</v>
      </c>
      <c r="N245" s="102" t="n">
        <v>0</v>
      </c>
      <c r="O245" s="102" t="n">
        <v>0</v>
      </c>
      <c r="P245" s="102" t="n">
        <v>0</v>
      </c>
      <c r="Q245" s="102" t="n">
        <v>0</v>
      </c>
      <c r="R245" s="102" t="n">
        <v>0</v>
      </c>
      <c r="S245" s="102" t="n">
        <v>0</v>
      </c>
      <c r="T245" s="102" t="n">
        <v>0</v>
      </c>
      <c r="U245" s="102" t="n">
        <v>0</v>
      </c>
      <c r="V245" s="102" t="n">
        <v>0</v>
      </c>
      <c r="W245" s="102" t="n">
        <v>0</v>
      </c>
    </row>
    <row r="246" customFormat="false" ht="12.75" hidden="false" customHeight="false" outlineLevel="0" collapsed="false">
      <c r="A246" s="99" t="s">
        <v>63</v>
      </c>
      <c r="B246" s="49"/>
      <c r="C246" s="107"/>
      <c r="D246" s="102" t="n">
        <v>0</v>
      </c>
      <c r="E246" s="102" t="n">
        <v>0</v>
      </c>
      <c r="F246" s="102" t="n">
        <v>0</v>
      </c>
      <c r="G246" s="102" t="n">
        <v>0</v>
      </c>
      <c r="H246" s="102" t="n">
        <v>0</v>
      </c>
      <c r="I246" s="102" t="n">
        <v>0</v>
      </c>
      <c r="J246" s="102" t="n">
        <v>0</v>
      </c>
      <c r="K246" s="102" t="n">
        <v>0</v>
      </c>
      <c r="L246" s="102" t="n">
        <v>0</v>
      </c>
      <c r="M246" s="102" t="n">
        <v>0</v>
      </c>
      <c r="N246" s="102" t="n">
        <v>0</v>
      </c>
      <c r="O246" s="102" t="n">
        <v>0</v>
      </c>
      <c r="P246" s="102" t="n">
        <v>0</v>
      </c>
      <c r="Q246" s="102" t="n">
        <v>0</v>
      </c>
      <c r="R246" s="102" t="n">
        <v>0</v>
      </c>
      <c r="S246" s="102" t="n">
        <v>0</v>
      </c>
      <c r="T246" s="102" t="n">
        <v>0</v>
      </c>
      <c r="U246" s="102" t="n">
        <v>0</v>
      </c>
      <c r="V246" s="102" t="n">
        <v>0</v>
      </c>
      <c r="W246" s="102" t="n">
        <v>0</v>
      </c>
    </row>
    <row r="247" customFormat="false" ht="12.75" hidden="false" customHeight="false" outlineLevel="0" collapsed="false">
      <c r="A247" s="99" t="s">
        <v>64</v>
      </c>
      <c r="B247" s="49"/>
      <c r="C247" s="107"/>
      <c r="D247" s="105" t="n">
        <v>0</v>
      </c>
      <c r="E247" s="105" t="n">
        <v>0</v>
      </c>
      <c r="F247" s="105" t="n">
        <v>0</v>
      </c>
      <c r="G247" s="105" t="n">
        <v>0</v>
      </c>
      <c r="H247" s="105" t="n">
        <v>0</v>
      </c>
      <c r="I247" s="105" t="n">
        <v>0</v>
      </c>
      <c r="J247" s="105" t="n">
        <v>0</v>
      </c>
      <c r="K247" s="105" t="n">
        <v>0</v>
      </c>
      <c r="L247" s="105" t="n">
        <v>0</v>
      </c>
      <c r="M247" s="105" t="n">
        <v>0</v>
      </c>
      <c r="N247" s="105" t="n">
        <v>0</v>
      </c>
      <c r="O247" s="105" t="n">
        <v>0</v>
      </c>
      <c r="P247" s="105" t="n">
        <v>0</v>
      </c>
      <c r="Q247" s="105" t="n">
        <v>0</v>
      </c>
      <c r="R247" s="105" t="n">
        <v>0</v>
      </c>
      <c r="S247" s="105" t="n">
        <v>0</v>
      </c>
      <c r="T247" s="105" t="n">
        <v>0</v>
      </c>
      <c r="U247" s="105" t="n">
        <v>0</v>
      </c>
      <c r="V247" s="105" t="n">
        <v>0</v>
      </c>
      <c r="W247" s="105" t="n">
        <v>0</v>
      </c>
    </row>
    <row r="248" customFormat="false" ht="13.5" hidden="false" customHeight="false" outlineLevel="0" collapsed="false">
      <c r="A248" s="99" t="s">
        <v>65</v>
      </c>
      <c r="B248" s="49"/>
      <c r="C248" s="107"/>
      <c r="D248" s="106" t="n">
        <v>0</v>
      </c>
      <c r="E248" s="106" t="n">
        <v>0</v>
      </c>
      <c r="F248" s="106" t="n">
        <v>0</v>
      </c>
      <c r="G248" s="106" t="n">
        <v>0</v>
      </c>
      <c r="H248" s="106" t="n">
        <v>0</v>
      </c>
      <c r="I248" s="106" t="n">
        <v>0</v>
      </c>
      <c r="J248" s="106" t="n">
        <v>0</v>
      </c>
      <c r="K248" s="106" t="n">
        <v>0</v>
      </c>
      <c r="L248" s="106" t="n">
        <v>0</v>
      </c>
      <c r="M248" s="106" t="n">
        <v>0</v>
      </c>
      <c r="N248" s="106" t="n">
        <v>0</v>
      </c>
      <c r="O248" s="106" t="n">
        <v>0</v>
      </c>
      <c r="P248" s="106" t="n">
        <v>0</v>
      </c>
      <c r="Q248" s="106" t="n">
        <v>0</v>
      </c>
      <c r="R248" s="106" t="n">
        <v>0</v>
      </c>
      <c r="S248" s="106" t="n">
        <v>0</v>
      </c>
      <c r="T248" s="106" t="n">
        <v>0</v>
      </c>
      <c r="U248" s="106" t="n">
        <v>0</v>
      </c>
      <c r="V248" s="106" t="n">
        <v>0</v>
      </c>
      <c r="W248" s="106" t="n">
        <v>0</v>
      </c>
    </row>
    <row r="249" customFormat="false" ht="13.5" hidden="false" customHeight="false" outlineLevel="0" collapsed="false">
      <c r="A249" s="99"/>
      <c r="B249" s="49"/>
      <c r="C249" s="107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</row>
    <row r="250" customFormat="false" ht="12.75" hidden="false" customHeight="false" outlineLevel="0" collapsed="false">
      <c r="A250" s="99" t="s">
        <v>66</v>
      </c>
      <c r="B250" s="49"/>
      <c r="C250" s="107"/>
      <c r="D250" s="102" t="n">
        <v>0</v>
      </c>
      <c r="E250" s="102" t="n">
        <v>0</v>
      </c>
      <c r="F250" s="102" t="n">
        <v>0</v>
      </c>
      <c r="G250" s="102" t="n">
        <v>0</v>
      </c>
      <c r="H250" s="102" t="n">
        <v>0</v>
      </c>
      <c r="I250" s="102" t="n">
        <v>0</v>
      </c>
      <c r="J250" s="102" t="n">
        <v>0</v>
      </c>
      <c r="K250" s="102" t="n">
        <v>0</v>
      </c>
      <c r="L250" s="102" t="n">
        <v>0</v>
      </c>
      <c r="M250" s="102" t="n">
        <v>0</v>
      </c>
      <c r="N250" s="102" t="n">
        <v>0</v>
      </c>
      <c r="O250" s="102" t="n">
        <v>0</v>
      </c>
      <c r="P250" s="102" t="n">
        <v>0</v>
      </c>
      <c r="Q250" s="102" t="n">
        <v>0</v>
      </c>
      <c r="R250" s="102" t="n">
        <v>0</v>
      </c>
      <c r="S250" s="102" t="n">
        <v>0</v>
      </c>
      <c r="T250" s="102" t="n">
        <v>0</v>
      </c>
      <c r="U250" s="102" t="n">
        <v>0</v>
      </c>
      <c r="V250" s="102" t="n">
        <v>0</v>
      </c>
      <c r="W250" s="102" t="n">
        <v>0</v>
      </c>
    </row>
    <row r="251" customFormat="false" ht="12.75" hidden="false" customHeight="false" outlineLevel="0" collapsed="false">
      <c r="A251" s="99"/>
      <c r="B251" s="49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customFormat="false" ht="12.75" hidden="false" customHeight="false" outlineLevel="0" collapsed="false">
      <c r="A252" s="99" t="s">
        <v>67</v>
      </c>
      <c r="B252" s="49"/>
      <c r="C252" s="107"/>
      <c r="D252" s="102" t="n">
        <v>0</v>
      </c>
      <c r="E252" s="102" t="n">
        <v>0</v>
      </c>
      <c r="F252" s="102" t="n">
        <v>0</v>
      </c>
      <c r="G252" s="102" t="n">
        <v>0</v>
      </c>
      <c r="H252" s="102" t="n">
        <v>0</v>
      </c>
      <c r="I252" s="102" t="n">
        <v>0</v>
      </c>
      <c r="J252" s="102" t="n">
        <v>0</v>
      </c>
      <c r="K252" s="102" t="n">
        <v>0</v>
      </c>
      <c r="L252" s="102" t="n">
        <v>0</v>
      </c>
      <c r="M252" s="102" t="n">
        <v>0</v>
      </c>
      <c r="N252" s="102" t="n">
        <v>0</v>
      </c>
      <c r="O252" s="102" t="n">
        <v>0</v>
      </c>
      <c r="P252" s="102" t="n">
        <v>0</v>
      </c>
      <c r="Q252" s="102" t="n">
        <v>0</v>
      </c>
      <c r="R252" s="102" t="n">
        <v>0</v>
      </c>
      <c r="S252" s="102" t="n">
        <v>0</v>
      </c>
      <c r="T252" s="102" t="n">
        <v>0</v>
      </c>
      <c r="U252" s="102" t="n">
        <v>0</v>
      </c>
      <c r="V252" s="102" t="n">
        <v>0</v>
      </c>
      <c r="W252" s="102" t="n">
        <v>0</v>
      </c>
    </row>
    <row r="253" customFormat="false" ht="12.75" hidden="false" customHeight="false" outlineLevel="0" collapsed="false">
      <c r="A253" s="107"/>
      <c r="B253" s="49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customFormat="false" ht="12.75" hidden="false" customHeight="false" outlineLevel="0" collapsed="false">
      <c r="A254" s="107"/>
      <c r="B254" s="49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</row>
    <row r="255" customFormat="false" ht="12.75" hidden="false" customHeight="false" outlineLevel="0" collapsed="false">
      <c r="A255" s="99" t="s">
        <v>68</v>
      </c>
      <c r="B255" s="148"/>
      <c r="C255" s="149"/>
      <c r="D255" s="79" t="n">
        <v>17211684.5784135</v>
      </c>
      <c r="E255" s="79" t="n">
        <v>20025884.8265844</v>
      </c>
      <c r="F255" s="79" t="n">
        <v>19318930.9047165</v>
      </c>
      <c r="G255" s="79" t="n">
        <v>21969938.8584931</v>
      </c>
      <c r="H255" s="79" t="n">
        <v>20939462.9067281</v>
      </c>
      <c r="I255" s="79" t="n">
        <v>22457561.9862311</v>
      </c>
      <c r="J255" s="79" t="n">
        <v>24512441.4931593</v>
      </c>
      <c r="K255" s="79" t="n">
        <v>25109640.1529163</v>
      </c>
      <c r="L255" s="79" t="n">
        <v>25600519.4195585</v>
      </c>
      <c r="M255" s="79" t="n">
        <v>25486576.5855009</v>
      </c>
      <c r="N255" s="79" t="n">
        <v>26115712.6618953</v>
      </c>
      <c r="O255" s="79" t="n">
        <v>26101791.7222434</v>
      </c>
      <c r="P255" s="79" t="n">
        <v>26210328.2237842</v>
      </c>
      <c r="Q255" s="79" t="n">
        <v>27352262.8163599</v>
      </c>
      <c r="R255" s="79" t="n">
        <v>30449136.9602567</v>
      </c>
      <c r="S255" s="79" t="n">
        <v>29525278.5685792</v>
      </c>
      <c r="T255" s="79" t="n">
        <v>29743950.6791641</v>
      </c>
      <c r="U255" s="79" t="n">
        <v>31832612.5109819</v>
      </c>
      <c r="V255" s="79" t="n">
        <v>33434522.3706411</v>
      </c>
      <c r="W255" s="79" t="n">
        <v>175889568.67631</v>
      </c>
    </row>
    <row r="256" customFormat="false" ht="12.75" hidden="false" customHeight="false" outlineLevel="0" collapsed="false">
      <c r="A256" s="2"/>
      <c r="B256" s="3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customFormat="false" ht="12.75" hidden="false" customHeight="false" outlineLevel="0" collapsed="false">
      <c r="A257" s="51"/>
      <c r="B257" s="115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</row>
    <row r="258" customFormat="false" ht="12.75" hidden="false" customHeight="false" outlineLevel="0" collapsed="false">
      <c r="B258" s="150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16"/>
    </row>
    <row r="259" customFormat="false" ht="12.75" hidden="false" customHeight="false" outlineLevel="0" collapsed="false">
      <c r="B259" s="150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16"/>
    </row>
    <row r="260" customFormat="false" ht="12.75" hidden="false" customHeight="false" outlineLevel="0" collapsed="false">
      <c r="B260" s="150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16"/>
    </row>
    <row r="261" customFormat="false" ht="12.75" hidden="false" customHeight="false" outlineLevel="0" collapsed="false">
      <c r="B261" s="150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16"/>
    </row>
    <row r="262" customFormat="false" ht="12.75" hidden="false" customHeight="false" outlineLevel="0" collapsed="false">
      <c r="B262" s="150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16"/>
    </row>
    <row r="263" customFormat="false" ht="12.75" hidden="false" customHeight="false" outlineLevel="0" collapsed="false">
      <c r="B263" s="153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16"/>
    </row>
    <row r="264" customFormat="false" ht="15.75" hidden="false" customHeight="false" outlineLevel="0" collapsed="false">
      <c r="A264" s="48" t="s">
        <v>17</v>
      </c>
      <c r="B264" s="57" t="s">
        <v>73</v>
      </c>
      <c r="C264" s="58" t="n">
        <v>2000</v>
      </c>
      <c r="D264" s="58" t="n">
        <v>2001</v>
      </c>
      <c r="E264" s="58" t="n">
        <v>2002</v>
      </c>
      <c r="F264" s="58" t="n">
        <v>2003</v>
      </c>
      <c r="G264" s="58" t="n">
        <v>2004</v>
      </c>
      <c r="H264" s="58" t="n">
        <v>2005</v>
      </c>
      <c r="I264" s="58" t="n">
        <v>2006</v>
      </c>
      <c r="J264" s="58" t="n">
        <v>2007</v>
      </c>
      <c r="K264" s="58" t="n">
        <v>2008</v>
      </c>
      <c r="L264" s="58" t="n">
        <v>2009</v>
      </c>
      <c r="M264" s="58" t="n">
        <v>2010</v>
      </c>
      <c r="N264" s="58" t="n">
        <v>2011</v>
      </c>
      <c r="O264" s="58" t="n">
        <v>2012</v>
      </c>
      <c r="P264" s="58" t="n">
        <v>2013</v>
      </c>
      <c r="Q264" s="58" t="n">
        <v>2014</v>
      </c>
      <c r="R264" s="58" t="n">
        <v>2015</v>
      </c>
      <c r="S264" s="58" t="n">
        <v>2016</v>
      </c>
      <c r="T264" s="58" t="n">
        <v>2017</v>
      </c>
      <c r="U264" s="58" t="n">
        <v>2018</v>
      </c>
      <c r="V264" s="58" t="n">
        <v>2019</v>
      </c>
      <c r="W264" s="58" t="s">
        <v>19</v>
      </c>
    </row>
    <row r="265" customFormat="false" ht="12.75" hidden="false" customHeight="false" outlineLevel="0" collapsed="false">
      <c r="A265" s="48" t="s">
        <v>5</v>
      </c>
      <c r="B265" s="49" t="n">
        <v>228.15</v>
      </c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</row>
    <row r="266" customFormat="false" ht="12.75" hidden="false" customHeight="false" outlineLevel="0" collapsed="false">
      <c r="A266" s="2"/>
      <c r="B266" s="117" t="s">
        <v>20</v>
      </c>
      <c r="C266" s="118" t="n">
        <v>0</v>
      </c>
      <c r="D266" s="64" t="n">
        <v>64146320.490171</v>
      </c>
      <c r="E266" s="64" t="n">
        <v>63256691.0269395</v>
      </c>
      <c r="F266" s="64" t="n">
        <v>64474273.7828603</v>
      </c>
      <c r="G266" s="64" t="n">
        <v>63560427.5137281</v>
      </c>
      <c r="H266" s="64" t="n">
        <v>64039176.4541862</v>
      </c>
      <c r="I266" s="64" t="n">
        <v>68363220.6285508</v>
      </c>
      <c r="J266" s="64" t="n">
        <v>73302819.3999924</v>
      </c>
      <c r="K266" s="64" t="n">
        <v>75199732.0082022</v>
      </c>
      <c r="L266" s="64" t="n">
        <v>76773722.6451942</v>
      </c>
      <c r="M266" s="64" t="n">
        <v>77047800.5929174</v>
      </c>
      <c r="N266" s="64" t="n">
        <v>78712413.2269448</v>
      </c>
      <c r="O266" s="64" t="n">
        <v>79596336.8692043</v>
      </c>
      <c r="P266" s="64" t="n">
        <v>80533030.1628018</v>
      </c>
      <c r="Q266" s="64" t="n">
        <v>83367891.1428547</v>
      </c>
      <c r="R266" s="64" t="n">
        <v>89282759.3774229</v>
      </c>
      <c r="S266" s="64" t="n">
        <v>88768425.8432349</v>
      </c>
      <c r="T266" s="64" t="n">
        <v>89899763.3741903</v>
      </c>
      <c r="U266" s="64" t="n">
        <v>94219935.2671057</v>
      </c>
      <c r="V266" s="64" t="n">
        <v>97081731.4829914</v>
      </c>
      <c r="W266" s="65"/>
    </row>
    <row r="267" customFormat="false" ht="12.75" hidden="false" customHeight="false" outlineLevel="0" collapsed="false">
      <c r="A267" s="2"/>
      <c r="B267" s="117" t="s">
        <v>21</v>
      </c>
      <c r="C267" s="118" t="n">
        <v>0</v>
      </c>
      <c r="D267" s="64" t="n">
        <v>-18705406.3069831</v>
      </c>
      <c r="E267" s="64" t="n">
        <v>-18973387.5803154</v>
      </c>
      <c r="F267" s="64" t="n">
        <v>-19302487.3896708</v>
      </c>
      <c r="G267" s="64" t="n">
        <v>-19857255.6397271</v>
      </c>
      <c r="H267" s="64" t="n">
        <v>-20551499.5232721</v>
      </c>
      <c r="I267" s="64" t="n">
        <v>-21346040.4915731</v>
      </c>
      <c r="J267" s="64" t="n">
        <v>-21838123.0636569</v>
      </c>
      <c r="K267" s="64" t="n">
        <v>-22308265.6484504</v>
      </c>
      <c r="L267" s="64" t="n">
        <v>-22671842.5806907</v>
      </c>
      <c r="M267" s="64" t="n">
        <v>-22847362.4790136</v>
      </c>
      <c r="N267" s="64" t="n">
        <v>-23154522.3010787</v>
      </c>
      <c r="O267" s="64" t="n">
        <v>-23656007.7248584</v>
      </c>
      <c r="P267" s="64" t="n">
        <v>-24193537.4134723</v>
      </c>
      <c r="Q267" s="64" t="n">
        <v>-24705992.8308971</v>
      </c>
      <c r="R267" s="64" t="n">
        <v>-25052331.201695</v>
      </c>
      <c r="S267" s="64" t="n">
        <v>-25564786.6191199</v>
      </c>
      <c r="T267" s="64" t="n">
        <v>-26147763.4242638</v>
      </c>
      <c r="U267" s="64" t="n">
        <v>-26790291.6234816</v>
      </c>
      <c r="V267" s="64" t="n">
        <v>-27451625.526091</v>
      </c>
      <c r="W267" s="65"/>
    </row>
    <row r="268" customFormat="false" ht="12.75" hidden="false" customHeight="false" outlineLevel="0" collapsed="false">
      <c r="A268" s="2"/>
      <c r="B268" s="117" t="s">
        <v>22</v>
      </c>
      <c r="C268" s="118" t="n">
        <v>0</v>
      </c>
      <c r="D268" s="64" t="n">
        <v>-1385116.11208441</v>
      </c>
      <c r="E268" s="64" t="n">
        <v>-1413073.7883509</v>
      </c>
      <c r="F268" s="64" t="n">
        <v>-2374147.58538735</v>
      </c>
      <c r="G268" s="64" t="n">
        <v>-2426559.06253159</v>
      </c>
      <c r="H268" s="64" t="n">
        <v>-2480140.70251832</v>
      </c>
      <c r="I268" s="64" t="n">
        <v>-2534918.93110419</v>
      </c>
      <c r="J268" s="64" t="n">
        <v>-2590920.77760209</v>
      </c>
      <c r="K268" s="64" t="n">
        <v>-2648173.88881775</v>
      </c>
      <c r="L268" s="64" t="n">
        <v>-2706706.54331151</v>
      </c>
      <c r="M268" s="64" t="n">
        <v>-2766547.66599293</v>
      </c>
      <c r="N268" s="64" t="n">
        <v>-2827726.84305608</v>
      </c>
      <c r="O268" s="64" t="n">
        <v>-2890274.33726345</v>
      </c>
      <c r="P268" s="64" t="n">
        <v>-2954221.10358681</v>
      </c>
      <c r="Q268" s="64" t="n">
        <v>-3019598.8052134</v>
      </c>
      <c r="R268" s="64" t="n">
        <v>-3086439.82992601</v>
      </c>
      <c r="S268" s="64" t="n">
        <v>-3154777.30686585</v>
      </c>
      <c r="T268" s="64" t="n">
        <v>-3224645.1236872</v>
      </c>
      <c r="U268" s="64" t="n">
        <v>-3296077.94411305</v>
      </c>
      <c r="V268" s="64" t="n">
        <v>-3369111.22590127</v>
      </c>
      <c r="W268" s="65"/>
    </row>
    <row r="269" customFormat="false" ht="12.75" hidden="false" customHeight="false" outlineLevel="0" collapsed="false">
      <c r="A269" s="2"/>
      <c r="B269" s="117" t="s">
        <v>23</v>
      </c>
      <c r="C269" s="118" t="n">
        <v>0</v>
      </c>
      <c r="D269" s="64" t="n">
        <v>0</v>
      </c>
      <c r="E269" s="64" t="n">
        <v>0</v>
      </c>
      <c r="F269" s="64" t="n">
        <v>0</v>
      </c>
      <c r="G269" s="64" t="n">
        <v>0</v>
      </c>
      <c r="H269" s="64" t="n">
        <v>0</v>
      </c>
      <c r="I269" s="64" t="n">
        <v>-562319.353423723</v>
      </c>
      <c r="J269" s="64" t="n">
        <v>-623286.082975906</v>
      </c>
      <c r="K269" s="64" t="n">
        <v>-823196.029026021</v>
      </c>
      <c r="L269" s="64" t="n">
        <v>-755406.969067719</v>
      </c>
      <c r="M269" s="64" t="n">
        <v>-840128.693792309</v>
      </c>
      <c r="N269" s="64" t="n">
        <v>-925465.289903733</v>
      </c>
      <c r="O269" s="64" t="n">
        <v>-1025387.79492492</v>
      </c>
      <c r="P269" s="64" t="n">
        <v>-1149729.45634525</v>
      </c>
      <c r="Q269" s="64" t="n">
        <v>-1279828.29676573</v>
      </c>
      <c r="R269" s="64" t="n">
        <v>-1417658.78788789</v>
      </c>
      <c r="S269" s="64" t="n">
        <v>-1556587.60572002</v>
      </c>
      <c r="T269" s="64" t="n">
        <v>-1529271.43531601</v>
      </c>
      <c r="U269" s="64" t="n">
        <v>-1308374.42740657</v>
      </c>
      <c r="V269" s="64" t="n">
        <v>-1356542.89066929</v>
      </c>
      <c r="W269" s="65"/>
    </row>
    <row r="270" customFormat="false" ht="13.5" hidden="false" customHeight="false" outlineLevel="0" collapsed="false">
      <c r="A270" s="2"/>
      <c r="B270" s="119" t="s">
        <v>24</v>
      </c>
      <c r="C270" s="120" t="n">
        <v>0</v>
      </c>
      <c r="D270" s="68" t="n">
        <v>0</v>
      </c>
      <c r="E270" s="68" t="n">
        <v>0</v>
      </c>
      <c r="F270" s="68" t="n">
        <v>-1487333.55385381</v>
      </c>
      <c r="G270" s="68" t="n">
        <v>-1267301.41859686</v>
      </c>
      <c r="H270" s="68" t="n">
        <v>-1315632.01160684</v>
      </c>
      <c r="I270" s="68" t="n">
        <v>-1366399.68197523</v>
      </c>
      <c r="J270" s="68" t="n">
        <v>-1716496.42883415</v>
      </c>
      <c r="K270" s="68" t="n">
        <v>-1499340.39362522</v>
      </c>
      <c r="L270" s="68" t="n">
        <v>-1586945.86948942</v>
      </c>
      <c r="M270" s="68" t="n">
        <v>-1510039.77319555</v>
      </c>
      <c r="N270" s="68" t="n">
        <v>-1553288.55684146</v>
      </c>
      <c r="O270" s="68" t="n">
        <v>-1593566.68353058</v>
      </c>
      <c r="P270" s="68" t="n">
        <v>-1423389.38982595</v>
      </c>
      <c r="Q270" s="68" t="n">
        <v>-1474282.21988144</v>
      </c>
      <c r="R270" s="68" t="n">
        <v>-1504748.82395408</v>
      </c>
      <c r="S270" s="68" t="n">
        <v>-1597937.53002282</v>
      </c>
      <c r="T270" s="68" t="n">
        <v>-1502227.01089296</v>
      </c>
      <c r="U270" s="68" t="n">
        <v>-1654518.34051889</v>
      </c>
      <c r="V270" s="68" t="n">
        <v>-900803.427739683</v>
      </c>
      <c r="W270" s="65"/>
    </row>
    <row r="271" customFormat="false" ht="13.5" hidden="false" customHeight="false" outlineLevel="0" collapsed="false">
      <c r="A271" s="2"/>
      <c r="B271" s="121" t="s">
        <v>25</v>
      </c>
      <c r="C271" s="122" t="n">
        <v>0</v>
      </c>
      <c r="D271" s="71" t="n">
        <v>44055798.0711035</v>
      </c>
      <c r="E271" s="71" t="n">
        <v>42870229.6582732</v>
      </c>
      <c r="F271" s="71" t="n">
        <v>41310305.2539484</v>
      </c>
      <c r="G271" s="71" t="n">
        <v>40009311.3928725</v>
      </c>
      <c r="H271" s="71" t="n">
        <v>39691904.2167889</v>
      </c>
      <c r="I271" s="71" t="n">
        <v>42553542.1704745</v>
      </c>
      <c r="J271" s="71" t="n">
        <v>46533993.0469233</v>
      </c>
      <c r="K271" s="71" t="n">
        <v>47920756.0482828</v>
      </c>
      <c r="L271" s="71" t="n">
        <v>49052820.6826348</v>
      </c>
      <c r="M271" s="71" t="n">
        <v>49083721.980923</v>
      </c>
      <c r="N271" s="71" t="n">
        <v>50251410.2360649</v>
      </c>
      <c r="O271" s="71" t="n">
        <v>50431100.3286269</v>
      </c>
      <c r="P271" s="71" t="n">
        <v>50812152.7995715</v>
      </c>
      <c r="Q271" s="71" t="n">
        <v>52888188.990097</v>
      </c>
      <c r="R271" s="71" t="n">
        <v>58221580.7339599</v>
      </c>
      <c r="S271" s="71" t="n">
        <v>56894336.7815063</v>
      </c>
      <c r="T271" s="71" t="n">
        <v>57495856.3800303</v>
      </c>
      <c r="U271" s="71" t="n">
        <v>61170672.9315857</v>
      </c>
      <c r="V271" s="71" t="n">
        <v>64003648.4125901</v>
      </c>
      <c r="W271" s="65"/>
    </row>
    <row r="272" customFormat="false" ht="12.75" hidden="false" customHeight="false" outlineLevel="0" collapsed="false">
      <c r="A272" s="2"/>
      <c r="B272" s="117" t="s">
        <v>26</v>
      </c>
      <c r="C272" s="118" t="n">
        <v>0</v>
      </c>
      <c r="D272" s="64" t="n">
        <v>-2809776.24004051</v>
      </c>
      <c r="E272" s="64" t="n">
        <v>-2865971.76484132</v>
      </c>
      <c r="F272" s="64" t="n">
        <v>-2965290.20013815</v>
      </c>
      <c r="G272" s="64" t="n">
        <v>-3024805.99914091</v>
      </c>
      <c r="H272" s="64" t="n">
        <v>-3085517.36399873</v>
      </c>
      <c r="I272" s="64" t="n">
        <v>-3147448.33727558</v>
      </c>
      <c r="J272" s="64" t="n">
        <v>-3210623.44566789</v>
      </c>
      <c r="K272" s="64" t="n">
        <v>-3275067.70976921</v>
      </c>
      <c r="L272" s="64" t="n">
        <v>-3340806.65403227</v>
      </c>
      <c r="M272" s="64" t="n">
        <v>-3407866.31693227</v>
      </c>
      <c r="N272" s="64" t="n">
        <v>-3476273.26133575</v>
      </c>
      <c r="O272" s="64" t="n">
        <v>-3546054.58507893</v>
      </c>
      <c r="P272" s="64" t="n">
        <v>-3617237.93175989</v>
      </c>
      <c r="Q272" s="64" t="n">
        <v>-3689851.50174894</v>
      </c>
      <c r="R272" s="64" t="n">
        <v>-3763924.06342163</v>
      </c>
      <c r="S272" s="64" t="n">
        <v>-3839484.96461871</v>
      </c>
      <c r="T272" s="64" t="n">
        <v>-3916564.14433794</v>
      </c>
      <c r="U272" s="64" t="n">
        <v>-3995192.14466224</v>
      </c>
      <c r="V272" s="64" t="n">
        <v>-4075400.12292896</v>
      </c>
      <c r="W272" s="65"/>
    </row>
    <row r="273" customFormat="false" ht="12.75" hidden="false" customHeight="false" outlineLevel="0" collapsed="false">
      <c r="A273" s="2"/>
      <c r="B273" s="117" t="s">
        <v>27</v>
      </c>
      <c r="C273" s="118" t="n">
        <v>0</v>
      </c>
      <c r="D273" s="64" t="n">
        <v>-388299.792155906</v>
      </c>
      <c r="E273" s="64" t="n">
        <v>-397276.518286144</v>
      </c>
      <c r="F273" s="64" t="n">
        <v>-406449.834718634</v>
      </c>
      <c r="G273" s="64" t="n">
        <v>-415830.468102499</v>
      </c>
      <c r="H273" s="64" t="n">
        <v>-425434.3605609</v>
      </c>
      <c r="I273" s="64" t="n">
        <v>-435680.840213219</v>
      </c>
      <c r="J273" s="64" t="n">
        <v>-445769.579868652</v>
      </c>
      <c r="K273" s="64" t="n">
        <v>-456535.84705077</v>
      </c>
      <c r="L273" s="64" t="n">
        <v>-467135.452986692</v>
      </c>
      <c r="M273" s="64" t="n">
        <v>-478005.348873979</v>
      </c>
      <c r="N273" s="64" t="n">
        <v>-489138.296241738</v>
      </c>
      <c r="O273" s="64" t="n">
        <v>-500551.793883165</v>
      </c>
      <c r="P273" s="64" t="n">
        <v>-512255.194364685</v>
      </c>
      <c r="Q273" s="64" t="n">
        <v>-524251.179858242</v>
      </c>
      <c r="R273" s="64" t="n">
        <v>-536548.264587687</v>
      </c>
      <c r="S273" s="64" t="n">
        <v>-549152.776435369</v>
      </c>
      <c r="T273" s="64" t="n">
        <v>-562069.880176873</v>
      </c>
      <c r="U273" s="64" t="n">
        <v>-575311.203222289</v>
      </c>
      <c r="V273" s="64" t="n">
        <v>-588884.883476145</v>
      </c>
      <c r="W273" s="65"/>
    </row>
    <row r="274" customFormat="false" ht="13.5" hidden="false" customHeight="false" outlineLevel="0" collapsed="false">
      <c r="A274" s="2"/>
      <c r="B274" s="119" t="s">
        <v>28</v>
      </c>
      <c r="C274" s="120" t="n">
        <v>0</v>
      </c>
      <c r="D274" s="68" t="n">
        <v>-535405.353751207</v>
      </c>
      <c r="E274" s="68" t="n">
        <v>-546702.406715361</v>
      </c>
      <c r="F274" s="68" t="n">
        <v>-558675.189422428</v>
      </c>
      <c r="G274" s="68" t="n">
        <v>-571301.24870337</v>
      </c>
      <c r="H274" s="68" t="n">
        <v>-584898.218422512</v>
      </c>
      <c r="I274" s="68" t="n">
        <v>-599555.826577049</v>
      </c>
      <c r="J274" s="68" t="n">
        <v>-614426.48136174</v>
      </c>
      <c r="K274" s="68" t="n">
        <v>-629978.885362923</v>
      </c>
      <c r="L274" s="68" t="n">
        <v>-645539.363831388</v>
      </c>
      <c r="M274" s="68" t="n">
        <v>-662000.617609086</v>
      </c>
      <c r="N274" s="68" t="n">
        <v>-678021.032555229</v>
      </c>
      <c r="O274" s="68" t="n">
        <v>-695107.162575619</v>
      </c>
      <c r="P274" s="68" t="n">
        <v>-712762.884505038</v>
      </c>
      <c r="Q274" s="68" t="n">
        <v>-730581.956617664</v>
      </c>
      <c r="R274" s="68" t="n">
        <v>-748919.563728767</v>
      </c>
      <c r="S274" s="68" t="n">
        <v>-767642.552821988</v>
      </c>
      <c r="T274" s="68" t="n">
        <v>-786680.088131972</v>
      </c>
      <c r="U274" s="68" t="n">
        <v>-806425.758344086</v>
      </c>
      <c r="V274" s="68" t="n">
        <v>-826667.044878523</v>
      </c>
      <c r="W274" s="65"/>
    </row>
    <row r="275" customFormat="false" ht="13.5" hidden="false" customHeight="false" outlineLevel="0" collapsed="false">
      <c r="A275" s="2"/>
      <c r="B275" s="121" t="s">
        <v>29</v>
      </c>
      <c r="C275" s="123" t="n">
        <v>0</v>
      </c>
      <c r="D275" s="73" t="n">
        <v>40322316.6851559</v>
      </c>
      <c r="E275" s="73" t="n">
        <v>39060278.9684304</v>
      </c>
      <c r="F275" s="73" t="n">
        <v>37379890.0296691</v>
      </c>
      <c r="G275" s="73" t="n">
        <v>35997373.6769257</v>
      </c>
      <c r="H275" s="73" t="n">
        <v>35596054.2738067</v>
      </c>
      <c r="I275" s="73" t="n">
        <v>38370857.1664087</v>
      </c>
      <c r="J275" s="73" t="n">
        <v>42263173.540025</v>
      </c>
      <c r="K275" s="73" t="n">
        <v>43559173.6060999</v>
      </c>
      <c r="L275" s="73" t="n">
        <v>44599339.2117845</v>
      </c>
      <c r="M275" s="73" t="n">
        <v>44535849.6975077</v>
      </c>
      <c r="N275" s="73" t="n">
        <v>45607977.6459321</v>
      </c>
      <c r="O275" s="73" t="n">
        <v>45689386.7870892</v>
      </c>
      <c r="P275" s="73" t="n">
        <v>45969896.7889419</v>
      </c>
      <c r="Q275" s="73" t="n">
        <v>47943504.3518722</v>
      </c>
      <c r="R275" s="73" t="n">
        <v>53172188.8422218</v>
      </c>
      <c r="S275" s="73" t="n">
        <v>51738056.4876302</v>
      </c>
      <c r="T275" s="73" t="n">
        <v>52230542.2673835</v>
      </c>
      <c r="U275" s="73" t="n">
        <v>55793743.825357</v>
      </c>
      <c r="V275" s="73" t="n">
        <v>58512696.3613065</v>
      </c>
      <c r="W275" s="65"/>
    </row>
    <row r="276" customFormat="false" ht="12.75" hidden="false" customHeight="false" outlineLevel="0" collapsed="false">
      <c r="A276" s="2"/>
      <c r="B276" s="117" t="s">
        <v>30</v>
      </c>
      <c r="C276" s="118" t="n">
        <v>0</v>
      </c>
      <c r="D276" s="64" t="n">
        <v>-2201842.8675</v>
      </c>
      <c r="E276" s="64" t="n">
        <v>-3099968.97358</v>
      </c>
      <c r="F276" s="64" t="n">
        <v>-3423680.0092298</v>
      </c>
      <c r="G276" s="64" t="n">
        <v>-3487841.8284907</v>
      </c>
      <c r="H276" s="64" t="n">
        <v>-3442944.6221525</v>
      </c>
      <c r="I276" s="64" t="n">
        <v>-3127579.60924432</v>
      </c>
      <c r="J276" s="64" t="n">
        <v>-2585493.85485079</v>
      </c>
      <c r="K276" s="64" t="n">
        <v>-2283829.37589622</v>
      </c>
      <c r="L276" s="64" t="n">
        <v>-2110531.31448224</v>
      </c>
      <c r="M276" s="64" t="n">
        <v>-2076529.3716098</v>
      </c>
      <c r="N276" s="64" t="n">
        <v>-2205552.47278075</v>
      </c>
      <c r="O276" s="64" t="n">
        <v>-2215851.25930681</v>
      </c>
      <c r="P276" s="64" t="n">
        <v>-2228559.35449948</v>
      </c>
      <c r="Q276" s="64" t="n">
        <v>-2294242.58754793</v>
      </c>
      <c r="R276" s="64" t="n">
        <v>-2363834.91508784</v>
      </c>
      <c r="S276" s="64" t="n">
        <v>-2387087.05995394</v>
      </c>
      <c r="T276" s="64" t="n">
        <v>-2414580.36666603</v>
      </c>
      <c r="U276" s="64" t="n">
        <v>-2565539.66007948</v>
      </c>
      <c r="V276" s="64" t="n">
        <v>-2693122.10729533</v>
      </c>
      <c r="W276" s="65"/>
    </row>
    <row r="277" customFormat="false" ht="13.5" hidden="false" customHeight="false" outlineLevel="0" collapsed="false">
      <c r="A277" s="2"/>
      <c r="B277" s="119" t="s">
        <v>70</v>
      </c>
      <c r="C277" s="120" t="n">
        <v>0</v>
      </c>
      <c r="D277" s="68" t="n">
        <v>-15248189.5270624</v>
      </c>
      <c r="E277" s="68" t="n">
        <v>-14384123.9979401</v>
      </c>
      <c r="F277" s="68" t="n">
        <v>-13582484.0081757</v>
      </c>
      <c r="G277" s="68" t="n">
        <v>-13003812.739374</v>
      </c>
      <c r="H277" s="68" t="n">
        <v>-12861243.8606617</v>
      </c>
      <c r="I277" s="68" t="n">
        <v>-14097311.0228657</v>
      </c>
      <c r="J277" s="68" t="n">
        <v>-15871071.8740697</v>
      </c>
      <c r="K277" s="68" t="n">
        <v>-16510137.6920815</v>
      </c>
      <c r="L277" s="68" t="n">
        <v>-16995523.1589209</v>
      </c>
      <c r="M277" s="68" t="n">
        <v>-16983728.1303592</v>
      </c>
      <c r="N277" s="68" t="n">
        <v>-17360970.0692606</v>
      </c>
      <c r="O277" s="68" t="n">
        <v>-17389414.211113</v>
      </c>
      <c r="P277" s="68" t="n">
        <v>-17496534.973777</v>
      </c>
      <c r="Q277" s="68" t="n">
        <v>-18259704.7057297</v>
      </c>
      <c r="R277" s="68" t="n">
        <v>-20323341.5708536</v>
      </c>
      <c r="S277" s="68" t="n">
        <v>-19740387.7710705</v>
      </c>
      <c r="T277" s="68" t="n">
        <v>-19926384.760287</v>
      </c>
      <c r="U277" s="68" t="n">
        <v>-21291281.666111</v>
      </c>
      <c r="V277" s="68" t="n">
        <v>-22327829.7016045</v>
      </c>
      <c r="W277" s="65"/>
    </row>
    <row r="278" customFormat="false" ht="13.5" hidden="false" customHeight="false" outlineLevel="0" collapsed="false">
      <c r="A278" s="2"/>
      <c r="B278" s="121" t="s">
        <v>32</v>
      </c>
      <c r="C278" s="123" t="n">
        <v>0</v>
      </c>
      <c r="D278" s="73" t="n">
        <v>22872284.2905935</v>
      </c>
      <c r="E278" s="73" t="n">
        <v>21576185.9969102</v>
      </c>
      <c r="F278" s="73" t="n">
        <v>20373726.0122636</v>
      </c>
      <c r="G278" s="73" t="n">
        <v>19505719.109061</v>
      </c>
      <c r="H278" s="73" t="n">
        <v>19291865.7909925</v>
      </c>
      <c r="I278" s="73" t="n">
        <v>21145966.5342986</v>
      </c>
      <c r="J278" s="73" t="n">
        <v>23806607.8111045</v>
      </c>
      <c r="K278" s="73" t="n">
        <v>24765206.5381222</v>
      </c>
      <c r="L278" s="73" t="n">
        <v>25493284.7383813</v>
      </c>
      <c r="M278" s="73" t="n">
        <v>25475592.1955387</v>
      </c>
      <c r="N278" s="73" t="n">
        <v>26041455.1038908</v>
      </c>
      <c r="O278" s="73" t="n">
        <v>26084121.3166695</v>
      </c>
      <c r="P278" s="73" t="n">
        <v>26244802.4606655</v>
      </c>
      <c r="Q278" s="73" t="n">
        <v>27389557.0585945</v>
      </c>
      <c r="R278" s="73" t="n">
        <v>30485012.3562804</v>
      </c>
      <c r="S278" s="73" t="n">
        <v>29610581.6566058</v>
      </c>
      <c r="T278" s="73" t="n">
        <v>29889577.1404305</v>
      </c>
      <c r="U278" s="73" t="n">
        <v>31936922.4991665</v>
      </c>
      <c r="V278" s="73" t="n">
        <v>33491744.5524067</v>
      </c>
      <c r="W278" s="65"/>
    </row>
    <row r="279" customFormat="false" ht="12.75" hidden="false" customHeight="false" outlineLevel="0" collapsed="false">
      <c r="A279" s="2"/>
      <c r="B279" s="117" t="s">
        <v>30</v>
      </c>
      <c r="C279" s="118" t="n">
        <v>0</v>
      </c>
      <c r="D279" s="64" t="n">
        <v>2201842.8675</v>
      </c>
      <c r="E279" s="64" t="n">
        <v>3099968.97358</v>
      </c>
      <c r="F279" s="64" t="n">
        <v>3423680.0092298</v>
      </c>
      <c r="G279" s="64" t="n">
        <v>3487841.8284907</v>
      </c>
      <c r="H279" s="64" t="n">
        <v>3442944.6221525</v>
      </c>
      <c r="I279" s="64" t="n">
        <v>3127579.60924432</v>
      </c>
      <c r="J279" s="64" t="n">
        <v>2585493.85485079</v>
      </c>
      <c r="K279" s="64" t="n">
        <v>2283829.37589622</v>
      </c>
      <c r="L279" s="64" t="n">
        <v>2110531.31448224</v>
      </c>
      <c r="M279" s="64" t="n">
        <v>2076529.3716098</v>
      </c>
      <c r="N279" s="64" t="n">
        <v>2205552.47278075</v>
      </c>
      <c r="O279" s="64" t="n">
        <v>2215851.25930681</v>
      </c>
      <c r="P279" s="64" t="n">
        <v>2228559.35449948</v>
      </c>
      <c r="Q279" s="64" t="n">
        <v>2294242.58754793</v>
      </c>
      <c r="R279" s="64" t="n">
        <v>2363834.91508784</v>
      </c>
      <c r="S279" s="64" t="n">
        <v>2387087.05995394</v>
      </c>
      <c r="T279" s="64" t="n">
        <v>2414580.36666603</v>
      </c>
      <c r="U279" s="64" t="n">
        <v>2565539.66007948</v>
      </c>
      <c r="V279" s="64" t="n">
        <v>2693122.10729533</v>
      </c>
      <c r="W279" s="65"/>
    </row>
    <row r="280" customFormat="false" ht="12.75" hidden="false" customHeight="false" outlineLevel="0" collapsed="false">
      <c r="A280" s="2"/>
      <c r="B280" s="117" t="s">
        <v>33</v>
      </c>
      <c r="C280" s="118" t="n">
        <v>0</v>
      </c>
      <c r="D280" s="64" t="n">
        <v>-5095192</v>
      </c>
      <c r="E280" s="64" t="n">
        <v>-561695.92</v>
      </c>
      <c r="F280" s="64" t="n">
        <v>-2024981.09</v>
      </c>
      <c r="G280" s="64" t="n">
        <v>-213158.43</v>
      </c>
      <c r="H280" s="64" t="n">
        <v>-2191980.488</v>
      </c>
      <c r="I280" s="64" t="n">
        <v>-2257739.90264</v>
      </c>
      <c r="J280" s="64" t="n">
        <v>-2325472.0997192</v>
      </c>
      <c r="K280" s="64" t="n">
        <v>-2395236.26271078</v>
      </c>
      <c r="L280" s="64" t="n">
        <v>-2467093.3505921</v>
      </c>
      <c r="M280" s="64" t="n">
        <v>-2541106.15110986</v>
      </c>
      <c r="N280" s="64" t="n">
        <v>-2617339.33564316</v>
      </c>
      <c r="O280" s="64" t="n">
        <v>-2695859.51571245</v>
      </c>
      <c r="P280" s="64" t="n">
        <v>-2776735.30118383</v>
      </c>
      <c r="Q280" s="64" t="n">
        <v>-2860037.36021934</v>
      </c>
      <c r="R280" s="64" t="n">
        <v>-2945838.48102592</v>
      </c>
      <c r="S280" s="64" t="n">
        <v>-3034213.6354567</v>
      </c>
      <c r="T280" s="64" t="n">
        <v>-3125240.0445204</v>
      </c>
      <c r="U280" s="64" t="n">
        <v>-3218997.24585601</v>
      </c>
      <c r="V280" s="64" t="n">
        <v>-3315567.16323169</v>
      </c>
      <c r="W280" s="65"/>
    </row>
    <row r="281" customFormat="false" ht="13.5" hidden="false" customHeight="false" outlineLevel="0" collapsed="false">
      <c r="A281" s="2"/>
      <c r="B281" s="119" t="s">
        <v>34</v>
      </c>
      <c r="C281" s="120" t="n">
        <v>0</v>
      </c>
      <c r="D281" s="68" t="n">
        <v>-6225024</v>
      </c>
      <c r="E281" s="68" t="n">
        <v>-4058147.2</v>
      </c>
      <c r="F281" s="68" t="n">
        <v>-2200091.69</v>
      </c>
      <c r="G281" s="68" t="n">
        <v>0</v>
      </c>
      <c r="H281" s="68" t="n">
        <v>0</v>
      </c>
      <c r="I281" s="68" t="n">
        <v>0</v>
      </c>
      <c r="J281" s="68" t="n">
        <v>0</v>
      </c>
      <c r="K281" s="68" t="n">
        <v>0</v>
      </c>
      <c r="L281" s="68" t="n">
        <v>0</v>
      </c>
      <c r="M281" s="68" t="n">
        <v>0</v>
      </c>
      <c r="N281" s="68" t="n">
        <v>0</v>
      </c>
      <c r="O281" s="68" t="n">
        <v>0</v>
      </c>
      <c r="P281" s="68" t="n">
        <v>0</v>
      </c>
      <c r="Q281" s="68" t="n">
        <v>0</v>
      </c>
      <c r="R281" s="68" t="n">
        <v>0</v>
      </c>
      <c r="S281" s="68" t="n">
        <v>0</v>
      </c>
      <c r="T281" s="68" t="n">
        <v>0</v>
      </c>
      <c r="U281" s="68" t="n">
        <v>0</v>
      </c>
      <c r="V281" s="68" t="n">
        <v>0</v>
      </c>
      <c r="W281" s="65"/>
    </row>
    <row r="282" customFormat="false" ht="13.5" hidden="false" customHeight="false" outlineLevel="0" collapsed="false">
      <c r="A282" s="2"/>
      <c r="B282" s="117"/>
      <c r="C282" s="124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</row>
    <row r="283" customFormat="false" ht="12.75" hidden="false" customHeight="false" outlineLevel="0" collapsed="false">
      <c r="A283" s="2"/>
      <c r="B283" s="121" t="s">
        <v>35</v>
      </c>
      <c r="C283" s="123" t="n">
        <v>0</v>
      </c>
      <c r="D283" s="73" t="n">
        <v>13753911.1580935</v>
      </c>
      <c r="E283" s="73" t="n">
        <v>20056311.8504902</v>
      </c>
      <c r="F283" s="73" t="n">
        <v>19572333.2414934</v>
      </c>
      <c r="G283" s="73" t="n">
        <v>22780402.5075517</v>
      </c>
      <c r="H283" s="73" t="n">
        <v>20542829.925145</v>
      </c>
      <c r="I283" s="73" t="n">
        <v>22015806.2409029</v>
      </c>
      <c r="J283" s="73" t="n">
        <v>24066629.5662361</v>
      </c>
      <c r="K283" s="73" t="n">
        <v>24653799.6513076</v>
      </c>
      <c r="L283" s="73" t="n">
        <v>25136722.7022715</v>
      </c>
      <c r="M283" s="73" t="n">
        <v>25011015.4160387</v>
      </c>
      <c r="N283" s="73" t="n">
        <v>25629668.2410284</v>
      </c>
      <c r="O283" s="73" t="n">
        <v>25604113.0602638</v>
      </c>
      <c r="P283" s="73" t="n">
        <v>25696626.5139811</v>
      </c>
      <c r="Q283" s="73" t="n">
        <v>26823762.2859231</v>
      </c>
      <c r="R283" s="73" t="n">
        <v>29903008.7903423</v>
      </c>
      <c r="S283" s="73" t="n">
        <v>28963455.081103</v>
      </c>
      <c r="T283" s="73" t="n">
        <v>29178917.4625761</v>
      </c>
      <c r="U283" s="73" t="n">
        <v>31283464.91339</v>
      </c>
      <c r="V283" s="73" t="n">
        <v>32869299.4964703</v>
      </c>
      <c r="W283" s="71" t="n">
        <v>172639804.317627</v>
      </c>
    </row>
    <row r="284" customFormat="false" ht="12.75" hidden="false" customHeight="false" outlineLevel="0" collapsed="false">
      <c r="A284" s="2"/>
      <c r="B284" s="12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customFormat="false" ht="12.75" hidden="false" customHeight="false" outlineLevel="0" collapsed="false">
      <c r="A285" s="48" t="s">
        <v>36</v>
      </c>
      <c r="B285" s="126" t="s">
        <v>37</v>
      </c>
      <c r="C285" s="76" t="n">
        <v>72098806.1578172</v>
      </c>
      <c r="D285" s="2"/>
      <c r="E285" s="127" t="s">
        <v>38</v>
      </c>
      <c r="F285" s="128" t="s">
        <v>37</v>
      </c>
      <c r="G285" s="79" t="n">
        <v>72098806.1578172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customFormat="false" ht="12.75" hidden="false" customHeight="false" outlineLevel="0" collapsed="false">
      <c r="A286" s="2"/>
      <c r="B286" s="126" t="s">
        <v>39</v>
      </c>
      <c r="C286" s="76" t="n">
        <v>118465728.864726</v>
      </c>
      <c r="D286" s="2"/>
      <c r="E286" s="129"/>
      <c r="F286" s="128" t="s">
        <v>39</v>
      </c>
      <c r="G286" s="79" t="n">
        <v>118465728.864726</v>
      </c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customFormat="false" ht="13.5" hidden="false" customHeight="false" outlineLevel="0" collapsed="false">
      <c r="A287" s="2"/>
      <c r="B287" s="130" t="s">
        <v>40</v>
      </c>
      <c r="C287" s="82" t="n">
        <v>25661806.8551502</v>
      </c>
      <c r="D287" s="131"/>
      <c r="E287" s="129"/>
      <c r="F287" s="128" t="s">
        <v>40</v>
      </c>
      <c r="G287" s="79" t="n">
        <v>25661806.8551502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customFormat="false" ht="14.25" hidden="false" customHeight="false" outlineLevel="0" collapsed="false">
      <c r="A288" s="2"/>
      <c r="B288" s="126" t="s">
        <v>41</v>
      </c>
      <c r="C288" s="76" t="n">
        <v>216226341.877694</v>
      </c>
      <c r="D288" s="132"/>
      <c r="E288" s="129"/>
      <c r="F288" s="133" t="s">
        <v>42</v>
      </c>
      <c r="G288" s="85" t="n">
        <v>0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customFormat="false" ht="13.5" hidden="false" customHeight="false" outlineLevel="0" collapsed="false">
      <c r="A289" s="2"/>
      <c r="B289" s="125"/>
      <c r="C289" s="134"/>
      <c r="D289" s="2"/>
      <c r="E289" s="135"/>
      <c r="F289" s="128" t="s">
        <v>41</v>
      </c>
      <c r="G289" s="79" t="n">
        <v>216226341.877694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customFormat="false" ht="12.75" hidden="false" customHeight="false" outlineLevel="0" collapsed="false">
      <c r="A290" s="2"/>
      <c r="B290" s="125"/>
      <c r="C290" s="134"/>
      <c r="D290" s="2"/>
      <c r="E290" s="135"/>
      <c r="F290" s="128"/>
      <c r="G290" s="13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customFormat="false" ht="12.75" hidden="false" customHeight="false" outlineLevel="0" collapsed="false">
      <c r="A291" s="2"/>
      <c r="B291" s="125"/>
      <c r="C291" s="134"/>
      <c r="D291" s="2"/>
      <c r="E291" s="135"/>
      <c r="F291" s="128"/>
      <c r="G291" s="13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customFormat="false" ht="12.75" hidden="false" customHeight="false" outlineLevel="0" collapsed="false">
      <c r="A292" s="2"/>
      <c r="B292" s="137" t="s">
        <v>43</v>
      </c>
      <c r="C292" s="134"/>
      <c r="D292" s="2"/>
      <c r="E292" s="135"/>
      <c r="F292" s="128"/>
      <c r="G292" s="13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customFormat="false" ht="12.75" hidden="false" customHeight="false" outlineLevel="0" collapsed="false">
      <c r="A293" s="87" t="s">
        <v>44</v>
      </c>
      <c r="B293" s="137" t="s">
        <v>45</v>
      </c>
      <c r="C293" s="138"/>
      <c r="D293" s="88" t="n">
        <v>22872284.2905935</v>
      </c>
      <c r="E293" s="88" t="n">
        <v>21576185.9969102</v>
      </c>
      <c r="F293" s="88" t="n">
        <v>20373726.0122636</v>
      </c>
      <c r="G293" s="88" t="n">
        <v>19505719.109061</v>
      </c>
      <c r="H293" s="88" t="n">
        <v>19291865.7909925</v>
      </c>
      <c r="I293" s="88" t="n">
        <v>21145966.5342986</v>
      </c>
      <c r="J293" s="88" t="n">
        <v>23806607.8111045</v>
      </c>
      <c r="K293" s="88" t="n">
        <v>24765206.5381222</v>
      </c>
      <c r="L293" s="88" t="n">
        <v>25493284.7383813</v>
      </c>
      <c r="M293" s="88" t="n">
        <v>25475592.1955387</v>
      </c>
      <c r="N293" s="88" t="n">
        <v>26041455.1038908</v>
      </c>
      <c r="O293" s="88" t="n">
        <v>26084121.3166695</v>
      </c>
      <c r="P293" s="88" t="n">
        <v>26244802.4606655</v>
      </c>
      <c r="Q293" s="88" t="n">
        <v>27389557.0585945</v>
      </c>
      <c r="R293" s="88" t="n">
        <v>30485012.3562804</v>
      </c>
      <c r="S293" s="88" t="n">
        <v>29610581.6566058</v>
      </c>
      <c r="T293" s="88" t="n">
        <v>29889577.1404305</v>
      </c>
      <c r="U293" s="88" t="n">
        <v>31936922.4991665</v>
      </c>
      <c r="V293" s="88" t="n">
        <v>33491744.5524067</v>
      </c>
      <c r="W293" s="2"/>
    </row>
    <row r="294" customFormat="false" ht="12.75" hidden="false" customHeight="false" outlineLevel="0" collapsed="false">
      <c r="A294" s="2"/>
      <c r="B294" s="125" t="s">
        <v>46</v>
      </c>
      <c r="C294" s="134"/>
      <c r="D294" s="65" t="n">
        <v>15248189.5270624</v>
      </c>
      <c r="E294" s="65" t="n">
        <v>14384123.9979401</v>
      </c>
      <c r="F294" s="65" t="n">
        <v>13582484.0081757</v>
      </c>
      <c r="G294" s="65" t="n">
        <v>13003812.739374</v>
      </c>
      <c r="H294" s="65" t="n">
        <v>12861243.8606617</v>
      </c>
      <c r="I294" s="65" t="n">
        <v>14097311.0228657</v>
      </c>
      <c r="J294" s="65" t="n">
        <v>15871071.8740697</v>
      </c>
      <c r="K294" s="65" t="n">
        <v>16510137.6920815</v>
      </c>
      <c r="L294" s="65" t="n">
        <v>16995523.1589209</v>
      </c>
      <c r="M294" s="65" t="n">
        <v>16983728.1303592</v>
      </c>
      <c r="N294" s="65" t="n">
        <v>17360970.0692606</v>
      </c>
      <c r="O294" s="65" t="n">
        <v>17389414.211113</v>
      </c>
      <c r="P294" s="65" t="n">
        <v>17496534.973777</v>
      </c>
      <c r="Q294" s="65" t="n">
        <v>18259704.7057297</v>
      </c>
      <c r="R294" s="65" t="n">
        <v>20323341.5708536</v>
      </c>
      <c r="S294" s="65" t="n">
        <v>19740387.7710705</v>
      </c>
      <c r="T294" s="65" t="n">
        <v>19926384.760287</v>
      </c>
      <c r="U294" s="65" t="n">
        <v>21291281.666111</v>
      </c>
      <c r="V294" s="65" t="n">
        <v>22327829.7016045</v>
      </c>
      <c r="W294" s="2"/>
    </row>
    <row r="295" customFormat="false" ht="12.75" hidden="false" customHeight="false" outlineLevel="0" collapsed="false">
      <c r="A295" s="2"/>
      <c r="B295" s="139" t="s">
        <v>47</v>
      </c>
      <c r="C295" s="140"/>
      <c r="D295" s="65" t="n">
        <v>2201842.8675</v>
      </c>
      <c r="E295" s="65" t="n">
        <v>3099968.97358</v>
      </c>
      <c r="F295" s="65" t="n">
        <v>3423680.0092298</v>
      </c>
      <c r="G295" s="65" t="n">
        <v>3487841.8284907</v>
      </c>
      <c r="H295" s="65" t="n">
        <v>3442944.6221525</v>
      </c>
      <c r="I295" s="65" t="n">
        <v>3127579.60924432</v>
      </c>
      <c r="J295" s="65" t="n">
        <v>2585493.85485079</v>
      </c>
      <c r="K295" s="65" t="n">
        <v>2283829.37589622</v>
      </c>
      <c r="L295" s="65" t="n">
        <v>2110531.31448224</v>
      </c>
      <c r="M295" s="65" t="n">
        <v>2076529.3716098</v>
      </c>
      <c r="N295" s="65" t="n">
        <v>2205552.47278075</v>
      </c>
      <c r="O295" s="65" t="n">
        <v>2215851.25930681</v>
      </c>
      <c r="P295" s="65" t="n">
        <v>2228559.35449948</v>
      </c>
      <c r="Q295" s="65" t="n">
        <v>2294242.58754793</v>
      </c>
      <c r="R295" s="65" t="n">
        <v>2363834.91508784</v>
      </c>
      <c r="S295" s="65" t="n">
        <v>2387087.05995394</v>
      </c>
      <c r="T295" s="65" t="n">
        <v>2414580.36666603</v>
      </c>
      <c r="U295" s="65" t="n">
        <v>2565539.66007948</v>
      </c>
      <c r="V295" s="65" t="n">
        <v>2693122.10729533</v>
      </c>
      <c r="W295" s="2"/>
    </row>
    <row r="296" customFormat="false" ht="13.5" hidden="false" customHeight="false" outlineLevel="0" collapsed="false">
      <c r="A296" s="2"/>
      <c r="B296" s="141" t="s">
        <v>48</v>
      </c>
      <c r="C296" s="142"/>
      <c r="D296" s="93" t="n">
        <v>40322316.6851559</v>
      </c>
      <c r="E296" s="93" t="n">
        <v>39060278.9684304</v>
      </c>
      <c r="F296" s="93" t="n">
        <v>37379890.0296691</v>
      </c>
      <c r="G296" s="93" t="n">
        <v>35997373.6769257</v>
      </c>
      <c r="H296" s="93" t="n">
        <v>35596054.2738067</v>
      </c>
      <c r="I296" s="93" t="n">
        <v>38370857.1664087</v>
      </c>
      <c r="J296" s="93" t="n">
        <v>42263173.540025</v>
      </c>
      <c r="K296" s="93" t="n">
        <v>43559173.6060999</v>
      </c>
      <c r="L296" s="93" t="n">
        <v>44599339.2117845</v>
      </c>
      <c r="M296" s="93" t="n">
        <v>44535849.6975077</v>
      </c>
      <c r="N296" s="93" t="n">
        <v>45607977.6459321</v>
      </c>
      <c r="O296" s="93" t="n">
        <v>45689386.7870892</v>
      </c>
      <c r="P296" s="93" t="n">
        <v>45969896.7889419</v>
      </c>
      <c r="Q296" s="93" t="n">
        <v>47943504.3518722</v>
      </c>
      <c r="R296" s="93" t="n">
        <v>53172188.8422218</v>
      </c>
      <c r="S296" s="93" t="n">
        <v>51738056.4876302</v>
      </c>
      <c r="T296" s="93" t="n">
        <v>52230542.2673835</v>
      </c>
      <c r="U296" s="93" t="n">
        <v>55793743.8253571</v>
      </c>
      <c r="V296" s="93" t="n">
        <v>58512696.3613065</v>
      </c>
      <c r="W296" s="2"/>
    </row>
    <row r="297" customFormat="false" ht="13.5" hidden="false" customHeight="false" outlineLevel="0" collapsed="false">
      <c r="A297" s="87" t="s">
        <v>49</v>
      </c>
      <c r="B297" s="125" t="s">
        <v>50</v>
      </c>
      <c r="C297" s="134"/>
      <c r="D297" s="65" t="n">
        <v>-2946706.10553438</v>
      </c>
      <c r="E297" s="65" t="n">
        <v>-3177698.26153438</v>
      </c>
      <c r="F297" s="65" t="n">
        <v>-3278947.31603438</v>
      </c>
      <c r="G297" s="65" t="n">
        <v>-3289605.23753438</v>
      </c>
      <c r="H297" s="65" t="n">
        <v>-3399204.26193438</v>
      </c>
      <c r="I297" s="65" t="n">
        <v>-3512091.25706638</v>
      </c>
      <c r="J297" s="65" t="n">
        <v>-3628364.86205234</v>
      </c>
      <c r="K297" s="65" t="n">
        <v>-3748126.67518788</v>
      </c>
      <c r="L297" s="65" t="n">
        <v>-3871481.34271748</v>
      </c>
      <c r="M297" s="65" t="n">
        <v>-3998536.65027298</v>
      </c>
      <c r="N297" s="65" t="n">
        <v>-4129403.61705514</v>
      </c>
      <c r="O297" s="65" t="n">
        <v>-4264196.59284076</v>
      </c>
      <c r="P297" s="65" t="n">
        <v>-4403033.35789995</v>
      </c>
      <c r="Q297" s="65" t="n">
        <v>-4546035.22591092</v>
      </c>
      <c r="R297" s="65" t="n">
        <v>-3763920.31246223</v>
      </c>
      <c r="S297" s="65" t="n">
        <v>-2584958.66923505</v>
      </c>
      <c r="T297" s="65" t="n">
        <v>-2740016.39896107</v>
      </c>
      <c r="U297" s="65" t="n">
        <v>-2900966.26125387</v>
      </c>
      <c r="V297" s="65" t="n">
        <v>-3066744.61941545</v>
      </c>
      <c r="W297" s="2"/>
    </row>
    <row r="298" customFormat="false" ht="12.75" hidden="false" customHeight="false" outlineLevel="0" collapsed="false">
      <c r="A298" s="2"/>
      <c r="B298" s="125" t="s">
        <v>51</v>
      </c>
      <c r="C298" s="134"/>
      <c r="D298" s="65" t="n">
        <v>0</v>
      </c>
      <c r="E298" s="65" t="n">
        <v>0</v>
      </c>
      <c r="F298" s="65" t="n">
        <v>0</v>
      </c>
      <c r="G298" s="65" t="n">
        <v>0</v>
      </c>
      <c r="H298" s="65" t="n">
        <v>0</v>
      </c>
      <c r="I298" s="65" t="n">
        <v>0</v>
      </c>
      <c r="J298" s="65" t="n">
        <v>0</v>
      </c>
      <c r="K298" s="65" t="n">
        <v>0</v>
      </c>
      <c r="L298" s="65" t="n">
        <v>0</v>
      </c>
      <c r="M298" s="65" t="n">
        <v>0</v>
      </c>
      <c r="N298" s="65" t="n">
        <v>0</v>
      </c>
      <c r="O298" s="65" t="n">
        <v>0</v>
      </c>
      <c r="P298" s="65" t="n">
        <v>0</v>
      </c>
      <c r="Q298" s="65" t="n">
        <v>0</v>
      </c>
      <c r="R298" s="65" t="n">
        <v>0</v>
      </c>
      <c r="S298" s="65" t="n">
        <v>0</v>
      </c>
      <c r="T298" s="65" t="n">
        <v>0</v>
      </c>
      <c r="U298" s="65" t="n">
        <v>0</v>
      </c>
      <c r="V298" s="65" t="n">
        <v>0</v>
      </c>
      <c r="W298" s="2"/>
    </row>
    <row r="299" customFormat="false" ht="12.75" hidden="false" customHeight="false" outlineLevel="0" collapsed="false">
      <c r="A299" s="2"/>
      <c r="B299" s="137" t="s">
        <v>52</v>
      </c>
      <c r="C299" s="138"/>
      <c r="D299" s="88" t="n">
        <v>37375610.5796215</v>
      </c>
      <c r="E299" s="88" t="n">
        <v>35882580.706896</v>
      </c>
      <c r="F299" s="88" t="n">
        <v>34100942.7136348</v>
      </c>
      <c r="G299" s="88" t="n">
        <v>32707768.4393914</v>
      </c>
      <c r="H299" s="88" t="n">
        <v>32196850.0118724</v>
      </c>
      <c r="I299" s="88" t="n">
        <v>34858765.9093423</v>
      </c>
      <c r="J299" s="88" t="n">
        <v>38634808.6779727</v>
      </c>
      <c r="K299" s="88" t="n">
        <v>39811046.930912</v>
      </c>
      <c r="L299" s="88" t="n">
        <v>40727857.869067</v>
      </c>
      <c r="M299" s="88" t="n">
        <v>40537313.0472347</v>
      </c>
      <c r="N299" s="88" t="n">
        <v>41478574.028877</v>
      </c>
      <c r="O299" s="88" t="n">
        <v>41425190.1942485</v>
      </c>
      <c r="P299" s="88" t="n">
        <v>41566863.431042</v>
      </c>
      <c r="Q299" s="88" t="n">
        <v>43397469.1259613</v>
      </c>
      <c r="R299" s="88" t="n">
        <v>49408268.5297596</v>
      </c>
      <c r="S299" s="88" t="n">
        <v>49153097.8183952</v>
      </c>
      <c r="T299" s="88" t="n">
        <v>49490525.8684224</v>
      </c>
      <c r="U299" s="88" t="n">
        <v>52892777.5641032</v>
      </c>
      <c r="V299" s="88" t="n">
        <v>55445951.741891</v>
      </c>
      <c r="W299" s="2"/>
    </row>
    <row r="300" customFormat="false" ht="13.5" hidden="false" customHeight="false" outlineLevel="0" collapsed="false">
      <c r="A300" s="2"/>
      <c r="B300" s="143" t="s">
        <v>53</v>
      </c>
      <c r="C300" s="144"/>
      <c r="D300" s="96" t="n">
        <v>-14950244.2318486</v>
      </c>
      <c r="E300" s="96" t="n">
        <v>-14353032.2827584</v>
      </c>
      <c r="F300" s="96" t="n">
        <v>-13640377.0854539</v>
      </c>
      <c r="G300" s="96" t="n">
        <v>-13083107.3757565</v>
      </c>
      <c r="H300" s="96" t="n">
        <v>-12878740.0047489</v>
      </c>
      <c r="I300" s="96" t="n">
        <v>-13943506.3637369</v>
      </c>
      <c r="J300" s="96" t="n">
        <v>-15453923.4711891</v>
      </c>
      <c r="K300" s="96" t="n">
        <v>-15924418.7723648</v>
      </c>
      <c r="L300" s="96" t="n">
        <v>-16291143.1476268</v>
      </c>
      <c r="M300" s="96" t="n">
        <v>-16214925.2188939</v>
      </c>
      <c r="N300" s="96" t="n">
        <v>-16591429.6115508</v>
      </c>
      <c r="O300" s="96" t="n">
        <v>-16570076.0776994</v>
      </c>
      <c r="P300" s="96" t="n">
        <v>-16626745.3724168</v>
      </c>
      <c r="Q300" s="96" t="n">
        <v>-17358987.6503845</v>
      </c>
      <c r="R300" s="96" t="n">
        <v>-19763307.4119038</v>
      </c>
      <c r="S300" s="96" t="n">
        <v>-19661239.1273581</v>
      </c>
      <c r="T300" s="96" t="n">
        <v>-19796210.347369</v>
      </c>
      <c r="U300" s="96" t="n">
        <v>-21157111.0256413</v>
      </c>
      <c r="V300" s="96" t="n">
        <v>-22178380.6967564</v>
      </c>
      <c r="W300" s="2"/>
    </row>
    <row r="301" customFormat="false" ht="13.5" hidden="false" customHeight="false" outlineLevel="0" collapsed="false">
      <c r="A301" s="2"/>
      <c r="B301" s="137" t="s">
        <v>54</v>
      </c>
      <c r="C301" s="138"/>
      <c r="D301" s="88" t="n">
        <v>22425366.3477729</v>
      </c>
      <c r="E301" s="88" t="n">
        <v>21529548.4241376</v>
      </c>
      <c r="F301" s="88" t="n">
        <v>20460565.6281809</v>
      </c>
      <c r="G301" s="88" t="n">
        <v>19624661.0636348</v>
      </c>
      <c r="H301" s="88" t="n">
        <v>19318110.0071234</v>
      </c>
      <c r="I301" s="88" t="n">
        <v>20915259.5456054</v>
      </c>
      <c r="J301" s="88" t="n">
        <v>23180885.2067836</v>
      </c>
      <c r="K301" s="88" t="n">
        <v>23886628.1585472</v>
      </c>
      <c r="L301" s="88" t="n">
        <v>24436714.7214402</v>
      </c>
      <c r="M301" s="88" t="n">
        <v>24322387.8283408</v>
      </c>
      <c r="N301" s="88" t="n">
        <v>24887144.4173262</v>
      </c>
      <c r="O301" s="88" t="n">
        <v>24855114.1165491</v>
      </c>
      <c r="P301" s="88" t="n">
        <v>24940118.0586252</v>
      </c>
      <c r="Q301" s="88" t="n">
        <v>26038481.4755768</v>
      </c>
      <c r="R301" s="88" t="n">
        <v>29644961.1178557</v>
      </c>
      <c r="S301" s="88" t="n">
        <v>29491858.6910371</v>
      </c>
      <c r="T301" s="88" t="n">
        <v>29694315.5210535</v>
      </c>
      <c r="U301" s="88" t="n">
        <v>31735666.5384619</v>
      </c>
      <c r="V301" s="88" t="n">
        <v>33267571.0451346</v>
      </c>
      <c r="W301" s="2"/>
    </row>
    <row r="302" customFormat="false" ht="12.75" hidden="false" customHeight="false" outlineLevel="0" collapsed="false">
      <c r="A302" s="2"/>
      <c r="B302" s="2"/>
      <c r="C302" s="134"/>
      <c r="D302" s="2"/>
      <c r="E302" s="135"/>
      <c r="F302" s="128"/>
      <c r="G302" s="13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customFormat="false" ht="15.75" hidden="false" customHeight="false" outlineLevel="0" collapsed="false">
      <c r="A303" s="97" t="s">
        <v>55</v>
      </c>
      <c r="B303" s="14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customFormat="false" ht="12.75" hidden="false" customHeight="false" outlineLevel="0" collapsed="false">
      <c r="A304" s="99" t="s">
        <v>56</v>
      </c>
      <c r="B304" s="49"/>
      <c r="C304" s="101" t="n">
        <v>0</v>
      </c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</row>
    <row r="305" customFormat="false" ht="12.75" hidden="false" customHeight="false" outlineLevel="0" collapsed="false">
      <c r="A305" s="99" t="s">
        <v>57</v>
      </c>
      <c r="B305" s="49"/>
      <c r="C305" s="146" t="n">
        <v>0</v>
      </c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</row>
    <row r="306" customFormat="false" ht="12.75" hidden="false" customHeight="false" outlineLevel="0" collapsed="false">
      <c r="A306" s="99" t="s">
        <v>58</v>
      </c>
      <c r="B306" s="49"/>
      <c r="C306" s="99" t="n">
        <v>15</v>
      </c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customFormat="false" ht="12.75" hidden="false" customHeight="false" outlineLevel="0" collapsed="false">
      <c r="A307" s="99" t="s">
        <v>59</v>
      </c>
      <c r="B307" s="49"/>
      <c r="C307" s="146" t="n">
        <v>0</v>
      </c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</row>
    <row r="308" customFormat="false" ht="12.75" hidden="false" customHeight="false" outlineLevel="0" collapsed="false">
      <c r="A308" s="99" t="s">
        <v>60</v>
      </c>
      <c r="B308" s="49"/>
      <c r="C308" s="147" t="n">
        <v>0.0875</v>
      </c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</row>
    <row r="309" customFormat="false" ht="12.75" hidden="false" customHeight="false" outlineLevel="0" collapsed="false">
      <c r="A309" s="99"/>
      <c r="B309" s="49"/>
      <c r="C309" s="107"/>
      <c r="D309" s="58" t="n">
        <v>2001</v>
      </c>
      <c r="E309" s="58" t="n">
        <v>2002</v>
      </c>
      <c r="F309" s="58" t="n">
        <v>2003</v>
      </c>
      <c r="G309" s="58" t="n">
        <v>2004</v>
      </c>
      <c r="H309" s="58" t="n">
        <v>2005</v>
      </c>
      <c r="I309" s="58" t="n">
        <v>2006</v>
      </c>
      <c r="J309" s="58" t="n">
        <v>2007</v>
      </c>
      <c r="K309" s="58" t="n">
        <v>2008</v>
      </c>
      <c r="L309" s="58" t="n">
        <v>2009</v>
      </c>
      <c r="M309" s="58" t="n">
        <v>2010</v>
      </c>
      <c r="N309" s="58" t="n">
        <v>2011</v>
      </c>
      <c r="O309" s="58" t="n">
        <v>2012</v>
      </c>
      <c r="P309" s="58" t="n">
        <v>2013</v>
      </c>
      <c r="Q309" s="58" t="n">
        <v>2014</v>
      </c>
      <c r="R309" s="58" t="n">
        <v>2015</v>
      </c>
      <c r="S309" s="58" t="n">
        <v>2016</v>
      </c>
      <c r="T309" s="58" t="n">
        <v>2017</v>
      </c>
      <c r="U309" s="58" t="n">
        <v>2018</v>
      </c>
      <c r="V309" s="58" t="n">
        <v>2019</v>
      </c>
      <c r="W309" s="58" t="s">
        <v>19</v>
      </c>
    </row>
    <row r="310" customFormat="false" ht="12.75" hidden="false" customHeight="false" outlineLevel="0" collapsed="false">
      <c r="A310" s="99" t="s">
        <v>61</v>
      </c>
      <c r="B310" s="49"/>
      <c r="C310" s="107"/>
      <c r="D310" s="102" t="n">
        <v>0</v>
      </c>
      <c r="E310" s="102" t="n">
        <v>0</v>
      </c>
      <c r="F310" s="102" t="n">
        <v>0</v>
      </c>
      <c r="G310" s="102" t="n">
        <v>0</v>
      </c>
      <c r="H310" s="102" t="n">
        <v>0</v>
      </c>
      <c r="I310" s="102" t="n">
        <v>0</v>
      </c>
      <c r="J310" s="102" t="n">
        <v>0</v>
      </c>
      <c r="K310" s="102" t="n">
        <v>0</v>
      </c>
      <c r="L310" s="102" t="n">
        <v>0</v>
      </c>
      <c r="M310" s="102" t="n">
        <v>0</v>
      </c>
      <c r="N310" s="102" t="n">
        <v>0</v>
      </c>
      <c r="O310" s="102" t="n">
        <v>0</v>
      </c>
      <c r="P310" s="102" t="n">
        <v>0</v>
      </c>
      <c r="Q310" s="102" t="n">
        <v>0</v>
      </c>
      <c r="R310" s="102" t="n">
        <v>0</v>
      </c>
      <c r="S310" s="102" t="n">
        <v>0</v>
      </c>
      <c r="T310" s="102" t="n">
        <v>0</v>
      </c>
      <c r="U310" s="102" t="n">
        <v>0</v>
      </c>
      <c r="V310" s="102" t="n">
        <v>0</v>
      </c>
      <c r="W310" s="102" t="n">
        <v>0</v>
      </c>
    </row>
    <row r="311" customFormat="false" ht="12.75" hidden="false" customHeight="false" outlineLevel="0" collapsed="false">
      <c r="A311" s="99" t="s">
        <v>62</v>
      </c>
      <c r="B311" s="49"/>
      <c r="C311" s="107"/>
      <c r="D311" s="102" t="n">
        <v>0</v>
      </c>
      <c r="E311" s="102" t="n">
        <v>0</v>
      </c>
      <c r="F311" s="102" t="n">
        <v>0</v>
      </c>
      <c r="G311" s="102" t="n">
        <v>0</v>
      </c>
      <c r="H311" s="102" t="n">
        <v>0</v>
      </c>
      <c r="I311" s="102" t="n">
        <v>0</v>
      </c>
      <c r="J311" s="102" t="n">
        <v>0</v>
      </c>
      <c r="K311" s="102" t="n">
        <v>0</v>
      </c>
      <c r="L311" s="102" t="n">
        <v>0</v>
      </c>
      <c r="M311" s="102" t="n">
        <v>0</v>
      </c>
      <c r="N311" s="102" t="n">
        <v>0</v>
      </c>
      <c r="O311" s="102" t="n">
        <v>0</v>
      </c>
      <c r="P311" s="102" t="n">
        <v>0</v>
      </c>
      <c r="Q311" s="102" t="n">
        <v>0</v>
      </c>
      <c r="R311" s="102" t="n">
        <v>0</v>
      </c>
      <c r="S311" s="102" t="n">
        <v>0</v>
      </c>
      <c r="T311" s="102" t="n">
        <v>0</v>
      </c>
      <c r="U311" s="102" t="n">
        <v>0</v>
      </c>
      <c r="V311" s="102" t="n">
        <v>0</v>
      </c>
      <c r="W311" s="102" t="n">
        <v>0</v>
      </c>
    </row>
    <row r="312" customFormat="false" ht="12.75" hidden="false" customHeight="false" outlineLevel="0" collapsed="false">
      <c r="A312" s="99" t="s">
        <v>63</v>
      </c>
      <c r="B312" s="49"/>
      <c r="C312" s="107"/>
      <c r="D312" s="102" t="n">
        <v>0</v>
      </c>
      <c r="E312" s="102" t="n">
        <v>0</v>
      </c>
      <c r="F312" s="102" t="n">
        <v>0</v>
      </c>
      <c r="G312" s="102" t="n">
        <v>0</v>
      </c>
      <c r="H312" s="102" t="n">
        <v>0</v>
      </c>
      <c r="I312" s="102" t="n">
        <v>0</v>
      </c>
      <c r="J312" s="102" t="n">
        <v>0</v>
      </c>
      <c r="K312" s="102" t="n">
        <v>0</v>
      </c>
      <c r="L312" s="102" t="n">
        <v>0</v>
      </c>
      <c r="M312" s="102" t="n">
        <v>0</v>
      </c>
      <c r="N312" s="102" t="n">
        <v>0</v>
      </c>
      <c r="O312" s="102" t="n">
        <v>0</v>
      </c>
      <c r="P312" s="102" t="n">
        <v>0</v>
      </c>
      <c r="Q312" s="102" t="n">
        <v>0</v>
      </c>
      <c r="R312" s="102" t="n">
        <v>0</v>
      </c>
      <c r="S312" s="102" t="n">
        <v>0</v>
      </c>
      <c r="T312" s="102" t="n">
        <v>0</v>
      </c>
      <c r="U312" s="102" t="n">
        <v>0</v>
      </c>
      <c r="V312" s="102" t="n">
        <v>0</v>
      </c>
      <c r="W312" s="102" t="n">
        <v>0</v>
      </c>
    </row>
    <row r="313" customFormat="false" ht="12.75" hidden="false" customHeight="false" outlineLevel="0" collapsed="false">
      <c r="A313" s="99" t="s">
        <v>64</v>
      </c>
      <c r="B313" s="49"/>
      <c r="C313" s="107"/>
      <c r="D313" s="105" t="n">
        <v>0</v>
      </c>
      <c r="E313" s="105" t="n">
        <v>0</v>
      </c>
      <c r="F313" s="105" t="n">
        <v>0</v>
      </c>
      <c r="G313" s="105" t="n">
        <v>0</v>
      </c>
      <c r="H313" s="105" t="n">
        <v>0</v>
      </c>
      <c r="I313" s="105" t="n">
        <v>0</v>
      </c>
      <c r="J313" s="105" t="n">
        <v>0</v>
      </c>
      <c r="K313" s="105" t="n">
        <v>0</v>
      </c>
      <c r="L313" s="105" t="n">
        <v>0</v>
      </c>
      <c r="M313" s="105" t="n">
        <v>0</v>
      </c>
      <c r="N313" s="105" t="n">
        <v>0</v>
      </c>
      <c r="O313" s="105" t="n">
        <v>0</v>
      </c>
      <c r="P313" s="105" t="n">
        <v>0</v>
      </c>
      <c r="Q313" s="105" t="n">
        <v>0</v>
      </c>
      <c r="R313" s="105" t="n">
        <v>0</v>
      </c>
      <c r="S313" s="105" t="n">
        <v>0</v>
      </c>
      <c r="T313" s="105" t="n">
        <v>0</v>
      </c>
      <c r="U313" s="105" t="n">
        <v>0</v>
      </c>
      <c r="V313" s="105" t="n">
        <v>0</v>
      </c>
      <c r="W313" s="105" t="n">
        <v>0</v>
      </c>
    </row>
    <row r="314" customFormat="false" ht="13.5" hidden="false" customHeight="false" outlineLevel="0" collapsed="false">
      <c r="A314" s="99" t="s">
        <v>65</v>
      </c>
      <c r="B314" s="49"/>
      <c r="C314" s="107"/>
      <c r="D314" s="106" t="n">
        <v>0</v>
      </c>
      <c r="E314" s="106" t="n">
        <v>0</v>
      </c>
      <c r="F314" s="106" t="n">
        <v>0</v>
      </c>
      <c r="G314" s="106" t="n">
        <v>0</v>
      </c>
      <c r="H314" s="106" t="n">
        <v>0</v>
      </c>
      <c r="I314" s="106" t="n">
        <v>0</v>
      </c>
      <c r="J314" s="106" t="n">
        <v>0</v>
      </c>
      <c r="K314" s="106" t="n">
        <v>0</v>
      </c>
      <c r="L314" s="106" t="n">
        <v>0</v>
      </c>
      <c r="M314" s="106" t="n">
        <v>0</v>
      </c>
      <c r="N314" s="106" t="n">
        <v>0</v>
      </c>
      <c r="O314" s="106" t="n">
        <v>0</v>
      </c>
      <c r="P314" s="106" t="n">
        <v>0</v>
      </c>
      <c r="Q314" s="106" t="n">
        <v>0</v>
      </c>
      <c r="R314" s="106" t="n">
        <v>0</v>
      </c>
      <c r="S314" s="106" t="n">
        <v>0</v>
      </c>
      <c r="T314" s="106" t="n">
        <v>0</v>
      </c>
      <c r="U314" s="106" t="n">
        <v>0</v>
      </c>
      <c r="V314" s="106" t="n">
        <v>0</v>
      </c>
      <c r="W314" s="106" t="n">
        <v>0</v>
      </c>
    </row>
    <row r="315" customFormat="false" ht="13.5" hidden="false" customHeight="false" outlineLevel="0" collapsed="false">
      <c r="A315" s="99"/>
      <c r="B315" s="49"/>
      <c r="C315" s="107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</row>
    <row r="316" customFormat="false" ht="12.75" hidden="false" customHeight="false" outlineLevel="0" collapsed="false">
      <c r="A316" s="99" t="s">
        <v>66</v>
      </c>
      <c r="B316" s="49"/>
      <c r="C316" s="107"/>
      <c r="D316" s="102" t="n">
        <v>0</v>
      </c>
      <c r="E316" s="102" t="n">
        <v>0</v>
      </c>
      <c r="F316" s="102" t="n">
        <v>0</v>
      </c>
      <c r="G316" s="102" t="n">
        <v>0</v>
      </c>
      <c r="H316" s="102" t="n">
        <v>0</v>
      </c>
      <c r="I316" s="102" t="n">
        <v>0</v>
      </c>
      <c r="J316" s="102" t="n">
        <v>0</v>
      </c>
      <c r="K316" s="102" t="n">
        <v>0</v>
      </c>
      <c r="L316" s="102" t="n">
        <v>0</v>
      </c>
      <c r="M316" s="102" t="n">
        <v>0</v>
      </c>
      <c r="N316" s="102" t="n">
        <v>0</v>
      </c>
      <c r="O316" s="102" t="n">
        <v>0</v>
      </c>
      <c r="P316" s="102" t="n">
        <v>0</v>
      </c>
      <c r="Q316" s="102" t="n">
        <v>0</v>
      </c>
      <c r="R316" s="102" t="n">
        <v>0</v>
      </c>
      <c r="S316" s="102" t="n">
        <v>0</v>
      </c>
      <c r="T316" s="102" t="n">
        <v>0</v>
      </c>
      <c r="U316" s="102" t="n">
        <v>0</v>
      </c>
      <c r="V316" s="102" t="n">
        <v>0</v>
      </c>
      <c r="W316" s="102" t="n">
        <v>0</v>
      </c>
    </row>
    <row r="317" customFormat="false" ht="12.75" hidden="false" customHeight="false" outlineLevel="0" collapsed="false">
      <c r="A317" s="99"/>
      <c r="B317" s="49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</row>
    <row r="318" customFormat="false" ht="12.75" hidden="false" customHeight="false" outlineLevel="0" collapsed="false">
      <c r="A318" s="99" t="s">
        <v>67</v>
      </c>
      <c r="B318" s="49"/>
      <c r="C318" s="107"/>
      <c r="D318" s="102" t="n">
        <v>0</v>
      </c>
      <c r="E318" s="102" t="n">
        <v>0</v>
      </c>
      <c r="F318" s="102" t="n">
        <v>0</v>
      </c>
      <c r="G318" s="102" t="n">
        <v>0</v>
      </c>
      <c r="H318" s="102" t="n">
        <v>0</v>
      </c>
      <c r="I318" s="102" t="n">
        <v>0</v>
      </c>
      <c r="J318" s="102" t="n">
        <v>0</v>
      </c>
      <c r="K318" s="102" t="n">
        <v>0</v>
      </c>
      <c r="L318" s="102" t="n">
        <v>0</v>
      </c>
      <c r="M318" s="102" t="n">
        <v>0</v>
      </c>
      <c r="N318" s="102" t="n">
        <v>0</v>
      </c>
      <c r="O318" s="102" t="n">
        <v>0</v>
      </c>
      <c r="P318" s="102" t="n">
        <v>0</v>
      </c>
      <c r="Q318" s="102" t="n">
        <v>0</v>
      </c>
      <c r="R318" s="102" t="n">
        <v>0</v>
      </c>
      <c r="S318" s="102" t="n">
        <v>0</v>
      </c>
      <c r="T318" s="102" t="n">
        <v>0</v>
      </c>
      <c r="U318" s="102" t="n">
        <v>0</v>
      </c>
      <c r="V318" s="102" t="n">
        <v>0</v>
      </c>
      <c r="W318" s="102" t="n">
        <v>0</v>
      </c>
    </row>
    <row r="319" customFormat="false" ht="12.75" hidden="false" customHeight="false" outlineLevel="0" collapsed="false">
      <c r="A319" s="107"/>
      <c r="B319" s="49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</row>
    <row r="320" customFormat="false" ht="12.75" hidden="false" customHeight="false" outlineLevel="0" collapsed="false">
      <c r="A320" s="107"/>
      <c r="B320" s="49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</row>
    <row r="321" customFormat="false" ht="12.75" hidden="false" customHeight="false" outlineLevel="0" collapsed="false">
      <c r="A321" s="99" t="s">
        <v>68</v>
      </c>
      <c r="B321" s="148"/>
      <c r="C321" s="149"/>
      <c r="D321" s="79" t="n">
        <v>13753911.1580935</v>
      </c>
      <c r="E321" s="79" t="n">
        <v>20056311.8504902</v>
      </c>
      <c r="F321" s="79" t="n">
        <v>19572333.2414934</v>
      </c>
      <c r="G321" s="79" t="n">
        <v>22780402.5075517</v>
      </c>
      <c r="H321" s="79" t="n">
        <v>20542829.925145</v>
      </c>
      <c r="I321" s="79" t="n">
        <v>22015806.2409029</v>
      </c>
      <c r="J321" s="79" t="n">
        <v>24066629.5662361</v>
      </c>
      <c r="K321" s="79" t="n">
        <v>24653799.6513076</v>
      </c>
      <c r="L321" s="79" t="n">
        <v>25136722.7022715</v>
      </c>
      <c r="M321" s="79" t="n">
        <v>25011015.4160387</v>
      </c>
      <c r="N321" s="79" t="n">
        <v>25629668.2410284</v>
      </c>
      <c r="O321" s="79" t="n">
        <v>25604113.0602638</v>
      </c>
      <c r="P321" s="79" t="n">
        <v>25696626.5139811</v>
      </c>
      <c r="Q321" s="79" t="n">
        <v>26823762.2859231</v>
      </c>
      <c r="R321" s="79" t="n">
        <v>29903008.7903423</v>
      </c>
      <c r="S321" s="79" t="n">
        <v>28963455.081103</v>
      </c>
      <c r="T321" s="79" t="n">
        <v>29178917.4625761</v>
      </c>
      <c r="U321" s="79" t="n">
        <v>31283464.91339</v>
      </c>
      <c r="V321" s="79" t="n">
        <v>32869299.4964703</v>
      </c>
      <c r="W321" s="79" t="n">
        <v>172639804.317627</v>
      </c>
    </row>
    <row r="322" customFormat="false" ht="12.75" hidden="false" customHeight="false" outlineLevel="0" collapsed="false">
      <c r="A322" s="2"/>
      <c r="B322" s="3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customFormat="false" ht="12.75" hidden="false" customHeight="false" outlineLevel="0" collapsed="false">
      <c r="B323" s="150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16"/>
    </row>
    <row r="324" customFormat="false" ht="12.75" hidden="false" customHeight="false" outlineLevel="0" collapsed="false">
      <c r="B324" s="150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16"/>
    </row>
    <row r="325" customFormat="false" ht="12.75" hidden="false" customHeight="false" outlineLevel="0" collapsed="false">
      <c r="B325" s="150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16"/>
    </row>
    <row r="326" customFormat="false" ht="12.75" hidden="false" customHeight="false" outlineLevel="0" collapsed="false">
      <c r="B326" s="150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16"/>
    </row>
    <row r="327" customFormat="false" ht="12.75" hidden="false" customHeight="false" outlineLevel="0" collapsed="false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16"/>
    </row>
    <row r="328" customFormat="false" ht="12.75" hidden="false" customHeight="false" outlineLevel="0" collapsed="false">
      <c r="B328" s="150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16"/>
    </row>
    <row r="329" customFormat="false" ht="12.75" hidden="false" customHeight="false" outlineLevel="0" collapsed="false">
      <c r="B329" s="150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16"/>
    </row>
    <row r="330" customFormat="false" ht="15.75" hidden="false" customHeight="false" outlineLevel="0" collapsed="false">
      <c r="A330" s="48" t="s">
        <v>17</v>
      </c>
      <c r="B330" s="57" t="s">
        <v>74</v>
      </c>
      <c r="C330" s="58" t="n">
        <v>2000</v>
      </c>
      <c r="D330" s="58" t="n">
        <v>2001</v>
      </c>
      <c r="E330" s="58" t="n">
        <v>2002</v>
      </c>
      <c r="F330" s="58" t="n">
        <v>2003</v>
      </c>
      <c r="G330" s="58" t="n">
        <v>2004</v>
      </c>
      <c r="H330" s="58" t="n">
        <v>2005</v>
      </c>
      <c r="I330" s="58" t="n">
        <v>2006</v>
      </c>
      <c r="J330" s="58" t="n">
        <v>2007</v>
      </c>
      <c r="K330" s="58" t="n">
        <v>2008</v>
      </c>
      <c r="L330" s="58" t="n">
        <v>2009</v>
      </c>
      <c r="M330" s="58" t="n">
        <v>2010</v>
      </c>
      <c r="N330" s="58" t="n">
        <v>2011</v>
      </c>
      <c r="O330" s="58" t="n">
        <v>2012</v>
      </c>
      <c r="P330" s="58" t="n">
        <v>2013</v>
      </c>
      <c r="Q330" s="58" t="n">
        <v>2014</v>
      </c>
      <c r="R330" s="58" t="n">
        <v>2015</v>
      </c>
      <c r="S330" s="58" t="n">
        <v>2016</v>
      </c>
      <c r="T330" s="58" t="n">
        <v>2017</v>
      </c>
      <c r="U330" s="58" t="n">
        <v>2018</v>
      </c>
      <c r="V330" s="58" t="n">
        <v>2019</v>
      </c>
      <c r="W330" s="58" t="s">
        <v>19</v>
      </c>
    </row>
    <row r="331" customFormat="false" ht="12.75" hidden="false" customHeight="false" outlineLevel="0" collapsed="false">
      <c r="A331" s="48" t="s">
        <v>5</v>
      </c>
      <c r="B331" s="49" t="n">
        <v>228.15</v>
      </c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</row>
    <row r="332" customFormat="false" ht="12.75" hidden="false" customHeight="false" outlineLevel="0" collapsed="false">
      <c r="A332" s="2"/>
      <c r="B332" s="117" t="s">
        <v>20</v>
      </c>
      <c r="C332" s="118" t="n">
        <v>0</v>
      </c>
      <c r="D332" s="64" t="n">
        <v>64146320.490171</v>
      </c>
      <c r="E332" s="64" t="n">
        <v>63256691.0269395</v>
      </c>
      <c r="F332" s="64" t="n">
        <v>64474273.7828603</v>
      </c>
      <c r="G332" s="64" t="n">
        <v>63560427.5137281</v>
      </c>
      <c r="H332" s="64" t="n">
        <v>64039176.4541862</v>
      </c>
      <c r="I332" s="64" t="n">
        <v>68363220.6285508</v>
      </c>
      <c r="J332" s="64" t="n">
        <v>73302819.3999924</v>
      </c>
      <c r="K332" s="64" t="n">
        <v>75199732.0082022</v>
      </c>
      <c r="L332" s="64" t="n">
        <v>76773722.6451942</v>
      </c>
      <c r="M332" s="64" t="n">
        <v>77047800.5929174</v>
      </c>
      <c r="N332" s="64" t="n">
        <v>78712413.2269448</v>
      </c>
      <c r="O332" s="64" t="n">
        <v>79596336.8692043</v>
      </c>
      <c r="P332" s="64" t="n">
        <v>80533030.1628018</v>
      </c>
      <c r="Q332" s="64" t="n">
        <v>83367891.1428547</v>
      </c>
      <c r="R332" s="64" t="n">
        <v>89282759.3774229</v>
      </c>
      <c r="S332" s="64" t="n">
        <v>88768425.8432349</v>
      </c>
      <c r="T332" s="64" t="n">
        <v>89899763.3741903</v>
      </c>
      <c r="U332" s="64" t="n">
        <v>94219935.2671057</v>
      </c>
      <c r="V332" s="64" t="n">
        <v>97081731.4829914</v>
      </c>
      <c r="W332" s="65"/>
    </row>
    <row r="333" customFormat="false" ht="12.75" hidden="false" customHeight="false" outlineLevel="0" collapsed="false">
      <c r="A333" s="2"/>
      <c r="B333" s="117" t="s">
        <v>21</v>
      </c>
      <c r="C333" s="118" t="n">
        <v>0</v>
      </c>
      <c r="D333" s="64" t="n">
        <v>-19007919.61653</v>
      </c>
      <c r="E333" s="64" t="n">
        <v>-19280234.818811</v>
      </c>
      <c r="F333" s="64" t="n">
        <v>-19614656.9970509</v>
      </c>
      <c r="G333" s="64" t="n">
        <v>-20178397.2403696</v>
      </c>
      <c r="H333" s="64" t="n">
        <v>-20883868.7877994</v>
      </c>
      <c r="I333" s="64" t="n">
        <v>-21691259.4752643</v>
      </c>
      <c r="J333" s="64" t="n">
        <v>-22191300.2560611</v>
      </c>
      <c r="K333" s="64" t="n">
        <v>-22669046.2249752</v>
      </c>
      <c r="L333" s="64" t="n">
        <v>-23038503.1076021</v>
      </c>
      <c r="M333" s="64" t="n">
        <v>-23216861.6026634</v>
      </c>
      <c r="N333" s="64" t="n">
        <v>-23528988.9690206</v>
      </c>
      <c r="O333" s="64" t="n">
        <v>-24038584.6691957</v>
      </c>
      <c r="P333" s="64" t="n">
        <v>-24584807.5603209</v>
      </c>
      <c r="Q333" s="64" t="n">
        <v>-25105550.6664373</v>
      </c>
      <c r="R333" s="64" t="n">
        <v>-25457490.1968707</v>
      </c>
      <c r="S333" s="64" t="n">
        <v>-25978233.3029871</v>
      </c>
      <c r="T333" s="64" t="n">
        <v>-26570638.3044406</v>
      </c>
      <c r="U333" s="64" t="n">
        <v>-27223557.7952899</v>
      </c>
      <c r="V333" s="64" t="n">
        <v>-27895587.1248957</v>
      </c>
      <c r="W333" s="65"/>
    </row>
    <row r="334" customFormat="false" ht="12.75" hidden="false" customHeight="false" outlineLevel="0" collapsed="false">
      <c r="A334" s="2"/>
      <c r="B334" s="117" t="s">
        <v>22</v>
      </c>
      <c r="C334" s="118" t="n">
        <v>0</v>
      </c>
      <c r="D334" s="64" t="n">
        <v>-1400171.72199837</v>
      </c>
      <c r="E334" s="64" t="n">
        <v>-1428433.28605037</v>
      </c>
      <c r="F334" s="64" t="n">
        <v>-2389817.10465147</v>
      </c>
      <c r="G334" s="64" t="n">
        <v>-2442544.8609459</v>
      </c>
      <c r="H334" s="64" t="n">
        <v>-2496449.16397367</v>
      </c>
      <c r="I334" s="64" t="n">
        <v>-2551556.56834618</v>
      </c>
      <c r="J334" s="64" t="n">
        <v>-2607894.23483187</v>
      </c>
      <c r="K334" s="64" t="n">
        <v>-2665489.9443454</v>
      </c>
      <c r="L334" s="64" t="n">
        <v>-2724372.11226293</v>
      </c>
      <c r="M334" s="64" t="n">
        <v>-2784569.80307138</v>
      </c>
      <c r="N334" s="64" t="n">
        <v>-2846112.74535947</v>
      </c>
      <c r="O334" s="64" t="n">
        <v>-2909031.34715845</v>
      </c>
      <c r="P334" s="64" t="n">
        <v>-2973356.71164106</v>
      </c>
      <c r="Q334" s="64" t="n">
        <v>-3039120.65318679</v>
      </c>
      <c r="R334" s="64" t="n">
        <v>-3106355.71382245</v>
      </c>
      <c r="S334" s="64" t="n">
        <v>-3175095.18004657</v>
      </c>
      <c r="T334" s="64" t="n">
        <v>-3245373.10004689</v>
      </c>
      <c r="U334" s="64" t="n">
        <v>-3317224.30132014</v>
      </c>
      <c r="V334" s="64" t="n">
        <v>-3390684.40870361</v>
      </c>
      <c r="W334" s="65"/>
    </row>
    <row r="335" customFormat="false" ht="12.75" hidden="false" customHeight="false" outlineLevel="0" collapsed="false">
      <c r="A335" s="2"/>
      <c r="B335" s="117" t="s">
        <v>23</v>
      </c>
      <c r="C335" s="118" t="n">
        <v>0</v>
      </c>
      <c r="D335" s="64" t="n">
        <v>0</v>
      </c>
      <c r="E335" s="64" t="n">
        <v>0</v>
      </c>
      <c r="F335" s="64" t="n">
        <v>0</v>
      </c>
      <c r="G335" s="64" t="n">
        <v>0</v>
      </c>
      <c r="H335" s="64" t="n">
        <v>0</v>
      </c>
      <c r="I335" s="64" t="n">
        <v>-670403.872097875</v>
      </c>
      <c r="J335" s="64" t="n">
        <v>-743089.137707307</v>
      </c>
      <c r="K335" s="64" t="n">
        <v>-957583.895147246</v>
      </c>
      <c r="L335" s="64" t="n">
        <v>-900605.24146874</v>
      </c>
      <c r="M335" s="64" t="n">
        <v>-1001611.49700726</v>
      </c>
      <c r="N335" s="64" t="n">
        <v>-1103350.80958192</v>
      </c>
      <c r="O335" s="64" t="n">
        <v>-1222479.6175592</v>
      </c>
      <c r="P335" s="64" t="n">
        <v>-1370721.23643952</v>
      </c>
      <c r="Q335" s="64" t="n">
        <v>-1525826.63311899</v>
      </c>
      <c r="R335" s="64" t="n">
        <v>-1690149.79642265</v>
      </c>
      <c r="S335" s="64" t="n">
        <v>-1855782.39799248</v>
      </c>
      <c r="T335" s="64" t="n">
        <v>-1823215.73227445</v>
      </c>
      <c r="U335" s="64" t="n">
        <v>-1559859.67217148</v>
      </c>
      <c r="V335" s="64" t="n">
        <v>-1617286.69133366</v>
      </c>
      <c r="W335" s="65"/>
    </row>
    <row r="336" customFormat="false" ht="13.5" hidden="false" customHeight="false" outlineLevel="0" collapsed="false">
      <c r="A336" s="2"/>
      <c r="B336" s="119" t="s">
        <v>24</v>
      </c>
      <c r="C336" s="120" t="n">
        <v>0</v>
      </c>
      <c r="D336" s="68" t="n">
        <v>0</v>
      </c>
      <c r="E336" s="68" t="n">
        <v>0</v>
      </c>
      <c r="F336" s="68" t="n">
        <v>-1511387.46577597</v>
      </c>
      <c r="G336" s="68" t="n">
        <v>-1287796.85932888</v>
      </c>
      <c r="H336" s="68" t="n">
        <v>-1336909.07917999</v>
      </c>
      <c r="I336" s="68" t="n">
        <v>-1388497.79003952</v>
      </c>
      <c r="J336" s="68" t="n">
        <v>-1744256.47889616</v>
      </c>
      <c r="K336" s="68" t="n">
        <v>-1523588.48624449</v>
      </c>
      <c r="L336" s="68" t="n">
        <v>-1612610.76225744</v>
      </c>
      <c r="M336" s="68" t="n">
        <v>-1534460.90160302</v>
      </c>
      <c r="N336" s="68" t="n">
        <v>-1578409.12649389</v>
      </c>
      <c r="O336" s="68" t="n">
        <v>-1619338.6514583</v>
      </c>
      <c r="P336" s="68" t="n">
        <v>-1446409.16432448</v>
      </c>
      <c r="Q336" s="68" t="n">
        <v>-1498125.05901699</v>
      </c>
      <c r="R336" s="68" t="n">
        <v>-1529084.38444929</v>
      </c>
      <c r="S336" s="68" t="n">
        <v>-1623780.18549489</v>
      </c>
      <c r="T336" s="68" t="n">
        <v>-1526521.78734945</v>
      </c>
      <c r="U336" s="68" t="n">
        <v>-1681276.04952998</v>
      </c>
      <c r="V336" s="68" t="n">
        <v>-915371.677244907</v>
      </c>
      <c r="W336" s="65"/>
    </row>
    <row r="337" customFormat="false" ht="13.5" hidden="false" customHeight="false" outlineLevel="0" collapsed="false">
      <c r="A337" s="2"/>
      <c r="B337" s="121" t="s">
        <v>25</v>
      </c>
      <c r="C337" s="122" t="n">
        <v>0</v>
      </c>
      <c r="D337" s="71" t="n">
        <v>43738229.1516426</v>
      </c>
      <c r="E337" s="71" t="n">
        <v>42548022.9220781</v>
      </c>
      <c r="F337" s="71" t="n">
        <v>40958412.215382</v>
      </c>
      <c r="G337" s="71" t="n">
        <v>39651688.5530837</v>
      </c>
      <c r="H337" s="71" t="n">
        <v>39321949.4232331</v>
      </c>
      <c r="I337" s="71" t="n">
        <v>42061502.9228029</v>
      </c>
      <c r="J337" s="71" t="n">
        <v>46016279.292496</v>
      </c>
      <c r="K337" s="71" t="n">
        <v>47384023.4574898</v>
      </c>
      <c r="L337" s="71" t="n">
        <v>48497631.4216029</v>
      </c>
      <c r="M337" s="71" t="n">
        <v>48510296.7885723</v>
      </c>
      <c r="N337" s="71" t="n">
        <v>49655551.5764889</v>
      </c>
      <c r="O337" s="71" t="n">
        <v>49806902.5838326</v>
      </c>
      <c r="P337" s="71" t="n">
        <v>50157735.4900759</v>
      </c>
      <c r="Q337" s="71" t="n">
        <v>52199268.1310947</v>
      </c>
      <c r="R337" s="71" t="n">
        <v>57499679.2858578</v>
      </c>
      <c r="S337" s="71" t="n">
        <v>56135534.7767139</v>
      </c>
      <c r="T337" s="71" t="n">
        <v>56734014.4500789</v>
      </c>
      <c r="U337" s="71" t="n">
        <v>60438017.4487942</v>
      </c>
      <c r="V337" s="71" t="n">
        <v>63262801.5808134</v>
      </c>
      <c r="W337" s="65"/>
    </row>
    <row r="338" customFormat="false" ht="12.75" hidden="false" customHeight="false" outlineLevel="0" collapsed="false">
      <c r="A338" s="2"/>
      <c r="B338" s="117" t="s">
        <v>26</v>
      </c>
      <c r="C338" s="118" t="n">
        <v>0</v>
      </c>
      <c r="D338" s="64" t="n">
        <v>-2794736.74393141</v>
      </c>
      <c r="E338" s="64" t="n">
        <v>-2850631.47881004</v>
      </c>
      <c r="F338" s="64" t="n">
        <v>-2949643.10838624</v>
      </c>
      <c r="G338" s="64" t="n">
        <v>-3008845.96555396</v>
      </c>
      <c r="H338" s="64" t="n">
        <v>-3069238.12974004</v>
      </c>
      <c r="I338" s="64" t="n">
        <v>-3130843.51833172</v>
      </c>
      <c r="J338" s="64" t="n">
        <v>-3193686.53034515</v>
      </c>
      <c r="K338" s="64" t="n">
        <v>-3257792.05614002</v>
      </c>
      <c r="L338" s="64" t="n">
        <v>-3323185.48733048</v>
      </c>
      <c r="M338" s="64" t="n">
        <v>-3389892.72689645</v>
      </c>
      <c r="N338" s="64" t="n">
        <v>-3457940.19949922</v>
      </c>
      <c r="O338" s="64" t="n">
        <v>-3527354.86200567</v>
      </c>
      <c r="P338" s="64" t="n">
        <v>-3598164.21422516</v>
      </c>
      <c r="Q338" s="64" t="n">
        <v>-3670396.30986352</v>
      </c>
      <c r="R338" s="64" t="n">
        <v>-3744079.76769849</v>
      </c>
      <c r="S338" s="64" t="n">
        <v>-3819243.78298111</v>
      </c>
      <c r="T338" s="64" t="n">
        <v>-3895918.1390676</v>
      </c>
      <c r="U338" s="64" t="n">
        <v>-3974133.21928648</v>
      </c>
      <c r="V338" s="64" t="n">
        <v>-4053920.01904569</v>
      </c>
      <c r="W338" s="65"/>
    </row>
    <row r="339" customFormat="false" ht="12.75" hidden="false" customHeight="false" outlineLevel="0" collapsed="false">
      <c r="A339" s="2"/>
      <c r="B339" s="117" t="s">
        <v>27</v>
      </c>
      <c r="C339" s="118" t="n">
        <v>0</v>
      </c>
      <c r="D339" s="64" t="n">
        <v>-388299.792155906</v>
      </c>
      <c r="E339" s="64" t="n">
        <v>-397276.518286144</v>
      </c>
      <c r="F339" s="64" t="n">
        <v>-406449.834718634</v>
      </c>
      <c r="G339" s="64" t="n">
        <v>-415830.468102499</v>
      </c>
      <c r="H339" s="64" t="n">
        <v>-425434.3605609</v>
      </c>
      <c r="I339" s="64" t="n">
        <v>-435680.840213219</v>
      </c>
      <c r="J339" s="64" t="n">
        <v>-445769.579868652</v>
      </c>
      <c r="K339" s="64" t="n">
        <v>-456535.84705077</v>
      </c>
      <c r="L339" s="64" t="n">
        <v>-467135.452986692</v>
      </c>
      <c r="M339" s="64" t="n">
        <v>-478005.348873979</v>
      </c>
      <c r="N339" s="64" t="n">
        <v>-489138.296241738</v>
      </c>
      <c r="O339" s="64" t="n">
        <v>-500551.793883165</v>
      </c>
      <c r="P339" s="64" t="n">
        <v>-512255.194364685</v>
      </c>
      <c r="Q339" s="64" t="n">
        <v>-524251.179858242</v>
      </c>
      <c r="R339" s="64" t="n">
        <v>-536548.264587687</v>
      </c>
      <c r="S339" s="64" t="n">
        <v>-549152.776435369</v>
      </c>
      <c r="T339" s="64" t="n">
        <v>-562069.880176873</v>
      </c>
      <c r="U339" s="64" t="n">
        <v>-575311.203222289</v>
      </c>
      <c r="V339" s="64" t="n">
        <v>-588884.883476145</v>
      </c>
      <c r="W339" s="65"/>
    </row>
    <row r="340" customFormat="false" ht="13.5" hidden="false" customHeight="false" outlineLevel="0" collapsed="false">
      <c r="A340" s="2"/>
      <c r="B340" s="119" t="s">
        <v>28</v>
      </c>
      <c r="C340" s="120" t="n">
        <v>0</v>
      </c>
      <c r="D340" s="68" t="n">
        <v>-535405.353751207</v>
      </c>
      <c r="E340" s="68" t="n">
        <v>-546702.406715361</v>
      </c>
      <c r="F340" s="68" t="n">
        <v>-558675.189422428</v>
      </c>
      <c r="G340" s="68" t="n">
        <v>-571301.24870337</v>
      </c>
      <c r="H340" s="68" t="n">
        <v>-584898.218422512</v>
      </c>
      <c r="I340" s="68" t="n">
        <v>-599555.826577049</v>
      </c>
      <c r="J340" s="68" t="n">
        <v>-614426.48136174</v>
      </c>
      <c r="K340" s="68" t="n">
        <v>-629978.885362923</v>
      </c>
      <c r="L340" s="68" t="n">
        <v>-645539.363831388</v>
      </c>
      <c r="M340" s="68" t="n">
        <v>-662000.617609086</v>
      </c>
      <c r="N340" s="68" t="n">
        <v>-678021.032555229</v>
      </c>
      <c r="O340" s="68" t="n">
        <v>-695107.162575619</v>
      </c>
      <c r="P340" s="68" t="n">
        <v>-712762.884505038</v>
      </c>
      <c r="Q340" s="68" t="n">
        <v>-730581.956617664</v>
      </c>
      <c r="R340" s="68" t="n">
        <v>-748919.563728767</v>
      </c>
      <c r="S340" s="68" t="n">
        <v>-767642.552821988</v>
      </c>
      <c r="T340" s="68" t="n">
        <v>-786680.088131972</v>
      </c>
      <c r="U340" s="68" t="n">
        <v>-806425.758344086</v>
      </c>
      <c r="V340" s="68" t="n">
        <v>-826667.044878523</v>
      </c>
      <c r="W340" s="65"/>
    </row>
    <row r="341" customFormat="false" ht="13.5" hidden="false" customHeight="false" outlineLevel="0" collapsed="false">
      <c r="A341" s="2"/>
      <c r="B341" s="121" t="s">
        <v>29</v>
      </c>
      <c r="C341" s="123" t="n">
        <v>0</v>
      </c>
      <c r="D341" s="73" t="n">
        <v>40019787.2618041</v>
      </c>
      <c r="E341" s="73" t="n">
        <v>38753412.5182665</v>
      </c>
      <c r="F341" s="73" t="n">
        <v>37043644.0828547</v>
      </c>
      <c r="G341" s="73" t="n">
        <v>35655710.8707239</v>
      </c>
      <c r="H341" s="73" t="n">
        <v>35242378.7145096</v>
      </c>
      <c r="I341" s="73" t="n">
        <v>37895422.7376809</v>
      </c>
      <c r="J341" s="73" t="n">
        <v>41762396.7009204</v>
      </c>
      <c r="K341" s="73" t="n">
        <v>43039716.6689361</v>
      </c>
      <c r="L341" s="73" t="n">
        <v>44061771.1174544</v>
      </c>
      <c r="M341" s="73" t="n">
        <v>43980398.0951928</v>
      </c>
      <c r="N341" s="73" t="n">
        <v>45030452.0481927</v>
      </c>
      <c r="O341" s="73" t="n">
        <v>45083888.7653682</v>
      </c>
      <c r="P341" s="73" t="n">
        <v>45334553.196981</v>
      </c>
      <c r="Q341" s="73" t="n">
        <v>47274038.6847553</v>
      </c>
      <c r="R341" s="73" t="n">
        <v>52470131.6898429</v>
      </c>
      <c r="S341" s="73" t="n">
        <v>50999495.6644754</v>
      </c>
      <c r="T341" s="73" t="n">
        <v>51489346.3427025</v>
      </c>
      <c r="U341" s="73" t="n">
        <v>55082147.2679414</v>
      </c>
      <c r="V341" s="73" t="n">
        <v>57793329.6334131</v>
      </c>
      <c r="W341" s="65"/>
    </row>
    <row r="342" customFormat="false" ht="12.75" hidden="false" customHeight="false" outlineLevel="0" collapsed="false">
      <c r="A342" s="2"/>
      <c r="B342" s="117" t="s">
        <v>30</v>
      </c>
      <c r="C342" s="118" t="n">
        <v>0</v>
      </c>
      <c r="D342" s="64" t="n">
        <v>-2037590.7675</v>
      </c>
      <c r="E342" s="64" t="n">
        <v>-2817695.23094</v>
      </c>
      <c r="F342" s="64" t="n">
        <v>-3132301.6935498</v>
      </c>
      <c r="G342" s="64" t="n">
        <v>-3251586.7218107</v>
      </c>
      <c r="H342" s="64" t="n">
        <v>-3320893.3127525</v>
      </c>
      <c r="I342" s="64" t="n">
        <v>-3012676.96385632</v>
      </c>
      <c r="J342" s="64" t="n">
        <v>-2477119.88494995</v>
      </c>
      <c r="K342" s="64" t="n">
        <v>-2181469.27752436</v>
      </c>
      <c r="L342" s="64" t="n">
        <v>-2001476.75263562</v>
      </c>
      <c r="M342" s="64" t="n">
        <v>-1961247.76092058</v>
      </c>
      <c r="N342" s="64" t="n">
        <v>-2080194.06830566</v>
      </c>
      <c r="O342" s="64" t="n">
        <v>-2087333.54820626</v>
      </c>
      <c r="P342" s="64" t="n">
        <v>-2098464.18773871</v>
      </c>
      <c r="Q342" s="64" t="n">
        <v>-2162522.64145714</v>
      </c>
      <c r="R342" s="64" t="n">
        <v>-2230441.44628713</v>
      </c>
      <c r="S342" s="64" t="n">
        <v>-2251969.86276201</v>
      </c>
      <c r="T342" s="64" t="n">
        <v>-2277687.72923114</v>
      </c>
      <c r="U342" s="64" t="n">
        <v>-2426818.31919434</v>
      </c>
      <c r="V342" s="64" t="n">
        <v>-2552517.20185644</v>
      </c>
      <c r="W342" s="65"/>
    </row>
    <row r="343" customFormat="false" ht="13.5" hidden="false" customHeight="false" outlineLevel="0" collapsed="false">
      <c r="A343" s="2"/>
      <c r="B343" s="119" t="s">
        <v>70</v>
      </c>
      <c r="C343" s="120" t="n">
        <v>0</v>
      </c>
      <c r="D343" s="68" t="n">
        <v>-15192878.5977217</v>
      </c>
      <c r="E343" s="68" t="n">
        <v>-14374286.9149306</v>
      </c>
      <c r="F343" s="68" t="n">
        <v>-13564536.9557219</v>
      </c>
      <c r="G343" s="68" t="n">
        <v>-12961649.6595653</v>
      </c>
      <c r="H343" s="68" t="n">
        <v>-12768594.1607028</v>
      </c>
      <c r="I343" s="68" t="n">
        <v>-13953098.3095298</v>
      </c>
      <c r="J343" s="68" t="n">
        <v>-15714110.7263882</v>
      </c>
      <c r="K343" s="68" t="n">
        <v>-16343298.9565647</v>
      </c>
      <c r="L343" s="68" t="n">
        <v>-16824117.7459275</v>
      </c>
      <c r="M343" s="68" t="n">
        <v>-16807660.1337089</v>
      </c>
      <c r="N343" s="68" t="n">
        <v>-17180103.1919548</v>
      </c>
      <c r="O343" s="68" t="n">
        <v>-17198622.0868648</v>
      </c>
      <c r="P343" s="68" t="n">
        <v>-17294435.6036969</v>
      </c>
      <c r="Q343" s="68" t="n">
        <v>-18044606.4173193</v>
      </c>
      <c r="R343" s="68" t="n">
        <v>-20095876.0974223</v>
      </c>
      <c r="S343" s="68" t="n">
        <v>-19499010.3206854</v>
      </c>
      <c r="T343" s="68" t="n">
        <v>-19684663.4453885</v>
      </c>
      <c r="U343" s="68" t="n">
        <v>-21062131.5794988</v>
      </c>
      <c r="V343" s="68" t="n">
        <v>-22096324.9726227</v>
      </c>
      <c r="W343" s="65"/>
    </row>
    <row r="344" customFormat="false" ht="13.5" hidden="false" customHeight="false" outlineLevel="0" collapsed="false">
      <c r="A344" s="2"/>
      <c r="B344" s="121" t="s">
        <v>32</v>
      </c>
      <c r="C344" s="123" t="n">
        <v>0</v>
      </c>
      <c r="D344" s="73" t="n">
        <v>22789317.8965825</v>
      </c>
      <c r="E344" s="73" t="n">
        <v>21561430.3723959</v>
      </c>
      <c r="F344" s="73" t="n">
        <v>20346805.4335829</v>
      </c>
      <c r="G344" s="73" t="n">
        <v>19442474.4893479</v>
      </c>
      <c r="H344" s="73" t="n">
        <v>19152891.2410543</v>
      </c>
      <c r="I344" s="73" t="n">
        <v>20929647.4642948</v>
      </c>
      <c r="J344" s="73" t="n">
        <v>23571166.0895823</v>
      </c>
      <c r="K344" s="73" t="n">
        <v>24514948.4348471</v>
      </c>
      <c r="L344" s="73" t="n">
        <v>25236176.6188912</v>
      </c>
      <c r="M344" s="73" t="n">
        <v>25211490.2005633</v>
      </c>
      <c r="N344" s="73" t="n">
        <v>25770154.7879322</v>
      </c>
      <c r="O344" s="73" t="n">
        <v>25797933.1302971</v>
      </c>
      <c r="P344" s="73" t="n">
        <v>25941653.4055454</v>
      </c>
      <c r="Q344" s="73" t="n">
        <v>27066909.6259789</v>
      </c>
      <c r="R344" s="73" t="n">
        <v>30143814.1461334</v>
      </c>
      <c r="S344" s="73" t="n">
        <v>29248515.481028</v>
      </c>
      <c r="T344" s="73" t="n">
        <v>29526995.1680828</v>
      </c>
      <c r="U344" s="73" t="n">
        <v>31593197.3692482</v>
      </c>
      <c r="V344" s="73" t="n">
        <v>33144487.458934</v>
      </c>
      <c r="W344" s="65"/>
    </row>
    <row r="345" customFormat="false" ht="12.75" hidden="false" customHeight="false" outlineLevel="0" collapsed="false">
      <c r="A345" s="2"/>
      <c r="B345" s="117" t="s">
        <v>30</v>
      </c>
      <c r="C345" s="118" t="n">
        <v>0</v>
      </c>
      <c r="D345" s="64" t="n">
        <v>2037590.7675</v>
      </c>
      <c r="E345" s="64" t="n">
        <v>2817695.23094</v>
      </c>
      <c r="F345" s="64" t="n">
        <v>3132301.6935498</v>
      </c>
      <c r="G345" s="64" t="n">
        <v>3251586.7218107</v>
      </c>
      <c r="H345" s="64" t="n">
        <v>3320893.3127525</v>
      </c>
      <c r="I345" s="64" t="n">
        <v>3012676.96385632</v>
      </c>
      <c r="J345" s="64" t="n">
        <v>2477119.88494995</v>
      </c>
      <c r="K345" s="64" t="n">
        <v>2181469.27752436</v>
      </c>
      <c r="L345" s="64" t="n">
        <v>2001476.75263562</v>
      </c>
      <c r="M345" s="64" t="n">
        <v>1961247.76092058</v>
      </c>
      <c r="N345" s="64" t="n">
        <v>2080194.06830566</v>
      </c>
      <c r="O345" s="64" t="n">
        <v>2087333.54820626</v>
      </c>
      <c r="P345" s="64" t="n">
        <v>2098464.18773871</v>
      </c>
      <c r="Q345" s="64" t="n">
        <v>2162522.64145714</v>
      </c>
      <c r="R345" s="64" t="n">
        <v>2230441.44628713</v>
      </c>
      <c r="S345" s="64" t="n">
        <v>2251969.86276201</v>
      </c>
      <c r="T345" s="64" t="n">
        <v>2277687.72923114</v>
      </c>
      <c r="U345" s="64" t="n">
        <v>2426818.31919434</v>
      </c>
      <c r="V345" s="64" t="n">
        <v>2552517.20185644</v>
      </c>
      <c r="W345" s="65"/>
    </row>
    <row r="346" customFormat="false" ht="12.75" hidden="false" customHeight="false" outlineLevel="0" collapsed="false">
      <c r="A346" s="2"/>
      <c r="B346" s="117" t="s">
        <v>33</v>
      </c>
      <c r="C346" s="118" t="n">
        <v>0</v>
      </c>
      <c r="D346" s="64" t="n">
        <v>-715136</v>
      </c>
      <c r="E346" s="64" t="n">
        <v>-1466295.92</v>
      </c>
      <c r="F346" s="64" t="n">
        <v>-313481.09</v>
      </c>
      <c r="G346" s="64" t="n">
        <v>-2812858.43</v>
      </c>
      <c r="H346" s="64" t="n">
        <v>-2165429.288</v>
      </c>
      <c r="I346" s="64" t="n">
        <v>-2230392.16664</v>
      </c>
      <c r="J346" s="64" t="n">
        <v>-2297303.9316392</v>
      </c>
      <c r="K346" s="64" t="n">
        <v>-2366223.04958838</v>
      </c>
      <c r="L346" s="64" t="n">
        <v>-2437209.74107603</v>
      </c>
      <c r="M346" s="64" t="n">
        <v>-2510326.03330831</v>
      </c>
      <c r="N346" s="64" t="n">
        <v>-2585635.81430756</v>
      </c>
      <c r="O346" s="64" t="n">
        <v>-2663204.88873678</v>
      </c>
      <c r="P346" s="64" t="n">
        <v>-2743101.03539889</v>
      </c>
      <c r="Q346" s="64" t="n">
        <v>-2825394.06646086</v>
      </c>
      <c r="R346" s="64" t="n">
        <v>-2910155.88845468</v>
      </c>
      <c r="S346" s="64" t="n">
        <v>-2997460.56510832</v>
      </c>
      <c r="T346" s="64" t="n">
        <v>-3087384.38206157</v>
      </c>
      <c r="U346" s="64" t="n">
        <v>-3180005.91352342</v>
      </c>
      <c r="V346" s="64" t="n">
        <v>-3275406.09092912</v>
      </c>
      <c r="W346" s="65"/>
    </row>
    <row r="347" customFormat="false" ht="13.5" hidden="false" customHeight="false" outlineLevel="0" collapsed="false">
      <c r="A347" s="2"/>
      <c r="B347" s="119" t="s">
        <v>34</v>
      </c>
      <c r="C347" s="120" t="n">
        <v>0</v>
      </c>
      <c r="D347" s="68" t="n">
        <v>-6225024</v>
      </c>
      <c r="E347" s="68" t="n">
        <v>-4058147.2</v>
      </c>
      <c r="F347" s="68" t="n">
        <v>-2200091.69</v>
      </c>
      <c r="G347" s="68" t="n">
        <v>0</v>
      </c>
      <c r="H347" s="68" t="n">
        <v>0</v>
      </c>
      <c r="I347" s="68" t="n">
        <v>0</v>
      </c>
      <c r="J347" s="68" t="n">
        <v>0</v>
      </c>
      <c r="K347" s="68" t="n">
        <v>0</v>
      </c>
      <c r="L347" s="68" t="n">
        <v>0</v>
      </c>
      <c r="M347" s="68" t="n">
        <v>0</v>
      </c>
      <c r="N347" s="68" t="n">
        <v>0</v>
      </c>
      <c r="O347" s="68" t="n">
        <v>0</v>
      </c>
      <c r="P347" s="68" t="n">
        <v>0</v>
      </c>
      <c r="Q347" s="68" t="n">
        <v>0</v>
      </c>
      <c r="R347" s="68" t="n">
        <v>0</v>
      </c>
      <c r="S347" s="68" t="n">
        <v>0</v>
      </c>
      <c r="T347" s="68" t="n">
        <v>0</v>
      </c>
      <c r="U347" s="68" t="n">
        <v>0</v>
      </c>
      <c r="V347" s="68" t="n">
        <v>0</v>
      </c>
      <c r="W347" s="65"/>
    </row>
    <row r="348" customFormat="false" ht="13.5" hidden="false" customHeight="false" outlineLevel="0" collapsed="false">
      <c r="A348" s="2"/>
      <c r="B348" s="117"/>
      <c r="C348" s="124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</row>
    <row r="349" customFormat="false" ht="12.75" hidden="false" customHeight="false" outlineLevel="0" collapsed="false">
      <c r="A349" s="2"/>
      <c r="B349" s="121" t="s">
        <v>35</v>
      </c>
      <c r="C349" s="123" t="n">
        <v>0</v>
      </c>
      <c r="D349" s="73" t="n">
        <v>17886748.6640825</v>
      </c>
      <c r="E349" s="73" t="n">
        <v>18854682.4833359</v>
      </c>
      <c r="F349" s="73" t="n">
        <v>20965534.3471327</v>
      </c>
      <c r="G349" s="73" t="n">
        <v>19881202.7811586</v>
      </c>
      <c r="H349" s="73" t="n">
        <v>20308355.2658068</v>
      </c>
      <c r="I349" s="73" t="n">
        <v>21711932.2615111</v>
      </c>
      <c r="J349" s="73" t="n">
        <v>23750982.042893</v>
      </c>
      <c r="K349" s="73" t="n">
        <v>24330194.662783</v>
      </c>
      <c r="L349" s="73" t="n">
        <v>24800443.6304508</v>
      </c>
      <c r="M349" s="73" t="n">
        <v>24662411.9281756</v>
      </c>
      <c r="N349" s="73" t="n">
        <v>25264713.0419303</v>
      </c>
      <c r="O349" s="73" t="n">
        <v>25222061.7897666</v>
      </c>
      <c r="P349" s="73" t="n">
        <v>25297016.5578852</v>
      </c>
      <c r="Q349" s="73" t="n">
        <v>26404038.2009752</v>
      </c>
      <c r="R349" s="73" t="n">
        <v>29464099.7039659</v>
      </c>
      <c r="S349" s="73" t="n">
        <v>28503024.7786817</v>
      </c>
      <c r="T349" s="73" t="n">
        <v>28717298.5152524</v>
      </c>
      <c r="U349" s="73" t="n">
        <v>30840009.7749191</v>
      </c>
      <c r="V349" s="73" t="n">
        <v>32421598.5698613</v>
      </c>
      <c r="W349" s="71" t="n">
        <v>170079327.32059</v>
      </c>
    </row>
    <row r="350" customFormat="false" ht="12.75" hidden="false" customHeight="false" outlineLevel="0" collapsed="false">
      <c r="A350" s="2"/>
      <c r="B350" s="12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customFormat="false" ht="12.75" hidden="false" customHeight="false" outlineLevel="0" collapsed="false">
      <c r="A351" s="48" t="s">
        <v>36</v>
      </c>
      <c r="B351" s="126" t="s">
        <v>37</v>
      </c>
      <c r="C351" s="76" t="n">
        <v>73783798.9143284</v>
      </c>
      <c r="D351" s="2"/>
      <c r="E351" s="127" t="s">
        <v>38</v>
      </c>
      <c r="F351" s="128" t="s">
        <v>37</v>
      </c>
      <c r="G351" s="79" t="n">
        <v>73783798.9143284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customFormat="false" ht="12.75" hidden="false" customHeight="false" outlineLevel="0" collapsed="false">
      <c r="A352" s="2"/>
      <c r="B352" s="126" t="s">
        <v>39</v>
      </c>
      <c r="C352" s="76" t="n">
        <v>116778749.486657</v>
      </c>
      <c r="D352" s="2"/>
      <c r="E352" s="129"/>
      <c r="F352" s="128" t="s">
        <v>39</v>
      </c>
      <c r="G352" s="79" t="n">
        <v>116778749.486657</v>
      </c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customFormat="false" ht="13.5" hidden="false" customHeight="false" outlineLevel="0" collapsed="false">
      <c r="A353" s="2"/>
      <c r="B353" s="130" t="s">
        <v>40</v>
      </c>
      <c r="C353" s="82" t="n">
        <v>25281208.2648383</v>
      </c>
      <c r="D353" s="131"/>
      <c r="E353" s="129"/>
      <c r="F353" s="128" t="s">
        <v>40</v>
      </c>
      <c r="G353" s="79" t="n">
        <v>25281208.2648383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customFormat="false" ht="14.25" hidden="false" customHeight="false" outlineLevel="0" collapsed="false">
      <c r="A354" s="2"/>
      <c r="B354" s="126" t="s">
        <v>41</v>
      </c>
      <c r="C354" s="76" t="n">
        <v>215843756.665824</v>
      </c>
      <c r="D354" s="132"/>
      <c r="E354" s="129"/>
      <c r="F354" s="133" t="s">
        <v>42</v>
      </c>
      <c r="G354" s="85" t="n">
        <v>0</v>
      </c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customFormat="false" ht="13.5" hidden="false" customHeight="false" outlineLevel="0" collapsed="false">
      <c r="A355" s="2"/>
      <c r="B355" s="125"/>
      <c r="C355" s="134"/>
      <c r="D355" s="2"/>
      <c r="E355" s="135"/>
      <c r="F355" s="128" t="s">
        <v>41</v>
      </c>
      <c r="G355" s="79" t="n">
        <v>215843756.665824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customFormat="false" ht="12.75" hidden="false" customHeight="false" outlineLevel="0" collapsed="false">
      <c r="A356" s="2"/>
      <c r="B356" s="125"/>
      <c r="C356" s="134"/>
      <c r="D356" s="2"/>
      <c r="E356" s="135"/>
      <c r="F356" s="128"/>
      <c r="G356" s="13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customFormat="false" ht="12.75" hidden="false" customHeight="false" outlineLevel="0" collapsed="false">
      <c r="A357" s="2"/>
      <c r="B357" s="125"/>
      <c r="C357" s="134"/>
      <c r="D357" s="2"/>
      <c r="E357" s="135"/>
      <c r="F357" s="128"/>
      <c r="G357" s="13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customFormat="false" ht="12.75" hidden="false" customHeight="false" outlineLevel="0" collapsed="false">
      <c r="A358" s="2"/>
      <c r="B358" s="137" t="s">
        <v>43</v>
      </c>
      <c r="C358" s="134"/>
      <c r="D358" s="2"/>
      <c r="E358" s="135"/>
      <c r="F358" s="128"/>
      <c r="G358" s="13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customFormat="false" ht="12.75" hidden="false" customHeight="false" outlineLevel="0" collapsed="false">
      <c r="A359" s="87" t="s">
        <v>44</v>
      </c>
      <c r="B359" s="137" t="s">
        <v>45</v>
      </c>
      <c r="C359" s="138"/>
      <c r="D359" s="88" t="n">
        <v>22789317.8965825</v>
      </c>
      <c r="E359" s="88" t="n">
        <v>21561430.3723959</v>
      </c>
      <c r="F359" s="88" t="n">
        <v>20346805.4335829</v>
      </c>
      <c r="G359" s="88" t="n">
        <v>19442474.4893479</v>
      </c>
      <c r="H359" s="88" t="n">
        <v>19152891.2410543</v>
      </c>
      <c r="I359" s="88" t="n">
        <v>20929647.4642948</v>
      </c>
      <c r="J359" s="88" t="n">
        <v>23571166.0895823</v>
      </c>
      <c r="K359" s="88" t="n">
        <v>24514948.4348471</v>
      </c>
      <c r="L359" s="88" t="n">
        <v>25236176.6188912</v>
      </c>
      <c r="M359" s="88" t="n">
        <v>25211490.2005633</v>
      </c>
      <c r="N359" s="88" t="n">
        <v>25770154.7879322</v>
      </c>
      <c r="O359" s="88" t="n">
        <v>25797933.1302971</v>
      </c>
      <c r="P359" s="88" t="n">
        <v>25941653.4055454</v>
      </c>
      <c r="Q359" s="88" t="n">
        <v>27066909.6259789</v>
      </c>
      <c r="R359" s="88" t="n">
        <v>30143814.1461334</v>
      </c>
      <c r="S359" s="88" t="n">
        <v>29248515.481028</v>
      </c>
      <c r="T359" s="88" t="n">
        <v>29526995.1680828</v>
      </c>
      <c r="U359" s="88" t="n">
        <v>31593197.3692482</v>
      </c>
      <c r="V359" s="88" t="n">
        <v>33144487.458934</v>
      </c>
      <c r="W359" s="2"/>
    </row>
    <row r="360" customFormat="false" ht="12.75" hidden="false" customHeight="false" outlineLevel="0" collapsed="false">
      <c r="A360" s="2"/>
      <c r="B360" s="125" t="s">
        <v>46</v>
      </c>
      <c r="C360" s="134"/>
      <c r="D360" s="65" t="n">
        <v>15192878.5977217</v>
      </c>
      <c r="E360" s="65" t="n">
        <v>14374286.9149306</v>
      </c>
      <c r="F360" s="65" t="n">
        <v>13564536.9557219</v>
      </c>
      <c r="G360" s="65" t="n">
        <v>12961649.6595653</v>
      </c>
      <c r="H360" s="65" t="n">
        <v>12768594.1607028</v>
      </c>
      <c r="I360" s="65" t="n">
        <v>13953098.3095298</v>
      </c>
      <c r="J360" s="65" t="n">
        <v>15714110.7263882</v>
      </c>
      <c r="K360" s="65" t="n">
        <v>16343298.9565647</v>
      </c>
      <c r="L360" s="65" t="n">
        <v>16824117.7459275</v>
      </c>
      <c r="M360" s="65" t="n">
        <v>16807660.1337089</v>
      </c>
      <c r="N360" s="65" t="n">
        <v>17180103.1919548</v>
      </c>
      <c r="O360" s="65" t="n">
        <v>17198622.0868648</v>
      </c>
      <c r="P360" s="65" t="n">
        <v>17294435.6036969</v>
      </c>
      <c r="Q360" s="65" t="n">
        <v>18044606.4173193</v>
      </c>
      <c r="R360" s="65" t="n">
        <v>20095876.0974223</v>
      </c>
      <c r="S360" s="65" t="n">
        <v>19499010.3206854</v>
      </c>
      <c r="T360" s="65" t="n">
        <v>19684663.4453885</v>
      </c>
      <c r="U360" s="65" t="n">
        <v>21062131.5794988</v>
      </c>
      <c r="V360" s="65" t="n">
        <v>22096324.9726227</v>
      </c>
      <c r="W360" s="2"/>
    </row>
    <row r="361" customFormat="false" ht="12.75" hidden="false" customHeight="false" outlineLevel="0" collapsed="false">
      <c r="A361" s="2"/>
      <c r="B361" s="139" t="s">
        <v>47</v>
      </c>
      <c r="C361" s="140"/>
      <c r="D361" s="65" t="n">
        <v>2037590.7675</v>
      </c>
      <c r="E361" s="65" t="n">
        <v>2817695.23094</v>
      </c>
      <c r="F361" s="65" t="n">
        <v>3132301.6935498</v>
      </c>
      <c r="G361" s="65" t="n">
        <v>3251586.7218107</v>
      </c>
      <c r="H361" s="65" t="n">
        <v>3320893.3127525</v>
      </c>
      <c r="I361" s="65" t="n">
        <v>3012676.96385632</v>
      </c>
      <c r="J361" s="65" t="n">
        <v>2477119.88494995</v>
      </c>
      <c r="K361" s="65" t="n">
        <v>2181469.27752436</v>
      </c>
      <c r="L361" s="65" t="n">
        <v>2001476.75263562</v>
      </c>
      <c r="M361" s="65" t="n">
        <v>1961247.76092058</v>
      </c>
      <c r="N361" s="65" t="n">
        <v>2080194.06830566</v>
      </c>
      <c r="O361" s="65" t="n">
        <v>2087333.54820626</v>
      </c>
      <c r="P361" s="65" t="n">
        <v>2098464.18773871</v>
      </c>
      <c r="Q361" s="65" t="n">
        <v>2162522.64145714</v>
      </c>
      <c r="R361" s="65" t="n">
        <v>2230441.44628713</v>
      </c>
      <c r="S361" s="65" t="n">
        <v>2251969.86276201</v>
      </c>
      <c r="T361" s="65" t="n">
        <v>2277687.72923114</v>
      </c>
      <c r="U361" s="65" t="n">
        <v>2426818.31919434</v>
      </c>
      <c r="V361" s="65" t="n">
        <v>2552517.20185644</v>
      </c>
      <c r="W361" s="2"/>
    </row>
    <row r="362" customFormat="false" ht="13.5" hidden="false" customHeight="false" outlineLevel="0" collapsed="false">
      <c r="A362" s="2"/>
      <c r="B362" s="141" t="s">
        <v>48</v>
      </c>
      <c r="C362" s="142"/>
      <c r="D362" s="93" t="n">
        <v>40019787.2618041</v>
      </c>
      <c r="E362" s="93" t="n">
        <v>38753412.5182665</v>
      </c>
      <c r="F362" s="93" t="n">
        <v>37043644.0828547</v>
      </c>
      <c r="G362" s="93" t="n">
        <v>35655710.8707239</v>
      </c>
      <c r="H362" s="93" t="n">
        <v>35242378.7145096</v>
      </c>
      <c r="I362" s="93" t="n">
        <v>37895422.7376809</v>
      </c>
      <c r="J362" s="93" t="n">
        <v>41762396.7009204</v>
      </c>
      <c r="K362" s="93" t="n">
        <v>43039716.6689361</v>
      </c>
      <c r="L362" s="93" t="n">
        <v>44061771.1174544</v>
      </c>
      <c r="M362" s="93" t="n">
        <v>43980398.0951928</v>
      </c>
      <c r="N362" s="93" t="n">
        <v>45030452.0481927</v>
      </c>
      <c r="O362" s="93" t="n">
        <v>45083888.7653682</v>
      </c>
      <c r="P362" s="93" t="n">
        <v>45334553.196981</v>
      </c>
      <c r="Q362" s="93" t="n">
        <v>47274038.6847553</v>
      </c>
      <c r="R362" s="93" t="n">
        <v>52470131.6898429</v>
      </c>
      <c r="S362" s="93" t="n">
        <v>50999495.6644754</v>
      </c>
      <c r="T362" s="93" t="n">
        <v>51489346.3427025</v>
      </c>
      <c r="U362" s="93" t="n">
        <v>55082147.2679414</v>
      </c>
      <c r="V362" s="93" t="n">
        <v>57793329.6334131</v>
      </c>
      <c r="W362" s="2"/>
    </row>
    <row r="363" customFormat="false" ht="13.5" hidden="false" customHeight="false" outlineLevel="0" collapsed="false">
      <c r="A363" s="87" t="s">
        <v>49</v>
      </c>
      <c r="B363" s="125" t="s">
        <v>50</v>
      </c>
      <c r="C363" s="134"/>
      <c r="D363" s="65" t="n">
        <v>-2727703.30553438</v>
      </c>
      <c r="E363" s="65" t="n">
        <v>-3003925.46153438</v>
      </c>
      <c r="F363" s="65" t="n">
        <v>-3019599.51603438</v>
      </c>
      <c r="G363" s="65" t="n">
        <v>-3160242.43753438</v>
      </c>
      <c r="H363" s="65" t="n">
        <v>-3268513.90193438</v>
      </c>
      <c r="I363" s="65" t="n">
        <v>-3380033.51026638</v>
      </c>
      <c r="J363" s="65" t="n">
        <v>-3494898.70684834</v>
      </c>
      <c r="K363" s="65" t="n">
        <v>-3613209.85932776</v>
      </c>
      <c r="L363" s="65" t="n">
        <v>-3735070.34638156</v>
      </c>
      <c r="M363" s="65" t="n">
        <v>-3860586.64804698</v>
      </c>
      <c r="N363" s="65" t="n">
        <v>-3989868.43876235</v>
      </c>
      <c r="O363" s="65" t="n">
        <v>-4123028.68319919</v>
      </c>
      <c r="P363" s="65" t="n">
        <v>-4260183.73496914</v>
      </c>
      <c r="Q363" s="65" t="n">
        <v>-4401453.43829218</v>
      </c>
      <c r="R363" s="65" t="n">
        <v>-3617554.39521493</v>
      </c>
      <c r="S363" s="65" t="n">
        <v>-2436755.09847033</v>
      </c>
      <c r="T363" s="65" t="n">
        <v>-2589920.04507341</v>
      </c>
      <c r="U363" s="65" t="n">
        <v>-2748920.34074958</v>
      </c>
      <c r="V363" s="65" t="n">
        <v>-2912690.64529604</v>
      </c>
      <c r="W363" s="2"/>
    </row>
    <row r="364" customFormat="false" ht="12.75" hidden="false" customHeight="false" outlineLevel="0" collapsed="false">
      <c r="A364" s="2"/>
      <c r="B364" s="125" t="s">
        <v>51</v>
      </c>
      <c r="C364" s="134"/>
      <c r="D364" s="65" t="n">
        <v>0</v>
      </c>
      <c r="E364" s="65" t="n">
        <v>0</v>
      </c>
      <c r="F364" s="65" t="n">
        <v>0</v>
      </c>
      <c r="G364" s="65" t="n">
        <v>0</v>
      </c>
      <c r="H364" s="65" t="n">
        <v>0</v>
      </c>
      <c r="I364" s="65" t="n">
        <v>0</v>
      </c>
      <c r="J364" s="65" t="n">
        <v>0</v>
      </c>
      <c r="K364" s="65" t="n">
        <v>0</v>
      </c>
      <c r="L364" s="65" t="n">
        <v>0</v>
      </c>
      <c r="M364" s="65" t="n">
        <v>0</v>
      </c>
      <c r="N364" s="65" t="n">
        <v>0</v>
      </c>
      <c r="O364" s="65" t="n">
        <v>0</v>
      </c>
      <c r="P364" s="65" t="n">
        <v>0</v>
      </c>
      <c r="Q364" s="65" t="n">
        <v>0</v>
      </c>
      <c r="R364" s="65" t="n">
        <v>0</v>
      </c>
      <c r="S364" s="65" t="n">
        <v>0</v>
      </c>
      <c r="T364" s="65" t="n">
        <v>0</v>
      </c>
      <c r="U364" s="65" t="n">
        <v>0</v>
      </c>
      <c r="V364" s="65" t="n">
        <v>0</v>
      </c>
      <c r="W364" s="2"/>
    </row>
    <row r="365" customFormat="false" ht="12.75" hidden="false" customHeight="false" outlineLevel="0" collapsed="false">
      <c r="A365" s="2"/>
      <c r="B365" s="137" t="s">
        <v>52</v>
      </c>
      <c r="C365" s="138"/>
      <c r="D365" s="88" t="n">
        <v>37292083.9562698</v>
      </c>
      <c r="E365" s="88" t="n">
        <v>35749487.0567321</v>
      </c>
      <c r="F365" s="88" t="n">
        <v>34024044.5668203</v>
      </c>
      <c r="G365" s="88" t="n">
        <v>32495468.4331895</v>
      </c>
      <c r="H365" s="88" t="n">
        <v>31973864.8125752</v>
      </c>
      <c r="I365" s="88" t="n">
        <v>34515389.2274145</v>
      </c>
      <c r="J365" s="88" t="n">
        <v>38267497.9940721</v>
      </c>
      <c r="K365" s="88" t="n">
        <v>39426506.8096084</v>
      </c>
      <c r="L365" s="88" t="n">
        <v>40326700.7710728</v>
      </c>
      <c r="M365" s="88" t="n">
        <v>40119811.4471458</v>
      </c>
      <c r="N365" s="88" t="n">
        <v>41040583.6094303</v>
      </c>
      <c r="O365" s="88" t="n">
        <v>40960860.082169</v>
      </c>
      <c r="P365" s="88" t="n">
        <v>41074369.4620119</v>
      </c>
      <c r="Q365" s="88" t="n">
        <v>42872585.2464631</v>
      </c>
      <c r="R365" s="88" t="n">
        <v>48852577.2946279</v>
      </c>
      <c r="S365" s="88" t="n">
        <v>48562740.5660051</v>
      </c>
      <c r="T365" s="88" t="n">
        <v>48899426.2976291</v>
      </c>
      <c r="U365" s="88" t="n">
        <v>52333226.9271918</v>
      </c>
      <c r="V365" s="88" t="n">
        <v>54880638.988117</v>
      </c>
      <c r="W365" s="2"/>
    </row>
    <row r="366" customFormat="false" ht="13.5" hidden="false" customHeight="false" outlineLevel="0" collapsed="false">
      <c r="A366" s="2"/>
      <c r="B366" s="143" t="s">
        <v>53</v>
      </c>
      <c r="C366" s="144"/>
      <c r="D366" s="96" t="n">
        <v>-14916833.5825079</v>
      </c>
      <c r="E366" s="96" t="n">
        <v>-14299794.8226929</v>
      </c>
      <c r="F366" s="96" t="n">
        <v>-13609617.8267281</v>
      </c>
      <c r="G366" s="96" t="n">
        <v>-12998187.3732758</v>
      </c>
      <c r="H366" s="96" t="n">
        <v>-12789545.9250301</v>
      </c>
      <c r="I366" s="96" t="n">
        <v>-13806155.6909658</v>
      </c>
      <c r="J366" s="96" t="n">
        <v>-15306999.1976288</v>
      </c>
      <c r="K366" s="96" t="n">
        <v>-15770602.7238433</v>
      </c>
      <c r="L366" s="96" t="n">
        <v>-16130680.3084291</v>
      </c>
      <c r="M366" s="96" t="n">
        <v>-16047924.5788583</v>
      </c>
      <c r="N366" s="96" t="n">
        <v>-16416233.4437721</v>
      </c>
      <c r="O366" s="96" t="n">
        <v>-16384344.0328676</v>
      </c>
      <c r="P366" s="96" t="n">
        <v>-16429747.7848047</v>
      </c>
      <c r="Q366" s="96" t="n">
        <v>-17149034.0985852</v>
      </c>
      <c r="R366" s="96" t="n">
        <v>-19541030.9178512</v>
      </c>
      <c r="S366" s="96" t="n">
        <v>-19425096.226402</v>
      </c>
      <c r="T366" s="96" t="n">
        <v>-19559770.5190516</v>
      </c>
      <c r="U366" s="96" t="n">
        <v>-20933290.7708767</v>
      </c>
      <c r="V366" s="96" t="n">
        <v>-21952255.5952468</v>
      </c>
      <c r="W366" s="2"/>
    </row>
    <row r="367" customFormat="false" ht="13.5" hidden="false" customHeight="false" outlineLevel="0" collapsed="false">
      <c r="A367" s="2"/>
      <c r="B367" s="137" t="s">
        <v>54</v>
      </c>
      <c r="C367" s="138"/>
      <c r="D367" s="88" t="n">
        <v>22375250.3737618</v>
      </c>
      <c r="E367" s="88" t="n">
        <v>21449692.2340393</v>
      </c>
      <c r="F367" s="88" t="n">
        <v>20414426.7400922</v>
      </c>
      <c r="G367" s="88" t="n">
        <v>19497281.0599137</v>
      </c>
      <c r="H367" s="88" t="n">
        <v>19184318.8875451</v>
      </c>
      <c r="I367" s="88" t="n">
        <v>20709233.5364487</v>
      </c>
      <c r="J367" s="88" t="n">
        <v>22960498.7964433</v>
      </c>
      <c r="K367" s="88" t="n">
        <v>23655904.085765</v>
      </c>
      <c r="L367" s="88" t="n">
        <v>24196020.4626437</v>
      </c>
      <c r="M367" s="88" t="n">
        <v>24071886.8682875</v>
      </c>
      <c r="N367" s="88" t="n">
        <v>24624350.1656582</v>
      </c>
      <c r="O367" s="88" t="n">
        <v>24576516.0493014</v>
      </c>
      <c r="P367" s="88" t="n">
        <v>24644621.6772071</v>
      </c>
      <c r="Q367" s="88" t="n">
        <v>25723551.1478779</v>
      </c>
      <c r="R367" s="88" t="n">
        <v>29311546.3767768</v>
      </c>
      <c r="S367" s="88" t="n">
        <v>29137644.339603</v>
      </c>
      <c r="T367" s="88" t="n">
        <v>29339655.7785774</v>
      </c>
      <c r="U367" s="88" t="n">
        <v>31399936.1563151</v>
      </c>
      <c r="V367" s="88" t="n">
        <v>32928383.3928702</v>
      </c>
      <c r="W367" s="2"/>
    </row>
    <row r="368" customFormat="false" ht="12.75" hidden="false" customHeight="false" outlineLevel="0" collapsed="false">
      <c r="A368" s="2"/>
      <c r="B368" s="2"/>
      <c r="C368" s="134"/>
      <c r="D368" s="2"/>
      <c r="E368" s="135"/>
      <c r="F368" s="128"/>
      <c r="G368" s="13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customFormat="false" ht="15.75" hidden="false" customHeight="false" outlineLevel="0" collapsed="false">
      <c r="A369" s="97" t="s">
        <v>55</v>
      </c>
      <c r="B369" s="14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customFormat="false" ht="12.75" hidden="false" customHeight="false" outlineLevel="0" collapsed="false">
      <c r="A370" s="99" t="s">
        <v>56</v>
      </c>
      <c r="B370" s="49"/>
      <c r="C370" s="101" t="n">
        <v>0</v>
      </c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</row>
    <row r="371" customFormat="false" ht="12.75" hidden="false" customHeight="false" outlineLevel="0" collapsed="false">
      <c r="A371" s="99" t="s">
        <v>57</v>
      </c>
      <c r="B371" s="49"/>
      <c r="C371" s="146" t="n">
        <v>0</v>
      </c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</row>
    <row r="372" customFormat="false" ht="12.75" hidden="false" customHeight="false" outlineLevel="0" collapsed="false">
      <c r="A372" s="99" t="s">
        <v>58</v>
      </c>
      <c r="B372" s="49"/>
      <c r="C372" s="99" t="n">
        <v>15</v>
      </c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</row>
    <row r="373" customFormat="false" ht="12.75" hidden="false" customHeight="false" outlineLevel="0" collapsed="false">
      <c r="A373" s="99" t="s">
        <v>59</v>
      </c>
      <c r="B373" s="49"/>
      <c r="C373" s="146" t="n">
        <v>0</v>
      </c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</row>
    <row r="374" customFormat="false" ht="12.75" hidden="false" customHeight="false" outlineLevel="0" collapsed="false">
      <c r="A374" s="99" t="s">
        <v>60</v>
      </c>
      <c r="B374" s="49"/>
      <c r="C374" s="147" t="n">
        <v>0.0875</v>
      </c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</row>
    <row r="375" customFormat="false" ht="12.75" hidden="false" customHeight="false" outlineLevel="0" collapsed="false">
      <c r="A375" s="99"/>
      <c r="B375" s="49"/>
      <c r="C375" s="107"/>
      <c r="D375" s="58" t="n">
        <v>2001</v>
      </c>
      <c r="E375" s="58" t="n">
        <v>2002</v>
      </c>
      <c r="F375" s="58" t="n">
        <v>2003</v>
      </c>
      <c r="G375" s="58" t="n">
        <v>2004</v>
      </c>
      <c r="H375" s="58" t="n">
        <v>2005</v>
      </c>
      <c r="I375" s="58" t="n">
        <v>2006</v>
      </c>
      <c r="J375" s="58" t="n">
        <v>2007</v>
      </c>
      <c r="K375" s="58" t="n">
        <v>2008</v>
      </c>
      <c r="L375" s="58" t="n">
        <v>2009</v>
      </c>
      <c r="M375" s="58" t="n">
        <v>2010</v>
      </c>
      <c r="N375" s="58" t="n">
        <v>2011</v>
      </c>
      <c r="O375" s="58" t="n">
        <v>2012</v>
      </c>
      <c r="P375" s="58" t="n">
        <v>2013</v>
      </c>
      <c r="Q375" s="58" t="n">
        <v>2014</v>
      </c>
      <c r="R375" s="58" t="n">
        <v>2015</v>
      </c>
      <c r="S375" s="58" t="n">
        <v>2016</v>
      </c>
      <c r="T375" s="58" t="n">
        <v>2017</v>
      </c>
      <c r="U375" s="58" t="n">
        <v>2018</v>
      </c>
      <c r="V375" s="58" t="n">
        <v>2019</v>
      </c>
      <c r="W375" s="58" t="s">
        <v>19</v>
      </c>
    </row>
    <row r="376" customFormat="false" ht="12.75" hidden="false" customHeight="false" outlineLevel="0" collapsed="false">
      <c r="A376" s="99" t="s">
        <v>61</v>
      </c>
      <c r="B376" s="49"/>
      <c r="C376" s="107"/>
      <c r="D376" s="102" t="n">
        <v>0</v>
      </c>
      <c r="E376" s="102" t="n">
        <v>0</v>
      </c>
      <c r="F376" s="102" t="n">
        <v>0</v>
      </c>
      <c r="G376" s="102" t="n">
        <v>0</v>
      </c>
      <c r="H376" s="102" t="n">
        <v>0</v>
      </c>
      <c r="I376" s="102" t="n">
        <v>0</v>
      </c>
      <c r="J376" s="102" t="n">
        <v>0</v>
      </c>
      <c r="K376" s="102" t="n">
        <v>0</v>
      </c>
      <c r="L376" s="102" t="n">
        <v>0</v>
      </c>
      <c r="M376" s="102" t="n">
        <v>0</v>
      </c>
      <c r="N376" s="102" t="n">
        <v>0</v>
      </c>
      <c r="O376" s="102" t="n">
        <v>0</v>
      </c>
      <c r="P376" s="102" t="n">
        <v>0</v>
      </c>
      <c r="Q376" s="102" t="n">
        <v>0</v>
      </c>
      <c r="R376" s="102" t="n">
        <v>0</v>
      </c>
      <c r="S376" s="102" t="n">
        <v>0</v>
      </c>
      <c r="T376" s="102" t="n">
        <v>0</v>
      </c>
      <c r="U376" s="102" t="n">
        <v>0</v>
      </c>
      <c r="V376" s="102" t="n">
        <v>0</v>
      </c>
      <c r="W376" s="102" t="n">
        <v>0</v>
      </c>
    </row>
    <row r="377" customFormat="false" ht="12.75" hidden="false" customHeight="false" outlineLevel="0" collapsed="false">
      <c r="A377" s="99" t="s">
        <v>62</v>
      </c>
      <c r="B377" s="49"/>
      <c r="C377" s="107"/>
      <c r="D377" s="102" t="n">
        <v>0</v>
      </c>
      <c r="E377" s="102" t="n">
        <v>0</v>
      </c>
      <c r="F377" s="102" t="n">
        <v>0</v>
      </c>
      <c r="G377" s="102" t="n">
        <v>0</v>
      </c>
      <c r="H377" s="102" t="n">
        <v>0</v>
      </c>
      <c r="I377" s="102" t="n">
        <v>0</v>
      </c>
      <c r="J377" s="102" t="n">
        <v>0</v>
      </c>
      <c r="K377" s="102" t="n">
        <v>0</v>
      </c>
      <c r="L377" s="102" t="n">
        <v>0</v>
      </c>
      <c r="M377" s="102" t="n">
        <v>0</v>
      </c>
      <c r="N377" s="102" t="n">
        <v>0</v>
      </c>
      <c r="O377" s="102" t="n">
        <v>0</v>
      </c>
      <c r="P377" s="102" t="n">
        <v>0</v>
      </c>
      <c r="Q377" s="102" t="n">
        <v>0</v>
      </c>
      <c r="R377" s="102" t="n">
        <v>0</v>
      </c>
      <c r="S377" s="102" t="n">
        <v>0</v>
      </c>
      <c r="T377" s="102" t="n">
        <v>0</v>
      </c>
      <c r="U377" s="102" t="n">
        <v>0</v>
      </c>
      <c r="V377" s="102" t="n">
        <v>0</v>
      </c>
      <c r="W377" s="102" t="n">
        <v>0</v>
      </c>
    </row>
    <row r="378" customFormat="false" ht="12.75" hidden="false" customHeight="false" outlineLevel="0" collapsed="false">
      <c r="A378" s="99" t="s">
        <v>63</v>
      </c>
      <c r="B378" s="49"/>
      <c r="C378" s="107"/>
      <c r="D378" s="102" t="n">
        <v>0</v>
      </c>
      <c r="E378" s="102" t="n">
        <v>0</v>
      </c>
      <c r="F378" s="102" t="n">
        <v>0</v>
      </c>
      <c r="G378" s="102" t="n">
        <v>0</v>
      </c>
      <c r="H378" s="102" t="n">
        <v>0</v>
      </c>
      <c r="I378" s="102" t="n">
        <v>0</v>
      </c>
      <c r="J378" s="102" t="n">
        <v>0</v>
      </c>
      <c r="K378" s="102" t="n">
        <v>0</v>
      </c>
      <c r="L378" s="102" t="n">
        <v>0</v>
      </c>
      <c r="M378" s="102" t="n">
        <v>0</v>
      </c>
      <c r="N378" s="102" t="n">
        <v>0</v>
      </c>
      <c r="O378" s="102" t="n">
        <v>0</v>
      </c>
      <c r="P378" s="102" t="n">
        <v>0</v>
      </c>
      <c r="Q378" s="102" t="n">
        <v>0</v>
      </c>
      <c r="R378" s="102" t="n">
        <v>0</v>
      </c>
      <c r="S378" s="102" t="n">
        <v>0</v>
      </c>
      <c r="T378" s="102" t="n">
        <v>0</v>
      </c>
      <c r="U378" s="102" t="n">
        <v>0</v>
      </c>
      <c r="V378" s="102" t="n">
        <v>0</v>
      </c>
      <c r="W378" s="102" t="n">
        <v>0</v>
      </c>
    </row>
    <row r="379" customFormat="false" ht="12.75" hidden="false" customHeight="false" outlineLevel="0" collapsed="false">
      <c r="A379" s="99" t="s">
        <v>64</v>
      </c>
      <c r="B379" s="49"/>
      <c r="C379" s="107"/>
      <c r="D379" s="105" t="n">
        <v>0</v>
      </c>
      <c r="E379" s="105" t="n">
        <v>0</v>
      </c>
      <c r="F379" s="105" t="n">
        <v>0</v>
      </c>
      <c r="G379" s="105" t="n">
        <v>0</v>
      </c>
      <c r="H379" s="105" t="n">
        <v>0</v>
      </c>
      <c r="I379" s="105" t="n">
        <v>0</v>
      </c>
      <c r="J379" s="105" t="n">
        <v>0</v>
      </c>
      <c r="K379" s="105" t="n">
        <v>0</v>
      </c>
      <c r="L379" s="105" t="n">
        <v>0</v>
      </c>
      <c r="M379" s="105" t="n">
        <v>0</v>
      </c>
      <c r="N379" s="105" t="n">
        <v>0</v>
      </c>
      <c r="O379" s="105" t="n">
        <v>0</v>
      </c>
      <c r="P379" s="105" t="n">
        <v>0</v>
      </c>
      <c r="Q379" s="105" t="n">
        <v>0</v>
      </c>
      <c r="R379" s="105" t="n">
        <v>0</v>
      </c>
      <c r="S379" s="105" t="n">
        <v>0</v>
      </c>
      <c r="T379" s="105" t="n">
        <v>0</v>
      </c>
      <c r="U379" s="105" t="n">
        <v>0</v>
      </c>
      <c r="V379" s="105" t="n">
        <v>0</v>
      </c>
      <c r="W379" s="105" t="n">
        <v>0</v>
      </c>
    </row>
    <row r="380" customFormat="false" ht="13.5" hidden="false" customHeight="false" outlineLevel="0" collapsed="false">
      <c r="A380" s="99" t="s">
        <v>65</v>
      </c>
      <c r="B380" s="49"/>
      <c r="C380" s="107"/>
      <c r="D380" s="106" t="n">
        <v>0</v>
      </c>
      <c r="E380" s="106" t="n">
        <v>0</v>
      </c>
      <c r="F380" s="106" t="n">
        <v>0</v>
      </c>
      <c r="G380" s="106" t="n">
        <v>0</v>
      </c>
      <c r="H380" s="106" t="n">
        <v>0</v>
      </c>
      <c r="I380" s="106" t="n">
        <v>0</v>
      </c>
      <c r="J380" s="106" t="n">
        <v>0</v>
      </c>
      <c r="K380" s="106" t="n">
        <v>0</v>
      </c>
      <c r="L380" s="106" t="n">
        <v>0</v>
      </c>
      <c r="M380" s="106" t="n">
        <v>0</v>
      </c>
      <c r="N380" s="106" t="n">
        <v>0</v>
      </c>
      <c r="O380" s="106" t="n">
        <v>0</v>
      </c>
      <c r="P380" s="106" t="n">
        <v>0</v>
      </c>
      <c r="Q380" s="106" t="n">
        <v>0</v>
      </c>
      <c r="R380" s="106" t="n">
        <v>0</v>
      </c>
      <c r="S380" s="106" t="n">
        <v>0</v>
      </c>
      <c r="T380" s="106" t="n">
        <v>0</v>
      </c>
      <c r="U380" s="106" t="n">
        <v>0</v>
      </c>
      <c r="V380" s="106" t="n">
        <v>0</v>
      </c>
      <c r="W380" s="106" t="n">
        <v>0</v>
      </c>
    </row>
    <row r="381" customFormat="false" ht="13.5" hidden="false" customHeight="false" outlineLevel="0" collapsed="false">
      <c r="A381" s="99"/>
      <c r="B381" s="49"/>
      <c r="C381" s="107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</row>
    <row r="382" customFormat="false" ht="12.75" hidden="false" customHeight="false" outlineLevel="0" collapsed="false">
      <c r="A382" s="99" t="s">
        <v>66</v>
      </c>
      <c r="B382" s="49"/>
      <c r="C382" s="107"/>
      <c r="D382" s="102" t="n">
        <v>0</v>
      </c>
      <c r="E382" s="102" t="n">
        <v>0</v>
      </c>
      <c r="F382" s="102" t="n">
        <v>0</v>
      </c>
      <c r="G382" s="102" t="n">
        <v>0</v>
      </c>
      <c r="H382" s="102" t="n">
        <v>0</v>
      </c>
      <c r="I382" s="102" t="n">
        <v>0</v>
      </c>
      <c r="J382" s="102" t="n">
        <v>0</v>
      </c>
      <c r="K382" s="102" t="n">
        <v>0</v>
      </c>
      <c r="L382" s="102" t="n">
        <v>0</v>
      </c>
      <c r="M382" s="102" t="n">
        <v>0</v>
      </c>
      <c r="N382" s="102" t="n">
        <v>0</v>
      </c>
      <c r="O382" s="102" t="n">
        <v>0</v>
      </c>
      <c r="P382" s="102" t="n">
        <v>0</v>
      </c>
      <c r="Q382" s="102" t="n">
        <v>0</v>
      </c>
      <c r="R382" s="102" t="n">
        <v>0</v>
      </c>
      <c r="S382" s="102" t="n">
        <v>0</v>
      </c>
      <c r="T382" s="102" t="n">
        <v>0</v>
      </c>
      <c r="U382" s="102" t="n">
        <v>0</v>
      </c>
      <c r="V382" s="102" t="n">
        <v>0</v>
      </c>
      <c r="W382" s="102" t="n">
        <v>0</v>
      </c>
    </row>
    <row r="383" customFormat="false" ht="12.75" hidden="false" customHeight="false" outlineLevel="0" collapsed="false">
      <c r="A383" s="99"/>
      <c r="B383" s="49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</row>
    <row r="384" customFormat="false" ht="12.75" hidden="false" customHeight="false" outlineLevel="0" collapsed="false">
      <c r="A384" s="99" t="s">
        <v>67</v>
      </c>
      <c r="B384" s="49"/>
      <c r="C384" s="107"/>
      <c r="D384" s="102" t="n">
        <v>0</v>
      </c>
      <c r="E384" s="102" t="n">
        <v>0</v>
      </c>
      <c r="F384" s="102" t="n">
        <v>0</v>
      </c>
      <c r="G384" s="102" t="n">
        <v>0</v>
      </c>
      <c r="H384" s="102" t="n">
        <v>0</v>
      </c>
      <c r="I384" s="102" t="n">
        <v>0</v>
      </c>
      <c r="J384" s="102" t="n">
        <v>0</v>
      </c>
      <c r="K384" s="102" t="n">
        <v>0</v>
      </c>
      <c r="L384" s="102" t="n">
        <v>0</v>
      </c>
      <c r="M384" s="102" t="n">
        <v>0</v>
      </c>
      <c r="N384" s="102" t="n">
        <v>0</v>
      </c>
      <c r="O384" s="102" t="n">
        <v>0</v>
      </c>
      <c r="P384" s="102" t="n">
        <v>0</v>
      </c>
      <c r="Q384" s="102" t="n">
        <v>0</v>
      </c>
      <c r="R384" s="102" t="n">
        <v>0</v>
      </c>
      <c r="S384" s="102" t="n">
        <v>0</v>
      </c>
      <c r="T384" s="102" t="n">
        <v>0</v>
      </c>
      <c r="U384" s="102" t="n">
        <v>0</v>
      </c>
      <c r="V384" s="102" t="n">
        <v>0</v>
      </c>
      <c r="W384" s="102" t="n">
        <v>0</v>
      </c>
    </row>
    <row r="385" customFormat="false" ht="12.75" hidden="false" customHeight="false" outlineLevel="0" collapsed="false">
      <c r="A385" s="107"/>
      <c r="B385" s="49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</row>
    <row r="386" customFormat="false" ht="12.75" hidden="false" customHeight="false" outlineLevel="0" collapsed="false">
      <c r="A386" s="107"/>
      <c r="B386" s="49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</row>
    <row r="387" customFormat="false" ht="12.75" hidden="false" customHeight="false" outlineLevel="0" collapsed="false">
      <c r="A387" s="99" t="s">
        <v>68</v>
      </c>
      <c r="B387" s="148"/>
      <c r="C387" s="149"/>
      <c r="D387" s="79" t="n">
        <v>17886748.6640825</v>
      </c>
      <c r="E387" s="79" t="n">
        <v>18854682.4833359</v>
      </c>
      <c r="F387" s="79" t="n">
        <v>20965534.3471327</v>
      </c>
      <c r="G387" s="79" t="n">
        <v>19881202.7811586</v>
      </c>
      <c r="H387" s="79" t="n">
        <v>20308355.2658068</v>
      </c>
      <c r="I387" s="79" t="n">
        <v>21711932.2615111</v>
      </c>
      <c r="J387" s="79" t="n">
        <v>23750982.042893</v>
      </c>
      <c r="K387" s="79" t="n">
        <v>24330194.662783</v>
      </c>
      <c r="L387" s="79" t="n">
        <v>24800443.6304508</v>
      </c>
      <c r="M387" s="79" t="n">
        <v>24662411.9281756</v>
      </c>
      <c r="N387" s="79" t="n">
        <v>25264713.0419303</v>
      </c>
      <c r="O387" s="79" t="n">
        <v>25222061.7897666</v>
      </c>
      <c r="P387" s="79" t="n">
        <v>25297016.5578852</v>
      </c>
      <c r="Q387" s="79" t="n">
        <v>26404038.2009752</v>
      </c>
      <c r="R387" s="79" t="n">
        <v>29464099.7039659</v>
      </c>
      <c r="S387" s="79" t="n">
        <v>28503024.7786817</v>
      </c>
      <c r="T387" s="79" t="n">
        <v>28717298.5152524</v>
      </c>
      <c r="U387" s="79" t="n">
        <v>30840009.7749191</v>
      </c>
      <c r="V387" s="79" t="n">
        <v>32421598.5698613</v>
      </c>
      <c r="W387" s="79" t="n">
        <v>170079327.32059</v>
      </c>
    </row>
    <row r="388" customFormat="false" ht="12.75" hidden="false" customHeight="false" outlineLevel="0" collapsed="false">
      <c r="A388" s="2"/>
      <c r="B388" s="3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customFormat="false" ht="12.75" hidden="false" customHeight="false" outlineLevel="0" collapsed="false">
      <c r="B389" s="150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16"/>
    </row>
    <row r="390" customFormat="false" ht="12.75" hidden="false" customHeight="false" outlineLevel="0" collapsed="false">
      <c r="B390" s="150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16"/>
    </row>
    <row r="391" customFormat="false" ht="12.75" hidden="false" customHeight="false" outlineLevel="0" collapsed="false">
      <c r="B391" s="153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16"/>
    </row>
    <row r="392" customFormat="false" ht="12.75" hidden="false" customHeight="false" outlineLevel="0" collapsed="false">
      <c r="B392" s="150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16"/>
    </row>
    <row r="393" customFormat="false" ht="12.75" hidden="false" customHeight="false" outlineLevel="0" collapsed="false">
      <c r="B393" s="150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16"/>
    </row>
    <row r="394" customFormat="false" ht="12.75" hidden="false" customHeight="false" outlineLevel="0" collapsed="false">
      <c r="B394" s="150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16"/>
    </row>
    <row r="395" customFormat="false" ht="12.75" hidden="false" customHeight="false" outlineLevel="0" collapsed="false">
      <c r="B395" s="153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16"/>
    </row>
    <row r="396" customFormat="false" ht="15.75" hidden="false" customHeight="false" outlineLevel="0" collapsed="false">
      <c r="A396" s="48" t="s">
        <v>17</v>
      </c>
      <c r="B396" s="57" t="s">
        <v>75</v>
      </c>
      <c r="C396" s="58" t="n">
        <v>2000</v>
      </c>
      <c r="D396" s="58" t="n">
        <v>2001</v>
      </c>
      <c r="E396" s="58" t="n">
        <v>2002</v>
      </c>
      <c r="F396" s="58" t="n">
        <v>2003</v>
      </c>
      <c r="G396" s="58" t="n">
        <v>2004</v>
      </c>
      <c r="H396" s="58" t="n">
        <v>2005</v>
      </c>
      <c r="I396" s="58" t="n">
        <v>2006</v>
      </c>
      <c r="J396" s="58" t="n">
        <v>2007</v>
      </c>
      <c r="K396" s="58" t="n">
        <v>2008</v>
      </c>
      <c r="L396" s="58" t="n">
        <v>2009</v>
      </c>
      <c r="M396" s="58" t="n">
        <v>2010</v>
      </c>
      <c r="N396" s="58" t="n">
        <v>2011</v>
      </c>
      <c r="O396" s="58" t="n">
        <v>2012</v>
      </c>
      <c r="P396" s="58" t="n">
        <v>2013</v>
      </c>
      <c r="Q396" s="58" t="n">
        <v>2014</v>
      </c>
      <c r="R396" s="58" t="n">
        <v>2015</v>
      </c>
      <c r="S396" s="58" t="n">
        <v>2016</v>
      </c>
      <c r="T396" s="58" t="n">
        <v>2017</v>
      </c>
      <c r="U396" s="58" t="n">
        <v>2018</v>
      </c>
      <c r="V396" s="58" t="n">
        <v>2019</v>
      </c>
      <c r="W396" s="58" t="s">
        <v>19</v>
      </c>
    </row>
    <row r="397" customFormat="false" ht="12.75" hidden="false" customHeight="false" outlineLevel="0" collapsed="false">
      <c r="A397" s="48" t="s">
        <v>5</v>
      </c>
      <c r="B397" s="49" t="n">
        <v>228.15</v>
      </c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</row>
    <row r="398" customFormat="false" ht="12.75" hidden="false" customHeight="false" outlineLevel="0" collapsed="false">
      <c r="A398" s="2"/>
      <c r="B398" s="117" t="s">
        <v>20</v>
      </c>
      <c r="C398" s="118" t="n">
        <v>0</v>
      </c>
      <c r="D398" s="64" t="n">
        <v>64146320.490171</v>
      </c>
      <c r="E398" s="64" t="n">
        <v>63256691.0269395</v>
      </c>
      <c r="F398" s="64" t="n">
        <v>64474273.7828603</v>
      </c>
      <c r="G398" s="64" t="n">
        <v>63560427.5137281</v>
      </c>
      <c r="H398" s="64" t="n">
        <v>64039176.4541862</v>
      </c>
      <c r="I398" s="64" t="n">
        <v>68363220.6285508</v>
      </c>
      <c r="J398" s="64" t="n">
        <v>73302819.3999924</v>
      </c>
      <c r="K398" s="64" t="n">
        <v>75199732.0082022</v>
      </c>
      <c r="L398" s="64" t="n">
        <v>76773722.6451942</v>
      </c>
      <c r="M398" s="64" t="n">
        <v>77047800.5929174</v>
      </c>
      <c r="N398" s="64" t="n">
        <v>78712413.2269448</v>
      </c>
      <c r="O398" s="64" t="n">
        <v>79596336.8692043</v>
      </c>
      <c r="P398" s="64" t="n">
        <v>80533030.1628018</v>
      </c>
      <c r="Q398" s="64" t="n">
        <v>83367891.1428547</v>
      </c>
      <c r="R398" s="64" t="n">
        <v>89282759.3774229</v>
      </c>
      <c r="S398" s="64" t="n">
        <v>88768425.8432349</v>
      </c>
      <c r="T398" s="64" t="n">
        <v>89899763.3741903</v>
      </c>
      <c r="U398" s="64" t="n">
        <v>94219935.2671057</v>
      </c>
      <c r="V398" s="64" t="n">
        <v>97081731.4829914</v>
      </c>
      <c r="W398" s="65"/>
    </row>
    <row r="399" customFormat="false" ht="12.75" hidden="false" customHeight="false" outlineLevel="0" collapsed="false">
      <c r="A399" s="2"/>
      <c r="B399" s="117" t="s">
        <v>21</v>
      </c>
      <c r="C399" s="118" t="n">
        <v>0</v>
      </c>
      <c r="D399" s="64" t="n">
        <v>-18974953.4225409</v>
      </c>
      <c r="E399" s="64" t="n">
        <v>-19246796.3376929</v>
      </c>
      <c r="F399" s="64" t="n">
        <v>-19580638.5141954</v>
      </c>
      <c r="G399" s="64" t="n">
        <v>-20143401.0402996</v>
      </c>
      <c r="H399" s="64" t="n">
        <v>-20847649.0602548</v>
      </c>
      <c r="I399" s="64" t="n">
        <v>-21653639.4578108</v>
      </c>
      <c r="J399" s="64" t="n">
        <v>-22152812.9979145</v>
      </c>
      <c r="K399" s="64" t="n">
        <v>-22629730.392918</v>
      </c>
      <c r="L399" s="64" t="n">
        <v>-22998546.5117208</v>
      </c>
      <c r="M399" s="64" t="n">
        <v>-23176595.6725221</v>
      </c>
      <c r="N399" s="64" t="n">
        <v>-23488181.7039244</v>
      </c>
      <c r="O399" s="64" t="n">
        <v>-23996893.5919282</v>
      </c>
      <c r="P399" s="64" t="n">
        <v>-24542169.1468822</v>
      </c>
      <c r="Q399" s="64" t="n">
        <v>-25062009.1074361</v>
      </c>
      <c r="R399" s="64" t="n">
        <v>-25413338.2550887</v>
      </c>
      <c r="S399" s="64" t="n">
        <v>-25933178.2156426</v>
      </c>
      <c r="T399" s="64" t="n">
        <v>-26524555.7854469</v>
      </c>
      <c r="U399" s="64" t="n">
        <v>-27176342.8919518</v>
      </c>
      <c r="V399" s="64" t="n">
        <v>-27847206.6942568</v>
      </c>
      <c r="W399" s="65"/>
    </row>
    <row r="400" customFormat="false" ht="12.75" hidden="false" customHeight="false" outlineLevel="0" collapsed="false">
      <c r="A400" s="2"/>
      <c r="B400" s="117" t="s">
        <v>22</v>
      </c>
      <c r="C400" s="118" t="n">
        <v>0</v>
      </c>
      <c r="D400" s="64" t="n">
        <v>-1400171.72199837</v>
      </c>
      <c r="E400" s="64" t="n">
        <v>-1428433.28605037</v>
      </c>
      <c r="F400" s="64" t="n">
        <v>-2389817.10465147</v>
      </c>
      <c r="G400" s="64" t="n">
        <v>-2442544.8609459</v>
      </c>
      <c r="H400" s="64" t="n">
        <v>-2496449.16397367</v>
      </c>
      <c r="I400" s="64" t="n">
        <v>-2551556.56834618</v>
      </c>
      <c r="J400" s="64" t="n">
        <v>-2607894.23483187</v>
      </c>
      <c r="K400" s="64" t="n">
        <v>-2665489.9443454</v>
      </c>
      <c r="L400" s="64" t="n">
        <v>-2724372.11226293</v>
      </c>
      <c r="M400" s="64" t="n">
        <v>-2784569.80307138</v>
      </c>
      <c r="N400" s="64" t="n">
        <v>-2846112.74535947</v>
      </c>
      <c r="O400" s="64" t="n">
        <v>-2909031.34715845</v>
      </c>
      <c r="P400" s="64" t="n">
        <v>-2973356.71164106</v>
      </c>
      <c r="Q400" s="64" t="n">
        <v>-3039120.65318679</v>
      </c>
      <c r="R400" s="64" t="n">
        <v>-3106355.71382245</v>
      </c>
      <c r="S400" s="64" t="n">
        <v>-3175095.18004657</v>
      </c>
      <c r="T400" s="64" t="n">
        <v>-3245373.10004689</v>
      </c>
      <c r="U400" s="64" t="n">
        <v>-3317224.30132014</v>
      </c>
      <c r="V400" s="64" t="n">
        <v>-3390684.40870361</v>
      </c>
      <c r="W400" s="65"/>
    </row>
    <row r="401" customFormat="false" ht="12.75" hidden="false" customHeight="false" outlineLevel="0" collapsed="false">
      <c r="A401" s="2"/>
      <c r="B401" s="117" t="s">
        <v>23</v>
      </c>
      <c r="C401" s="118" t="n">
        <v>0</v>
      </c>
      <c r="D401" s="64" t="n">
        <v>0</v>
      </c>
      <c r="E401" s="64" t="n">
        <v>0</v>
      </c>
      <c r="F401" s="64" t="n">
        <v>0</v>
      </c>
      <c r="G401" s="64" t="n">
        <v>0</v>
      </c>
      <c r="H401" s="64" t="n">
        <v>0</v>
      </c>
      <c r="I401" s="64" t="n">
        <v>-454419.111703819</v>
      </c>
      <c r="J401" s="64" t="n">
        <v>-503687.284527518</v>
      </c>
      <c r="K401" s="64" t="n">
        <v>-693175.225749107</v>
      </c>
      <c r="L401" s="64" t="n">
        <v>-610456.250115871</v>
      </c>
      <c r="M401" s="64" t="n">
        <v>-678921.208074296</v>
      </c>
      <c r="N401" s="64" t="n">
        <v>-747883.05326898</v>
      </c>
      <c r="O401" s="64" t="n">
        <v>-828632.000810063</v>
      </c>
      <c r="P401" s="64" t="n">
        <v>-929114.452616811</v>
      </c>
      <c r="Q401" s="64" t="n">
        <v>-1034249.37130246</v>
      </c>
      <c r="R401" s="64" t="n">
        <v>-1145632.35849665</v>
      </c>
      <c r="S401" s="64" t="n">
        <v>-1257902.92077581</v>
      </c>
      <c r="T401" s="64" t="n">
        <v>-1235828.29393865</v>
      </c>
      <c r="U401" s="64" t="n">
        <v>-1057317.94834755</v>
      </c>
      <c r="V401" s="64" t="n">
        <v>-1096243.64093613</v>
      </c>
      <c r="W401" s="65"/>
    </row>
    <row r="402" customFormat="false" ht="13.5" hidden="false" customHeight="false" outlineLevel="0" collapsed="false">
      <c r="A402" s="2"/>
      <c r="B402" s="119" t="s">
        <v>24</v>
      </c>
      <c r="C402" s="120" t="n">
        <v>0</v>
      </c>
      <c r="D402" s="68" t="n">
        <v>0</v>
      </c>
      <c r="E402" s="68" t="n">
        <v>0</v>
      </c>
      <c r="F402" s="68" t="n">
        <v>-1508766.20614343</v>
      </c>
      <c r="G402" s="68" t="n">
        <v>-1285563.38181321</v>
      </c>
      <c r="H402" s="68" t="n">
        <v>-1334590.42438035</v>
      </c>
      <c r="I402" s="68" t="n">
        <v>-1386089.66287867</v>
      </c>
      <c r="J402" s="68" t="n">
        <v>-1741231.34523556</v>
      </c>
      <c r="K402" s="68" t="n">
        <v>-1520946.06589496</v>
      </c>
      <c r="L402" s="68" t="n">
        <v>-1609813.9470199</v>
      </c>
      <c r="M402" s="68" t="n">
        <v>-1531799.62478939</v>
      </c>
      <c r="N402" s="68" t="n">
        <v>-1575671.62851894</v>
      </c>
      <c r="O402" s="68" t="n">
        <v>-1616530.16777387</v>
      </c>
      <c r="P402" s="68" t="n">
        <v>-1443900.59915477</v>
      </c>
      <c r="Q402" s="68" t="n">
        <v>-1495526.80090606</v>
      </c>
      <c r="R402" s="68" t="n">
        <v>-1526432.43234404</v>
      </c>
      <c r="S402" s="68" t="n">
        <v>-1620963.99868062</v>
      </c>
      <c r="T402" s="68" t="n">
        <v>-1523874.27965868</v>
      </c>
      <c r="U402" s="68" t="n">
        <v>-1678360.14534287</v>
      </c>
      <c r="V402" s="68" t="n">
        <v>-913784.111593697</v>
      </c>
      <c r="W402" s="65"/>
    </row>
    <row r="403" customFormat="false" ht="13.5" hidden="false" customHeight="false" outlineLevel="0" collapsed="false">
      <c r="A403" s="2"/>
      <c r="B403" s="121" t="s">
        <v>25</v>
      </c>
      <c r="C403" s="122" t="n">
        <v>0</v>
      </c>
      <c r="D403" s="71" t="n">
        <v>43771195.3456317</v>
      </c>
      <c r="E403" s="71" t="n">
        <v>42581461.4031962</v>
      </c>
      <c r="F403" s="71" t="n">
        <v>40995051.95787</v>
      </c>
      <c r="G403" s="71" t="n">
        <v>39688918.2306694</v>
      </c>
      <c r="H403" s="71" t="n">
        <v>39360487.8055774</v>
      </c>
      <c r="I403" s="71" t="n">
        <v>42317515.8278113</v>
      </c>
      <c r="J403" s="71" t="n">
        <v>46297193.537483</v>
      </c>
      <c r="K403" s="71" t="n">
        <v>47690390.3792947</v>
      </c>
      <c r="L403" s="71" t="n">
        <v>48830533.8240747</v>
      </c>
      <c r="M403" s="71" t="n">
        <v>48875914.2844603</v>
      </c>
      <c r="N403" s="71" t="n">
        <v>50054564.095873</v>
      </c>
      <c r="O403" s="71" t="n">
        <v>50245249.7615337</v>
      </c>
      <c r="P403" s="71" t="n">
        <v>50644489.2525069</v>
      </c>
      <c r="Q403" s="71" t="n">
        <v>52736985.2100233</v>
      </c>
      <c r="R403" s="71" t="n">
        <v>58091000.617671</v>
      </c>
      <c r="S403" s="71" t="n">
        <v>56781285.5280893</v>
      </c>
      <c r="T403" s="71" t="n">
        <v>57370131.9150991</v>
      </c>
      <c r="U403" s="71" t="n">
        <v>60990689.9801434</v>
      </c>
      <c r="V403" s="71" t="n">
        <v>63833812.6275012</v>
      </c>
      <c r="W403" s="65"/>
    </row>
    <row r="404" customFormat="false" ht="12.75" hidden="false" customHeight="false" outlineLevel="0" collapsed="false">
      <c r="A404" s="2"/>
      <c r="B404" s="117" t="s">
        <v>26</v>
      </c>
      <c r="C404" s="118" t="n">
        <v>0</v>
      </c>
      <c r="D404" s="64" t="n">
        <v>-2794736.74393141</v>
      </c>
      <c r="E404" s="64" t="n">
        <v>-2850631.47881004</v>
      </c>
      <c r="F404" s="64" t="n">
        <v>-2949643.10838624</v>
      </c>
      <c r="G404" s="64" t="n">
        <v>-3008845.96555396</v>
      </c>
      <c r="H404" s="64" t="n">
        <v>-3069238.12974004</v>
      </c>
      <c r="I404" s="64" t="n">
        <v>-3130843.51833172</v>
      </c>
      <c r="J404" s="64" t="n">
        <v>-3193686.53034515</v>
      </c>
      <c r="K404" s="64" t="n">
        <v>-3257792.05614002</v>
      </c>
      <c r="L404" s="64" t="n">
        <v>-3323185.48733048</v>
      </c>
      <c r="M404" s="64" t="n">
        <v>-3389892.72689645</v>
      </c>
      <c r="N404" s="64" t="n">
        <v>-3457940.19949922</v>
      </c>
      <c r="O404" s="64" t="n">
        <v>-3527354.86200567</v>
      </c>
      <c r="P404" s="64" t="n">
        <v>-3598164.21422516</v>
      </c>
      <c r="Q404" s="64" t="n">
        <v>-3670396.30986352</v>
      </c>
      <c r="R404" s="64" t="n">
        <v>-3744079.76769849</v>
      </c>
      <c r="S404" s="64" t="n">
        <v>-3819243.78298111</v>
      </c>
      <c r="T404" s="64" t="n">
        <v>-3895918.1390676</v>
      </c>
      <c r="U404" s="64" t="n">
        <v>-3974133.21928648</v>
      </c>
      <c r="V404" s="64" t="n">
        <v>-4053920.01904569</v>
      </c>
      <c r="W404" s="65"/>
    </row>
    <row r="405" customFormat="false" ht="12.75" hidden="false" customHeight="false" outlineLevel="0" collapsed="false">
      <c r="A405" s="2"/>
      <c r="B405" s="117" t="s">
        <v>27</v>
      </c>
      <c r="C405" s="118" t="n">
        <v>0</v>
      </c>
      <c r="D405" s="64" t="n">
        <v>-388299.792155906</v>
      </c>
      <c r="E405" s="64" t="n">
        <v>-397276.518286144</v>
      </c>
      <c r="F405" s="64" t="n">
        <v>-406449.834718634</v>
      </c>
      <c r="G405" s="64" t="n">
        <v>-415830.468102499</v>
      </c>
      <c r="H405" s="64" t="n">
        <v>-425434.3605609</v>
      </c>
      <c r="I405" s="64" t="n">
        <v>-435680.840213219</v>
      </c>
      <c r="J405" s="64" t="n">
        <v>-445769.579868652</v>
      </c>
      <c r="K405" s="64" t="n">
        <v>-456535.84705077</v>
      </c>
      <c r="L405" s="64" t="n">
        <v>-467135.452986692</v>
      </c>
      <c r="M405" s="64" t="n">
        <v>-478005.348873979</v>
      </c>
      <c r="N405" s="64" t="n">
        <v>-489138.296241738</v>
      </c>
      <c r="O405" s="64" t="n">
        <v>-500551.793883165</v>
      </c>
      <c r="P405" s="64" t="n">
        <v>-512255.194364685</v>
      </c>
      <c r="Q405" s="64" t="n">
        <v>-524251.179858242</v>
      </c>
      <c r="R405" s="64" t="n">
        <v>-536548.264587687</v>
      </c>
      <c r="S405" s="64" t="n">
        <v>-549152.776435369</v>
      </c>
      <c r="T405" s="64" t="n">
        <v>-562069.880176873</v>
      </c>
      <c r="U405" s="64" t="n">
        <v>-575311.203222289</v>
      </c>
      <c r="V405" s="64" t="n">
        <v>-588884.883476145</v>
      </c>
      <c r="W405" s="65"/>
    </row>
    <row r="406" customFormat="false" ht="13.5" hidden="false" customHeight="false" outlineLevel="0" collapsed="false">
      <c r="A406" s="2"/>
      <c r="B406" s="119" t="s">
        <v>28</v>
      </c>
      <c r="C406" s="120" t="n">
        <v>0</v>
      </c>
      <c r="D406" s="68" t="n">
        <v>-535405.353751207</v>
      </c>
      <c r="E406" s="68" t="n">
        <v>-546702.406715361</v>
      </c>
      <c r="F406" s="68" t="n">
        <v>-558675.189422428</v>
      </c>
      <c r="G406" s="68" t="n">
        <v>-571301.24870337</v>
      </c>
      <c r="H406" s="68" t="n">
        <v>-584898.218422512</v>
      </c>
      <c r="I406" s="68" t="n">
        <v>-599555.826577049</v>
      </c>
      <c r="J406" s="68" t="n">
        <v>-614426.48136174</v>
      </c>
      <c r="K406" s="68" t="n">
        <v>-629978.885362923</v>
      </c>
      <c r="L406" s="68" t="n">
        <v>-645539.363831388</v>
      </c>
      <c r="M406" s="68" t="n">
        <v>-662000.617609086</v>
      </c>
      <c r="N406" s="68" t="n">
        <v>-678021.032555229</v>
      </c>
      <c r="O406" s="68" t="n">
        <v>-695107.162575619</v>
      </c>
      <c r="P406" s="68" t="n">
        <v>-712762.884505038</v>
      </c>
      <c r="Q406" s="68" t="n">
        <v>-730581.956617664</v>
      </c>
      <c r="R406" s="68" t="n">
        <v>-748919.563728767</v>
      </c>
      <c r="S406" s="68" t="n">
        <v>-767642.552821988</v>
      </c>
      <c r="T406" s="68" t="n">
        <v>-786680.088131972</v>
      </c>
      <c r="U406" s="68" t="n">
        <v>-806425.758344086</v>
      </c>
      <c r="V406" s="68" t="n">
        <v>-826667.044878523</v>
      </c>
      <c r="W406" s="65"/>
    </row>
    <row r="407" customFormat="false" ht="13.5" hidden="false" customHeight="false" outlineLevel="0" collapsed="false">
      <c r="A407" s="2"/>
      <c r="B407" s="121" t="s">
        <v>29</v>
      </c>
      <c r="C407" s="123" t="n">
        <v>0</v>
      </c>
      <c r="D407" s="73" t="n">
        <v>40052753.4557932</v>
      </c>
      <c r="E407" s="73" t="n">
        <v>38786850.9993846</v>
      </c>
      <c r="F407" s="73" t="n">
        <v>37080283.8253427</v>
      </c>
      <c r="G407" s="73" t="n">
        <v>35692940.5483096</v>
      </c>
      <c r="H407" s="73" t="n">
        <v>35280917.0968539</v>
      </c>
      <c r="I407" s="73" t="n">
        <v>38151435.6426893</v>
      </c>
      <c r="J407" s="73" t="n">
        <v>42043310.9459074</v>
      </c>
      <c r="K407" s="73" t="n">
        <v>43346083.590741</v>
      </c>
      <c r="L407" s="73" t="n">
        <v>44394673.5199261</v>
      </c>
      <c r="M407" s="73" t="n">
        <v>44346015.5910808</v>
      </c>
      <c r="N407" s="73" t="n">
        <v>45429464.5675768</v>
      </c>
      <c r="O407" s="73" t="n">
        <v>45522235.9430693</v>
      </c>
      <c r="P407" s="73" t="n">
        <v>45821306.9594121</v>
      </c>
      <c r="Q407" s="73" t="n">
        <v>47811755.7636839</v>
      </c>
      <c r="R407" s="73" t="n">
        <v>53061453.0216561</v>
      </c>
      <c r="S407" s="73" t="n">
        <v>51645246.4158508</v>
      </c>
      <c r="T407" s="73" t="n">
        <v>52125463.8077227</v>
      </c>
      <c r="U407" s="73" t="n">
        <v>55634819.7992905</v>
      </c>
      <c r="V407" s="73" t="n">
        <v>58364340.6801008</v>
      </c>
      <c r="W407" s="65"/>
    </row>
    <row r="408" customFormat="false" ht="12.75" hidden="false" customHeight="false" outlineLevel="0" collapsed="false">
      <c r="A408" s="2"/>
      <c r="B408" s="117" t="s">
        <v>30</v>
      </c>
      <c r="C408" s="118" t="n">
        <v>0</v>
      </c>
      <c r="D408" s="64" t="n">
        <v>-2047316.6175</v>
      </c>
      <c r="E408" s="64" t="n">
        <v>-2844446.89058</v>
      </c>
      <c r="F408" s="64" t="n">
        <v>-3165077.3662298</v>
      </c>
      <c r="G408" s="64" t="n">
        <v>-3211737.3334907</v>
      </c>
      <c r="H408" s="64" t="n">
        <v>-3206886.8481525</v>
      </c>
      <c r="I408" s="64" t="n">
        <v>-2893055.46844432</v>
      </c>
      <c r="J408" s="64" t="n">
        <v>-2351871.61033679</v>
      </c>
      <c r="K408" s="64" t="n">
        <v>-2050586.4727368</v>
      </c>
      <c r="L408" s="64" t="n">
        <v>-1865662.41460804</v>
      </c>
      <c r="M408" s="64" t="n">
        <v>-1821135.63251937</v>
      </c>
      <c r="N408" s="64" t="n">
        <v>-1935763.42996761</v>
      </c>
      <c r="O408" s="64" t="n">
        <v>-1933224.17100927</v>
      </c>
      <c r="P408" s="64" t="n">
        <v>-1933306.06185302</v>
      </c>
      <c r="Q408" s="64" t="n">
        <v>-1985984.30442208</v>
      </c>
      <c r="R408" s="64" t="n">
        <v>-2042181.49176821</v>
      </c>
      <c r="S408" s="64" t="n">
        <v>-2051636.64223472</v>
      </c>
      <c r="T408" s="64" t="n">
        <v>-2064919.04471523</v>
      </c>
      <c r="U408" s="64" t="n">
        <v>-2201241.10677015</v>
      </c>
      <c r="V408" s="64" t="n">
        <v>-2313747.20568673</v>
      </c>
      <c r="W408" s="65"/>
    </row>
    <row r="409" customFormat="false" ht="13.5" hidden="false" customHeight="false" outlineLevel="0" collapsed="false">
      <c r="A409" s="2"/>
      <c r="B409" s="119" t="s">
        <v>70</v>
      </c>
      <c r="C409" s="120" t="n">
        <v>0</v>
      </c>
      <c r="D409" s="68" t="n">
        <v>-15202174.7353173</v>
      </c>
      <c r="E409" s="68" t="n">
        <v>-14376961.6435219</v>
      </c>
      <c r="F409" s="68" t="n">
        <v>-13566082.5836452</v>
      </c>
      <c r="G409" s="68" t="n">
        <v>-12992481.2859275</v>
      </c>
      <c r="H409" s="68" t="n">
        <v>-12829612.0994806</v>
      </c>
      <c r="I409" s="68" t="n">
        <v>-14103352.069698</v>
      </c>
      <c r="J409" s="68" t="n">
        <v>-15876575.7342283</v>
      </c>
      <c r="K409" s="68" t="n">
        <v>-16518198.8472017</v>
      </c>
      <c r="L409" s="68" t="n">
        <v>-17011604.4421272</v>
      </c>
      <c r="M409" s="68" t="n">
        <v>-17009951.9834246</v>
      </c>
      <c r="N409" s="68" t="n">
        <v>-17397480.4550437</v>
      </c>
      <c r="O409" s="68" t="n">
        <v>-17435604.708824</v>
      </c>
      <c r="P409" s="68" t="n">
        <v>-17555200.3590236</v>
      </c>
      <c r="Q409" s="68" t="n">
        <v>-18330308.5837047</v>
      </c>
      <c r="R409" s="68" t="n">
        <v>-20407708.6119552</v>
      </c>
      <c r="S409" s="68" t="n">
        <v>-19837443.9094464</v>
      </c>
      <c r="T409" s="68" t="n">
        <v>-20024217.905203</v>
      </c>
      <c r="U409" s="68" t="n">
        <v>-21373431.4770081</v>
      </c>
      <c r="V409" s="68" t="n">
        <v>-22420237.3897656</v>
      </c>
      <c r="W409" s="65"/>
    </row>
    <row r="410" customFormat="false" ht="13.5" hidden="false" customHeight="false" outlineLevel="0" collapsed="false">
      <c r="A410" s="2"/>
      <c r="B410" s="121" t="s">
        <v>32</v>
      </c>
      <c r="C410" s="123" t="n">
        <v>0</v>
      </c>
      <c r="D410" s="73" t="n">
        <v>22803262.1029759</v>
      </c>
      <c r="E410" s="73" t="n">
        <v>21565442.4652828</v>
      </c>
      <c r="F410" s="73" t="n">
        <v>20349123.8754678</v>
      </c>
      <c r="G410" s="73" t="n">
        <v>19488721.9288913</v>
      </c>
      <c r="H410" s="73" t="n">
        <v>19244418.1492208</v>
      </c>
      <c r="I410" s="73" t="n">
        <v>21155028.104547</v>
      </c>
      <c r="J410" s="73" t="n">
        <v>23814863.6013424</v>
      </c>
      <c r="K410" s="73" t="n">
        <v>24777298.2708025</v>
      </c>
      <c r="L410" s="73" t="n">
        <v>25517406.6631909</v>
      </c>
      <c r="M410" s="73" t="n">
        <v>25514927.9751368</v>
      </c>
      <c r="N410" s="73" t="n">
        <v>26096220.6825655</v>
      </c>
      <c r="O410" s="73" t="n">
        <v>26153407.063236</v>
      </c>
      <c r="P410" s="73" t="n">
        <v>26332800.5385354</v>
      </c>
      <c r="Q410" s="73" t="n">
        <v>27495462.8755571</v>
      </c>
      <c r="R410" s="73" t="n">
        <v>30611562.9179327</v>
      </c>
      <c r="S410" s="73" t="n">
        <v>29756165.8641697</v>
      </c>
      <c r="T410" s="73" t="n">
        <v>30036326.8578045</v>
      </c>
      <c r="U410" s="73" t="n">
        <v>32060147.2155122</v>
      </c>
      <c r="V410" s="73" t="n">
        <v>33630356.0846485</v>
      </c>
      <c r="W410" s="65"/>
    </row>
    <row r="411" customFormat="false" ht="12.75" hidden="false" customHeight="false" outlineLevel="0" collapsed="false">
      <c r="A411" s="2"/>
      <c r="B411" s="117" t="s">
        <v>30</v>
      </c>
      <c r="C411" s="118" t="n">
        <v>0</v>
      </c>
      <c r="D411" s="64" t="n">
        <v>2047316.6175</v>
      </c>
      <c r="E411" s="64" t="n">
        <v>2844446.89058</v>
      </c>
      <c r="F411" s="64" t="n">
        <v>3165077.3662298</v>
      </c>
      <c r="G411" s="64" t="n">
        <v>3211737.3334907</v>
      </c>
      <c r="H411" s="64" t="n">
        <v>3206886.8481525</v>
      </c>
      <c r="I411" s="64" t="n">
        <v>2893055.46844432</v>
      </c>
      <c r="J411" s="64" t="n">
        <v>2351871.61033679</v>
      </c>
      <c r="K411" s="64" t="n">
        <v>2050586.4727368</v>
      </c>
      <c r="L411" s="64" t="n">
        <v>1865662.41460804</v>
      </c>
      <c r="M411" s="64" t="n">
        <v>1821135.63251937</v>
      </c>
      <c r="N411" s="64" t="n">
        <v>1935763.42996761</v>
      </c>
      <c r="O411" s="64" t="n">
        <v>1933224.17100927</v>
      </c>
      <c r="P411" s="64" t="n">
        <v>1933306.06185302</v>
      </c>
      <c r="Q411" s="64" t="n">
        <v>1985984.30442208</v>
      </c>
      <c r="R411" s="64" t="n">
        <v>2042181.49176821</v>
      </c>
      <c r="S411" s="64" t="n">
        <v>2051636.64223472</v>
      </c>
      <c r="T411" s="64" t="n">
        <v>2064919.04471523</v>
      </c>
      <c r="U411" s="64" t="n">
        <v>2201241.10677015</v>
      </c>
      <c r="V411" s="64" t="n">
        <v>2313747.20568673</v>
      </c>
      <c r="W411" s="65"/>
    </row>
    <row r="412" customFormat="false" ht="12.75" hidden="false" customHeight="false" outlineLevel="0" collapsed="false">
      <c r="A412" s="2"/>
      <c r="B412" s="117" t="s">
        <v>33</v>
      </c>
      <c r="C412" s="118" t="n">
        <v>0</v>
      </c>
      <c r="D412" s="64" t="n">
        <v>-974492</v>
      </c>
      <c r="E412" s="64" t="n">
        <v>-1680395.92</v>
      </c>
      <c r="F412" s="64" t="n">
        <v>-313481.09</v>
      </c>
      <c r="G412" s="64" t="n">
        <v>-941658.43</v>
      </c>
      <c r="H412" s="64" t="n">
        <v>-1979460.488</v>
      </c>
      <c r="I412" s="64" t="n">
        <v>-2038844.30264</v>
      </c>
      <c r="J412" s="64" t="n">
        <v>-2100009.6317192</v>
      </c>
      <c r="K412" s="64" t="n">
        <v>-2163009.92067078</v>
      </c>
      <c r="L412" s="64" t="n">
        <v>-2227900.2182909</v>
      </c>
      <c r="M412" s="64" t="n">
        <v>-2294737.22483963</v>
      </c>
      <c r="N412" s="64" t="n">
        <v>-2363579.34158482</v>
      </c>
      <c r="O412" s="64" t="n">
        <v>-2434486.72183236</v>
      </c>
      <c r="P412" s="64" t="n">
        <v>-2507521.32348733</v>
      </c>
      <c r="Q412" s="64" t="n">
        <v>-2582746.96319195</v>
      </c>
      <c r="R412" s="64" t="n">
        <v>-2660229.37208771</v>
      </c>
      <c r="S412" s="64" t="n">
        <v>-2740036.25325034</v>
      </c>
      <c r="T412" s="64" t="n">
        <v>-2822237.34084785</v>
      </c>
      <c r="U412" s="64" t="n">
        <v>-2906904.46107329</v>
      </c>
      <c r="V412" s="64" t="n">
        <v>-2994111.59490549</v>
      </c>
      <c r="W412" s="65"/>
    </row>
    <row r="413" customFormat="false" ht="13.5" hidden="false" customHeight="false" outlineLevel="0" collapsed="false">
      <c r="A413" s="2"/>
      <c r="B413" s="119" t="s">
        <v>34</v>
      </c>
      <c r="C413" s="120" t="n">
        <v>0</v>
      </c>
      <c r="D413" s="68" t="n">
        <v>-6225024</v>
      </c>
      <c r="E413" s="68" t="n">
        <v>-4058147.2</v>
      </c>
      <c r="F413" s="68" t="n">
        <v>-2200091.69</v>
      </c>
      <c r="G413" s="68" t="n">
        <v>0</v>
      </c>
      <c r="H413" s="68" t="n">
        <v>0</v>
      </c>
      <c r="I413" s="68" t="n">
        <v>0</v>
      </c>
      <c r="J413" s="68" t="n">
        <v>0</v>
      </c>
      <c r="K413" s="68" t="n">
        <v>0</v>
      </c>
      <c r="L413" s="68" t="n">
        <v>0</v>
      </c>
      <c r="M413" s="68" t="n">
        <v>0</v>
      </c>
      <c r="N413" s="68" t="n">
        <v>0</v>
      </c>
      <c r="O413" s="68" t="n">
        <v>0</v>
      </c>
      <c r="P413" s="68" t="n">
        <v>0</v>
      </c>
      <c r="Q413" s="68" t="n">
        <v>0</v>
      </c>
      <c r="R413" s="68" t="n">
        <v>0</v>
      </c>
      <c r="S413" s="68" t="n">
        <v>0</v>
      </c>
      <c r="T413" s="68" t="n">
        <v>0</v>
      </c>
      <c r="U413" s="68" t="n">
        <v>0</v>
      </c>
      <c r="V413" s="68" t="n">
        <v>0</v>
      </c>
      <c r="W413" s="65"/>
    </row>
    <row r="414" customFormat="false" ht="13.5" hidden="false" customHeight="false" outlineLevel="0" collapsed="false">
      <c r="A414" s="2"/>
      <c r="B414" s="117"/>
      <c r="C414" s="124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</row>
    <row r="415" customFormat="false" ht="12.75" hidden="false" customHeight="false" outlineLevel="0" collapsed="false">
      <c r="A415" s="2"/>
      <c r="B415" s="121" t="s">
        <v>35</v>
      </c>
      <c r="C415" s="123" t="n">
        <v>0</v>
      </c>
      <c r="D415" s="73" t="n">
        <v>17651062.7204759</v>
      </c>
      <c r="E415" s="73" t="n">
        <v>18671346.2358628</v>
      </c>
      <c r="F415" s="73" t="n">
        <v>21000628.4616976</v>
      </c>
      <c r="G415" s="73" t="n">
        <v>21758800.832382</v>
      </c>
      <c r="H415" s="73" t="n">
        <v>20471844.5093733</v>
      </c>
      <c r="I415" s="73" t="n">
        <v>22009239.2703513</v>
      </c>
      <c r="J415" s="73" t="n">
        <v>24066725.57996</v>
      </c>
      <c r="K415" s="73" t="n">
        <v>24664874.8228685</v>
      </c>
      <c r="L415" s="73" t="n">
        <v>25155168.859508</v>
      </c>
      <c r="M415" s="73" t="n">
        <v>25041326.3828166</v>
      </c>
      <c r="N415" s="73" t="n">
        <v>25668404.7709483</v>
      </c>
      <c r="O415" s="73" t="n">
        <v>25652144.5124129</v>
      </c>
      <c r="P415" s="73" t="n">
        <v>25758585.2769011</v>
      </c>
      <c r="Q415" s="73" t="n">
        <v>26898700.2167872</v>
      </c>
      <c r="R415" s="73" t="n">
        <v>29993515.0376132</v>
      </c>
      <c r="S415" s="73" t="n">
        <v>29067766.253154</v>
      </c>
      <c r="T415" s="73" t="n">
        <v>29279008.5616718</v>
      </c>
      <c r="U415" s="73" t="n">
        <v>31354483.8612091</v>
      </c>
      <c r="V415" s="73" t="n">
        <v>32949991.6954297</v>
      </c>
      <c r="W415" s="71" t="n">
        <v>173070289.805915</v>
      </c>
    </row>
    <row r="416" customFormat="false" ht="12.75" hidden="false" customHeight="false" outlineLevel="0" collapsed="false">
      <c r="A416" s="2"/>
      <c r="B416" s="12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customFormat="false" ht="12.75" hidden="false" customHeight="false" outlineLevel="0" collapsed="false">
      <c r="A417" s="48" t="s">
        <v>36</v>
      </c>
      <c r="B417" s="126" t="s">
        <v>37</v>
      </c>
      <c r="C417" s="76" t="n">
        <v>74828326.8235713</v>
      </c>
      <c r="D417" s="2"/>
      <c r="E417" s="127" t="s">
        <v>38</v>
      </c>
      <c r="F417" s="128" t="s">
        <v>37</v>
      </c>
      <c r="G417" s="79" t="n">
        <v>74828326.8235713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customFormat="false" ht="12.75" hidden="false" customHeight="false" outlineLevel="0" collapsed="false">
      <c r="A418" s="2"/>
      <c r="B418" s="126" t="s">
        <v>39</v>
      </c>
      <c r="C418" s="76" t="n">
        <v>118643446.343935</v>
      </c>
      <c r="D418" s="2"/>
      <c r="E418" s="129"/>
      <c r="F418" s="128" t="s">
        <v>39</v>
      </c>
      <c r="G418" s="79" t="n">
        <v>118643446.343935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customFormat="false" ht="13.5" hidden="false" customHeight="false" outlineLevel="0" collapsed="false">
      <c r="A419" s="2"/>
      <c r="B419" s="130" t="s">
        <v>40</v>
      </c>
      <c r="C419" s="82" t="n">
        <v>25725795.7799412</v>
      </c>
      <c r="D419" s="131"/>
      <c r="E419" s="129"/>
      <c r="F419" s="128" t="s">
        <v>40</v>
      </c>
      <c r="G419" s="79" t="n">
        <v>25725795.7799412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customFormat="false" ht="14.25" hidden="false" customHeight="false" outlineLevel="0" collapsed="false">
      <c r="A420" s="2"/>
      <c r="B420" s="126" t="s">
        <v>41</v>
      </c>
      <c r="C420" s="76" t="n">
        <v>219197568.947447</v>
      </c>
      <c r="D420" s="132"/>
      <c r="E420" s="129"/>
      <c r="F420" s="133" t="s">
        <v>42</v>
      </c>
      <c r="G420" s="85" t="n">
        <v>0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customFormat="false" ht="13.5" hidden="false" customHeight="false" outlineLevel="0" collapsed="false">
      <c r="A421" s="2"/>
      <c r="B421" s="125"/>
      <c r="C421" s="134"/>
      <c r="D421" s="2"/>
      <c r="E421" s="135"/>
      <c r="F421" s="128" t="s">
        <v>41</v>
      </c>
      <c r="G421" s="79" t="n">
        <v>219197568.947447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customFormat="false" ht="12.75" hidden="false" customHeight="false" outlineLevel="0" collapsed="false">
      <c r="A422" s="2"/>
      <c r="B422" s="125"/>
      <c r="C422" s="134"/>
      <c r="D422" s="2"/>
      <c r="E422" s="135"/>
      <c r="F422" s="128"/>
      <c r="G422" s="13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customFormat="false" ht="12.75" hidden="false" customHeight="false" outlineLevel="0" collapsed="false">
      <c r="A423" s="2"/>
      <c r="B423" s="125"/>
      <c r="C423" s="134"/>
      <c r="D423" s="2"/>
      <c r="E423" s="135"/>
      <c r="F423" s="128"/>
      <c r="G423" s="13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customFormat="false" ht="12.75" hidden="false" customHeight="false" outlineLevel="0" collapsed="false">
      <c r="A424" s="2"/>
      <c r="B424" s="137" t="s">
        <v>43</v>
      </c>
      <c r="C424" s="134"/>
      <c r="D424" s="2"/>
      <c r="E424" s="135"/>
      <c r="F424" s="128"/>
      <c r="G424" s="13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customFormat="false" ht="12.75" hidden="false" customHeight="false" outlineLevel="0" collapsed="false">
      <c r="A425" s="87" t="s">
        <v>44</v>
      </c>
      <c r="B425" s="137" t="s">
        <v>45</v>
      </c>
      <c r="C425" s="138"/>
      <c r="D425" s="88" t="n">
        <v>22803262.1029759</v>
      </c>
      <c r="E425" s="88" t="n">
        <v>21565442.4652828</v>
      </c>
      <c r="F425" s="88" t="n">
        <v>20349123.8754678</v>
      </c>
      <c r="G425" s="88" t="n">
        <v>19488721.9288913</v>
      </c>
      <c r="H425" s="88" t="n">
        <v>19244418.1492208</v>
      </c>
      <c r="I425" s="88" t="n">
        <v>21155028.104547</v>
      </c>
      <c r="J425" s="88" t="n">
        <v>23814863.6013424</v>
      </c>
      <c r="K425" s="88" t="n">
        <v>24777298.2708025</v>
      </c>
      <c r="L425" s="88" t="n">
        <v>25517406.6631909</v>
      </c>
      <c r="M425" s="88" t="n">
        <v>25514927.9751368</v>
      </c>
      <c r="N425" s="88" t="n">
        <v>26096220.6825655</v>
      </c>
      <c r="O425" s="88" t="n">
        <v>26153407.063236</v>
      </c>
      <c r="P425" s="88" t="n">
        <v>26332800.5385354</v>
      </c>
      <c r="Q425" s="88" t="n">
        <v>27495462.8755571</v>
      </c>
      <c r="R425" s="88" t="n">
        <v>30611562.9179327</v>
      </c>
      <c r="S425" s="88" t="n">
        <v>29756165.8641697</v>
      </c>
      <c r="T425" s="88" t="n">
        <v>30036326.8578045</v>
      </c>
      <c r="U425" s="88" t="n">
        <v>32060147.2155122</v>
      </c>
      <c r="V425" s="88" t="n">
        <v>33630356.0846485</v>
      </c>
      <c r="W425" s="2"/>
    </row>
    <row r="426" customFormat="false" ht="12.75" hidden="false" customHeight="false" outlineLevel="0" collapsed="false">
      <c r="A426" s="2"/>
      <c r="B426" s="125" t="s">
        <v>46</v>
      </c>
      <c r="C426" s="134"/>
      <c r="D426" s="65" t="n">
        <v>15202174.7353173</v>
      </c>
      <c r="E426" s="65" t="n">
        <v>14376961.6435219</v>
      </c>
      <c r="F426" s="65" t="n">
        <v>13566082.5836452</v>
      </c>
      <c r="G426" s="65" t="n">
        <v>12992481.2859275</v>
      </c>
      <c r="H426" s="65" t="n">
        <v>12829612.0994806</v>
      </c>
      <c r="I426" s="65" t="n">
        <v>14103352.069698</v>
      </c>
      <c r="J426" s="65" t="n">
        <v>15876575.7342283</v>
      </c>
      <c r="K426" s="65" t="n">
        <v>16518198.8472017</v>
      </c>
      <c r="L426" s="65" t="n">
        <v>17011604.4421272</v>
      </c>
      <c r="M426" s="65" t="n">
        <v>17009951.9834246</v>
      </c>
      <c r="N426" s="65" t="n">
        <v>17397480.4550437</v>
      </c>
      <c r="O426" s="65" t="n">
        <v>17435604.708824</v>
      </c>
      <c r="P426" s="65" t="n">
        <v>17555200.3590236</v>
      </c>
      <c r="Q426" s="65" t="n">
        <v>18330308.5837047</v>
      </c>
      <c r="R426" s="65" t="n">
        <v>20407708.6119552</v>
      </c>
      <c r="S426" s="65" t="n">
        <v>19837443.9094464</v>
      </c>
      <c r="T426" s="65" t="n">
        <v>20024217.905203</v>
      </c>
      <c r="U426" s="65" t="n">
        <v>21373431.4770081</v>
      </c>
      <c r="V426" s="65" t="n">
        <v>22420237.3897656</v>
      </c>
      <c r="W426" s="2"/>
    </row>
    <row r="427" customFormat="false" ht="12.75" hidden="false" customHeight="false" outlineLevel="0" collapsed="false">
      <c r="A427" s="2"/>
      <c r="B427" s="139" t="s">
        <v>47</v>
      </c>
      <c r="C427" s="140"/>
      <c r="D427" s="65" t="n">
        <v>2047316.6175</v>
      </c>
      <c r="E427" s="65" t="n">
        <v>2844446.89058</v>
      </c>
      <c r="F427" s="65" t="n">
        <v>3165077.3662298</v>
      </c>
      <c r="G427" s="65" t="n">
        <v>3211737.3334907</v>
      </c>
      <c r="H427" s="65" t="n">
        <v>3206886.8481525</v>
      </c>
      <c r="I427" s="65" t="n">
        <v>2893055.46844432</v>
      </c>
      <c r="J427" s="65" t="n">
        <v>2351871.61033679</v>
      </c>
      <c r="K427" s="65" t="n">
        <v>2050586.4727368</v>
      </c>
      <c r="L427" s="65" t="n">
        <v>1865662.41460804</v>
      </c>
      <c r="M427" s="65" t="n">
        <v>1821135.63251937</v>
      </c>
      <c r="N427" s="65" t="n">
        <v>1935763.42996761</v>
      </c>
      <c r="O427" s="65" t="n">
        <v>1933224.17100927</v>
      </c>
      <c r="P427" s="65" t="n">
        <v>1933306.06185302</v>
      </c>
      <c r="Q427" s="65" t="n">
        <v>1985984.30442208</v>
      </c>
      <c r="R427" s="65" t="n">
        <v>2042181.49176821</v>
      </c>
      <c r="S427" s="65" t="n">
        <v>2051636.64223472</v>
      </c>
      <c r="T427" s="65" t="n">
        <v>2064919.04471523</v>
      </c>
      <c r="U427" s="65" t="n">
        <v>2201241.10677015</v>
      </c>
      <c r="V427" s="65" t="n">
        <v>2313747.20568673</v>
      </c>
      <c r="W427" s="2"/>
    </row>
    <row r="428" customFormat="false" ht="13.5" hidden="false" customHeight="false" outlineLevel="0" collapsed="false">
      <c r="A428" s="2"/>
      <c r="B428" s="141" t="s">
        <v>48</v>
      </c>
      <c r="C428" s="142"/>
      <c r="D428" s="93" t="n">
        <v>40052753.4557932</v>
      </c>
      <c r="E428" s="93" t="n">
        <v>38786850.9993846</v>
      </c>
      <c r="F428" s="93" t="n">
        <v>37080283.8253427</v>
      </c>
      <c r="G428" s="93" t="n">
        <v>35692940.5483096</v>
      </c>
      <c r="H428" s="93" t="n">
        <v>35280917.0968539</v>
      </c>
      <c r="I428" s="93" t="n">
        <v>38151435.6426893</v>
      </c>
      <c r="J428" s="93" t="n">
        <v>42043310.9459074</v>
      </c>
      <c r="K428" s="93" t="n">
        <v>43346083.590741</v>
      </c>
      <c r="L428" s="93" t="n">
        <v>44394673.5199261</v>
      </c>
      <c r="M428" s="93" t="n">
        <v>44346015.5910808</v>
      </c>
      <c r="N428" s="93" t="n">
        <v>45429464.5675768</v>
      </c>
      <c r="O428" s="93" t="n">
        <v>45522235.9430693</v>
      </c>
      <c r="P428" s="93" t="n">
        <v>45821306.9594121</v>
      </c>
      <c r="Q428" s="93" t="n">
        <v>47811755.7636839</v>
      </c>
      <c r="R428" s="93" t="n">
        <v>53061453.0216561</v>
      </c>
      <c r="S428" s="93" t="n">
        <v>51645246.4158508</v>
      </c>
      <c r="T428" s="93" t="n">
        <v>52125463.8077227</v>
      </c>
      <c r="U428" s="93" t="n">
        <v>55634819.7992905</v>
      </c>
      <c r="V428" s="93" t="n">
        <v>58364340.6801008</v>
      </c>
      <c r="W428" s="2"/>
    </row>
    <row r="429" customFormat="false" ht="13.5" hidden="false" customHeight="false" outlineLevel="0" collapsed="false">
      <c r="A429" s="87" t="s">
        <v>49</v>
      </c>
      <c r="B429" s="125" t="s">
        <v>50</v>
      </c>
      <c r="C429" s="134"/>
      <c r="D429" s="65" t="n">
        <v>-2740671.10553438</v>
      </c>
      <c r="E429" s="65" t="n">
        <v>-3027598.26153438</v>
      </c>
      <c r="F429" s="65" t="n">
        <v>-3043272.31603438</v>
      </c>
      <c r="G429" s="65" t="n">
        <v>-3090355.23753438</v>
      </c>
      <c r="H429" s="65" t="n">
        <v>-3189328.26193438</v>
      </c>
      <c r="I429" s="65" t="n">
        <v>-3291270.47706638</v>
      </c>
      <c r="J429" s="65" t="n">
        <v>-3396270.95865234</v>
      </c>
      <c r="K429" s="65" t="n">
        <v>-3504421.45468588</v>
      </c>
      <c r="L429" s="65" t="n">
        <v>-3615816.46560042</v>
      </c>
      <c r="M429" s="65" t="n">
        <v>-3730553.32684241</v>
      </c>
      <c r="N429" s="65" t="n">
        <v>-3848732.29392165</v>
      </c>
      <c r="O429" s="65" t="n">
        <v>-3970456.63001326</v>
      </c>
      <c r="P429" s="65" t="n">
        <v>-4095832.69618763</v>
      </c>
      <c r="Q429" s="65" t="n">
        <v>-4224970.04434723</v>
      </c>
      <c r="R429" s="65" t="n">
        <v>-3428574.67545163</v>
      </c>
      <c r="S429" s="65" t="n">
        <v>-2234904.16311413</v>
      </c>
      <c r="T429" s="65" t="n">
        <v>-2374811.75765652</v>
      </c>
      <c r="U429" s="65" t="n">
        <v>-2520156.98071019</v>
      </c>
      <c r="V429" s="65" t="n">
        <v>-2669862.56045546</v>
      </c>
      <c r="W429" s="2"/>
    </row>
    <row r="430" customFormat="false" ht="12.75" hidden="false" customHeight="false" outlineLevel="0" collapsed="false">
      <c r="A430" s="2"/>
      <c r="B430" s="125" t="s">
        <v>51</v>
      </c>
      <c r="C430" s="134"/>
      <c r="D430" s="65" t="n">
        <v>0</v>
      </c>
      <c r="E430" s="65" t="n">
        <v>0</v>
      </c>
      <c r="F430" s="65" t="n">
        <v>0</v>
      </c>
      <c r="G430" s="65" t="n">
        <v>0</v>
      </c>
      <c r="H430" s="65" t="n">
        <v>0</v>
      </c>
      <c r="I430" s="65" t="n">
        <v>0</v>
      </c>
      <c r="J430" s="65" t="n">
        <v>0</v>
      </c>
      <c r="K430" s="65" t="n">
        <v>0</v>
      </c>
      <c r="L430" s="65" t="n">
        <v>0</v>
      </c>
      <c r="M430" s="65" t="n">
        <v>0</v>
      </c>
      <c r="N430" s="65" t="n">
        <v>0</v>
      </c>
      <c r="O430" s="65" t="n">
        <v>0</v>
      </c>
      <c r="P430" s="65" t="n">
        <v>0</v>
      </c>
      <c r="Q430" s="65" t="n">
        <v>0</v>
      </c>
      <c r="R430" s="65" t="n">
        <v>0</v>
      </c>
      <c r="S430" s="65" t="n">
        <v>0</v>
      </c>
      <c r="T430" s="65" t="n">
        <v>0</v>
      </c>
      <c r="U430" s="65" t="n">
        <v>0</v>
      </c>
      <c r="V430" s="65" t="n">
        <v>0</v>
      </c>
      <c r="W430" s="2"/>
    </row>
    <row r="431" customFormat="false" ht="12.75" hidden="false" customHeight="false" outlineLevel="0" collapsed="false">
      <c r="A431" s="2"/>
      <c r="B431" s="137" t="s">
        <v>52</v>
      </c>
      <c r="C431" s="138"/>
      <c r="D431" s="88" t="n">
        <v>37312082.3502588</v>
      </c>
      <c r="E431" s="88" t="n">
        <v>35759252.7378503</v>
      </c>
      <c r="F431" s="88" t="n">
        <v>34037011.5093083</v>
      </c>
      <c r="G431" s="88" t="n">
        <v>32602585.3107752</v>
      </c>
      <c r="H431" s="88" t="n">
        <v>32091588.8349195</v>
      </c>
      <c r="I431" s="88" t="n">
        <v>34860165.165623</v>
      </c>
      <c r="J431" s="88" t="n">
        <v>38647039.9872551</v>
      </c>
      <c r="K431" s="88" t="n">
        <v>39841662.1360551</v>
      </c>
      <c r="L431" s="88" t="n">
        <v>40778857.0543257</v>
      </c>
      <c r="M431" s="88" t="n">
        <v>40615462.2642384</v>
      </c>
      <c r="N431" s="88" t="n">
        <v>41580732.2736552</v>
      </c>
      <c r="O431" s="88" t="n">
        <v>41551779.313056</v>
      </c>
      <c r="P431" s="88" t="n">
        <v>41725474.2632244</v>
      </c>
      <c r="Q431" s="88" t="n">
        <v>43586785.7193367</v>
      </c>
      <c r="R431" s="88" t="n">
        <v>49632878.3462045</v>
      </c>
      <c r="S431" s="88" t="n">
        <v>49410342.2527367</v>
      </c>
      <c r="T431" s="88" t="n">
        <v>49750652.0500661</v>
      </c>
      <c r="U431" s="88" t="n">
        <v>53114662.8185803</v>
      </c>
      <c r="V431" s="88" t="n">
        <v>55694478.1196454</v>
      </c>
      <c r="W431" s="2"/>
    </row>
    <row r="432" customFormat="false" ht="13.5" hidden="false" customHeight="false" outlineLevel="0" collapsed="false">
      <c r="A432" s="2"/>
      <c r="B432" s="143" t="s">
        <v>53</v>
      </c>
      <c r="C432" s="144"/>
      <c r="D432" s="96" t="n">
        <v>-14924832.9401035</v>
      </c>
      <c r="E432" s="96" t="n">
        <v>-14303701.0951401</v>
      </c>
      <c r="F432" s="96" t="n">
        <v>-13614804.6037233</v>
      </c>
      <c r="G432" s="96" t="n">
        <v>-13041034.1243101</v>
      </c>
      <c r="H432" s="96" t="n">
        <v>-12836635.5339678</v>
      </c>
      <c r="I432" s="96" t="n">
        <v>-13944066.0662492</v>
      </c>
      <c r="J432" s="96" t="n">
        <v>-15458815.994902</v>
      </c>
      <c r="K432" s="96" t="n">
        <v>-15936664.854422</v>
      </c>
      <c r="L432" s="96" t="n">
        <v>-16311542.8217303</v>
      </c>
      <c r="M432" s="96" t="n">
        <v>-16246184.9056953</v>
      </c>
      <c r="N432" s="96" t="n">
        <v>-16632292.9094621</v>
      </c>
      <c r="O432" s="96" t="n">
        <v>-16620711.7252224</v>
      </c>
      <c r="P432" s="96" t="n">
        <v>-16690189.7052898</v>
      </c>
      <c r="Q432" s="96" t="n">
        <v>-17434714.2877347</v>
      </c>
      <c r="R432" s="96" t="n">
        <v>-19853151.3384818</v>
      </c>
      <c r="S432" s="96" t="n">
        <v>-19764136.9010947</v>
      </c>
      <c r="T432" s="96" t="n">
        <v>-19900260.8200265</v>
      </c>
      <c r="U432" s="96" t="n">
        <v>-21245865.1274321</v>
      </c>
      <c r="V432" s="96" t="n">
        <v>-22277791.2478581</v>
      </c>
      <c r="W432" s="2"/>
    </row>
    <row r="433" customFormat="false" ht="13.5" hidden="false" customHeight="false" outlineLevel="0" collapsed="false">
      <c r="A433" s="2"/>
      <c r="B433" s="137" t="s">
        <v>54</v>
      </c>
      <c r="C433" s="138"/>
      <c r="D433" s="88" t="n">
        <v>22387249.4101553</v>
      </c>
      <c r="E433" s="88" t="n">
        <v>21455551.6427102</v>
      </c>
      <c r="F433" s="88" t="n">
        <v>20422206.905585</v>
      </c>
      <c r="G433" s="88" t="n">
        <v>19561551.1864651</v>
      </c>
      <c r="H433" s="88" t="n">
        <v>19254953.3009517</v>
      </c>
      <c r="I433" s="88" t="n">
        <v>20916099.0993738</v>
      </c>
      <c r="J433" s="88" t="n">
        <v>23188223.9923531</v>
      </c>
      <c r="K433" s="88" t="n">
        <v>23904997.2816331</v>
      </c>
      <c r="L433" s="88" t="n">
        <v>24467314.2325954</v>
      </c>
      <c r="M433" s="88" t="n">
        <v>24369277.358543</v>
      </c>
      <c r="N433" s="88" t="n">
        <v>24948439.3641931</v>
      </c>
      <c r="O433" s="88" t="n">
        <v>24931067.5878336</v>
      </c>
      <c r="P433" s="88" t="n">
        <v>25035284.5579347</v>
      </c>
      <c r="Q433" s="88" t="n">
        <v>26152071.431602</v>
      </c>
      <c r="R433" s="88" t="n">
        <v>29779727.0077227</v>
      </c>
      <c r="S433" s="88" t="n">
        <v>29646205.351642</v>
      </c>
      <c r="T433" s="88" t="n">
        <v>29850391.2300397</v>
      </c>
      <c r="U433" s="88" t="n">
        <v>31868797.6911482</v>
      </c>
      <c r="V433" s="88" t="n">
        <v>33416686.8717872</v>
      </c>
      <c r="W433" s="2"/>
    </row>
    <row r="434" customFormat="false" ht="12.75" hidden="false" customHeight="false" outlineLevel="0" collapsed="false">
      <c r="A434" s="2"/>
      <c r="B434" s="2"/>
      <c r="C434" s="134"/>
      <c r="D434" s="2"/>
      <c r="E434" s="135"/>
      <c r="F434" s="128"/>
      <c r="G434" s="13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customFormat="false" ht="15.75" hidden="false" customHeight="false" outlineLevel="0" collapsed="false">
      <c r="A435" s="97" t="s">
        <v>55</v>
      </c>
      <c r="B435" s="14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customFormat="false" ht="12.75" hidden="false" customHeight="false" outlineLevel="0" collapsed="false">
      <c r="A436" s="99" t="s">
        <v>56</v>
      </c>
      <c r="B436" s="49"/>
      <c r="C436" s="101" t="n">
        <v>0</v>
      </c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</row>
    <row r="437" customFormat="false" ht="12.75" hidden="false" customHeight="false" outlineLevel="0" collapsed="false">
      <c r="A437" s="99" t="s">
        <v>57</v>
      </c>
      <c r="B437" s="49"/>
      <c r="C437" s="146" t="n">
        <v>0</v>
      </c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</row>
    <row r="438" customFormat="false" ht="12.75" hidden="false" customHeight="false" outlineLevel="0" collapsed="false">
      <c r="A438" s="99" t="s">
        <v>58</v>
      </c>
      <c r="B438" s="49"/>
      <c r="C438" s="99" t="n">
        <v>15</v>
      </c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</row>
    <row r="439" customFormat="false" ht="12.75" hidden="false" customHeight="false" outlineLevel="0" collapsed="false">
      <c r="A439" s="99" t="s">
        <v>59</v>
      </c>
      <c r="B439" s="49"/>
      <c r="C439" s="146" t="n">
        <v>0</v>
      </c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</row>
    <row r="440" customFormat="false" ht="12.75" hidden="false" customHeight="false" outlineLevel="0" collapsed="false">
      <c r="A440" s="99" t="s">
        <v>60</v>
      </c>
      <c r="B440" s="49"/>
      <c r="C440" s="147" t="n">
        <v>0.0875</v>
      </c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</row>
    <row r="441" customFormat="false" ht="12.75" hidden="false" customHeight="false" outlineLevel="0" collapsed="false">
      <c r="A441" s="99"/>
      <c r="B441" s="49"/>
      <c r="C441" s="107"/>
      <c r="D441" s="58" t="n">
        <v>2001</v>
      </c>
      <c r="E441" s="58" t="n">
        <v>2002</v>
      </c>
      <c r="F441" s="58" t="n">
        <v>2003</v>
      </c>
      <c r="G441" s="58" t="n">
        <v>2004</v>
      </c>
      <c r="H441" s="58" t="n">
        <v>2005</v>
      </c>
      <c r="I441" s="58" t="n">
        <v>2006</v>
      </c>
      <c r="J441" s="58" t="n">
        <v>2007</v>
      </c>
      <c r="K441" s="58" t="n">
        <v>2008</v>
      </c>
      <c r="L441" s="58" t="n">
        <v>2009</v>
      </c>
      <c r="M441" s="58" t="n">
        <v>2010</v>
      </c>
      <c r="N441" s="58" t="n">
        <v>2011</v>
      </c>
      <c r="O441" s="58" t="n">
        <v>2012</v>
      </c>
      <c r="P441" s="58" t="n">
        <v>2013</v>
      </c>
      <c r="Q441" s="58" t="n">
        <v>2014</v>
      </c>
      <c r="R441" s="58" t="n">
        <v>2015</v>
      </c>
      <c r="S441" s="58" t="n">
        <v>2016</v>
      </c>
      <c r="T441" s="58" t="n">
        <v>2017</v>
      </c>
      <c r="U441" s="58" t="n">
        <v>2018</v>
      </c>
      <c r="V441" s="58" t="n">
        <v>2019</v>
      </c>
      <c r="W441" s="58" t="s">
        <v>19</v>
      </c>
    </row>
    <row r="442" customFormat="false" ht="12.75" hidden="false" customHeight="false" outlineLevel="0" collapsed="false">
      <c r="A442" s="99" t="s">
        <v>61</v>
      </c>
      <c r="B442" s="49"/>
      <c r="C442" s="107"/>
      <c r="D442" s="102" t="n">
        <v>0</v>
      </c>
      <c r="E442" s="102" t="n">
        <v>0</v>
      </c>
      <c r="F442" s="102" t="n">
        <v>0</v>
      </c>
      <c r="G442" s="102" t="n">
        <v>0</v>
      </c>
      <c r="H442" s="102" t="n">
        <v>0</v>
      </c>
      <c r="I442" s="102" t="n">
        <v>0</v>
      </c>
      <c r="J442" s="102" t="n">
        <v>0</v>
      </c>
      <c r="K442" s="102" t="n">
        <v>0</v>
      </c>
      <c r="L442" s="102" t="n">
        <v>0</v>
      </c>
      <c r="M442" s="102" t="n">
        <v>0</v>
      </c>
      <c r="N442" s="102" t="n">
        <v>0</v>
      </c>
      <c r="O442" s="102" t="n">
        <v>0</v>
      </c>
      <c r="P442" s="102" t="n">
        <v>0</v>
      </c>
      <c r="Q442" s="102" t="n">
        <v>0</v>
      </c>
      <c r="R442" s="102" t="n">
        <v>0</v>
      </c>
      <c r="S442" s="102" t="n">
        <v>0</v>
      </c>
      <c r="T442" s="102" t="n">
        <v>0</v>
      </c>
      <c r="U442" s="102" t="n">
        <v>0</v>
      </c>
      <c r="V442" s="102" t="n">
        <v>0</v>
      </c>
      <c r="W442" s="102" t="n">
        <v>0</v>
      </c>
    </row>
    <row r="443" customFormat="false" ht="12.75" hidden="false" customHeight="false" outlineLevel="0" collapsed="false">
      <c r="A443" s="99" t="s">
        <v>62</v>
      </c>
      <c r="B443" s="49"/>
      <c r="C443" s="107"/>
      <c r="D443" s="102" t="n">
        <v>0</v>
      </c>
      <c r="E443" s="102" t="n">
        <v>0</v>
      </c>
      <c r="F443" s="102" t="n">
        <v>0</v>
      </c>
      <c r="G443" s="102" t="n">
        <v>0</v>
      </c>
      <c r="H443" s="102" t="n">
        <v>0</v>
      </c>
      <c r="I443" s="102" t="n">
        <v>0</v>
      </c>
      <c r="J443" s="102" t="n">
        <v>0</v>
      </c>
      <c r="K443" s="102" t="n">
        <v>0</v>
      </c>
      <c r="L443" s="102" t="n">
        <v>0</v>
      </c>
      <c r="M443" s="102" t="n">
        <v>0</v>
      </c>
      <c r="N443" s="102" t="n">
        <v>0</v>
      </c>
      <c r="O443" s="102" t="n">
        <v>0</v>
      </c>
      <c r="P443" s="102" t="n">
        <v>0</v>
      </c>
      <c r="Q443" s="102" t="n">
        <v>0</v>
      </c>
      <c r="R443" s="102" t="n">
        <v>0</v>
      </c>
      <c r="S443" s="102" t="n">
        <v>0</v>
      </c>
      <c r="T443" s="102" t="n">
        <v>0</v>
      </c>
      <c r="U443" s="102" t="n">
        <v>0</v>
      </c>
      <c r="V443" s="102" t="n">
        <v>0</v>
      </c>
      <c r="W443" s="102" t="n">
        <v>0</v>
      </c>
    </row>
    <row r="444" customFormat="false" ht="12.75" hidden="false" customHeight="false" outlineLevel="0" collapsed="false">
      <c r="A444" s="99" t="s">
        <v>63</v>
      </c>
      <c r="B444" s="49"/>
      <c r="C444" s="107"/>
      <c r="D444" s="102" t="n">
        <v>0</v>
      </c>
      <c r="E444" s="102" t="n">
        <v>0</v>
      </c>
      <c r="F444" s="102" t="n">
        <v>0</v>
      </c>
      <c r="G444" s="102" t="n">
        <v>0</v>
      </c>
      <c r="H444" s="102" t="n">
        <v>0</v>
      </c>
      <c r="I444" s="102" t="n">
        <v>0</v>
      </c>
      <c r="J444" s="102" t="n">
        <v>0</v>
      </c>
      <c r="K444" s="102" t="n">
        <v>0</v>
      </c>
      <c r="L444" s="102" t="n">
        <v>0</v>
      </c>
      <c r="M444" s="102" t="n">
        <v>0</v>
      </c>
      <c r="N444" s="102" t="n">
        <v>0</v>
      </c>
      <c r="O444" s="102" t="n">
        <v>0</v>
      </c>
      <c r="P444" s="102" t="n">
        <v>0</v>
      </c>
      <c r="Q444" s="102" t="n">
        <v>0</v>
      </c>
      <c r="R444" s="102" t="n">
        <v>0</v>
      </c>
      <c r="S444" s="102" t="n">
        <v>0</v>
      </c>
      <c r="T444" s="102" t="n">
        <v>0</v>
      </c>
      <c r="U444" s="102" t="n">
        <v>0</v>
      </c>
      <c r="V444" s="102" t="n">
        <v>0</v>
      </c>
      <c r="W444" s="102" t="n">
        <v>0</v>
      </c>
    </row>
    <row r="445" customFormat="false" ht="12.75" hidden="false" customHeight="false" outlineLevel="0" collapsed="false">
      <c r="A445" s="99" t="s">
        <v>64</v>
      </c>
      <c r="B445" s="49"/>
      <c r="C445" s="107"/>
      <c r="D445" s="105" t="n">
        <v>0</v>
      </c>
      <c r="E445" s="105" t="n">
        <v>0</v>
      </c>
      <c r="F445" s="105" t="n">
        <v>0</v>
      </c>
      <c r="G445" s="105" t="n">
        <v>0</v>
      </c>
      <c r="H445" s="105" t="n">
        <v>0</v>
      </c>
      <c r="I445" s="105" t="n">
        <v>0</v>
      </c>
      <c r="J445" s="105" t="n">
        <v>0</v>
      </c>
      <c r="K445" s="105" t="n">
        <v>0</v>
      </c>
      <c r="L445" s="105" t="n">
        <v>0</v>
      </c>
      <c r="M445" s="105" t="n">
        <v>0</v>
      </c>
      <c r="N445" s="105" t="n">
        <v>0</v>
      </c>
      <c r="O445" s="105" t="n">
        <v>0</v>
      </c>
      <c r="P445" s="105" t="n">
        <v>0</v>
      </c>
      <c r="Q445" s="105" t="n">
        <v>0</v>
      </c>
      <c r="R445" s="105" t="n">
        <v>0</v>
      </c>
      <c r="S445" s="105" t="n">
        <v>0</v>
      </c>
      <c r="T445" s="105" t="n">
        <v>0</v>
      </c>
      <c r="U445" s="105" t="n">
        <v>0</v>
      </c>
      <c r="V445" s="105" t="n">
        <v>0</v>
      </c>
      <c r="W445" s="105" t="n">
        <v>0</v>
      </c>
    </row>
    <row r="446" customFormat="false" ht="13.5" hidden="false" customHeight="false" outlineLevel="0" collapsed="false">
      <c r="A446" s="99" t="s">
        <v>65</v>
      </c>
      <c r="B446" s="49"/>
      <c r="C446" s="107"/>
      <c r="D446" s="106" t="n">
        <v>0</v>
      </c>
      <c r="E446" s="106" t="n">
        <v>0</v>
      </c>
      <c r="F446" s="106" t="n">
        <v>0</v>
      </c>
      <c r="G446" s="106" t="n">
        <v>0</v>
      </c>
      <c r="H446" s="106" t="n">
        <v>0</v>
      </c>
      <c r="I446" s="106" t="n">
        <v>0</v>
      </c>
      <c r="J446" s="106" t="n">
        <v>0</v>
      </c>
      <c r="K446" s="106" t="n">
        <v>0</v>
      </c>
      <c r="L446" s="106" t="n">
        <v>0</v>
      </c>
      <c r="M446" s="106" t="n">
        <v>0</v>
      </c>
      <c r="N446" s="106" t="n">
        <v>0</v>
      </c>
      <c r="O446" s="106" t="n">
        <v>0</v>
      </c>
      <c r="P446" s="106" t="n">
        <v>0</v>
      </c>
      <c r="Q446" s="106" t="n">
        <v>0</v>
      </c>
      <c r="R446" s="106" t="n">
        <v>0</v>
      </c>
      <c r="S446" s="106" t="n">
        <v>0</v>
      </c>
      <c r="T446" s="106" t="n">
        <v>0</v>
      </c>
      <c r="U446" s="106" t="n">
        <v>0</v>
      </c>
      <c r="V446" s="106" t="n">
        <v>0</v>
      </c>
      <c r="W446" s="106" t="n">
        <v>0</v>
      </c>
    </row>
    <row r="447" customFormat="false" ht="13.5" hidden="false" customHeight="false" outlineLevel="0" collapsed="false">
      <c r="A447" s="99"/>
      <c r="B447" s="49"/>
      <c r="C447" s="107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</row>
    <row r="448" customFormat="false" ht="12.75" hidden="false" customHeight="false" outlineLevel="0" collapsed="false">
      <c r="A448" s="99" t="s">
        <v>66</v>
      </c>
      <c r="B448" s="49"/>
      <c r="C448" s="107"/>
      <c r="D448" s="102" t="n">
        <v>0</v>
      </c>
      <c r="E448" s="102" t="n">
        <v>0</v>
      </c>
      <c r="F448" s="102" t="n">
        <v>0</v>
      </c>
      <c r="G448" s="102" t="n">
        <v>0</v>
      </c>
      <c r="H448" s="102" t="n">
        <v>0</v>
      </c>
      <c r="I448" s="102" t="n">
        <v>0</v>
      </c>
      <c r="J448" s="102" t="n">
        <v>0</v>
      </c>
      <c r="K448" s="102" t="n">
        <v>0</v>
      </c>
      <c r="L448" s="102" t="n">
        <v>0</v>
      </c>
      <c r="M448" s="102" t="n">
        <v>0</v>
      </c>
      <c r="N448" s="102" t="n">
        <v>0</v>
      </c>
      <c r="O448" s="102" t="n">
        <v>0</v>
      </c>
      <c r="P448" s="102" t="n">
        <v>0</v>
      </c>
      <c r="Q448" s="102" t="n">
        <v>0</v>
      </c>
      <c r="R448" s="102" t="n">
        <v>0</v>
      </c>
      <c r="S448" s="102" t="n">
        <v>0</v>
      </c>
      <c r="T448" s="102" t="n">
        <v>0</v>
      </c>
      <c r="U448" s="102" t="n">
        <v>0</v>
      </c>
      <c r="V448" s="102" t="n">
        <v>0</v>
      </c>
      <c r="W448" s="102" t="n">
        <v>0</v>
      </c>
    </row>
    <row r="449" customFormat="false" ht="12.75" hidden="false" customHeight="false" outlineLevel="0" collapsed="false">
      <c r="A449" s="99"/>
      <c r="B449" s="49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</row>
    <row r="450" customFormat="false" ht="12.75" hidden="false" customHeight="false" outlineLevel="0" collapsed="false">
      <c r="A450" s="99" t="s">
        <v>67</v>
      </c>
      <c r="B450" s="49"/>
      <c r="C450" s="107"/>
      <c r="D450" s="102" t="n">
        <v>0</v>
      </c>
      <c r="E450" s="102" t="n">
        <v>0</v>
      </c>
      <c r="F450" s="102" t="n">
        <v>0</v>
      </c>
      <c r="G450" s="102" t="n">
        <v>0</v>
      </c>
      <c r="H450" s="102" t="n">
        <v>0</v>
      </c>
      <c r="I450" s="102" t="n">
        <v>0</v>
      </c>
      <c r="J450" s="102" t="n">
        <v>0</v>
      </c>
      <c r="K450" s="102" t="n">
        <v>0</v>
      </c>
      <c r="L450" s="102" t="n">
        <v>0</v>
      </c>
      <c r="M450" s="102" t="n">
        <v>0</v>
      </c>
      <c r="N450" s="102" t="n">
        <v>0</v>
      </c>
      <c r="O450" s="102" t="n">
        <v>0</v>
      </c>
      <c r="P450" s="102" t="n">
        <v>0</v>
      </c>
      <c r="Q450" s="102" t="n">
        <v>0</v>
      </c>
      <c r="R450" s="102" t="n">
        <v>0</v>
      </c>
      <c r="S450" s="102" t="n">
        <v>0</v>
      </c>
      <c r="T450" s="102" t="n">
        <v>0</v>
      </c>
      <c r="U450" s="102" t="n">
        <v>0</v>
      </c>
      <c r="V450" s="102" t="n">
        <v>0</v>
      </c>
      <c r="W450" s="102" t="n">
        <v>0</v>
      </c>
    </row>
    <row r="451" customFormat="false" ht="12.75" hidden="false" customHeight="false" outlineLevel="0" collapsed="false">
      <c r="A451" s="107"/>
      <c r="B451" s="49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</row>
    <row r="452" customFormat="false" ht="12.75" hidden="false" customHeight="false" outlineLevel="0" collapsed="false">
      <c r="A452" s="107"/>
      <c r="B452" s="49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</row>
    <row r="453" customFormat="false" ht="12.75" hidden="false" customHeight="false" outlineLevel="0" collapsed="false">
      <c r="A453" s="99" t="s">
        <v>68</v>
      </c>
      <c r="B453" s="148"/>
      <c r="C453" s="149"/>
      <c r="D453" s="79" t="n">
        <v>17651062.7204759</v>
      </c>
      <c r="E453" s="79" t="n">
        <v>18671346.2358628</v>
      </c>
      <c r="F453" s="79" t="n">
        <v>21000628.4616976</v>
      </c>
      <c r="G453" s="79" t="n">
        <v>21758800.832382</v>
      </c>
      <c r="H453" s="79" t="n">
        <v>20471844.5093733</v>
      </c>
      <c r="I453" s="79" t="n">
        <v>22009239.2703513</v>
      </c>
      <c r="J453" s="79" t="n">
        <v>24066725.57996</v>
      </c>
      <c r="K453" s="79" t="n">
        <v>24664874.8228685</v>
      </c>
      <c r="L453" s="79" t="n">
        <v>25155168.859508</v>
      </c>
      <c r="M453" s="79" t="n">
        <v>25041326.3828166</v>
      </c>
      <c r="N453" s="79" t="n">
        <v>25668404.7709483</v>
      </c>
      <c r="O453" s="79" t="n">
        <v>25652144.5124129</v>
      </c>
      <c r="P453" s="79" t="n">
        <v>25758585.2769011</v>
      </c>
      <c r="Q453" s="79" t="n">
        <v>26898700.2167872</v>
      </c>
      <c r="R453" s="79" t="n">
        <v>29993515.0376132</v>
      </c>
      <c r="S453" s="79" t="n">
        <v>29067766.253154</v>
      </c>
      <c r="T453" s="79" t="n">
        <v>29279008.5616718</v>
      </c>
      <c r="U453" s="79" t="n">
        <v>31354483.8612091</v>
      </c>
      <c r="V453" s="79" t="n">
        <v>32949991.6954297</v>
      </c>
      <c r="W453" s="79" t="n">
        <v>173070289.805915</v>
      </c>
    </row>
    <row r="454" customFormat="false" ht="12.75" hidden="false" customHeight="false" outlineLevel="0" collapsed="false">
      <c r="A454" s="2"/>
      <c r="B454" s="3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customFormat="false" ht="12.75" hidden="false" customHeight="false" outlineLevel="0" collapsed="false">
      <c r="B455" s="153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16"/>
    </row>
    <row r="456" customFormat="false" ht="12.75" hidden="false" customHeight="false" outlineLevel="0" collapsed="false">
      <c r="B456" s="150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16"/>
    </row>
    <row r="457" customFormat="false" ht="12.75" hidden="false" customHeight="false" outlineLevel="0" collapsed="false">
      <c r="B457" s="150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16"/>
    </row>
    <row r="458" customFormat="false" ht="12.75" hidden="false" customHeight="false" outlineLevel="0" collapsed="false">
      <c r="B458" s="150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16"/>
    </row>
    <row r="459" customFormat="false" ht="12.75" hidden="false" customHeight="false" outlineLevel="0" collapsed="false">
      <c r="B459" s="153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16"/>
    </row>
    <row r="460" customFormat="false" ht="12.75" hidden="false" customHeight="false" outlineLevel="0" collapsed="false">
      <c r="B460" s="150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16"/>
    </row>
    <row r="461" customFormat="false" ht="12.75" hidden="false" customHeight="false" outlineLevel="0" collapsed="false">
      <c r="B461" s="150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16"/>
    </row>
    <row r="462" customFormat="false" ht="15.75" hidden="false" customHeight="false" outlineLevel="0" collapsed="false">
      <c r="A462" s="48" t="s">
        <v>17</v>
      </c>
      <c r="B462" s="57" t="s">
        <v>76</v>
      </c>
      <c r="C462" s="58" t="n">
        <v>2000</v>
      </c>
      <c r="D462" s="58" t="n">
        <v>2001</v>
      </c>
      <c r="E462" s="58" t="n">
        <v>2002</v>
      </c>
      <c r="F462" s="58" t="n">
        <v>2003</v>
      </c>
      <c r="G462" s="58" t="n">
        <v>2004</v>
      </c>
      <c r="H462" s="58" t="n">
        <v>2005</v>
      </c>
      <c r="I462" s="58" t="n">
        <v>2006</v>
      </c>
      <c r="J462" s="58" t="n">
        <v>2007</v>
      </c>
      <c r="K462" s="58" t="n">
        <v>2008</v>
      </c>
      <c r="L462" s="58" t="n">
        <v>2009</v>
      </c>
      <c r="M462" s="58" t="n">
        <v>2010</v>
      </c>
      <c r="N462" s="58" t="n">
        <v>2011</v>
      </c>
      <c r="O462" s="58" t="n">
        <v>2012</v>
      </c>
      <c r="P462" s="58" t="n">
        <v>2013</v>
      </c>
      <c r="Q462" s="58" t="n">
        <v>2014</v>
      </c>
      <c r="R462" s="58" t="n">
        <v>2015</v>
      </c>
      <c r="S462" s="58" t="n">
        <v>2016</v>
      </c>
      <c r="T462" s="58" t="n">
        <v>2017</v>
      </c>
      <c r="U462" s="58" t="n">
        <v>2018</v>
      </c>
      <c r="V462" s="58" t="n">
        <v>2019</v>
      </c>
      <c r="W462" s="58" t="s">
        <v>19</v>
      </c>
    </row>
    <row r="463" customFormat="false" ht="12.75" hidden="false" customHeight="false" outlineLevel="0" collapsed="false">
      <c r="A463" s="48" t="s">
        <v>5</v>
      </c>
      <c r="B463" s="49" t="n">
        <v>198</v>
      </c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</row>
    <row r="464" customFormat="false" ht="12.75" hidden="false" customHeight="false" outlineLevel="0" collapsed="false">
      <c r="A464" s="2"/>
      <c r="B464" s="117" t="s">
        <v>20</v>
      </c>
      <c r="C464" s="118" t="n">
        <v>0</v>
      </c>
      <c r="D464" s="64" t="n">
        <v>59029311.854295</v>
      </c>
      <c r="E464" s="64" t="n">
        <v>58210648.9190155</v>
      </c>
      <c r="F464" s="64" t="n">
        <v>59331104.0231968</v>
      </c>
      <c r="G464" s="64" t="n">
        <v>58490156.0780102</v>
      </c>
      <c r="H464" s="64" t="n">
        <v>58930714.7926842</v>
      </c>
      <c r="I464" s="64" t="n">
        <v>62909826.1445103</v>
      </c>
      <c r="J464" s="64" t="n">
        <v>67455388.7595818</v>
      </c>
      <c r="K464" s="64" t="n">
        <v>69200982.9737896</v>
      </c>
      <c r="L464" s="64" t="n">
        <v>70649414.9876099</v>
      </c>
      <c r="M464" s="64" t="n">
        <v>70901629.4953933</v>
      </c>
      <c r="N464" s="64" t="n">
        <v>72433454.5095133</v>
      </c>
      <c r="O464" s="64" t="n">
        <v>73246866.7821987</v>
      </c>
      <c r="P464" s="64" t="n">
        <v>74108839.2245317</v>
      </c>
      <c r="Q464" s="64" t="n">
        <v>76717560.8406181</v>
      </c>
      <c r="R464" s="64" t="n">
        <v>82160594.8124402</v>
      </c>
      <c r="S464" s="64" t="n">
        <v>81687290.1185045</v>
      </c>
      <c r="T464" s="64" t="n">
        <v>82728379.8554828</v>
      </c>
      <c r="U464" s="64" t="n">
        <v>86703927.8211706</v>
      </c>
      <c r="V464" s="64" t="n">
        <v>89337436.0255398</v>
      </c>
      <c r="W464" s="65"/>
    </row>
    <row r="465" customFormat="false" ht="12.75" hidden="false" customHeight="false" outlineLevel="0" collapsed="false">
      <c r="A465" s="2"/>
      <c r="B465" s="117" t="s">
        <v>21</v>
      </c>
      <c r="C465" s="118" t="n">
        <v>0</v>
      </c>
      <c r="D465" s="64" t="n">
        <v>-17654877.8692661</v>
      </c>
      <c r="E465" s="64" t="n">
        <v>-17907791.7681264</v>
      </c>
      <c r="F465" s="64" t="n">
        <v>-18217239.3620261</v>
      </c>
      <c r="G465" s="64" t="n">
        <v>-18742407.6343654</v>
      </c>
      <c r="H465" s="64" t="n">
        <v>-19398496.0425854</v>
      </c>
      <c r="I465" s="64" t="n">
        <v>-20151286.823899</v>
      </c>
      <c r="J465" s="64" t="n">
        <v>-20615458.2147485</v>
      </c>
      <c r="K465" s="64" t="n">
        <v>-21057313.6733456</v>
      </c>
      <c r="L465" s="64" t="n">
        <v>-21400979.0300323</v>
      </c>
      <c r="M465" s="64" t="n">
        <v>-21564629.1998831</v>
      </c>
      <c r="N465" s="64" t="n">
        <v>-21853248.5903472</v>
      </c>
      <c r="O465" s="64" t="n">
        <v>-22326346.3540976</v>
      </c>
      <c r="P465" s="64" t="n">
        <v>-22832174.1518182</v>
      </c>
      <c r="Q465" s="64" t="n">
        <v>-23317173.7461033</v>
      </c>
      <c r="R465" s="64" t="n">
        <v>-23642986.356988</v>
      </c>
      <c r="S465" s="64" t="n">
        <v>-24125010.4936394</v>
      </c>
      <c r="T465" s="64" t="n">
        <v>-24675470.1558648</v>
      </c>
      <c r="U465" s="64" t="n">
        <v>-25280975.7843127</v>
      </c>
      <c r="V465" s="64" t="n">
        <v>-25905821.8873793</v>
      </c>
      <c r="W465" s="65"/>
    </row>
    <row r="466" customFormat="false" ht="12.75" hidden="false" customHeight="false" outlineLevel="0" collapsed="false">
      <c r="A466" s="2"/>
      <c r="B466" s="117" t="s">
        <v>22</v>
      </c>
      <c r="C466" s="118" t="n">
        <v>0</v>
      </c>
      <c r="D466" s="64" t="n">
        <v>-1205351.12349348</v>
      </c>
      <c r="E466" s="64" t="n">
        <v>-1229680.35929117</v>
      </c>
      <c r="F466" s="64" t="n">
        <v>-2050467.72571277</v>
      </c>
      <c r="G466" s="64" t="n">
        <v>-2095688.18985544</v>
      </c>
      <c r="H466" s="64" t="n">
        <v>-2141917.2272868</v>
      </c>
      <c r="I466" s="64" t="n">
        <v>-2189177.59109272</v>
      </c>
      <c r="J466" s="64" t="n">
        <v>-2237492.55350759</v>
      </c>
      <c r="K466" s="64" t="n">
        <v>-2286885.91789024</v>
      </c>
      <c r="L466" s="64" t="n">
        <v>-2337382.0309791</v>
      </c>
      <c r="M466" s="64" t="n">
        <v>-2389005.79543305</v>
      </c>
      <c r="N466" s="64" t="n">
        <v>-2441782.68266478</v>
      </c>
      <c r="O466" s="64" t="n">
        <v>-2495738.74597346</v>
      </c>
      <c r="P466" s="64" t="n">
        <v>-2550900.63398374</v>
      </c>
      <c r="Q466" s="64" t="n">
        <v>-2607295.60439853</v>
      </c>
      <c r="R466" s="64" t="n">
        <v>-2664951.53807258</v>
      </c>
      <c r="S466" s="64" t="n">
        <v>-2723896.95341475</v>
      </c>
      <c r="T466" s="64" t="n">
        <v>-2784161.02112658</v>
      </c>
      <c r="U466" s="64" t="n">
        <v>-2845773.57928502</v>
      </c>
      <c r="V466" s="64" t="n">
        <v>-2908765.14877762</v>
      </c>
      <c r="W466" s="65"/>
    </row>
    <row r="467" customFormat="false" ht="12.75" hidden="false" customHeight="false" outlineLevel="0" collapsed="false">
      <c r="A467" s="2"/>
      <c r="B467" s="117" t="s">
        <v>23</v>
      </c>
      <c r="C467" s="118" t="n">
        <v>0</v>
      </c>
      <c r="D467" s="64" t="n">
        <v>0</v>
      </c>
      <c r="E467" s="64" t="n">
        <v>0</v>
      </c>
      <c r="F467" s="64" t="n">
        <v>0</v>
      </c>
      <c r="G467" s="64" t="n">
        <v>0</v>
      </c>
      <c r="H467" s="64" t="n">
        <v>0</v>
      </c>
      <c r="I467" s="64" t="n">
        <v>-1254558.65616324</v>
      </c>
      <c r="J467" s="64" t="n">
        <v>-1390578.0512489</v>
      </c>
      <c r="K467" s="64" t="n">
        <v>-1663008.28625357</v>
      </c>
      <c r="L467" s="64" t="n">
        <v>-1685345.42906941</v>
      </c>
      <c r="M467" s="64" t="n">
        <v>-1874363.23980484</v>
      </c>
      <c r="N467" s="64" t="n">
        <v>-2064752.85504261</v>
      </c>
      <c r="O467" s="64" t="n">
        <v>-2287684.26022472</v>
      </c>
      <c r="P467" s="64" t="n">
        <v>-2565095.85331111</v>
      </c>
      <c r="Q467" s="64" t="n">
        <v>-2855351.96029472</v>
      </c>
      <c r="R467" s="64" t="n">
        <v>-3162857.71244024</v>
      </c>
      <c r="S467" s="64" t="n">
        <v>-3472813.87870166</v>
      </c>
      <c r="T467" s="64" t="n">
        <v>-3411870.32798636</v>
      </c>
      <c r="U467" s="64" t="n">
        <v>-2919039.6051844</v>
      </c>
      <c r="V467" s="64" t="n">
        <v>-3026505.51787688</v>
      </c>
      <c r="W467" s="65"/>
    </row>
    <row r="468" customFormat="false" ht="13.5" hidden="false" customHeight="false" outlineLevel="0" collapsed="false">
      <c r="A468" s="2"/>
      <c r="B468" s="119" t="s">
        <v>24</v>
      </c>
      <c r="C468" s="120" t="n">
        <v>0</v>
      </c>
      <c r="D468" s="68" t="n">
        <v>0</v>
      </c>
      <c r="E468" s="68" t="n">
        <v>0</v>
      </c>
      <c r="F468" s="68" t="n">
        <v>-955152.537643177</v>
      </c>
      <c r="G468" s="68" t="n">
        <v>-813849.834016832</v>
      </c>
      <c r="H468" s="68" t="n">
        <v>-844887.316120068</v>
      </c>
      <c r="I468" s="68" t="n">
        <v>-877489.867885919</v>
      </c>
      <c r="J468" s="68" t="n">
        <v>-1102318.92207922</v>
      </c>
      <c r="K468" s="68" t="n">
        <v>-962863.224628634</v>
      </c>
      <c r="L468" s="68" t="n">
        <v>-1019122.69135439</v>
      </c>
      <c r="M468" s="68" t="n">
        <v>-969734.272162882</v>
      </c>
      <c r="N468" s="68" t="n">
        <v>-997508.260951301</v>
      </c>
      <c r="O468" s="68" t="n">
        <v>-1023374.51994811</v>
      </c>
      <c r="P468" s="68" t="n">
        <v>-914088.157443841</v>
      </c>
      <c r="Q468" s="68" t="n">
        <v>-946771.085660843</v>
      </c>
      <c r="R468" s="68" t="n">
        <v>-966336.471056708</v>
      </c>
      <c r="S468" s="68" t="n">
        <v>-1026181.43915456</v>
      </c>
      <c r="T468" s="68" t="n">
        <v>-964716.984870475</v>
      </c>
      <c r="U468" s="68" t="n">
        <v>-1062517.1384247</v>
      </c>
      <c r="V468" s="68" t="n">
        <v>-578488.045061478</v>
      </c>
      <c r="W468" s="65"/>
    </row>
    <row r="469" customFormat="false" ht="13.5" hidden="false" customHeight="false" outlineLevel="0" collapsed="false">
      <c r="A469" s="2"/>
      <c r="B469" s="121" t="s">
        <v>25</v>
      </c>
      <c r="C469" s="122" t="n">
        <v>0</v>
      </c>
      <c r="D469" s="71" t="n">
        <v>40169082.8615354</v>
      </c>
      <c r="E469" s="71" t="n">
        <v>39073176.7915979</v>
      </c>
      <c r="F469" s="71" t="n">
        <v>38108244.3978148</v>
      </c>
      <c r="G469" s="71" t="n">
        <v>36838210.4197725</v>
      </c>
      <c r="H469" s="71" t="n">
        <v>36545414.2066919</v>
      </c>
      <c r="I469" s="71" t="n">
        <v>38437313.2054694</v>
      </c>
      <c r="J469" s="71" t="n">
        <v>42109541.0179976</v>
      </c>
      <c r="K469" s="71" t="n">
        <v>43230911.8716716</v>
      </c>
      <c r="L469" s="71" t="n">
        <v>44206585.8061747</v>
      </c>
      <c r="M469" s="71" t="n">
        <v>44103896.9881095</v>
      </c>
      <c r="N469" s="71" t="n">
        <v>45076162.1205074</v>
      </c>
      <c r="O469" s="71" t="n">
        <v>45113722.9019548</v>
      </c>
      <c r="P469" s="71" t="n">
        <v>45246580.4279748</v>
      </c>
      <c r="Q469" s="71" t="n">
        <v>46990968.4441608</v>
      </c>
      <c r="R469" s="71" t="n">
        <v>51723462.7338826</v>
      </c>
      <c r="S469" s="71" t="n">
        <v>50339387.3535941</v>
      </c>
      <c r="T469" s="71" t="n">
        <v>50892161.3656346</v>
      </c>
      <c r="U469" s="71" t="n">
        <v>54595621.7139638</v>
      </c>
      <c r="V469" s="71" t="n">
        <v>56917855.4264444</v>
      </c>
      <c r="W469" s="65"/>
    </row>
    <row r="470" customFormat="false" ht="12.75" hidden="false" customHeight="false" outlineLevel="0" collapsed="false">
      <c r="A470" s="2"/>
      <c r="B470" s="117" t="s">
        <v>26</v>
      </c>
      <c r="C470" s="118" t="n">
        <v>0</v>
      </c>
      <c r="D470" s="64" t="n">
        <v>-2322788.9396785</v>
      </c>
      <c r="E470" s="64" t="n">
        <v>-2369244.71847207</v>
      </c>
      <c r="F470" s="64" t="n">
        <v>-2452166.61284151</v>
      </c>
      <c r="G470" s="64" t="n">
        <v>-2501387.63009834</v>
      </c>
      <c r="H470" s="64" t="n">
        <v>-2551597.50982531</v>
      </c>
      <c r="I470" s="64" t="n">
        <v>-2602816.14032494</v>
      </c>
      <c r="J470" s="64" t="n">
        <v>-2655063.81044214</v>
      </c>
      <c r="K470" s="64" t="n">
        <v>-2708361.21764446</v>
      </c>
      <c r="L470" s="64" t="n">
        <v>-2762729.47626565</v>
      </c>
      <c r="M470" s="64" t="n">
        <v>-2818190.12591598</v>
      </c>
      <c r="N470" s="64" t="n">
        <v>-2874765.14006244</v>
      </c>
      <c r="O470" s="64" t="n">
        <v>-2932476.93478253</v>
      </c>
      <c r="P470" s="64" t="n">
        <v>-2991348.377695</v>
      </c>
      <c r="Q470" s="64" t="n">
        <v>-3051402.79707113</v>
      </c>
      <c r="R470" s="64" t="n">
        <v>-3112663.99113035</v>
      </c>
      <c r="S470" s="64" t="n">
        <v>-3175156.23752369</v>
      </c>
      <c r="T470" s="64" t="n">
        <v>-3238904.30300917</v>
      </c>
      <c r="U470" s="64" t="n">
        <v>-3303933.45332273</v>
      </c>
      <c r="V470" s="64" t="n">
        <v>-3370269.4632489</v>
      </c>
      <c r="W470" s="65"/>
    </row>
    <row r="471" customFormat="false" ht="12.75" hidden="false" customHeight="false" outlineLevel="0" collapsed="false">
      <c r="A471" s="2"/>
      <c r="B471" s="117" t="s">
        <v>27</v>
      </c>
      <c r="C471" s="118" t="n">
        <v>0</v>
      </c>
      <c r="D471" s="64" t="n">
        <v>-784147.168712902</v>
      </c>
      <c r="E471" s="64" t="n">
        <v>-791825.827810565</v>
      </c>
      <c r="F471" s="64" t="n">
        <v>-799672.649542466</v>
      </c>
      <c r="G471" s="64" t="n">
        <v>-807696.809445508</v>
      </c>
      <c r="H471" s="64" t="n">
        <v>-815911.944354243</v>
      </c>
      <c r="I471" s="64" t="n">
        <v>-824678.593685572</v>
      </c>
      <c r="J471" s="64" t="n">
        <v>-833308.465134829</v>
      </c>
      <c r="K471" s="64" t="n">
        <v>-842519.83192444</v>
      </c>
      <c r="L471" s="64" t="n">
        <v>-851586.696544196</v>
      </c>
      <c r="M471" s="64" t="n">
        <v>-860884.766211756</v>
      </c>
      <c r="N471" s="64" t="n">
        <v>-870407.849165271</v>
      </c>
      <c r="O471" s="64" t="n">
        <v>-880170.913809215</v>
      </c>
      <c r="P471" s="64" t="n">
        <v>-890181.960295114</v>
      </c>
      <c r="Q471" s="64" t="n">
        <v>-900443.282943162</v>
      </c>
      <c r="R471" s="64" t="n">
        <v>-910962.164789675</v>
      </c>
      <c r="S471" s="64" t="n">
        <v>-921744.018682351</v>
      </c>
      <c r="T471" s="64" t="n">
        <v>-932793.262551565</v>
      </c>
      <c r="U471" s="64" t="n">
        <v>-944119.842441897</v>
      </c>
      <c r="V471" s="64" t="n">
        <v>-955730.719487476</v>
      </c>
      <c r="W471" s="65"/>
    </row>
    <row r="472" customFormat="false" ht="13.5" hidden="false" customHeight="false" outlineLevel="0" collapsed="false">
      <c r="A472" s="2"/>
      <c r="B472" s="119" t="s">
        <v>28</v>
      </c>
      <c r="C472" s="120" t="n">
        <v>0</v>
      </c>
      <c r="D472" s="68" t="n">
        <v>-467999.200989959</v>
      </c>
      <c r="E472" s="68" t="n">
        <v>-477873.98413085</v>
      </c>
      <c r="F472" s="68" t="n">
        <v>-488339.424383316</v>
      </c>
      <c r="G472" s="68" t="n">
        <v>-499375.895374375</v>
      </c>
      <c r="H472" s="68" t="n">
        <v>-511261.041684286</v>
      </c>
      <c r="I472" s="68" t="n">
        <v>-524073.294786886</v>
      </c>
      <c r="J472" s="68" t="n">
        <v>-537071.772498536</v>
      </c>
      <c r="K472" s="68" t="n">
        <v>-550666.168959145</v>
      </c>
      <c r="L472" s="68" t="n">
        <v>-564267.623332437</v>
      </c>
      <c r="M472" s="68" t="n">
        <v>-578656.447727412</v>
      </c>
      <c r="N472" s="68" t="n">
        <v>-592659.933762418</v>
      </c>
      <c r="O472" s="68" t="n">
        <v>-607594.964093229</v>
      </c>
      <c r="P472" s="68" t="n">
        <v>-623027.876181196</v>
      </c>
      <c r="Q472" s="68" t="n">
        <v>-638603.573085725</v>
      </c>
      <c r="R472" s="68" t="n">
        <v>-654632.522770177</v>
      </c>
      <c r="S472" s="68" t="n">
        <v>-670998.335839433</v>
      </c>
      <c r="T472" s="68" t="n">
        <v>-687639.09456825</v>
      </c>
      <c r="U472" s="68" t="n">
        <v>-704898.835841914</v>
      </c>
      <c r="V472" s="68" t="n">
        <v>-722591.796621546</v>
      </c>
      <c r="W472" s="65"/>
    </row>
    <row r="473" customFormat="false" ht="13.5" hidden="false" customHeight="false" outlineLevel="0" collapsed="false">
      <c r="A473" s="2"/>
      <c r="B473" s="121" t="s">
        <v>29</v>
      </c>
      <c r="C473" s="123" t="n">
        <v>0</v>
      </c>
      <c r="D473" s="73" t="n">
        <v>36594147.552154</v>
      </c>
      <c r="E473" s="73" t="n">
        <v>35434232.2611844</v>
      </c>
      <c r="F473" s="73" t="n">
        <v>34368065.7110475</v>
      </c>
      <c r="G473" s="73" t="n">
        <v>33029750.0848543</v>
      </c>
      <c r="H473" s="73" t="n">
        <v>32666643.7108281</v>
      </c>
      <c r="I473" s="73" t="n">
        <v>34485745.176672</v>
      </c>
      <c r="J473" s="73" t="n">
        <v>38084096.9699221</v>
      </c>
      <c r="K473" s="73" t="n">
        <v>39129364.6531435</v>
      </c>
      <c r="L473" s="73" t="n">
        <v>40028002.0100325</v>
      </c>
      <c r="M473" s="73" t="n">
        <v>39846165.6482543</v>
      </c>
      <c r="N473" s="73" t="n">
        <v>40738329.1975173</v>
      </c>
      <c r="O473" s="73" t="n">
        <v>40693480.0892698</v>
      </c>
      <c r="P473" s="73" t="n">
        <v>40742022.2138035</v>
      </c>
      <c r="Q473" s="73" t="n">
        <v>42400518.7910607</v>
      </c>
      <c r="R473" s="73" t="n">
        <v>47045204.0551924</v>
      </c>
      <c r="S473" s="73" t="n">
        <v>45571488.7615486</v>
      </c>
      <c r="T473" s="73" t="n">
        <v>46032824.7055056</v>
      </c>
      <c r="U473" s="73" t="n">
        <v>49642669.5823572</v>
      </c>
      <c r="V473" s="73" t="n">
        <v>51869263.4470865</v>
      </c>
      <c r="W473" s="65"/>
    </row>
    <row r="474" customFormat="false" ht="12.75" hidden="false" customHeight="false" outlineLevel="0" collapsed="false">
      <c r="A474" s="2"/>
      <c r="B474" s="117" t="s">
        <v>30</v>
      </c>
      <c r="C474" s="118" t="n">
        <v>0</v>
      </c>
      <c r="D474" s="64" t="n">
        <v>-1069759.67925</v>
      </c>
      <c r="E474" s="64" t="n">
        <v>-1814450.4413242</v>
      </c>
      <c r="F474" s="64" t="n">
        <v>-2041965.8463564</v>
      </c>
      <c r="G474" s="64" t="n">
        <v>-2135973.2199964</v>
      </c>
      <c r="H474" s="64" t="n">
        <v>-2045195.412786</v>
      </c>
      <c r="I474" s="64" t="n">
        <v>-1538830.28524304</v>
      </c>
      <c r="J474" s="64" t="n">
        <v>-1007068.12257861</v>
      </c>
      <c r="K474" s="64" t="n">
        <v>-824781.954484706</v>
      </c>
      <c r="L474" s="64" t="n">
        <v>-763836.950044875</v>
      </c>
      <c r="M474" s="64" t="n">
        <v>-720934.453789607</v>
      </c>
      <c r="N474" s="64" t="n">
        <v>-680525.758911581</v>
      </c>
      <c r="O474" s="64" t="n">
        <v>-715095.330432525</v>
      </c>
      <c r="P474" s="64" t="n">
        <v>-750405.228940476</v>
      </c>
      <c r="Q474" s="64" t="n">
        <v>-786737.884403667</v>
      </c>
      <c r="R474" s="64" t="n">
        <v>-783697.059530753</v>
      </c>
      <c r="S474" s="64" t="n">
        <v>-781753.469911651</v>
      </c>
      <c r="T474" s="64" t="n">
        <v>-821474.812603977</v>
      </c>
      <c r="U474" s="64" t="n">
        <v>-862387.795577072</v>
      </c>
      <c r="V474" s="64" t="n">
        <v>-904528.16803936</v>
      </c>
      <c r="W474" s="65"/>
    </row>
    <row r="475" customFormat="false" ht="13.5" hidden="false" customHeight="false" outlineLevel="0" collapsed="false">
      <c r="A475" s="2"/>
      <c r="B475" s="119" t="s">
        <v>70</v>
      </c>
      <c r="C475" s="120" t="n">
        <v>0</v>
      </c>
      <c r="D475" s="68" t="n">
        <v>-14209755.1491616</v>
      </c>
      <c r="E475" s="68" t="n">
        <v>-13447912.7279441</v>
      </c>
      <c r="F475" s="68" t="n">
        <v>-12930439.9458764</v>
      </c>
      <c r="G475" s="68" t="n">
        <v>-12357510.7459432</v>
      </c>
      <c r="H475" s="68" t="n">
        <v>-12248579.3192168</v>
      </c>
      <c r="I475" s="68" t="n">
        <v>-13178765.9565716</v>
      </c>
      <c r="J475" s="68" t="n">
        <v>-14830811.5389374</v>
      </c>
      <c r="K475" s="68" t="n">
        <v>-15321833.0794635</v>
      </c>
      <c r="L475" s="68" t="n">
        <v>-15705666.023995</v>
      </c>
      <c r="M475" s="68" t="n">
        <v>-15650092.4777859</v>
      </c>
      <c r="N475" s="68" t="n">
        <v>-16023121.3754423</v>
      </c>
      <c r="O475" s="68" t="n">
        <v>-15991353.9035349</v>
      </c>
      <c r="P475" s="68" t="n">
        <v>-15996646.7939452</v>
      </c>
      <c r="Q475" s="68" t="n">
        <v>-16645512.3626628</v>
      </c>
      <c r="R475" s="68" t="n">
        <v>-18504602.7982647</v>
      </c>
      <c r="S475" s="68" t="n">
        <v>-17915894.1166548</v>
      </c>
      <c r="T475" s="68" t="n">
        <v>-18084539.9571606</v>
      </c>
      <c r="U475" s="68" t="n">
        <v>-19512112.7147121</v>
      </c>
      <c r="V475" s="68" t="n">
        <v>-20385894.1116189</v>
      </c>
      <c r="W475" s="65"/>
    </row>
    <row r="476" customFormat="false" ht="13.5" hidden="false" customHeight="false" outlineLevel="0" collapsed="false">
      <c r="A476" s="2"/>
      <c r="B476" s="121" t="s">
        <v>32</v>
      </c>
      <c r="C476" s="123" t="n">
        <v>0</v>
      </c>
      <c r="D476" s="73" t="n">
        <v>21314632.7237424</v>
      </c>
      <c r="E476" s="73" t="n">
        <v>20171869.0919161</v>
      </c>
      <c r="F476" s="73" t="n">
        <v>19395659.9188147</v>
      </c>
      <c r="G476" s="73" t="n">
        <v>18536266.1189147</v>
      </c>
      <c r="H476" s="73" t="n">
        <v>18372868.9788253</v>
      </c>
      <c r="I476" s="73" t="n">
        <v>19768148.9348574</v>
      </c>
      <c r="J476" s="73" t="n">
        <v>22246217.3084061</v>
      </c>
      <c r="K476" s="73" t="n">
        <v>22982749.6191953</v>
      </c>
      <c r="L476" s="73" t="n">
        <v>23558499.0359925</v>
      </c>
      <c r="M476" s="73" t="n">
        <v>23475138.7166788</v>
      </c>
      <c r="N476" s="73" t="n">
        <v>24034682.0631634</v>
      </c>
      <c r="O476" s="73" t="n">
        <v>23987030.8553023</v>
      </c>
      <c r="P476" s="73" t="n">
        <v>23994970.1909178</v>
      </c>
      <c r="Q476" s="73" t="n">
        <v>24968268.5439942</v>
      </c>
      <c r="R476" s="73" t="n">
        <v>27756904.197397</v>
      </c>
      <c r="S476" s="73" t="n">
        <v>26873841.1749822</v>
      </c>
      <c r="T476" s="73" t="n">
        <v>27126809.935741</v>
      </c>
      <c r="U476" s="73" t="n">
        <v>29268169.0720681</v>
      </c>
      <c r="V476" s="73" t="n">
        <v>30578841.1674283</v>
      </c>
      <c r="W476" s="65"/>
    </row>
    <row r="477" customFormat="false" ht="12.75" hidden="false" customHeight="false" outlineLevel="0" collapsed="false">
      <c r="A477" s="2"/>
      <c r="B477" s="117" t="s">
        <v>30</v>
      </c>
      <c r="C477" s="118" t="n">
        <v>0</v>
      </c>
      <c r="D477" s="64" t="n">
        <v>1069759.67925</v>
      </c>
      <c r="E477" s="64" t="n">
        <v>1814450.4413242</v>
      </c>
      <c r="F477" s="64" t="n">
        <v>2041965.8463564</v>
      </c>
      <c r="G477" s="64" t="n">
        <v>2135973.2199964</v>
      </c>
      <c r="H477" s="64" t="n">
        <v>2045195.412786</v>
      </c>
      <c r="I477" s="64" t="n">
        <v>1538830.28524304</v>
      </c>
      <c r="J477" s="64" t="n">
        <v>1007068.12257861</v>
      </c>
      <c r="K477" s="64" t="n">
        <v>824781.954484706</v>
      </c>
      <c r="L477" s="64" t="n">
        <v>763836.950044875</v>
      </c>
      <c r="M477" s="64" t="n">
        <v>720934.453789607</v>
      </c>
      <c r="N477" s="64" t="n">
        <v>680525.758911581</v>
      </c>
      <c r="O477" s="64" t="n">
        <v>715095.330432525</v>
      </c>
      <c r="P477" s="64" t="n">
        <v>750405.228940476</v>
      </c>
      <c r="Q477" s="64" t="n">
        <v>786737.884403667</v>
      </c>
      <c r="R477" s="64" t="n">
        <v>783697.059530753</v>
      </c>
      <c r="S477" s="64" t="n">
        <v>781753.469911651</v>
      </c>
      <c r="T477" s="64" t="n">
        <v>821474.812603977</v>
      </c>
      <c r="U477" s="64" t="n">
        <v>862387.795577072</v>
      </c>
      <c r="V477" s="64" t="n">
        <v>904528.16803936</v>
      </c>
      <c r="W477" s="65"/>
    </row>
    <row r="478" customFormat="false" ht="12.75" hidden="false" customHeight="false" outlineLevel="0" collapsed="false">
      <c r="A478" s="2"/>
      <c r="B478" s="117" t="s">
        <v>33</v>
      </c>
      <c r="C478" s="118" t="n">
        <v>0</v>
      </c>
      <c r="D478" s="64" t="n">
        <v>-2359867.18</v>
      </c>
      <c r="E478" s="64" t="n">
        <v>-51955.2000000002</v>
      </c>
      <c r="F478" s="64" t="n">
        <v>-453987.6</v>
      </c>
      <c r="G478" s="64" t="n">
        <v>-54796.5</v>
      </c>
      <c r="H478" s="64" t="n">
        <v>-594021.296</v>
      </c>
      <c r="I478" s="64" t="n">
        <v>-611841.93488</v>
      </c>
      <c r="J478" s="64" t="n">
        <v>-630197.1929264</v>
      </c>
      <c r="K478" s="64" t="n">
        <v>-649103.108714192</v>
      </c>
      <c r="L478" s="64" t="n">
        <v>-668576.201975618</v>
      </c>
      <c r="M478" s="64" t="n">
        <v>-688633.488034887</v>
      </c>
      <c r="N478" s="64" t="n">
        <v>-709292.492675933</v>
      </c>
      <c r="O478" s="64" t="n">
        <v>-730571.267456211</v>
      </c>
      <c r="P478" s="64" t="n">
        <v>-752488.405479898</v>
      </c>
      <c r="Q478" s="64" t="n">
        <v>-775063.057644295</v>
      </c>
      <c r="R478" s="64" t="n">
        <v>-798314.949373624</v>
      </c>
      <c r="S478" s="64" t="n">
        <v>-822264.397854832</v>
      </c>
      <c r="T478" s="64" t="n">
        <v>-846932.329790477</v>
      </c>
      <c r="U478" s="64" t="n">
        <v>-872340.299684192</v>
      </c>
      <c r="V478" s="64" t="n">
        <v>-898510.508674717</v>
      </c>
      <c r="W478" s="65"/>
    </row>
    <row r="479" customFormat="false" ht="13.5" hidden="false" customHeight="false" outlineLevel="0" collapsed="false">
      <c r="A479" s="2"/>
      <c r="B479" s="119" t="s">
        <v>34</v>
      </c>
      <c r="C479" s="120" t="n">
        <v>0</v>
      </c>
      <c r="D479" s="68" t="n">
        <v>-7279104</v>
      </c>
      <c r="E479" s="68" t="n">
        <v>-1766161.92</v>
      </c>
      <c r="F479" s="68" t="n">
        <v>-1476105.18</v>
      </c>
      <c r="G479" s="68" t="n">
        <v>0</v>
      </c>
      <c r="H479" s="68" t="n">
        <v>0</v>
      </c>
      <c r="I479" s="68" t="n">
        <v>0</v>
      </c>
      <c r="J479" s="68" t="n">
        <v>0</v>
      </c>
      <c r="K479" s="68" t="n">
        <v>0</v>
      </c>
      <c r="L479" s="68" t="n">
        <v>0</v>
      </c>
      <c r="M479" s="68" t="n">
        <v>0</v>
      </c>
      <c r="N479" s="68" t="n">
        <v>0</v>
      </c>
      <c r="O479" s="68" t="n">
        <v>0</v>
      </c>
      <c r="P479" s="68" t="n">
        <v>0</v>
      </c>
      <c r="Q479" s="68" t="n">
        <v>0</v>
      </c>
      <c r="R479" s="68" t="n">
        <v>0</v>
      </c>
      <c r="S479" s="68" t="n">
        <v>0</v>
      </c>
      <c r="T479" s="68" t="n">
        <v>0</v>
      </c>
      <c r="U479" s="68" t="n">
        <v>0</v>
      </c>
      <c r="V479" s="68" t="n">
        <v>0</v>
      </c>
      <c r="W479" s="65"/>
    </row>
    <row r="480" customFormat="false" ht="13.5" hidden="false" customHeight="false" outlineLevel="0" collapsed="false">
      <c r="A480" s="2"/>
      <c r="B480" s="117"/>
      <c r="C480" s="12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</row>
    <row r="481" customFormat="false" ht="12.75" hidden="false" customHeight="false" outlineLevel="0" collapsed="false">
      <c r="A481" s="2"/>
      <c r="B481" s="121" t="s">
        <v>35</v>
      </c>
      <c r="C481" s="123" t="n">
        <v>0</v>
      </c>
      <c r="D481" s="73" t="n">
        <v>12745421.2229924</v>
      </c>
      <c r="E481" s="73" t="n">
        <v>20168202.4132403</v>
      </c>
      <c r="F481" s="73" t="n">
        <v>19507532.9851711</v>
      </c>
      <c r="G481" s="73" t="n">
        <v>20617442.8389111</v>
      </c>
      <c r="H481" s="73" t="n">
        <v>19824043.0956113</v>
      </c>
      <c r="I481" s="73" t="n">
        <v>20695137.2852204</v>
      </c>
      <c r="J481" s="73" t="n">
        <v>22623088.2380583</v>
      </c>
      <c r="K481" s="73" t="n">
        <v>23158428.4649658</v>
      </c>
      <c r="L481" s="73" t="n">
        <v>23653759.7840618</v>
      </c>
      <c r="M481" s="73" t="n">
        <v>23507439.6824336</v>
      </c>
      <c r="N481" s="73" t="n">
        <v>24005915.3293991</v>
      </c>
      <c r="O481" s="73" t="n">
        <v>23971554.9182787</v>
      </c>
      <c r="P481" s="73" t="n">
        <v>23992887.0143784</v>
      </c>
      <c r="Q481" s="73" t="n">
        <v>24979943.3707536</v>
      </c>
      <c r="R481" s="73" t="n">
        <v>27742286.3075541</v>
      </c>
      <c r="S481" s="73" t="n">
        <v>26833330.247039</v>
      </c>
      <c r="T481" s="73" t="n">
        <v>27101352.4185545</v>
      </c>
      <c r="U481" s="73" t="n">
        <v>29258216.567961</v>
      </c>
      <c r="V481" s="73" t="n">
        <v>30584858.8267929</v>
      </c>
      <c r="W481" s="71" t="n">
        <v>160974007.818944</v>
      </c>
    </row>
    <row r="482" customFormat="false" ht="12.75" hidden="false" customHeight="false" outlineLevel="0" collapsed="false">
      <c r="A482" s="2"/>
      <c r="B482" s="12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customFormat="false" ht="12.75" hidden="false" customHeight="false" outlineLevel="0" collapsed="false">
      <c r="A483" s="48" t="s">
        <v>36</v>
      </c>
      <c r="B483" s="126" t="s">
        <v>37</v>
      </c>
      <c r="C483" s="76" t="n">
        <v>69302142.6474077</v>
      </c>
      <c r="D483" s="2"/>
      <c r="E483" s="127" t="s">
        <v>38</v>
      </c>
      <c r="F483" s="128" t="s">
        <v>37</v>
      </c>
      <c r="G483" s="79" t="n">
        <v>69302142.6474077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customFormat="false" ht="12.75" hidden="false" customHeight="false" outlineLevel="0" collapsed="false">
      <c r="A484" s="2"/>
      <c r="B484" s="126" t="s">
        <v>39</v>
      </c>
      <c r="C484" s="76" t="n">
        <v>110875262.629301</v>
      </c>
      <c r="D484" s="2"/>
      <c r="E484" s="129"/>
      <c r="F484" s="128" t="s">
        <v>39</v>
      </c>
      <c r="G484" s="79" t="n">
        <v>110875262.629301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customFormat="false" ht="13.5" hidden="false" customHeight="false" outlineLevel="0" collapsed="false">
      <c r="A485" s="2"/>
      <c r="B485" s="130" t="s">
        <v>40</v>
      </c>
      <c r="C485" s="82" t="n">
        <v>23927760.5397946</v>
      </c>
      <c r="D485" s="131"/>
      <c r="E485" s="129"/>
      <c r="F485" s="128" t="s">
        <v>40</v>
      </c>
      <c r="G485" s="79" t="n">
        <v>23927760.5397946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customFormat="false" ht="14.25" hidden="false" customHeight="false" outlineLevel="0" collapsed="false">
      <c r="A486" s="2"/>
      <c r="B486" s="126" t="s">
        <v>41</v>
      </c>
      <c r="C486" s="76" t="n">
        <v>204105165.816503</v>
      </c>
      <c r="D486" s="132"/>
      <c r="E486" s="129"/>
      <c r="F486" s="133" t="s">
        <v>42</v>
      </c>
      <c r="G486" s="85" t="n">
        <v>0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customFormat="false" ht="13.5" hidden="false" customHeight="false" outlineLevel="0" collapsed="false">
      <c r="A487" s="2"/>
      <c r="B487" s="125"/>
      <c r="C487" s="134"/>
      <c r="D487" s="2"/>
      <c r="E487" s="135"/>
      <c r="F487" s="128" t="s">
        <v>41</v>
      </c>
      <c r="G487" s="79" t="n">
        <v>204105165.816503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customFormat="false" ht="12.75" hidden="false" customHeight="false" outlineLevel="0" collapsed="false">
      <c r="A488" s="2"/>
      <c r="B488" s="125"/>
      <c r="C488" s="134"/>
      <c r="D488" s="2"/>
      <c r="E488" s="135"/>
      <c r="F488" s="128"/>
      <c r="G488" s="13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customFormat="false" ht="12.75" hidden="false" customHeight="false" outlineLevel="0" collapsed="false">
      <c r="A489" s="2"/>
      <c r="B489" s="125"/>
      <c r="C489" s="134"/>
      <c r="D489" s="2"/>
      <c r="E489" s="135"/>
      <c r="F489" s="128"/>
      <c r="G489" s="13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customFormat="false" ht="12.75" hidden="false" customHeight="false" outlineLevel="0" collapsed="false">
      <c r="A490" s="2"/>
      <c r="B490" s="137" t="s">
        <v>43</v>
      </c>
      <c r="C490" s="134"/>
      <c r="D490" s="2"/>
      <c r="E490" s="135"/>
      <c r="F490" s="128"/>
      <c r="G490" s="13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customFormat="false" ht="12.75" hidden="false" customHeight="false" outlineLevel="0" collapsed="false">
      <c r="A491" s="87" t="s">
        <v>44</v>
      </c>
      <c r="B491" s="137" t="s">
        <v>45</v>
      </c>
      <c r="C491" s="138"/>
      <c r="D491" s="88" t="n">
        <v>21314632.7237424</v>
      </c>
      <c r="E491" s="88" t="n">
        <v>20171869.0919161</v>
      </c>
      <c r="F491" s="88" t="n">
        <v>19395659.9188147</v>
      </c>
      <c r="G491" s="88" t="n">
        <v>18536266.1189147</v>
      </c>
      <c r="H491" s="88" t="n">
        <v>18372868.9788253</v>
      </c>
      <c r="I491" s="88" t="n">
        <v>19768148.9348574</v>
      </c>
      <c r="J491" s="88" t="n">
        <v>22246217.3084061</v>
      </c>
      <c r="K491" s="88" t="n">
        <v>22982749.6191953</v>
      </c>
      <c r="L491" s="88" t="n">
        <v>23558499.0359925</v>
      </c>
      <c r="M491" s="88" t="n">
        <v>23475138.7166788</v>
      </c>
      <c r="N491" s="88" t="n">
        <v>24034682.0631634</v>
      </c>
      <c r="O491" s="88" t="n">
        <v>23987030.8553023</v>
      </c>
      <c r="P491" s="88" t="n">
        <v>23994970.1909178</v>
      </c>
      <c r="Q491" s="88" t="n">
        <v>24968268.5439942</v>
      </c>
      <c r="R491" s="88" t="n">
        <v>27756904.197397</v>
      </c>
      <c r="S491" s="88" t="n">
        <v>26873841.1749822</v>
      </c>
      <c r="T491" s="88" t="n">
        <v>27126809.935741</v>
      </c>
      <c r="U491" s="88" t="n">
        <v>29268169.0720681</v>
      </c>
      <c r="V491" s="88" t="n">
        <v>30578841.1674283</v>
      </c>
      <c r="W491" s="2"/>
    </row>
    <row r="492" customFormat="false" ht="12.75" hidden="false" customHeight="false" outlineLevel="0" collapsed="false">
      <c r="A492" s="2"/>
      <c r="B492" s="125" t="s">
        <v>46</v>
      </c>
      <c r="C492" s="134"/>
      <c r="D492" s="65" t="n">
        <v>14209755.1491616</v>
      </c>
      <c r="E492" s="65" t="n">
        <v>13447912.7279441</v>
      </c>
      <c r="F492" s="65" t="n">
        <v>12930439.9458764</v>
      </c>
      <c r="G492" s="65" t="n">
        <v>12357510.7459432</v>
      </c>
      <c r="H492" s="65" t="n">
        <v>12248579.3192168</v>
      </c>
      <c r="I492" s="65" t="n">
        <v>13178765.9565716</v>
      </c>
      <c r="J492" s="65" t="n">
        <v>14830811.5389374</v>
      </c>
      <c r="K492" s="65" t="n">
        <v>15321833.0794635</v>
      </c>
      <c r="L492" s="65" t="n">
        <v>15705666.023995</v>
      </c>
      <c r="M492" s="65" t="n">
        <v>15650092.4777859</v>
      </c>
      <c r="N492" s="65" t="n">
        <v>16023121.3754423</v>
      </c>
      <c r="O492" s="65" t="n">
        <v>15991353.9035349</v>
      </c>
      <c r="P492" s="65" t="n">
        <v>15996646.7939452</v>
      </c>
      <c r="Q492" s="65" t="n">
        <v>16645512.3626628</v>
      </c>
      <c r="R492" s="65" t="n">
        <v>18504602.7982647</v>
      </c>
      <c r="S492" s="65" t="n">
        <v>17915894.1166548</v>
      </c>
      <c r="T492" s="65" t="n">
        <v>18084539.9571606</v>
      </c>
      <c r="U492" s="65" t="n">
        <v>19512112.7147121</v>
      </c>
      <c r="V492" s="65" t="n">
        <v>20385894.1116189</v>
      </c>
      <c r="W492" s="2"/>
    </row>
    <row r="493" customFormat="false" ht="12.75" hidden="false" customHeight="false" outlineLevel="0" collapsed="false">
      <c r="A493" s="2"/>
      <c r="B493" s="139" t="s">
        <v>47</v>
      </c>
      <c r="C493" s="140"/>
      <c r="D493" s="65" t="n">
        <v>1069759.67925</v>
      </c>
      <c r="E493" s="65" t="n">
        <v>1814450.4413242</v>
      </c>
      <c r="F493" s="65" t="n">
        <v>2041965.8463564</v>
      </c>
      <c r="G493" s="65" t="n">
        <v>2135973.2199964</v>
      </c>
      <c r="H493" s="65" t="n">
        <v>2045195.412786</v>
      </c>
      <c r="I493" s="65" t="n">
        <v>1538830.28524304</v>
      </c>
      <c r="J493" s="65" t="n">
        <v>1007068.12257861</v>
      </c>
      <c r="K493" s="65" t="n">
        <v>824781.954484706</v>
      </c>
      <c r="L493" s="65" t="n">
        <v>763836.950044875</v>
      </c>
      <c r="M493" s="65" t="n">
        <v>720934.453789607</v>
      </c>
      <c r="N493" s="65" t="n">
        <v>680525.758911581</v>
      </c>
      <c r="O493" s="65" t="n">
        <v>715095.330432525</v>
      </c>
      <c r="P493" s="65" t="n">
        <v>750405.228940476</v>
      </c>
      <c r="Q493" s="65" t="n">
        <v>786737.884403667</v>
      </c>
      <c r="R493" s="65" t="n">
        <v>783697.059530753</v>
      </c>
      <c r="S493" s="65" t="n">
        <v>781753.469911651</v>
      </c>
      <c r="T493" s="65" t="n">
        <v>821474.812603977</v>
      </c>
      <c r="U493" s="65" t="n">
        <v>862387.795577072</v>
      </c>
      <c r="V493" s="65" t="n">
        <v>904528.16803936</v>
      </c>
      <c r="W493" s="2"/>
    </row>
    <row r="494" customFormat="false" ht="13.5" hidden="false" customHeight="false" outlineLevel="0" collapsed="false">
      <c r="A494" s="2"/>
      <c r="B494" s="141" t="s">
        <v>48</v>
      </c>
      <c r="C494" s="142"/>
      <c r="D494" s="93" t="n">
        <v>36594147.552154</v>
      </c>
      <c r="E494" s="93" t="n">
        <v>35434232.2611844</v>
      </c>
      <c r="F494" s="93" t="n">
        <v>34368065.7110475</v>
      </c>
      <c r="G494" s="93" t="n">
        <v>33029750.0848543</v>
      </c>
      <c r="H494" s="93" t="n">
        <v>32666643.7108281</v>
      </c>
      <c r="I494" s="93" t="n">
        <v>34485745.176672</v>
      </c>
      <c r="J494" s="93" t="n">
        <v>38084096.9699221</v>
      </c>
      <c r="K494" s="93" t="n">
        <v>39129364.6531435</v>
      </c>
      <c r="L494" s="93" t="n">
        <v>40028002.0100325</v>
      </c>
      <c r="M494" s="93" t="n">
        <v>39846165.6482543</v>
      </c>
      <c r="N494" s="93" t="n">
        <v>40738329.1975173</v>
      </c>
      <c r="O494" s="93" t="n">
        <v>40693480.0892698</v>
      </c>
      <c r="P494" s="93" t="n">
        <v>40742022.2138035</v>
      </c>
      <c r="Q494" s="93" t="n">
        <v>42400518.7910607</v>
      </c>
      <c r="R494" s="93" t="n">
        <v>47045204.0551924</v>
      </c>
      <c r="S494" s="93" t="n">
        <v>45571488.7615486</v>
      </c>
      <c r="T494" s="93" t="n">
        <v>46032824.7055056</v>
      </c>
      <c r="U494" s="93" t="n">
        <v>49642669.5823572</v>
      </c>
      <c r="V494" s="93" t="n">
        <v>51869263.4470865</v>
      </c>
      <c r="W494" s="2"/>
    </row>
    <row r="495" customFormat="false" ht="13.5" hidden="false" customHeight="false" outlineLevel="0" collapsed="false">
      <c r="A495" s="87" t="s">
        <v>49</v>
      </c>
      <c r="B495" s="125" t="s">
        <v>50</v>
      </c>
      <c r="C495" s="134"/>
      <c r="D495" s="65" t="n">
        <v>-5918885.2383675</v>
      </c>
      <c r="E495" s="65" t="n">
        <v>-6009791.0943675</v>
      </c>
      <c r="F495" s="65" t="n">
        <v>-6032490.4743675</v>
      </c>
      <c r="G495" s="65" t="n">
        <v>-6035230.2993675</v>
      </c>
      <c r="H495" s="65" t="n">
        <v>-6064931.3641675</v>
      </c>
      <c r="I495" s="65" t="n">
        <v>-6095523.4609115</v>
      </c>
      <c r="J495" s="65" t="n">
        <v>-6127033.32055782</v>
      </c>
      <c r="K495" s="65" t="n">
        <v>-6159488.47599353</v>
      </c>
      <c r="L495" s="65" t="n">
        <v>-6192917.28609231</v>
      </c>
      <c r="M495" s="65" t="n">
        <v>-6227348.96049406</v>
      </c>
      <c r="N495" s="65" t="n">
        <v>-6262813.58512785</v>
      </c>
      <c r="O495" s="65" t="n">
        <v>-6299342.14850066</v>
      </c>
      <c r="P495" s="65" t="n">
        <v>-6336966.56877466</v>
      </c>
      <c r="Q495" s="65" t="n">
        <v>-6375719.72165687</v>
      </c>
      <c r="R495" s="65" t="n">
        <v>-6415635.46912555</v>
      </c>
      <c r="S495" s="65" t="n">
        <v>-6456748.6890183</v>
      </c>
      <c r="T495" s="65" t="n">
        <v>-4608746.68550783</v>
      </c>
      <c r="U495" s="65" t="n">
        <v>-1400735.32049203</v>
      </c>
      <c r="V495" s="65" t="n">
        <v>-1445660.84592576</v>
      </c>
      <c r="W495" s="2"/>
    </row>
    <row r="496" customFormat="false" ht="12.75" hidden="false" customHeight="false" outlineLevel="0" collapsed="false">
      <c r="A496" s="2"/>
      <c r="B496" s="125" t="s">
        <v>51</v>
      </c>
      <c r="C496" s="134"/>
      <c r="D496" s="65" t="n">
        <v>0</v>
      </c>
      <c r="E496" s="65" t="n">
        <v>0</v>
      </c>
      <c r="F496" s="65" t="n">
        <v>0</v>
      </c>
      <c r="G496" s="65" t="n">
        <v>0</v>
      </c>
      <c r="H496" s="65" t="n">
        <v>0</v>
      </c>
      <c r="I496" s="65" t="n">
        <v>0</v>
      </c>
      <c r="J496" s="65" t="n">
        <v>0</v>
      </c>
      <c r="K496" s="65" t="n">
        <v>0</v>
      </c>
      <c r="L496" s="65" t="n">
        <v>0</v>
      </c>
      <c r="M496" s="65" t="n">
        <v>0</v>
      </c>
      <c r="N496" s="65" t="n">
        <v>0</v>
      </c>
      <c r="O496" s="65" t="n">
        <v>0</v>
      </c>
      <c r="P496" s="65" t="n">
        <v>0</v>
      </c>
      <c r="Q496" s="65" t="n">
        <v>0</v>
      </c>
      <c r="R496" s="65" t="n">
        <v>0</v>
      </c>
      <c r="S496" s="65" t="n">
        <v>0</v>
      </c>
      <c r="T496" s="65" t="n">
        <v>0</v>
      </c>
      <c r="U496" s="65" t="n">
        <v>0</v>
      </c>
      <c r="V496" s="65" t="n">
        <v>0</v>
      </c>
      <c r="W496" s="2"/>
    </row>
    <row r="497" customFormat="false" ht="12.75" hidden="false" customHeight="false" outlineLevel="0" collapsed="false">
      <c r="A497" s="2"/>
      <c r="B497" s="137" t="s">
        <v>52</v>
      </c>
      <c r="C497" s="138"/>
      <c r="D497" s="88" t="n">
        <v>30675262.3137865</v>
      </c>
      <c r="E497" s="88" t="n">
        <v>29424441.1668169</v>
      </c>
      <c r="F497" s="88" t="n">
        <v>28335575.23668</v>
      </c>
      <c r="G497" s="88" t="n">
        <v>26994519.7854868</v>
      </c>
      <c r="H497" s="88" t="n">
        <v>26601712.3466606</v>
      </c>
      <c r="I497" s="88" t="n">
        <v>28390221.7157605</v>
      </c>
      <c r="J497" s="88" t="n">
        <v>31957063.6493643</v>
      </c>
      <c r="K497" s="88" t="n">
        <v>32969876.17715</v>
      </c>
      <c r="L497" s="88" t="n">
        <v>33835084.7239402</v>
      </c>
      <c r="M497" s="88" t="n">
        <v>33618816.6877603</v>
      </c>
      <c r="N497" s="88" t="n">
        <v>34475515.6123894</v>
      </c>
      <c r="O497" s="88" t="n">
        <v>34394137.9407691</v>
      </c>
      <c r="P497" s="88" t="n">
        <v>34405055.6450289</v>
      </c>
      <c r="Q497" s="88" t="n">
        <v>36024799.0694039</v>
      </c>
      <c r="R497" s="88" t="n">
        <v>40629568.5860668</v>
      </c>
      <c r="S497" s="88" t="n">
        <v>39114740.0725303</v>
      </c>
      <c r="T497" s="88" t="n">
        <v>41424078.0199977</v>
      </c>
      <c r="U497" s="88" t="n">
        <v>48241934.2618652</v>
      </c>
      <c r="V497" s="88" t="n">
        <v>50423602.6011608</v>
      </c>
      <c r="W497" s="2"/>
    </row>
    <row r="498" customFormat="false" ht="13.5" hidden="false" customHeight="false" outlineLevel="0" collapsed="false">
      <c r="A498" s="2"/>
      <c r="B498" s="143" t="s">
        <v>53</v>
      </c>
      <c r="C498" s="144"/>
      <c r="D498" s="96" t="n">
        <v>-12270104.9255146</v>
      </c>
      <c r="E498" s="96" t="n">
        <v>-11769776.4667268</v>
      </c>
      <c r="F498" s="96" t="n">
        <v>-11334230.094672</v>
      </c>
      <c r="G498" s="96" t="n">
        <v>-10797807.9141947</v>
      </c>
      <c r="H498" s="96" t="n">
        <v>-10640684.9386642</v>
      </c>
      <c r="I498" s="96" t="n">
        <v>-11356088.6863042</v>
      </c>
      <c r="J498" s="96" t="n">
        <v>-12782825.4597457</v>
      </c>
      <c r="K498" s="96" t="n">
        <v>-13187950.47086</v>
      </c>
      <c r="L498" s="96" t="n">
        <v>-13534033.8895761</v>
      </c>
      <c r="M498" s="96" t="n">
        <v>-13447526.6751041</v>
      </c>
      <c r="N498" s="96" t="n">
        <v>-13790206.2449558</v>
      </c>
      <c r="O498" s="96" t="n">
        <v>-13757655.1763076</v>
      </c>
      <c r="P498" s="96" t="n">
        <v>-13762022.2580115</v>
      </c>
      <c r="Q498" s="96" t="n">
        <v>-14409919.6277615</v>
      </c>
      <c r="R498" s="96" t="n">
        <v>-16251827.4344267</v>
      </c>
      <c r="S498" s="96" t="n">
        <v>-15645896.0290121</v>
      </c>
      <c r="T498" s="96" t="n">
        <v>-16569631.2079991</v>
      </c>
      <c r="U498" s="96" t="n">
        <v>-19296773.7047461</v>
      </c>
      <c r="V498" s="96" t="n">
        <v>-20169441.0404643</v>
      </c>
      <c r="W498" s="2"/>
    </row>
    <row r="499" customFormat="false" ht="13.5" hidden="false" customHeight="false" outlineLevel="0" collapsed="false">
      <c r="A499" s="2"/>
      <c r="B499" s="137" t="s">
        <v>54</v>
      </c>
      <c r="C499" s="138"/>
      <c r="D499" s="88" t="n">
        <v>18405157.3882719</v>
      </c>
      <c r="E499" s="88" t="n">
        <v>17654664.7000901</v>
      </c>
      <c r="F499" s="88" t="n">
        <v>17001345.142008</v>
      </c>
      <c r="G499" s="88" t="n">
        <v>16196711.8712921</v>
      </c>
      <c r="H499" s="88" t="n">
        <v>15961027.4079963</v>
      </c>
      <c r="I499" s="88" t="n">
        <v>17034133.0294563</v>
      </c>
      <c r="J499" s="88" t="n">
        <v>19174238.1896186</v>
      </c>
      <c r="K499" s="88" t="n">
        <v>19781925.70629</v>
      </c>
      <c r="L499" s="88" t="n">
        <v>20301050.8343641</v>
      </c>
      <c r="M499" s="88" t="n">
        <v>20171290.0126562</v>
      </c>
      <c r="N499" s="88" t="n">
        <v>20685309.3674337</v>
      </c>
      <c r="O499" s="88" t="n">
        <v>20636482.7644615</v>
      </c>
      <c r="P499" s="88" t="n">
        <v>20643033.3870173</v>
      </c>
      <c r="Q499" s="88" t="n">
        <v>21614879.4416423</v>
      </c>
      <c r="R499" s="88" t="n">
        <v>24377741.1516401</v>
      </c>
      <c r="S499" s="88" t="n">
        <v>23468844.0435182</v>
      </c>
      <c r="T499" s="88" t="n">
        <v>24854446.8119986</v>
      </c>
      <c r="U499" s="88" t="n">
        <v>28945160.5571191</v>
      </c>
      <c r="V499" s="88" t="n">
        <v>30254161.5606965</v>
      </c>
      <c r="W499" s="2"/>
    </row>
    <row r="500" customFormat="false" ht="12.75" hidden="false" customHeight="false" outlineLevel="0" collapsed="false">
      <c r="A500" s="2"/>
      <c r="B500" s="2"/>
      <c r="C500" s="134"/>
      <c r="D500" s="2"/>
      <c r="E500" s="135"/>
      <c r="F500" s="128"/>
      <c r="G500" s="13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customFormat="false" ht="15.75" hidden="false" customHeight="false" outlineLevel="0" collapsed="false">
      <c r="A501" s="97" t="s">
        <v>55</v>
      </c>
      <c r="B501" s="14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customFormat="false" ht="12.75" hidden="false" customHeight="false" outlineLevel="0" collapsed="false">
      <c r="A502" s="99" t="s">
        <v>56</v>
      </c>
      <c r="B502" s="49"/>
      <c r="C502" s="101" t="n">
        <v>0</v>
      </c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</row>
    <row r="503" customFormat="false" ht="12.75" hidden="false" customHeight="false" outlineLevel="0" collapsed="false">
      <c r="A503" s="99" t="s">
        <v>57</v>
      </c>
      <c r="B503" s="49"/>
      <c r="C503" s="146" t="n">
        <v>0</v>
      </c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</row>
    <row r="504" customFormat="false" ht="12.75" hidden="false" customHeight="false" outlineLevel="0" collapsed="false">
      <c r="A504" s="99" t="s">
        <v>58</v>
      </c>
      <c r="B504" s="49"/>
      <c r="C504" s="99" t="n">
        <v>15</v>
      </c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</row>
    <row r="505" customFormat="false" ht="12.75" hidden="false" customHeight="false" outlineLevel="0" collapsed="false">
      <c r="A505" s="99" t="s">
        <v>59</v>
      </c>
      <c r="B505" s="49"/>
      <c r="C505" s="146" t="n">
        <v>0</v>
      </c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</row>
    <row r="506" customFormat="false" ht="12.75" hidden="false" customHeight="false" outlineLevel="0" collapsed="false">
      <c r="A506" s="99" t="s">
        <v>60</v>
      </c>
      <c r="B506" s="49"/>
      <c r="C506" s="147" t="n">
        <v>0.0875</v>
      </c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</row>
    <row r="507" customFormat="false" ht="12.75" hidden="false" customHeight="false" outlineLevel="0" collapsed="false">
      <c r="A507" s="99"/>
      <c r="B507" s="49"/>
      <c r="C507" s="107"/>
      <c r="D507" s="58" t="n">
        <v>2001</v>
      </c>
      <c r="E507" s="58" t="n">
        <v>2002</v>
      </c>
      <c r="F507" s="58" t="n">
        <v>2003</v>
      </c>
      <c r="G507" s="58" t="n">
        <v>2004</v>
      </c>
      <c r="H507" s="58" t="n">
        <v>2005</v>
      </c>
      <c r="I507" s="58" t="n">
        <v>2006</v>
      </c>
      <c r="J507" s="58" t="n">
        <v>2007</v>
      </c>
      <c r="K507" s="58" t="n">
        <v>2008</v>
      </c>
      <c r="L507" s="58" t="n">
        <v>2009</v>
      </c>
      <c r="M507" s="58" t="n">
        <v>2010</v>
      </c>
      <c r="N507" s="58" t="n">
        <v>2011</v>
      </c>
      <c r="O507" s="58" t="n">
        <v>2012</v>
      </c>
      <c r="P507" s="58" t="n">
        <v>2013</v>
      </c>
      <c r="Q507" s="58" t="n">
        <v>2014</v>
      </c>
      <c r="R507" s="58" t="n">
        <v>2015</v>
      </c>
      <c r="S507" s="58" t="n">
        <v>2016</v>
      </c>
      <c r="T507" s="58" t="n">
        <v>2017</v>
      </c>
      <c r="U507" s="58" t="n">
        <v>2018</v>
      </c>
      <c r="V507" s="58" t="n">
        <v>2019</v>
      </c>
      <c r="W507" s="58" t="s">
        <v>19</v>
      </c>
    </row>
    <row r="508" customFormat="false" ht="12.75" hidden="false" customHeight="false" outlineLevel="0" collapsed="false">
      <c r="A508" s="99" t="s">
        <v>61</v>
      </c>
      <c r="B508" s="49"/>
      <c r="C508" s="107"/>
      <c r="D508" s="102" t="n">
        <v>0</v>
      </c>
      <c r="E508" s="102" t="n">
        <v>0</v>
      </c>
      <c r="F508" s="102" t="n">
        <v>0</v>
      </c>
      <c r="G508" s="102" t="n">
        <v>0</v>
      </c>
      <c r="H508" s="102" t="n">
        <v>0</v>
      </c>
      <c r="I508" s="102" t="n">
        <v>0</v>
      </c>
      <c r="J508" s="102" t="n">
        <v>0</v>
      </c>
      <c r="K508" s="102" t="n">
        <v>0</v>
      </c>
      <c r="L508" s="102" t="n">
        <v>0</v>
      </c>
      <c r="M508" s="102" t="n">
        <v>0</v>
      </c>
      <c r="N508" s="102" t="n">
        <v>0</v>
      </c>
      <c r="O508" s="102" t="n">
        <v>0</v>
      </c>
      <c r="P508" s="102" t="n">
        <v>0</v>
      </c>
      <c r="Q508" s="102" t="n">
        <v>0</v>
      </c>
      <c r="R508" s="102" t="n">
        <v>0</v>
      </c>
      <c r="S508" s="102" t="n">
        <v>0</v>
      </c>
      <c r="T508" s="102" t="n">
        <v>0</v>
      </c>
      <c r="U508" s="102" t="n">
        <v>0</v>
      </c>
      <c r="V508" s="102" t="n">
        <v>0</v>
      </c>
      <c r="W508" s="102" t="n">
        <v>0</v>
      </c>
    </row>
    <row r="509" customFormat="false" ht="12.75" hidden="false" customHeight="false" outlineLevel="0" collapsed="false">
      <c r="A509" s="99" t="s">
        <v>62</v>
      </c>
      <c r="B509" s="49"/>
      <c r="C509" s="107"/>
      <c r="D509" s="102" t="n">
        <v>0</v>
      </c>
      <c r="E509" s="102" t="n">
        <v>0</v>
      </c>
      <c r="F509" s="102" t="n">
        <v>0</v>
      </c>
      <c r="G509" s="102" t="n">
        <v>0</v>
      </c>
      <c r="H509" s="102" t="n">
        <v>0</v>
      </c>
      <c r="I509" s="102" t="n">
        <v>0</v>
      </c>
      <c r="J509" s="102" t="n">
        <v>0</v>
      </c>
      <c r="K509" s="102" t="n">
        <v>0</v>
      </c>
      <c r="L509" s="102" t="n">
        <v>0</v>
      </c>
      <c r="M509" s="102" t="n">
        <v>0</v>
      </c>
      <c r="N509" s="102" t="n">
        <v>0</v>
      </c>
      <c r="O509" s="102" t="n">
        <v>0</v>
      </c>
      <c r="P509" s="102" t="n">
        <v>0</v>
      </c>
      <c r="Q509" s="102" t="n">
        <v>0</v>
      </c>
      <c r="R509" s="102" t="n">
        <v>0</v>
      </c>
      <c r="S509" s="102" t="n">
        <v>0</v>
      </c>
      <c r="T509" s="102" t="n">
        <v>0</v>
      </c>
      <c r="U509" s="102" t="n">
        <v>0</v>
      </c>
      <c r="V509" s="102" t="n">
        <v>0</v>
      </c>
      <c r="W509" s="102" t="n">
        <v>0</v>
      </c>
    </row>
    <row r="510" customFormat="false" ht="12.75" hidden="false" customHeight="false" outlineLevel="0" collapsed="false">
      <c r="A510" s="99" t="s">
        <v>63</v>
      </c>
      <c r="B510" s="49"/>
      <c r="C510" s="107"/>
      <c r="D510" s="102" t="n">
        <v>0</v>
      </c>
      <c r="E510" s="102" t="n">
        <v>0</v>
      </c>
      <c r="F510" s="102" t="n">
        <v>0</v>
      </c>
      <c r="G510" s="102" t="n">
        <v>0</v>
      </c>
      <c r="H510" s="102" t="n">
        <v>0</v>
      </c>
      <c r="I510" s="102" t="n">
        <v>0</v>
      </c>
      <c r="J510" s="102" t="n">
        <v>0</v>
      </c>
      <c r="K510" s="102" t="n">
        <v>0</v>
      </c>
      <c r="L510" s="102" t="n">
        <v>0</v>
      </c>
      <c r="M510" s="102" t="n">
        <v>0</v>
      </c>
      <c r="N510" s="102" t="n">
        <v>0</v>
      </c>
      <c r="O510" s="102" t="n">
        <v>0</v>
      </c>
      <c r="P510" s="102" t="n">
        <v>0</v>
      </c>
      <c r="Q510" s="102" t="n">
        <v>0</v>
      </c>
      <c r="R510" s="102" t="n">
        <v>0</v>
      </c>
      <c r="S510" s="102" t="n">
        <v>0</v>
      </c>
      <c r="T510" s="102" t="n">
        <v>0</v>
      </c>
      <c r="U510" s="102" t="n">
        <v>0</v>
      </c>
      <c r="V510" s="102" t="n">
        <v>0</v>
      </c>
      <c r="W510" s="102" t="n">
        <v>0</v>
      </c>
    </row>
    <row r="511" customFormat="false" ht="12.75" hidden="false" customHeight="false" outlineLevel="0" collapsed="false">
      <c r="A511" s="99" t="s">
        <v>64</v>
      </c>
      <c r="B511" s="49"/>
      <c r="C511" s="107"/>
      <c r="D511" s="105" t="n">
        <v>0</v>
      </c>
      <c r="E511" s="105" t="n">
        <v>0</v>
      </c>
      <c r="F511" s="105" t="n">
        <v>0</v>
      </c>
      <c r="G511" s="105" t="n">
        <v>0</v>
      </c>
      <c r="H511" s="105" t="n">
        <v>0</v>
      </c>
      <c r="I511" s="105" t="n">
        <v>0</v>
      </c>
      <c r="J511" s="105" t="n">
        <v>0</v>
      </c>
      <c r="K511" s="105" t="n">
        <v>0</v>
      </c>
      <c r="L511" s="105" t="n">
        <v>0</v>
      </c>
      <c r="M511" s="105" t="n">
        <v>0</v>
      </c>
      <c r="N511" s="105" t="n">
        <v>0</v>
      </c>
      <c r="O511" s="105" t="n">
        <v>0</v>
      </c>
      <c r="P511" s="105" t="n">
        <v>0</v>
      </c>
      <c r="Q511" s="105" t="n">
        <v>0</v>
      </c>
      <c r="R511" s="105" t="n">
        <v>0</v>
      </c>
      <c r="S511" s="105" t="n">
        <v>0</v>
      </c>
      <c r="T511" s="105" t="n">
        <v>0</v>
      </c>
      <c r="U511" s="105" t="n">
        <v>0</v>
      </c>
      <c r="V511" s="105" t="n">
        <v>0</v>
      </c>
      <c r="W511" s="105" t="n">
        <v>0</v>
      </c>
    </row>
    <row r="512" customFormat="false" ht="13.5" hidden="false" customHeight="false" outlineLevel="0" collapsed="false">
      <c r="A512" s="99" t="s">
        <v>65</v>
      </c>
      <c r="B512" s="49"/>
      <c r="C512" s="107"/>
      <c r="D512" s="106" t="n">
        <v>0</v>
      </c>
      <c r="E512" s="106" t="n">
        <v>0</v>
      </c>
      <c r="F512" s="106" t="n">
        <v>0</v>
      </c>
      <c r="G512" s="106" t="n">
        <v>0</v>
      </c>
      <c r="H512" s="106" t="n">
        <v>0</v>
      </c>
      <c r="I512" s="106" t="n">
        <v>0</v>
      </c>
      <c r="J512" s="106" t="n">
        <v>0</v>
      </c>
      <c r="K512" s="106" t="n">
        <v>0</v>
      </c>
      <c r="L512" s="106" t="n">
        <v>0</v>
      </c>
      <c r="M512" s="106" t="n">
        <v>0</v>
      </c>
      <c r="N512" s="106" t="n">
        <v>0</v>
      </c>
      <c r="O512" s="106" t="n">
        <v>0</v>
      </c>
      <c r="P512" s="106" t="n">
        <v>0</v>
      </c>
      <c r="Q512" s="106" t="n">
        <v>0</v>
      </c>
      <c r="R512" s="106" t="n">
        <v>0</v>
      </c>
      <c r="S512" s="106" t="n">
        <v>0</v>
      </c>
      <c r="T512" s="106" t="n">
        <v>0</v>
      </c>
      <c r="U512" s="106" t="n">
        <v>0</v>
      </c>
      <c r="V512" s="106" t="n">
        <v>0</v>
      </c>
      <c r="W512" s="106" t="n">
        <v>0</v>
      </c>
    </row>
    <row r="513" customFormat="false" ht="13.5" hidden="false" customHeight="false" outlineLevel="0" collapsed="false">
      <c r="A513" s="99"/>
      <c r="B513" s="49"/>
      <c r="C513" s="107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</row>
    <row r="514" customFormat="false" ht="12.75" hidden="false" customHeight="false" outlineLevel="0" collapsed="false">
      <c r="A514" s="99" t="s">
        <v>66</v>
      </c>
      <c r="B514" s="49"/>
      <c r="C514" s="107"/>
      <c r="D514" s="102" t="n">
        <v>0</v>
      </c>
      <c r="E514" s="102" t="n">
        <v>0</v>
      </c>
      <c r="F514" s="102" t="n">
        <v>0</v>
      </c>
      <c r="G514" s="102" t="n">
        <v>0</v>
      </c>
      <c r="H514" s="102" t="n">
        <v>0</v>
      </c>
      <c r="I514" s="102" t="n">
        <v>0</v>
      </c>
      <c r="J514" s="102" t="n">
        <v>0</v>
      </c>
      <c r="K514" s="102" t="n">
        <v>0</v>
      </c>
      <c r="L514" s="102" t="n">
        <v>0</v>
      </c>
      <c r="M514" s="102" t="n">
        <v>0</v>
      </c>
      <c r="N514" s="102" t="n">
        <v>0</v>
      </c>
      <c r="O514" s="102" t="n">
        <v>0</v>
      </c>
      <c r="P514" s="102" t="n">
        <v>0</v>
      </c>
      <c r="Q514" s="102" t="n">
        <v>0</v>
      </c>
      <c r="R514" s="102" t="n">
        <v>0</v>
      </c>
      <c r="S514" s="102" t="n">
        <v>0</v>
      </c>
      <c r="T514" s="102" t="n">
        <v>0</v>
      </c>
      <c r="U514" s="102" t="n">
        <v>0</v>
      </c>
      <c r="V514" s="102" t="n">
        <v>0</v>
      </c>
      <c r="W514" s="102" t="n">
        <v>0</v>
      </c>
    </row>
    <row r="515" customFormat="false" ht="12.75" hidden="false" customHeight="false" outlineLevel="0" collapsed="false">
      <c r="A515" s="99"/>
      <c r="B515" s="49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</row>
    <row r="516" customFormat="false" ht="12.75" hidden="false" customHeight="false" outlineLevel="0" collapsed="false">
      <c r="A516" s="99" t="s">
        <v>67</v>
      </c>
      <c r="B516" s="49"/>
      <c r="C516" s="107"/>
      <c r="D516" s="102" t="n">
        <v>0</v>
      </c>
      <c r="E516" s="102" t="n">
        <v>0</v>
      </c>
      <c r="F516" s="102" t="n">
        <v>0</v>
      </c>
      <c r="G516" s="102" t="n">
        <v>0</v>
      </c>
      <c r="H516" s="102" t="n">
        <v>0</v>
      </c>
      <c r="I516" s="102" t="n">
        <v>0</v>
      </c>
      <c r="J516" s="102" t="n">
        <v>0</v>
      </c>
      <c r="K516" s="102" t="n">
        <v>0</v>
      </c>
      <c r="L516" s="102" t="n">
        <v>0</v>
      </c>
      <c r="M516" s="102" t="n">
        <v>0</v>
      </c>
      <c r="N516" s="102" t="n">
        <v>0</v>
      </c>
      <c r="O516" s="102" t="n">
        <v>0</v>
      </c>
      <c r="P516" s="102" t="n">
        <v>0</v>
      </c>
      <c r="Q516" s="102" t="n">
        <v>0</v>
      </c>
      <c r="R516" s="102" t="n">
        <v>0</v>
      </c>
      <c r="S516" s="102" t="n">
        <v>0</v>
      </c>
      <c r="T516" s="102" t="n">
        <v>0</v>
      </c>
      <c r="U516" s="102" t="n">
        <v>0</v>
      </c>
      <c r="V516" s="102" t="n">
        <v>0</v>
      </c>
      <c r="W516" s="102" t="n">
        <v>0</v>
      </c>
    </row>
    <row r="517" customFormat="false" ht="12.75" hidden="false" customHeight="false" outlineLevel="0" collapsed="false">
      <c r="A517" s="107"/>
      <c r="B517" s="49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</row>
    <row r="518" customFormat="false" ht="12.75" hidden="false" customHeight="false" outlineLevel="0" collapsed="false">
      <c r="A518" s="107"/>
      <c r="B518" s="49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</row>
    <row r="519" customFormat="false" ht="12.75" hidden="false" customHeight="false" outlineLevel="0" collapsed="false">
      <c r="A519" s="99" t="s">
        <v>68</v>
      </c>
      <c r="B519" s="148"/>
      <c r="C519" s="149"/>
      <c r="D519" s="79" t="n">
        <v>12745421.2229924</v>
      </c>
      <c r="E519" s="79" t="n">
        <v>20168202.4132403</v>
      </c>
      <c r="F519" s="79" t="n">
        <v>19507532.9851711</v>
      </c>
      <c r="G519" s="79" t="n">
        <v>20617442.8389111</v>
      </c>
      <c r="H519" s="79" t="n">
        <v>19824043.0956113</v>
      </c>
      <c r="I519" s="79" t="n">
        <v>20695137.2852204</v>
      </c>
      <c r="J519" s="79" t="n">
        <v>22623088.2380583</v>
      </c>
      <c r="K519" s="79" t="n">
        <v>23158428.4649658</v>
      </c>
      <c r="L519" s="79" t="n">
        <v>23653759.7840618</v>
      </c>
      <c r="M519" s="79" t="n">
        <v>23507439.6824336</v>
      </c>
      <c r="N519" s="79" t="n">
        <v>24005915.3293991</v>
      </c>
      <c r="O519" s="79" t="n">
        <v>23971554.9182787</v>
      </c>
      <c r="P519" s="79" t="n">
        <v>23992887.0143784</v>
      </c>
      <c r="Q519" s="79" t="n">
        <v>24979943.3707536</v>
      </c>
      <c r="R519" s="79" t="n">
        <v>27742286.3075541</v>
      </c>
      <c r="S519" s="79" t="n">
        <v>26833330.247039</v>
      </c>
      <c r="T519" s="79" t="n">
        <v>27101352.4185545</v>
      </c>
      <c r="U519" s="79" t="n">
        <v>29258216.567961</v>
      </c>
      <c r="V519" s="79" t="n">
        <v>30584858.8267929</v>
      </c>
      <c r="W519" s="79" t="n">
        <v>160974007.818944</v>
      </c>
    </row>
    <row r="520" customFormat="false" ht="12.75" hidden="false" customHeight="false" outlineLevel="0" collapsed="false">
      <c r="A520" s="2"/>
      <c r="B520" s="3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customFormat="false" ht="12.75" hidden="false" customHeight="false" outlineLevel="0" collapsed="false">
      <c r="B521" s="150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16"/>
    </row>
    <row r="522" customFormat="false" ht="12.75" hidden="false" customHeight="false" outlineLevel="0" collapsed="false">
      <c r="B522" s="150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16"/>
    </row>
    <row r="523" customFormat="false" ht="12.75" hidden="false" customHeight="false" outlineLevel="0" collapsed="false">
      <c r="B523" s="153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16"/>
    </row>
    <row r="524" customFormat="false" ht="12.75" hidden="false" customHeight="false" outlineLevel="0" collapsed="false">
      <c r="B524" s="150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16"/>
    </row>
    <row r="525" customFormat="false" ht="12.75" hidden="false" customHeight="false" outlineLevel="0" collapsed="false">
      <c r="B525" s="150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16"/>
    </row>
    <row r="526" customFormat="false" ht="12.75" hidden="false" customHeight="false" outlineLevel="0" collapsed="false">
      <c r="B526" s="153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16"/>
    </row>
    <row r="527" customFormat="false" ht="12.75" hidden="false" customHeight="false" outlineLevel="0" collapsed="false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16"/>
    </row>
    <row r="528" customFormat="false" ht="15.75" hidden="false" customHeight="false" outlineLevel="0" collapsed="false">
      <c r="A528" s="48" t="s">
        <v>17</v>
      </c>
      <c r="B528" s="57" t="s">
        <v>77</v>
      </c>
      <c r="C528" s="58" t="n">
        <v>2000</v>
      </c>
      <c r="D528" s="58" t="n">
        <v>2001</v>
      </c>
      <c r="E528" s="58" t="n">
        <v>2002</v>
      </c>
      <c r="F528" s="58" t="n">
        <v>2003</v>
      </c>
      <c r="G528" s="58" t="n">
        <v>2004</v>
      </c>
      <c r="H528" s="58" t="n">
        <v>2005</v>
      </c>
      <c r="I528" s="58" t="n">
        <v>2006</v>
      </c>
      <c r="J528" s="58" t="n">
        <v>2007</v>
      </c>
      <c r="K528" s="58" t="n">
        <v>2008</v>
      </c>
      <c r="L528" s="58" t="n">
        <v>2009</v>
      </c>
      <c r="M528" s="58" t="n">
        <v>2010</v>
      </c>
      <c r="N528" s="58" t="n">
        <v>2011</v>
      </c>
      <c r="O528" s="58" t="n">
        <v>2012</v>
      </c>
      <c r="P528" s="58" t="n">
        <v>2013</v>
      </c>
      <c r="Q528" s="58" t="n">
        <v>2014</v>
      </c>
      <c r="R528" s="58" t="n">
        <v>2015</v>
      </c>
      <c r="S528" s="58" t="n">
        <v>2016</v>
      </c>
      <c r="T528" s="58" t="n">
        <v>2017</v>
      </c>
      <c r="U528" s="58" t="n">
        <v>2018</v>
      </c>
      <c r="V528" s="58" t="n">
        <v>2019</v>
      </c>
      <c r="W528" s="58" t="s">
        <v>19</v>
      </c>
    </row>
    <row r="529" customFormat="false" ht="12.75" hidden="false" customHeight="false" outlineLevel="0" collapsed="false">
      <c r="A529" s="48" t="s">
        <v>5</v>
      </c>
      <c r="B529" s="49" t="n">
        <v>80</v>
      </c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</row>
    <row r="530" customFormat="false" ht="12.75" hidden="false" customHeight="false" outlineLevel="0" collapsed="false">
      <c r="A530" s="2"/>
      <c r="B530" s="117" t="s">
        <v>20</v>
      </c>
      <c r="C530" s="118" t="n">
        <v>0</v>
      </c>
      <c r="D530" s="64" t="n">
        <v>21964140.0941187</v>
      </c>
      <c r="E530" s="64" t="n">
        <v>21659524.8642356</v>
      </c>
      <c r="F530" s="64" t="n">
        <v>20589808.9728608</v>
      </c>
      <c r="G530" s="64" t="n">
        <v>20335325.5161103</v>
      </c>
      <c r="H530" s="64" t="n">
        <v>20408149.8272217</v>
      </c>
      <c r="I530" s="64" t="n">
        <v>17043267.1195613</v>
      </c>
      <c r="J530" s="64" t="n">
        <v>16000067.4378474</v>
      </c>
      <c r="K530" s="64" t="n">
        <v>16586300.6915583</v>
      </c>
      <c r="L530" s="64" t="n">
        <v>16699188.9497452</v>
      </c>
      <c r="M530" s="64" t="n">
        <v>17456717.1460952</v>
      </c>
      <c r="N530" s="64" t="n">
        <v>18824947.7408547</v>
      </c>
      <c r="O530" s="64" t="n">
        <v>17622862.8984321</v>
      </c>
      <c r="P530" s="64" t="n">
        <v>17719192.8164064</v>
      </c>
      <c r="Q530" s="64" t="n">
        <v>19557148.5558051</v>
      </c>
      <c r="R530" s="64" t="n">
        <v>25283584.692206</v>
      </c>
      <c r="S530" s="64" t="n">
        <v>19998098.2671312</v>
      </c>
      <c r="T530" s="64" t="n">
        <v>20634101.6827515</v>
      </c>
      <c r="U530" s="64" t="n">
        <v>23970526.4724849</v>
      </c>
      <c r="V530" s="64" t="n">
        <v>31097032.9324638</v>
      </c>
      <c r="W530" s="65"/>
    </row>
    <row r="531" customFormat="false" ht="12.75" hidden="false" customHeight="false" outlineLevel="0" collapsed="false">
      <c r="A531" s="2"/>
      <c r="B531" s="117" t="s">
        <v>21</v>
      </c>
      <c r="C531" s="118" t="n">
        <v>0</v>
      </c>
      <c r="D531" s="64" t="n">
        <v>-9335046.59660158</v>
      </c>
      <c r="E531" s="64" t="n">
        <v>-9470699.5711747</v>
      </c>
      <c r="F531" s="64" t="n">
        <v>-8815821.82651635</v>
      </c>
      <c r="G531" s="64" t="n">
        <v>-9054934.05535822</v>
      </c>
      <c r="H531" s="64" t="n">
        <v>-9341098.69064522</v>
      </c>
      <c r="I531" s="64" t="n">
        <v>-6795533.14506193</v>
      </c>
      <c r="J531" s="64" t="n">
        <v>-5126713.33145117</v>
      </c>
      <c r="K531" s="64" t="n">
        <v>-5266363.9476233</v>
      </c>
      <c r="L531" s="64" t="n">
        <v>-5317518.44717733</v>
      </c>
      <c r="M531" s="64" t="n">
        <v>-5633371.08213844</v>
      </c>
      <c r="N531" s="64" t="n">
        <v>-6475500.11922498</v>
      </c>
      <c r="O531" s="64" t="n">
        <v>-5847576.29946995</v>
      </c>
      <c r="P531" s="64" t="n">
        <v>-5848619.04334698</v>
      </c>
      <c r="Q531" s="64" t="n">
        <v>-6538261.17073715</v>
      </c>
      <c r="R531" s="64" t="n">
        <v>-9165595.60277997</v>
      </c>
      <c r="S531" s="64" t="n">
        <v>-6629535.82834726</v>
      </c>
      <c r="T531" s="64" t="n">
        <v>-6823960.41844632</v>
      </c>
      <c r="U531" s="64" t="n">
        <v>-8089127.24447951</v>
      </c>
      <c r="V531" s="64" t="n">
        <v>-12226131.8949849</v>
      </c>
      <c r="W531" s="65"/>
    </row>
    <row r="532" customFormat="false" ht="12.75" hidden="false" customHeight="false" outlineLevel="0" collapsed="false">
      <c r="A532" s="2"/>
      <c r="B532" s="117" t="s">
        <v>22</v>
      </c>
      <c r="C532" s="118" t="n">
        <v>0</v>
      </c>
      <c r="D532" s="64" t="n">
        <v>-721720.17343479</v>
      </c>
      <c r="E532" s="64" t="n">
        <v>-736287.630117913</v>
      </c>
      <c r="F532" s="64" t="n">
        <v>-687236.870668218</v>
      </c>
      <c r="G532" s="64" t="n">
        <v>-700129.080009376</v>
      </c>
      <c r="H532" s="64" t="n">
        <v>-712219.645340269</v>
      </c>
      <c r="I532" s="64" t="n">
        <v>-509104.745326938</v>
      </c>
      <c r="J532" s="64" t="n">
        <v>-383194.517303199</v>
      </c>
      <c r="K532" s="64" t="n">
        <v>-392796.788438075</v>
      </c>
      <c r="L532" s="64" t="n">
        <v>-398238.465188815</v>
      </c>
      <c r="M532" s="64" t="n">
        <v>-426781.75679382</v>
      </c>
      <c r="N532" s="64" t="n">
        <v>-494017.158840249</v>
      </c>
      <c r="O532" s="64" t="n">
        <v>-445179.635976314</v>
      </c>
      <c r="P532" s="64" t="n">
        <v>-443921.295090795</v>
      </c>
      <c r="Q532" s="64" t="n">
        <v>-496153.957151771</v>
      </c>
      <c r="R532" s="64" t="n">
        <v>-699252.964481931</v>
      </c>
      <c r="S532" s="64" t="n">
        <v>-505734.230673312</v>
      </c>
      <c r="T532" s="64" t="n">
        <v>-519095.079038629</v>
      </c>
      <c r="U532" s="64" t="n">
        <v>-612667.549779768</v>
      </c>
      <c r="V532" s="64" t="n">
        <v>-921988.935609135</v>
      </c>
      <c r="W532" s="65"/>
    </row>
    <row r="533" customFormat="false" ht="12.75" hidden="false" customHeight="false" outlineLevel="0" collapsed="false">
      <c r="A533" s="2"/>
      <c r="B533" s="117" t="s">
        <v>23</v>
      </c>
      <c r="C533" s="118" t="n">
        <v>0</v>
      </c>
      <c r="D533" s="64" t="n">
        <v>0</v>
      </c>
      <c r="E533" s="64" t="n">
        <v>0</v>
      </c>
      <c r="F533" s="64" t="n">
        <v>0</v>
      </c>
      <c r="G533" s="64" t="n">
        <v>0</v>
      </c>
      <c r="H533" s="64" t="n">
        <v>0</v>
      </c>
      <c r="I533" s="64" t="n">
        <v>-811968.437519359</v>
      </c>
      <c r="J533" s="64" t="n">
        <v>-637230.485026324</v>
      </c>
      <c r="K533" s="64" t="n">
        <v>-737294.631627157</v>
      </c>
      <c r="L533" s="64" t="n">
        <v>-771279.839212413</v>
      </c>
      <c r="M533" s="64" t="n">
        <v>-908191.402015934</v>
      </c>
      <c r="N533" s="64" t="n">
        <v>-1154496.83010611</v>
      </c>
      <c r="O533" s="64" t="n">
        <v>-1111248.35979129</v>
      </c>
      <c r="P533" s="64" t="n">
        <v>-1214362.32149957</v>
      </c>
      <c r="Q533" s="64" t="n">
        <v>-1499163.5091246</v>
      </c>
      <c r="R533" s="64" t="n">
        <v>-2382741.24058462</v>
      </c>
      <c r="S533" s="64" t="n">
        <v>-1781025.74385093</v>
      </c>
      <c r="T533" s="64" t="n">
        <v>-1762418.42573665</v>
      </c>
      <c r="U533" s="64" t="n">
        <v>-1777773.67679544</v>
      </c>
      <c r="V533" s="64" t="n">
        <v>-2822716.7590452</v>
      </c>
      <c r="W533" s="65"/>
    </row>
    <row r="534" customFormat="false" ht="13.5" hidden="false" customHeight="false" outlineLevel="0" collapsed="false">
      <c r="A534" s="2"/>
      <c r="B534" s="119" t="s">
        <v>24</v>
      </c>
      <c r="C534" s="120" t="n">
        <v>0</v>
      </c>
      <c r="D534" s="68" t="n">
        <v>0</v>
      </c>
      <c r="E534" s="68" t="n">
        <v>0</v>
      </c>
      <c r="F534" s="68" t="n">
        <v>-5106693.03642263</v>
      </c>
      <c r="G534" s="68" t="n">
        <v>-4335443.16607404</v>
      </c>
      <c r="H534" s="68" t="n">
        <v>-4467058.95663996</v>
      </c>
      <c r="I534" s="68" t="n">
        <v>-1633623.62284465</v>
      </c>
      <c r="J534" s="68" t="n">
        <v>-3447695.88380625</v>
      </c>
      <c r="K534" s="68" t="n">
        <v>-3023302.84081072</v>
      </c>
      <c r="L534" s="68" t="n">
        <v>-3183823.47966311</v>
      </c>
      <c r="M534" s="68" t="n">
        <v>-3183242.2521189</v>
      </c>
      <c r="N534" s="68" t="n">
        <v>-3713065.95456118</v>
      </c>
      <c r="O534" s="68" t="n">
        <v>-3366675.05251202</v>
      </c>
      <c r="P534" s="68" t="n">
        <v>-2940695.04161305</v>
      </c>
      <c r="Q534" s="68" t="n">
        <v>-3333873.91379713</v>
      </c>
      <c r="R534" s="68" t="n">
        <v>-4703112.08050766</v>
      </c>
      <c r="S534" s="68" t="n">
        <v>-3539786.0668231</v>
      </c>
      <c r="T534" s="68" t="n">
        <v>-3348842.93941408</v>
      </c>
      <c r="U534" s="68" t="n">
        <v>-4267423.47568165</v>
      </c>
      <c r="V534" s="68" t="n">
        <v>-3426845.47123257</v>
      </c>
      <c r="W534" s="65"/>
    </row>
    <row r="535" customFormat="false" ht="13.5" hidden="false" customHeight="false" outlineLevel="0" collapsed="false">
      <c r="A535" s="2"/>
      <c r="B535" s="121" t="s">
        <v>25</v>
      </c>
      <c r="C535" s="122" t="n">
        <v>0</v>
      </c>
      <c r="D535" s="71" t="n">
        <v>11907373.3240824</v>
      </c>
      <c r="E535" s="71" t="n">
        <v>11452537.6629429</v>
      </c>
      <c r="F535" s="71" t="n">
        <v>5980057.23925362</v>
      </c>
      <c r="G535" s="71" t="n">
        <v>6244819.21466868</v>
      </c>
      <c r="H535" s="71" t="n">
        <v>5887772.53459621</v>
      </c>
      <c r="I535" s="71" t="n">
        <v>7293037.16880843</v>
      </c>
      <c r="J535" s="71" t="n">
        <v>6405233.22026043</v>
      </c>
      <c r="K535" s="71" t="n">
        <v>7166542.48305907</v>
      </c>
      <c r="L535" s="71" t="n">
        <v>7028328.71850353</v>
      </c>
      <c r="M535" s="71" t="n">
        <v>7305130.65302812</v>
      </c>
      <c r="N535" s="71" t="n">
        <v>6987867.67812216</v>
      </c>
      <c r="O535" s="71" t="n">
        <v>6852183.55068255</v>
      </c>
      <c r="P535" s="71" t="n">
        <v>7271595.11485599</v>
      </c>
      <c r="Q535" s="71" t="n">
        <v>7689696.00499443</v>
      </c>
      <c r="R535" s="71" t="n">
        <v>8332882.8038518</v>
      </c>
      <c r="S535" s="71" t="n">
        <v>7542016.3974366</v>
      </c>
      <c r="T535" s="71" t="n">
        <v>8179784.82011581</v>
      </c>
      <c r="U535" s="71" t="n">
        <v>9223534.52574849</v>
      </c>
      <c r="V535" s="71" t="n">
        <v>11699349.871592</v>
      </c>
      <c r="W535" s="65"/>
    </row>
    <row r="536" customFormat="false" ht="12.75" hidden="false" customHeight="false" outlineLevel="0" collapsed="false">
      <c r="A536" s="2"/>
      <c r="B536" s="117" t="s">
        <v>26</v>
      </c>
      <c r="C536" s="118" t="n">
        <v>0</v>
      </c>
      <c r="D536" s="64" t="n">
        <v>-931626.667789654</v>
      </c>
      <c r="E536" s="64" t="n">
        <v>-950259.201145447</v>
      </c>
      <c r="F536" s="64" t="n">
        <v>-969264.385168356</v>
      </c>
      <c r="G536" s="64" t="n">
        <v>-988649.672871723</v>
      </c>
      <c r="H536" s="64" t="n">
        <v>-1008422.66632916</v>
      </c>
      <c r="I536" s="64" t="n">
        <v>-1028591.11965574</v>
      </c>
      <c r="J536" s="64" t="n">
        <v>-1049162.94204886</v>
      </c>
      <c r="K536" s="64" t="n">
        <v>-1070146.20088983</v>
      </c>
      <c r="L536" s="64" t="n">
        <v>-1091549.12490763</v>
      </c>
      <c r="M536" s="64" t="n">
        <v>-1113380.10740578</v>
      </c>
      <c r="N536" s="64" t="n">
        <v>-1135647.7095539</v>
      </c>
      <c r="O536" s="64" t="n">
        <v>-1158360.66374498</v>
      </c>
      <c r="P536" s="64" t="n">
        <v>-1181527.87701988</v>
      </c>
      <c r="Q536" s="64" t="n">
        <v>-1205158.43456027</v>
      </c>
      <c r="R536" s="64" t="n">
        <v>-1229261.60325148</v>
      </c>
      <c r="S536" s="64" t="n">
        <v>-1253846.83531651</v>
      </c>
      <c r="T536" s="64" t="n">
        <v>-1278923.77202284</v>
      </c>
      <c r="U536" s="64" t="n">
        <v>-1304502.2474633</v>
      </c>
      <c r="V536" s="64" t="n">
        <v>-1330592.29241256</v>
      </c>
      <c r="W536" s="65"/>
    </row>
    <row r="537" customFormat="false" ht="12.75" hidden="false" customHeight="false" outlineLevel="0" collapsed="false">
      <c r="A537" s="2"/>
      <c r="B537" s="117" t="s">
        <v>27</v>
      </c>
      <c r="C537" s="118" t="n">
        <v>0</v>
      </c>
      <c r="D537" s="64" t="n">
        <v>-200917.675932973</v>
      </c>
      <c r="E537" s="64" t="n">
        <v>-205641.431992416</v>
      </c>
      <c r="F537" s="64" t="n">
        <v>-218077.278060398</v>
      </c>
      <c r="G537" s="64" t="n">
        <v>-229740.237325288</v>
      </c>
      <c r="H537" s="64" t="n">
        <v>-277364.270380425</v>
      </c>
      <c r="I537" s="64" t="n">
        <v>-345386.733706782</v>
      </c>
      <c r="J537" s="64" t="n">
        <v>-385353.455268471</v>
      </c>
      <c r="K537" s="64" t="n">
        <v>-421308.505077792</v>
      </c>
      <c r="L537" s="64" t="n">
        <v>-452769.732690784</v>
      </c>
      <c r="M537" s="64" t="n">
        <v>-463724.02074574</v>
      </c>
      <c r="N537" s="64" t="n">
        <v>-469582.429125914</v>
      </c>
      <c r="O537" s="64" t="n">
        <v>-475922.502547422</v>
      </c>
      <c r="P537" s="64" t="n">
        <v>-482081.096241669</v>
      </c>
      <c r="Q537" s="64" t="n">
        <v>-488393.654778272</v>
      </c>
      <c r="R537" s="64" t="n">
        <v>-494864.658534145</v>
      </c>
      <c r="S537" s="64" t="n">
        <v>-501497.437383914</v>
      </c>
      <c r="T537" s="64" t="n">
        <v>-508294.709149157</v>
      </c>
      <c r="U537" s="64" t="n">
        <v>-515262.592435708</v>
      </c>
      <c r="V537" s="64" t="n">
        <v>-522405.369592751</v>
      </c>
      <c r="W537" s="65"/>
    </row>
    <row r="538" customFormat="false" ht="13.5" hidden="false" customHeight="false" outlineLevel="0" collapsed="false">
      <c r="A538" s="2"/>
      <c r="B538" s="119" t="s">
        <v>28</v>
      </c>
      <c r="C538" s="120" t="n">
        <v>0</v>
      </c>
      <c r="D538" s="68" t="n">
        <v>-224390.184795808</v>
      </c>
      <c r="E538" s="68" t="n">
        <v>-229124.817695001</v>
      </c>
      <c r="F538" s="68" t="n">
        <v>-234142.651202522</v>
      </c>
      <c r="G538" s="68" t="n">
        <v>-239434.275119697</v>
      </c>
      <c r="H538" s="68" t="n">
        <v>-245132.810867547</v>
      </c>
      <c r="I538" s="68" t="n">
        <v>-251275.863751529</v>
      </c>
      <c r="J538" s="68" t="n">
        <v>-257508.205194873</v>
      </c>
      <c r="K538" s="68" t="n">
        <v>-264026.270028169</v>
      </c>
      <c r="L538" s="68" t="n">
        <v>-270547.718897866</v>
      </c>
      <c r="M538" s="68" t="n">
        <v>-277446.68572976</v>
      </c>
      <c r="N538" s="68" t="n">
        <v>-284160.895524422</v>
      </c>
      <c r="O538" s="68" t="n">
        <v>-291321.750091636</v>
      </c>
      <c r="P538" s="68" t="n">
        <v>-298721.322543963</v>
      </c>
      <c r="Q538" s="68" t="n">
        <v>-306189.355607562</v>
      </c>
      <c r="R538" s="68" t="n">
        <v>-313874.708433312</v>
      </c>
      <c r="S538" s="68" t="n">
        <v>-321721.576144145</v>
      </c>
      <c r="T538" s="68" t="n">
        <v>-329700.27123252</v>
      </c>
      <c r="U538" s="68" t="n">
        <v>-337975.748040456</v>
      </c>
      <c r="V538" s="68" t="n">
        <v>-346458.939316272</v>
      </c>
      <c r="W538" s="65"/>
    </row>
    <row r="539" customFormat="false" ht="13.5" hidden="false" customHeight="false" outlineLevel="0" collapsed="false">
      <c r="A539" s="2"/>
      <c r="B539" s="121" t="s">
        <v>29</v>
      </c>
      <c r="C539" s="123" t="n">
        <v>0</v>
      </c>
      <c r="D539" s="73" t="n">
        <v>10550438.7955639</v>
      </c>
      <c r="E539" s="73" t="n">
        <v>10067512.2121101</v>
      </c>
      <c r="F539" s="73" t="n">
        <v>4558572.92482234</v>
      </c>
      <c r="G539" s="73" t="n">
        <v>4786995.02935198</v>
      </c>
      <c r="H539" s="73" t="n">
        <v>4356852.78701908</v>
      </c>
      <c r="I539" s="73" t="n">
        <v>5667783.45169438</v>
      </c>
      <c r="J539" s="73" t="n">
        <v>4713208.61774823</v>
      </c>
      <c r="K539" s="73" t="n">
        <v>5411061.50706328</v>
      </c>
      <c r="L539" s="73" t="n">
        <v>5213462.14200725</v>
      </c>
      <c r="M539" s="73" t="n">
        <v>5450579.83914684</v>
      </c>
      <c r="N539" s="73" t="n">
        <v>5098476.64391793</v>
      </c>
      <c r="O539" s="73" t="n">
        <v>4926578.63429852</v>
      </c>
      <c r="P539" s="73" t="n">
        <v>5309264.81905048</v>
      </c>
      <c r="Q539" s="73" t="n">
        <v>5689954.56004832</v>
      </c>
      <c r="R539" s="73" t="n">
        <v>6294881.83363287</v>
      </c>
      <c r="S539" s="73" t="n">
        <v>5464950.54859204</v>
      </c>
      <c r="T539" s="73" t="n">
        <v>6062866.0677113</v>
      </c>
      <c r="U539" s="73" t="n">
        <v>7065793.93780903</v>
      </c>
      <c r="V539" s="73" t="n">
        <v>9499893.27027038</v>
      </c>
      <c r="W539" s="65"/>
    </row>
    <row r="540" customFormat="false" ht="12.75" hidden="false" customHeight="false" outlineLevel="0" collapsed="false">
      <c r="A540" s="2"/>
      <c r="B540" s="117" t="s">
        <v>30</v>
      </c>
      <c r="C540" s="118" t="n">
        <v>0</v>
      </c>
      <c r="D540" s="64" t="n">
        <v>-700819.324457305</v>
      </c>
      <c r="E540" s="64" t="n">
        <v>-751368.694838945</v>
      </c>
      <c r="F540" s="64" t="n">
        <v>-831570.848887666</v>
      </c>
      <c r="G540" s="64" t="n">
        <v>-856503.021831523</v>
      </c>
      <c r="H540" s="64" t="n">
        <v>-875236.064617164</v>
      </c>
      <c r="I540" s="64" t="n">
        <v>-907751.924857085</v>
      </c>
      <c r="J540" s="64" t="n">
        <v>-940112.300754097</v>
      </c>
      <c r="K540" s="64" t="n">
        <v>-971641.320936404</v>
      </c>
      <c r="L540" s="64" t="n">
        <v>-1003382.68245317</v>
      </c>
      <c r="M540" s="64" t="n">
        <v>-978527.955181033</v>
      </c>
      <c r="N540" s="64" t="n">
        <v>-955969.763732991</v>
      </c>
      <c r="O540" s="64" t="n">
        <v>-993679.845897515</v>
      </c>
      <c r="P540" s="64" t="n">
        <v>-879474.972588941</v>
      </c>
      <c r="Q540" s="64" t="n">
        <v>-766259.620570822</v>
      </c>
      <c r="R540" s="64" t="n">
        <v>-693547.827745245</v>
      </c>
      <c r="S540" s="64" t="n">
        <v>-622011.87948881</v>
      </c>
      <c r="T540" s="64" t="n">
        <v>-665609.088998674</v>
      </c>
      <c r="U540" s="64" t="n">
        <v>-710511.541542806</v>
      </c>
      <c r="V540" s="64" t="n">
        <v>-754338.061901944</v>
      </c>
      <c r="W540" s="65"/>
    </row>
    <row r="541" customFormat="false" ht="13.5" hidden="false" customHeight="false" outlineLevel="0" collapsed="false">
      <c r="A541" s="2"/>
      <c r="B541" s="119" t="s">
        <v>70</v>
      </c>
      <c r="C541" s="120" t="n">
        <v>0</v>
      </c>
      <c r="D541" s="68" t="n">
        <v>-3939847.78844265</v>
      </c>
      <c r="E541" s="68" t="n">
        <v>-3726457.40690845</v>
      </c>
      <c r="F541" s="68" t="n">
        <v>-1490800.83037387</v>
      </c>
      <c r="G541" s="68" t="n">
        <v>-1572196.80300818</v>
      </c>
      <c r="H541" s="68" t="n">
        <v>-1392646.68896077</v>
      </c>
      <c r="I541" s="68" t="n">
        <v>-1904012.61073492</v>
      </c>
      <c r="J541" s="68" t="n">
        <v>-1509238.52679765</v>
      </c>
      <c r="K541" s="68" t="n">
        <v>-1775768.07445075</v>
      </c>
      <c r="L541" s="68" t="n">
        <v>-1684031.78382163</v>
      </c>
      <c r="M541" s="68" t="n">
        <v>-1788820.75358632</v>
      </c>
      <c r="N541" s="68" t="n">
        <v>-1657002.75207398</v>
      </c>
      <c r="O541" s="68" t="n">
        <v>-1573159.5153604</v>
      </c>
      <c r="P541" s="68" t="n">
        <v>-1771915.93858462</v>
      </c>
      <c r="Q541" s="68" t="n">
        <v>-1969477.975791</v>
      </c>
      <c r="R541" s="68" t="n">
        <v>-2240533.60235505</v>
      </c>
      <c r="S541" s="68" t="n">
        <v>-1937175.46764129</v>
      </c>
      <c r="T541" s="68" t="n">
        <v>-2158902.79148505</v>
      </c>
      <c r="U541" s="68" t="n">
        <v>-2542112.95850649</v>
      </c>
      <c r="V541" s="68" t="n">
        <v>-3498222.08334738</v>
      </c>
      <c r="W541" s="65"/>
    </row>
    <row r="542" customFormat="false" ht="13.5" hidden="false" customHeight="false" outlineLevel="0" collapsed="false">
      <c r="A542" s="2"/>
      <c r="B542" s="121" t="s">
        <v>32</v>
      </c>
      <c r="C542" s="123" t="n">
        <v>0</v>
      </c>
      <c r="D542" s="73" t="n">
        <v>5909771.68266397</v>
      </c>
      <c r="E542" s="73" t="n">
        <v>5589686.11036268</v>
      </c>
      <c r="F542" s="73" t="n">
        <v>2236201.24556081</v>
      </c>
      <c r="G542" s="73" t="n">
        <v>2358295.20451227</v>
      </c>
      <c r="H542" s="73" t="n">
        <v>2088970.03344115</v>
      </c>
      <c r="I542" s="73" t="n">
        <v>2856018.91610237</v>
      </c>
      <c r="J542" s="73" t="n">
        <v>2263857.79019648</v>
      </c>
      <c r="K542" s="73" t="n">
        <v>2663652.11167612</v>
      </c>
      <c r="L542" s="73" t="n">
        <v>2526047.67573245</v>
      </c>
      <c r="M542" s="73" t="n">
        <v>2683231.13037948</v>
      </c>
      <c r="N542" s="73" t="n">
        <v>2485504.12811096</v>
      </c>
      <c r="O542" s="73" t="n">
        <v>2359739.2730406</v>
      </c>
      <c r="P542" s="73" t="n">
        <v>2657873.90787693</v>
      </c>
      <c r="Q542" s="73" t="n">
        <v>2954216.9636865</v>
      </c>
      <c r="R542" s="73" t="n">
        <v>3360800.40353257</v>
      </c>
      <c r="S542" s="73" t="n">
        <v>2905763.20146194</v>
      </c>
      <c r="T542" s="73" t="n">
        <v>3238354.18722757</v>
      </c>
      <c r="U542" s="73" t="n">
        <v>3813169.43775974</v>
      </c>
      <c r="V542" s="73" t="n">
        <v>5247333.12502106</v>
      </c>
      <c r="W542" s="65"/>
    </row>
    <row r="543" customFormat="false" ht="12.75" hidden="false" customHeight="false" outlineLevel="0" collapsed="false">
      <c r="A543" s="2"/>
      <c r="B543" s="117" t="s">
        <v>30</v>
      </c>
      <c r="C543" s="118" t="n">
        <v>0</v>
      </c>
      <c r="D543" s="64" t="n">
        <v>700819.324457305</v>
      </c>
      <c r="E543" s="64" t="n">
        <v>751368.694838945</v>
      </c>
      <c r="F543" s="64" t="n">
        <v>831570.848887666</v>
      </c>
      <c r="G543" s="64" t="n">
        <v>856503.021831523</v>
      </c>
      <c r="H543" s="64" t="n">
        <v>875236.064617164</v>
      </c>
      <c r="I543" s="64" t="n">
        <v>907751.924857085</v>
      </c>
      <c r="J543" s="64" t="n">
        <v>940112.300754097</v>
      </c>
      <c r="K543" s="64" t="n">
        <v>971641.320936404</v>
      </c>
      <c r="L543" s="64" t="n">
        <v>1003382.68245317</v>
      </c>
      <c r="M543" s="64" t="n">
        <v>978527.955181033</v>
      </c>
      <c r="N543" s="64" t="n">
        <v>955969.763732991</v>
      </c>
      <c r="O543" s="64" t="n">
        <v>993679.845897515</v>
      </c>
      <c r="P543" s="64" t="n">
        <v>879474.972588941</v>
      </c>
      <c r="Q543" s="64" t="n">
        <v>766259.620570822</v>
      </c>
      <c r="R543" s="64" t="n">
        <v>693547.827745245</v>
      </c>
      <c r="S543" s="64" t="n">
        <v>622011.87948881</v>
      </c>
      <c r="T543" s="64" t="n">
        <v>665609.088998674</v>
      </c>
      <c r="U543" s="64" t="n">
        <v>710511.541542806</v>
      </c>
      <c r="V543" s="64" t="n">
        <v>754338.061901944</v>
      </c>
      <c r="W543" s="65"/>
    </row>
    <row r="544" customFormat="false" ht="12.75" hidden="false" customHeight="false" outlineLevel="0" collapsed="false">
      <c r="A544" s="2"/>
      <c r="B544" s="117" t="s">
        <v>33</v>
      </c>
      <c r="C544" s="118" t="n">
        <v>0</v>
      </c>
      <c r="D544" s="64" t="n">
        <v>-296039.05</v>
      </c>
      <c r="E544" s="64" t="n">
        <v>-1656351.77</v>
      </c>
      <c r="F544" s="64" t="n">
        <v>-768259.69</v>
      </c>
      <c r="G544" s="64" t="n">
        <v>-270547</v>
      </c>
      <c r="H544" s="64" t="n">
        <v>-651964.08</v>
      </c>
      <c r="I544" s="64" t="n">
        <v>-671523.0024</v>
      </c>
      <c r="J544" s="64" t="n">
        <v>-691668.692472</v>
      </c>
      <c r="K544" s="64" t="n">
        <v>-712418.75324616</v>
      </c>
      <c r="L544" s="64" t="n">
        <v>-733791.315843545</v>
      </c>
      <c r="M544" s="64" t="n">
        <v>-755805.055318851</v>
      </c>
      <c r="N544" s="64" t="n">
        <v>-778479.206978417</v>
      </c>
      <c r="O544" s="64" t="n">
        <v>-801833.583187769</v>
      </c>
      <c r="P544" s="64" t="n">
        <v>-825888.590683402</v>
      </c>
      <c r="Q544" s="64" t="n">
        <v>-850665.248403904</v>
      </c>
      <c r="R544" s="64" t="n">
        <v>-876185.205856022</v>
      </c>
      <c r="S544" s="64" t="n">
        <v>-902470.762031702</v>
      </c>
      <c r="T544" s="64" t="n">
        <v>-929544.884892653</v>
      </c>
      <c r="U544" s="64" t="n">
        <v>-957431.231439433</v>
      </c>
      <c r="V544" s="64" t="n">
        <v>-986154.168382616</v>
      </c>
      <c r="W544" s="65"/>
    </row>
    <row r="545" customFormat="false" ht="13.5" hidden="false" customHeight="false" outlineLevel="0" collapsed="false">
      <c r="A545" s="2"/>
      <c r="B545" s="119" t="s">
        <v>34</v>
      </c>
      <c r="C545" s="120" t="n">
        <v>0</v>
      </c>
      <c r="D545" s="68" t="n">
        <v>0</v>
      </c>
      <c r="E545" s="68" t="n">
        <v>0</v>
      </c>
      <c r="F545" s="68" t="n">
        <v>0</v>
      </c>
      <c r="G545" s="68" t="n">
        <v>0</v>
      </c>
      <c r="H545" s="68" t="n">
        <v>0</v>
      </c>
      <c r="I545" s="68" t="n">
        <v>0</v>
      </c>
      <c r="J545" s="68" t="n">
        <v>0</v>
      </c>
      <c r="K545" s="68" t="n">
        <v>0</v>
      </c>
      <c r="L545" s="68" t="n">
        <v>0</v>
      </c>
      <c r="M545" s="68" t="n">
        <v>0</v>
      </c>
      <c r="N545" s="68" t="n">
        <v>0</v>
      </c>
      <c r="O545" s="68" t="n">
        <v>0</v>
      </c>
      <c r="P545" s="68" t="n">
        <v>0</v>
      </c>
      <c r="Q545" s="68" t="n">
        <v>0</v>
      </c>
      <c r="R545" s="68" t="n">
        <v>0</v>
      </c>
      <c r="S545" s="68" t="n">
        <v>0</v>
      </c>
      <c r="T545" s="68" t="n">
        <v>0</v>
      </c>
      <c r="U545" s="68" t="n">
        <v>0</v>
      </c>
      <c r="V545" s="68" t="n">
        <v>0</v>
      </c>
      <c r="W545" s="65"/>
    </row>
    <row r="546" customFormat="false" ht="13.5" hidden="false" customHeight="false" outlineLevel="0" collapsed="false">
      <c r="A546" s="2"/>
      <c r="B546" s="117"/>
      <c r="C546" s="124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</row>
    <row r="547" customFormat="false" ht="12.75" hidden="false" customHeight="false" outlineLevel="0" collapsed="false">
      <c r="A547" s="2"/>
      <c r="B547" s="121" t="s">
        <v>35</v>
      </c>
      <c r="C547" s="123" t="n">
        <v>0</v>
      </c>
      <c r="D547" s="73" t="n">
        <v>6314551.95712128</v>
      </c>
      <c r="E547" s="73" t="n">
        <v>4684703.03520162</v>
      </c>
      <c r="F547" s="73" t="n">
        <v>2299512.40444847</v>
      </c>
      <c r="G547" s="73" t="n">
        <v>2944251.22634379</v>
      </c>
      <c r="H547" s="73" t="n">
        <v>2312242.01805831</v>
      </c>
      <c r="I547" s="73" t="n">
        <v>3092247.83855946</v>
      </c>
      <c r="J547" s="73" t="n">
        <v>2512301.39847857</v>
      </c>
      <c r="K547" s="73" t="n">
        <v>2922874.67936637</v>
      </c>
      <c r="L547" s="73" t="n">
        <v>2795639.04234207</v>
      </c>
      <c r="M547" s="73" t="n">
        <v>2905954.03024167</v>
      </c>
      <c r="N547" s="73" t="n">
        <v>2662994.68486554</v>
      </c>
      <c r="O547" s="73" t="n">
        <v>2551585.53575035</v>
      </c>
      <c r="P547" s="73" t="n">
        <v>2711460.28978247</v>
      </c>
      <c r="Q547" s="73" t="n">
        <v>2869811.33585342</v>
      </c>
      <c r="R547" s="73" t="n">
        <v>3178163.0254218</v>
      </c>
      <c r="S547" s="73" t="n">
        <v>2625304.31891904</v>
      </c>
      <c r="T547" s="73" t="n">
        <v>2974418.39133359</v>
      </c>
      <c r="U547" s="73" t="n">
        <v>3566249.74786311</v>
      </c>
      <c r="V547" s="73" t="n">
        <v>5015517.01854039</v>
      </c>
      <c r="W547" s="71" t="n">
        <v>19085921.5408185</v>
      </c>
    </row>
    <row r="548" customFormat="false" ht="12.75" hidden="false" customHeight="false" outlineLevel="0" collapsed="false">
      <c r="A548" s="2"/>
      <c r="B548" s="12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customFormat="false" ht="12.75" hidden="false" customHeight="false" outlineLevel="0" collapsed="false">
      <c r="A549" s="48" t="s">
        <v>36</v>
      </c>
      <c r="B549" s="126" t="s">
        <v>37</v>
      </c>
      <c r="C549" s="76" t="n">
        <v>14786498.4611668</v>
      </c>
      <c r="D549" s="2"/>
      <c r="E549" s="127" t="s">
        <v>38</v>
      </c>
      <c r="F549" s="128" t="s">
        <v>37</v>
      </c>
      <c r="G549" s="79" t="n">
        <v>14786498.4611668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customFormat="false" ht="12.75" hidden="false" customHeight="false" outlineLevel="0" collapsed="false">
      <c r="A550" s="2"/>
      <c r="B550" s="126" t="s">
        <v>39</v>
      </c>
      <c r="C550" s="76" t="n">
        <v>13373881.3184404</v>
      </c>
      <c r="D550" s="2"/>
      <c r="E550" s="129"/>
      <c r="F550" s="128" t="s">
        <v>39</v>
      </c>
      <c r="G550" s="79" t="n">
        <v>13373881.3184404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customFormat="false" ht="13.5" hidden="false" customHeight="false" outlineLevel="0" collapsed="false">
      <c r="A551" s="2"/>
      <c r="B551" s="130" t="s">
        <v>40</v>
      </c>
      <c r="C551" s="82" t="n">
        <v>2837000.62201141</v>
      </c>
      <c r="D551" s="131"/>
      <c r="E551" s="129"/>
      <c r="F551" s="128" t="s">
        <v>40</v>
      </c>
      <c r="G551" s="79" t="n">
        <v>2837000.62201141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customFormat="false" ht="14.25" hidden="false" customHeight="false" outlineLevel="0" collapsed="false">
      <c r="A552" s="2"/>
      <c r="B552" s="126" t="s">
        <v>41</v>
      </c>
      <c r="C552" s="76" t="n">
        <v>30997380.4016186</v>
      </c>
      <c r="D552" s="132"/>
      <c r="E552" s="129"/>
      <c r="F552" s="133" t="s">
        <v>42</v>
      </c>
      <c r="G552" s="85" t="n">
        <v>0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customFormat="false" ht="13.5" hidden="false" customHeight="false" outlineLevel="0" collapsed="false">
      <c r="A553" s="2"/>
      <c r="B553" s="125"/>
      <c r="C553" s="134"/>
      <c r="D553" s="2"/>
      <c r="E553" s="135"/>
      <c r="F553" s="128" t="s">
        <v>41</v>
      </c>
      <c r="G553" s="79" t="n">
        <v>30997380.4016186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customFormat="false" ht="12.75" hidden="false" customHeight="false" outlineLevel="0" collapsed="false">
      <c r="A554" s="2"/>
      <c r="B554" s="125"/>
      <c r="C554" s="134"/>
      <c r="D554" s="2"/>
      <c r="E554" s="135"/>
      <c r="F554" s="128"/>
      <c r="G554" s="13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customFormat="false" ht="12.75" hidden="false" customHeight="false" outlineLevel="0" collapsed="false">
      <c r="A555" s="2"/>
      <c r="B555" s="125"/>
      <c r="C555" s="134"/>
      <c r="D555" s="2"/>
      <c r="E555" s="135"/>
      <c r="F555" s="128"/>
      <c r="G555" s="13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customFormat="false" ht="12.75" hidden="false" customHeight="false" outlineLevel="0" collapsed="false">
      <c r="A556" s="2"/>
      <c r="B556" s="137" t="s">
        <v>43</v>
      </c>
      <c r="C556" s="134"/>
      <c r="D556" s="2"/>
      <c r="E556" s="135"/>
      <c r="F556" s="128"/>
      <c r="G556" s="13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customFormat="false" ht="12.75" hidden="false" customHeight="false" outlineLevel="0" collapsed="false">
      <c r="A557" s="87" t="s">
        <v>44</v>
      </c>
      <c r="B557" s="137" t="s">
        <v>45</v>
      </c>
      <c r="C557" s="138"/>
      <c r="D557" s="88" t="n">
        <v>5909771.68266397</v>
      </c>
      <c r="E557" s="88" t="n">
        <v>5589686.11036268</v>
      </c>
      <c r="F557" s="88" t="n">
        <v>2236201.24556081</v>
      </c>
      <c r="G557" s="88" t="n">
        <v>2358295.20451227</v>
      </c>
      <c r="H557" s="88" t="n">
        <v>2088970.03344115</v>
      </c>
      <c r="I557" s="88" t="n">
        <v>2856018.91610237</v>
      </c>
      <c r="J557" s="88" t="n">
        <v>2263857.79019648</v>
      </c>
      <c r="K557" s="88" t="n">
        <v>2663652.11167612</v>
      </c>
      <c r="L557" s="88" t="n">
        <v>2526047.67573245</v>
      </c>
      <c r="M557" s="88" t="n">
        <v>2683231.13037948</v>
      </c>
      <c r="N557" s="88" t="n">
        <v>2485504.12811096</v>
      </c>
      <c r="O557" s="88" t="n">
        <v>2359739.2730406</v>
      </c>
      <c r="P557" s="88" t="n">
        <v>2657873.90787693</v>
      </c>
      <c r="Q557" s="88" t="n">
        <v>2954216.9636865</v>
      </c>
      <c r="R557" s="88" t="n">
        <v>3360800.40353257</v>
      </c>
      <c r="S557" s="88" t="n">
        <v>2905763.20146194</v>
      </c>
      <c r="T557" s="88" t="n">
        <v>3238354.18722757</v>
      </c>
      <c r="U557" s="88" t="n">
        <v>3813169.43775974</v>
      </c>
      <c r="V557" s="88" t="n">
        <v>5247333.12502106</v>
      </c>
      <c r="W557" s="2"/>
    </row>
    <row r="558" customFormat="false" ht="12.75" hidden="false" customHeight="false" outlineLevel="0" collapsed="false">
      <c r="A558" s="2"/>
      <c r="B558" s="125" t="s">
        <v>46</v>
      </c>
      <c r="C558" s="134"/>
      <c r="D558" s="65" t="n">
        <v>3939847.78844265</v>
      </c>
      <c r="E558" s="65" t="n">
        <v>3726457.40690845</v>
      </c>
      <c r="F558" s="65" t="n">
        <v>1490800.83037387</v>
      </c>
      <c r="G558" s="65" t="n">
        <v>1572196.80300818</v>
      </c>
      <c r="H558" s="65" t="n">
        <v>1392646.68896077</v>
      </c>
      <c r="I558" s="65" t="n">
        <v>1904012.61073492</v>
      </c>
      <c r="J558" s="65" t="n">
        <v>1509238.52679765</v>
      </c>
      <c r="K558" s="65" t="n">
        <v>1775768.07445075</v>
      </c>
      <c r="L558" s="65" t="n">
        <v>1684031.78382163</v>
      </c>
      <c r="M558" s="65" t="n">
        <v>1788820.75358632</v>
      </c>
      <c r="N558" s="65" t="n">
        <v>1657002.75207398</v>
      </c>
      <c r="O558" s="65" t="n">
        <v>1573159.5153604</v>
      </c>
      <c r="P558" s="65" t="n">
        <v>1771915.93858462</v>
      </c>
      <c r="Q558" s="65" t="n">
        <v>1969477.975791</v>
      </c>
      <c r="R558" s="65" t="n">
        <v>2240533.60235505</v>
      </c>
      <c r="S558" s="65" t="n">
        <v>1937175.46764129</v>
      </c>
      <c r="T558" s="65" t="n">
        <v>2158902.79148505</v>
      </c>
      <c r="U558" s="65" t="n">
        <v>2542112.95850649</v>
      </c>
      <c r="V558" s="65" t="n">
        <v>3498222.08334738</v>
      </c>
      <c r="W558" s="2"/>
    </row>
    <row r="559" customFormat="false" ht="12.75" hidden="false" customHeight="false" outlineLevel="0" collapsed="false">
      <c r="A559" s="2"/>
      <c r="B559" s="139" t="s">
        <v>47</v>
      </c>
      <c r="C559" s="140"/>
      <c r="D559" s="65" t="n">
        <v>700819.324457305</v>
      </c>
      <c r="E559" s="65" t="n">
        <v>751368.694838945</v>
      </c>
      <c r="F559" s="65" t="n">
        <v>831570.848887666</v>
      </c>
      <c r="G559" s="65" t="n">
        <v>856503.021831523</v>
      </c>
      <c r="H559" s="65" t="n">
        <v>875236.064617164</v>
      </c>
      <c r="I559" s="65" t="n">
        <v>907751.924857085</v>
      </c>
      <c r="J559" s="65" t="n">
        <v>940112.300754097</v>
      </c>
      <c r="K559" s="65" t="n">
        <v>971641.320936404</v>
      </c>
      <c r="L559" s="65" t="n">
        <v>1003382.68245317</v>
      </c>
      <c r="M559" s="65" t="n">
        <v>978527.955181033</v>
      </c>
      <c r="N559" s="65" t="n">
        <v>955969.763732991</v>
      </c>
      <c r="O559" s="65" t="n">
        <v>993679.845897515</v>
      </c>
      <c r="P559" s="65" t="n">
        <v>879474.972588941</v>
      </c>
      <c r="Q559" s="65" t="n">
        <v>766259.620570822</v>
      </c>
      <c r="R559" s="65" t="n">
        <v>693547.827745245</v>
      </c>
      <c r="S559" s="65" t="n">
        <v>622011.87948881</v>
      </c>
      <c r="T559" s="65" t="n">
        <v>665609.088998674</v>
      </c>
      <c r="U559" s="65" t="n">
        <v>710511.541542806</v>
      </c>
      <c r="V559" s="65" t="n">
        <v>754338.061901944</v>
      </c>
      <c r="W559" s="2"/>
    </row>
    <row r="560" customFormat="false" ht="13.5" hidden="false" customHeight="false" outlineLevel="0" collapsed="false">
      <c r="A560" s="2"/>
      <c r="B560" s="141" t="s">
        <v>48</v>
      </c>
      <c r="C560" s="142"/>
      <c r="D560" s="93" t="n">
        <v>10550438.7955639</v>
      </c>
      <c r="E560" s="93" t="n">
        <v>10067512.2121101</v>
      </c>
      <c r="F560" s="93" t="n">
        <v>4558572.92482234</v>
      </c>
      <c r="G560" s="93" t="n">
        <v>4786995.02935198</v>
      </c>
      <c r="H560" s="93" t="n">
        <v>4356852.78701908</v>
      </c>
      <c r="I560" s="93" t="n">
        <v>5667783.45169438</v>
      </c>
      <c r="J560" s="93" t="n">
        <v>4713208.61774823</v>
      </c>
      <c r="K560" s="93" t="n">
        <v>5411061.50706328</v>
      </c>
      <c r="L560" s="93" t="n">
        <v>5213462.14200725</v>
      </c>
      <c r="M560" s="93" t="n">
        <v>5450579.83914684</v>
      </c>
      <c r="N560" s="93" t="n">
        <v>5098476.64391793</v>
      </c>
      <c r="O560" s="93" t="n">
        <v>4926578.63429852</v>
      </c>
      <c r="P560" s="93" t="n">
        <v>5309264.81905049</v>
      </c>
      <c r="Q560" s="93" t="n">
        <v>5689954.56004832</v>
      </c>
      <c r="R560" s="93" t="n">
        <v>6294881.83363287</v>
      </c>
      <c r="S560" s="93" t="n">
        <v>5464950.54859204</v>
      </c>
      <c r="T560" s="93" t="n">
        <v>6062866.0677113</v>
      </c>
      <c r="U560" s="93" t="n">
        <v>7065793.93780903</v>
      </c>
      <c r="V560" s="93" t="n">
        <v>9499893.27027038</v>
      </c>
      <c r="W560" s="2"/>
    </row>
    <row r="561" customFormat="false" ht="13.5" hidden="false" customHeight="false" outlineLevel="0" collapsed="false">
      <c r="A561" s="87" t="s">
        <v>49</v>
      </c>
      <c r="B561" s="125" t="s">
        <v>50</v>
      </c>
      <c r="C561" s="134"/>
      <c r="D561" s="65" t="n">
        <v>-894987.720884046</v>
      </c>
      <c r="E561" s="65" t="n">
        <v>-975964.882059083</v>
      </c>
      <c r="F561" s="65" t="n">
        <v>-1007722.01808068</v>
      </c>
      <c r="G561" s="65" t="n">
        <v>-1021156.69729967</v>
      </c>
      <c r="H561" s="65" t="n">
        <v>-1053660.21306813</v>
      </c>
      <c r="I561" s="65" t="n">
        <v>-1087236.36318813</v>
      </c>
      <c r="J561" s="65" t="n">
        <v>-984717.034670633</v>
      </c>
      <c r="K561" s="65" t="n">
        <v>-916871.640773036</v>
      </c>
      <c r="L561" s="65" t="n">
        <v>-904342.460449018</v>
      </c>
      <c r="M561" s="65" t="n">
        <v>-937860.09010366</v>
      </c>
      <c r="N561" s="65" t="n">
        <v>-976784.050452581</v>
      </c>
      <c r="O561" s="65" t="n">
        <v>-1016875.72961197</v>
      </c>
      <c r="P561" s="65" t="n">
        <v>-940324.050612409</v>
      </c>
      <c r="Q561" s="65" t="n">
        <v>-821843.112564419</v>
      </c>
      <c r="R561" s="65" t="n">
        <v>-620908.29028646</v>
      </c>
      <c r="S561" s="65" t="n">
        <v>-650627.810511902</v>
      </c>
      <c r="T561" s="65" t="n">
        <v>-696053.722132572</v>
      </c>
      <c r="U561" s="65" t="n">
        <v>-743925.283704544</v>
      </c>
      <c r="V561" s="65" t="n">
        <v>-792333.839112395</v>
      </c>
      <c r="W561" s="2"/>
    </row>
    <row r="562" customFormat="false" ht="12.75" hidden="false" customHeight="false" outlineLevel="0" collapsed="false">
      <c r="A562" s="2"/>
      <c r="B562" s="125" t="s">
        <v>51</v>
      </c>
      <c r="C562" s="134"/>
      <c r="D562" s="65" t="n">
        <v>0</v>
      </c>
      <c r="E562" s="65" t="n">
        <v>0</v>
      </c>
      <c r="F562" s="65" t="n">
        <v>0</v>
      </c>
      <c r="G562" s="65" t="n">
        <v>0</v>
      </c>
      <c r="H562" s="65" t="n">
        <v>0</v>
      </c>
      <c r="I562" s="65" t="n">
        <v>0</v>
      </c>
      <c r="J562" s="65" t="n">
        <v>0</v>
      </c>
      <c r="K562" s="65" t="n">
        <v>0</v>
      </c>
      <c r="L562" s="65" t="n">
        <v>0</v>
      </c>
      <c r="M562" s="65" t="n">
        <v>0</v>
      </c>
      <c r="N562" s="65" t="n">
        <v>0</v>
      </c>
      <c r="O562" s="65" t="n">
        <v>0</v>
      </c>
      <c r="P562" s="65" t="n">
        <v>0</v>
      </c>
      <c r="Q562" s="65" t="n">
        <v>0</v>
      </c>
      <c r="R562" s="65" t="n">
        <v>0</v>
      </c>
      <c r="S562" s="65" t="n">
        <v>0</v>
      </c>
      <c r="T562" s="65" t="n">
        <v>0</v>
      </c>
      <c r="U562" s="65" t="n">
        <v>0</v>
      </c>
      <c r="V562" s="65" t="n">
        <v>0</v>
      </c>
      <c r="W562" s="2"/>
    </row>
    <row r="563" customFormat="false" ht="12.75" hidden="false" customHeight="false" outlineLevel="0" collapsed="false">
      <c r="A563" s="2"/>
      <c r="B563" s="137" t="s">
        <v>52</v>
      </c>
      <c r="C563" s="138"/>
      <c r="D563" s="88" t="n">
        <v>9655451.07467988</v>
      </c>
      <c r="E563" s="88" t="n">
        <v>9091547.33005099</v>
      </c>
      <c r="F563" s="88" t="n">
        <v>3550850.90674166</v>
      </c>
      <c r="G563" s="88" t="n">
        <v>3765838.33205231</v>
      </c>
      <c r="H563" s="88" t="n">
        <v>3303192.57395095</v>
      </c>
      <c r="I563" s="88" t="n">
        <v>4580547.08850625</v>
      </c>
      <c r="J563" s="88" t="n">
        <v>3728491.58307759</v>
      </c>
      <c r="K563" s="88" t="n">
        <v>4494189.86629024</v>
      </c>
      <c r="L563" s="88" t="n">
        <v>4309119.68155823</v>
      </c>
      <c r="M563" s="88" t="n">
        <v>4512719.74904318</v>
      </c>
      <c r="N563" s="88" t="n">
        <v>4121692.59346535</v>
      </c>
      <c r="O563" s="88" t="n">
        <v>3909702.90468655</v>
      </c>
      <c r="P563" s="88" t="n">
        <v>4368940.76843808</v>
      </c>
      <c r="Q563" s="88" t="n">
        <v>4868111.4474839</v>
      </c>
      <c r="R563" s="88" t="n">
        <v>5673973.54334641</v>
      </c>
      <c r="S563" s="88" t="n">
        <v>4814322.73808014</v>
      </c>
      <c r="T563" s="88" t="n">
        <v>5366812.34557872</v>
      </c>
      <c r="U563" s="88" t="n">
        <v>6321868.65410449</v>
      </c>
      <c r="V563" s="88" t="n">
        <v>8707559.43115799</v>
      </c>
      <c r="W563" s="2"/>
    </row>
    <row r="564" customFormat="false" ht="13.5" hidden="false" customHeight="false" outlineLevel="0" collapsed="false">
      <c r="A564" s="2"/>
      <c r="B564" s="143" t="s">
        <v>53</v>
      </c>
      <c r="C564" s="144"/>
      <c r="D564" s="96" t="n">
        <v>-3862180.42987195</v>
      </c>
      <c r="E564" s="96" t="n">
        <v>-3636618.9320204</v>
      </c>
      <c r="F564" s="96" t="n">
        <v>-1420340.36269666</v>
      </c>
      <c r="G564" s="96" t="n">
        <v>-1506335.33282092</v>
      </c>
      <c r="H564" s="96" t="n">
        <v>-1321277.02958038</v>
      </c>
      <c r="I564" s="96" t="n">
        <v>-1832218.8354025</v>
      </c>
      <c r="J564" s="96" t="n">
        <v>-1491396.63323104</v>
      </c>
      <c r="K564" s="96" t="n">
        <v>-1797675.9465161</v>
      </c>
      <c r="L564" s="96" t="n">
        <v>-1723647.87262329</v>
      </c>
      <c r="M564" s="96" t="n">
        <v>-1805087.89961727</v>
      </c>
      <c r="N564" s="96" t="n">
        <v>-1648677.03738614</v>
      </c>
      <c r="O564" s="96" t="n">
        <v>-1563881.16187462</v>
      </c>
      <c r="P564" s="96" t="n">
        <v>-1747576.30737523</v>
      </c>
      <c r="Q564" s="96" t="n">
        <v>-1947244.57899356</v>
      </c>
      <c r="R564" s="96" t="n">
        <v>-2269589.41733856</v>
      </c>
      <c r="S564" s="96" t="n">
        <v>-1925729.09523205</v>
      </c>
      <c r="T564" s="96" t="n">
        <v>-2146724.93823149</v>
      </c>
      <c r="U564" s="96" t="n">
        <v>-2528747.4616418</v>
      </c>
      <c r="V564" s="96" t="n">
        <v>-3483023.7724632</v>
      </c>
      <c r="W564" s="2"/>
    </row>
    <row r="565" customFormat="false" ht="13.5" hidden="false" customHeight="false" outlineLevel="0" collapsed="false">
      <c r="A565" s="2"/>
      <c r="B565" s="137" t="s">
        <v>54</v>
      </c>
      <c r="C565" s="138"/>
      <c r="D565" s="88" t="n">
        <v>5793270.64480793</v>
      </c>
      <c r="E565" s="88" t="n">
        <v>5454928.39803059</v>
      </c>
      <c r="F565" s="88" t="n">
        <v>2130510.54404499</v>
      </c>
      <c r="G565" s="88" t="n">
        <v>2259502.99923139</v>
      </c>
      <c r="H565" s="88" t="n">
        <v>1981915.54437057</v>
      </c>
      <c r="I565" s="88" t="n">
        <v>2748328.25310375</v>
      </c>
      <c r="J565" s="88" t="n">
        <v>2237094.94984656</v>
      </c>
      <c r="K565" s="88" t="n">
        <v>2696513.91977415</v>
      </c>
      <c r="L565" s="88" t="n">
        <v>2585471.80893494</v>
      </c>
      <c r="M565" s="88" t="n">
        <v>2707631.84942591</v>
      </c>
      <c r="N565" s="88" t="n">
        <v>2473015.55607921</v>
      </c>
      <c r="O565" s="88" t="n">
        <v>2345821.74281193</v>
      </c>
      <c r="P565" s="88" t="n">
        <v>2621364.46106285</v>
      </c>
      <c r="Q565" s="88" t="n">
        <v>2920866.86849034</v>
      </c>
      <c r="R565" s="88" t="n">
        <v>3404384.12600784</v>
      </c>
      <c r="S565" s="88" t="n">
        <v>2888593.64284808</v>
      </c>
      <c r="T565" s="88" t="n">
        <v>3220087.40734723</v>
      </c>
      <c r="U565" s="88" t="n">
        <v>3793121.19246269</v>
      </c>
      <c r="V565" s="88" t="n">
        <v>5224535.65869479</v>
      </c>
      <c r="W565" s="2"/>
    </row>
    <row r="566" customFormat="false" ht="12.75" hidden="false" customHeight="false" outlineLevel="0" collapsed="false">
      <c r="A566" s="2"/>
      <c r="B566" s="2"/>
      <c r="C566" s="134"/>
      <c r="D566" s="2"/>
      <c r="E566" s="135"/>
      <c r="F566" s="128"/>
      <c r="G566" s="13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customFormat="false" ht="15.75" hidden="false" customHeight="false" outlineLevel="0" collapsed="false">
      <c r="A567" s="97" t="s">
        <v>55</v>
      </c>
      <c r="B567" s="14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customFormat="false" ht="12.75" hidden="false" customHeight="false" outlineLevel="0" collapsed="false">
      <c r="A568" s="99" t="s">
        <v>56</v>
      </c>
      <c r="B568" s="49"/>
      <c r="C568" s="101" t="n">
        <v>0</v>
      </c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</row>
    <row r="569" customFormat="false" ht="12.75" hidden="false" customHeight="false" outlineLevel="0" collapsed="false">
      <c r="A569" s="99" t="s">
        <v>57</v>
      </c>
      <c r="B569" s="49"/>
      <c r="C569" s="146" t="n">
        <v>0</v>
      </c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</row>
    <row r="570" customFormat="false" ht="12.75" hidden="false" customHeight="false" outlineLevel="0" collapsed="false">
      <c r="A570" s="99" t="s">
        <v>58</v>
      </c>
      <c r="B570" s="49"/>
      <c r="C570" s="99" t="n">
        <v>15</v>
      </c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</row>
    <row r="571" customFormat="false" ht="12.75" hidden="false" customHeight="false" outlineLevel="0" collapsed="false">
      <c r="A571" s="99" t="s">
        <v>59</v>
      </c>
      <c r="B571" s="49"/>
      <c r="C571" s="146" t="n">
        <v>0</v>
      </c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</row>
    <row r="572" customFormat="false" ht="12.75" hidden="false" customHeight="false" outlineLevel="0" collapsed="false">
      <c r="A572" s="99" t="s">
        <v>60</v>
      </c>
      <c r="B572" s="49"/>
      <c r="C572" s="147" t="n">
        <v>0.0875</v>
      </c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</row>
    <row r="573" customFormat="false" ht="12.75" hidden="false" customHeight="false" outlineLevel="0" collapsed="false">
      <c r="A573" s="99"/>
      <c r="B573" s="49"/>
      <c r="C573" s="107"/>
      <c r="D573" s="58" t="n">
        <v>2001</v>
      </c>
      <c r="E573" s="58" t="n">
        <v>2002</v>
      </c>
      <c r="F573" s="58" t="n">
        <v>2003</v>
      </c>
      <c r="G573" s="58" t="n">
        <v>2004</v>
      </c>
      <c r="H573" s="58" t="n">
        <v>2005</v>
      </c>
      <c r="I573" s="58" t="n">
        <v>2006</v>
      </c>
      <c r="J573" s="58" t="n">
        <v>2007</v>
      </c>
      <c r="K573" s="58" t="n">
        <v>2008</v>
      </c>
      <c r="L573" s="58" t="n">
        <v>2009</v>
      </c>
      <c r="M573" s="58" t="n">
        <v>2010</v>
      </c>
      <c r="N573" s="58" t="n">
        <v>2011</v>
      </c>
      <c r="O573" s="58" t="n">
        <v>2012</v>
      </c>
      <c r="P573" s="58" t="n">
        <v>2013</v>
      </c>
      <c r="Q573" s="58" t="n">
        <v>2014</v>
      </c>
      <c r="R573" s="58" t="n">
        <v>2015</v>
      </c>
      <c r="S573" s="58" t="n">
        <v>2016</v>
      </c>
      <c r="T573" s="58" t="n">
        <v>2017</v>
      </c>
      <c r="U573" s="58" t="n">
        <v>2018</v>
      </c>
      <c r="V573" s="58" t="n">
        <v>2019</v>
      </c>
      <c r="W573" s="58" t="s">
        <v>19</v>
      </c>
    </row>
    <row r="574" customFormat="false" ht="12.75" hidden="false" customHeight="false" outlineLevel="0" collapsed="false">
      <c r="A574" s="99" t="s">
        <v>61</v>
      </c>
      <c r="B574" s="49"/>
      <c r="C574" s="107"/>
      <c r="D574" s="102" t="n">
        <v>0</v>
      </c>
      <c r="E574" s="102" t="n">
        <v>0</v>
      </c>
      <c r="F574" s="102" t="n">
        <v>0</v>
      </c>
      <c r="G574" s="102" t="n">
        <v>0</v>
      </c>
      <c r="H574" s="102" t="n">
        <v>0</v>
      </c>
      <c r="I574" s="102" t="n">
        <v>0</v>
      </c>
      <c r="J574" s="102" t="n">
        <v>0</v>
      </c>
      <c r="K574" s="102" t="n">
        <v>0</v>
      </c>
      <c r="L574" s="102" t="n">
        <v>0</v>
      </c>
      <c r="M574" s="102" t="n">
        <v>0</v>
      </c>
      <c r="N574" s="102" t="n">
        <v>0</v>
      </c>
      <c r="O574" s="102" t="n">
        <v>0</v>
      </c>
      <c r="P574" s="102" t="n">
        <v>0</v>
      </c>
      <c r="Q574" s="102" t="n">
        <v>0</v>
      </c>
      <c r="R574" s="102" t="n">
        <v>0</v>
      </c>
      <c r="S574" s="102" t="n">
        <v>0</v>
      </c>
      <c r="T574" s="102" t="n">
        <v>0</v>
      </c>
      <c r="U574" s="102" t="n">
        <v>0</v>
      </c>
      <c r="V574" s="102" t="n">
        <v>0</v>
      </c>
      <c r="W574" s="102" t="n">
        <v>0</v>
      </c>
    </row>
    <row r="575" customFormat="false" ht="12.75" hidden="false" customHeight="false" outlineLevel="0" collapsed="false">
      <c r="A575" s="99" t="s">
        <v>62</v>
      </c>
      <c r="B575" s="49"/>
      <c r="C575" s="107"/>
      <c r="D575" s="102" t="n">
        <v>0</v>
      </c>
      <c r="E575" s="102" t="n">
        <v>0</v>
      </c>
      <c r="F575" s="102" t="n">
        <v>0</v>
      </c>
      <c r="G575" s="102" t="n">
        <v>0</v>
      </c>
      <c r="H575" s="102" t="n">
        <v>0</v>
      </c>
      <c r="I575" s="102" t="n">
        <v>0</v>
      </c>
      <c r="J575" s="102" t="n">
        <v>0</v>
      </c>
      <c r="K575" s="102" t="n">
        <v>0</v>
      </c>
      <c r="L575" s="102" t="n">
        <v>0</v>
      </c>
      <c r="M575" s="102" t="n">
        <v>0</v>
      </c>
      <c r="N575" s="102" t="n">
        <v>0</v>
      </c>
      <c r="O575" s="102" t="n">
        <v>0</v>
      </c>
      <c r="P575" s="102" t="n">
        <v>0</v>
      </c>
      <c r="Q575" s="102" t="n">
        <v>0</v>
      </c>
      <c r="R575" s="102" t="n">
        <v>0</v>
      </c>
      <c r="S575" s="102" t="n">
        <v>0</v>
      </c>
      <c r="T575" s="102" t="n">
        <v>0</v>
      </c>
      <c r="U575" s="102" t="n">
        <v>0</v>
      </c>
      <c r="V575" s="102" t="n">
        <v>0</v>
      </c>
      <c r="W575" s="102" t="n">
        <v>0</v>
      </c>
    </row>
    <row r="576" customFormat="false" ht="12.75" hidden="false" customHeight="false" outlineLevel="0" collapsed="false">
      <c r="A576" s="99" t="s">
        <v>63</v>
      </c>
      <c r="B576" s="49"/>
      <c r="C576" s="107"/>
      <c r="D576" s="102" t="n">
        <v>0</v>
      </c>
      <c r="E576" s="102" t="n">
        <v>0</v>
      </c>
      <c r="F576" s="102" t="n">
        <v>0</v>
      </c>
      <c r="G576" s="102" t="n">
        <v>0</v>
      </c>
      <c r="H576" s="102" t="n">
        <v>0</v>
      </c>
      <c r="I576" s="102" t="n">
        <v>0</v>
      </c>
      <c r="J576" s="102" t="n">
        <v>0</v>
      </c>
      <c r="K576" s="102" t="n">
        <v>0</v>
      </c>
      <c r="L576" s="102" t="n">
        <v>0</v>
      </c>
      <c r="M576" s="102" t="n">
        <v>0</v>
      </c>
      <c r="N576" s="102" t="n">
        <v>0</v>
      </c>
      <c r="O576" s="102" t="n">
        <v>0</v>
      </c>
      <c r="P576" s="102" t="n">
        <v>0</v>
      </c>
      <c r="Q576" s="102" t="n">
        <v>0</v>
      </c>
      <c r="R576" s="102" t="n">
        <v>0</v>
      </c>
      <c r="S576" s="102" t="n">
        <v>0</v>
      </c>
      <c r="T576" s="102" t="n">
        <v>0</v>
      </c>
      <c r="U576" s="102" t="n">
        <v>0</v>
      </c>
      <c r="V576" s="102" t="n">
        <v>0</v>
      </c>
      <c r="W576" s="102" t="n">
        <v>0</v>
      </c>
    </row>
    <row r="577" customFormat="false" ht="12.75" hidden="false" customHeight="false" outlineLevel="0" collapsed="false">
      <c r="A577" s="99" t="s">
        <v>64</v>
      </c>
      <c r="B577" s="49"/>
      <c r="C577" s="107"/>
      <c r="D577" s="105" t="n">
        <v>0</v>
      </c>
      <c r="E577" s="105" t="n">
        <v>0</v>
      </c>
      <c r="F577" s="105" t="n">
        <v>0</v>
      </c>
      <c r="G577" s="105" t="n">
        <v>0</v>
      </c>
      <c r="H577" s="105" t="n">
        <v>0</v>
      </c>
      <c r="I577" s="105" t="n">
        <v>0</v>
      </c>
      <c r="J577" s="105" t="n">
        <v>0</v>
      </c>
      <c r="K577" s="105" t="n">
        <v>0</v>
      </c>
      <c r="L577" s="105" t="n">
        <v>0</v>
      </c>
      <c r="M577" s="105" t="n">
        <v>0</v>
      </c>
      <c r="N577" s="105" t="n">
        <v>0</v>
      </c>
      <c r="O577" s="105" t="n">
        <v>0</v>
      </c>
      <c r="P577" s="105" t="n">
        <v>0</v>
      </c>
      <c r="Q577" s="105" t="n">
        <v>0</v>
      </c>
      <c r="R577" s="105" t="n">
        <v>0</v>
      </c>
      <c r="S577" s="105" t="n">
        <v>0</v>
      </c>
      <c r="T577" s="105" t="n">
        <v>0</v>
      </c>
      <c r="U577" s="105" t="n">
        <v>0</v>
      </c>
      <c r="V577" s="105" t="n">
        <v>0</v>
      </c>
      <c r="W577" s="105" t="n">
        <v>0</v>
      </c>
    </row>
    <row r="578" customFormat="false" ht="13.5" hidden="false" customHeight="false" outlineLevel="0" collapsed="false">
      <c r="A578" s="99" t="s">
        <v>65</v>
      </c>
      <c r="B578" s="49"/>
      <c r="C578" s="107"/>
      <c r="D578" s="106" t="n">
        <v>0</v>
      </c>
      <c r="E578" s="106" t="n">
        <v>0</v>
      </c>
      <c r="F578" s="106" t="n">
        <v>0</v>
      </c>
      <c r="G578" s="106" t="n">
        <v>0</v>
      </c>
      <c r="H578" s="106" t="n">
        <v>0</v>
      </c>
      <c r="I578" s="106" t="n">
        <v>0</v>
      </c>
      <c r="J578" s="106" t="n">
        <v>0</v>
      </c>
      <c r="K578" s="106" t="n">
        <v>0</v>
      </c>
      <c r="L578" s="106" t="n">
        <v>0</v>
      </c>
      <c r="M578" s="106" t="n">
        <v>0</v>
      </c>
      <c r="N578" s="106" t="n">
        <v>0</v>
      </c>
      <c r="O578" s="106" t="n">
        <v>0</v>
      </c>
      <c r="P578" s="106" t="n">
        <v>0</v>
      </c>
      <c r="Q578" s="106" t="n">
        <v>0</v>
      </c>
      <c r="R578" s="106" t="n">
        <v>0</v>
      </c>
      <c r="S578" s="106" t="n">
        <v>0</v>
      </c>
      <c r="T578" s="106" t="n">
        <v>0</v>
      </c>
      <c r="U578" s="106" t="n">
        <v>0</v>
      </c>
      <c r="V578" s="106" t="n">
        <v>0</v>
      </c>
      <c r="W578" s="106" t="n">
        <v>0</v>
      </c>
    </row>
    <row r="579" customFormat="false" ht="13.5" hidden="false" customHeight="false" outlineLevel="0" collapsed="false">
      <c r="A579" s="99"/>
      <c r="B579" s="49"/>
      <c r="C579" s="107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</row>
    <row r="580" customFormat="false" ht="12.75" hidden="false" customHeight="false" outlineLevel="0" collapsed="false">
      <c r="A580" s="99" t="s">
        <v>66</v>
      </c>
      <c r="B580" s="49"/>
      <c r="C580" s="107"/>
      <c r="D580" s="102" t="n">
        <v>0</v>
      </c>
      <c r="E580" s="102" t="n">
        <v>0</v>
      </c>
      <c r="F580" s="102" t="n">
        <v>0</v>
      </c>
      <c r="G580" s="102" t="n">
        <v>0</v>
      </c>
      <c r="H580" s="102" t="n">
        <v>0</v>
      </c>
      <c r="I580" s="102" t="n">
        <v>0</v>
      </c>
      <c r="J580" s="102" t="n">
        <v>0</v>
      </c>
      <c r="K580" s="102" t="n">
        <v>0</v>
      </c>
      <c r="L580" s="102" t="n">
        <v>0</v>
      </c>
      <c r="M580" s="102" t="n">
        <v>0</v>
      </c>
      <c r="N580" s="102" t="n">
        <v>0</v>
      </c>
      <c r="O580" s="102" t="n">
        <v>0</v>
      </c>
      <c r="P580" s="102" t="n">
        <v>0</v>
      </c>
      <c r="Q580" s="102" t="n">
        <v>0</v>
      </c>
      <c r="R580" s="102" t="n">
        <v>0</v>
      </c>
      <c r="S580" s="102" t="n">
        <v>0</v>
      </c>
      <c r="T580" s="102" t="n">
        <v>0</v>
      </c>
      <c r="U580" s="102" t="n">
        <v>0</v>
      </c>
      <c r="V580" s="102" t="n">
        <v>0</v>
      </c>
      <c r="W580" s="102" t="n">
        <v>0</v>
      </c>
    </row>
    <row r="581" customFormat="false" ht="12.75" hidden="false" customHeight="false" outlineLevel="0" collapsed="false">
      <c r="A581" s="99"/>
      <c r="B581" s="49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</row>
    <row r="582" customFormat="false" ht="12.75" hidden="false" customHeight="false" outlineLevel="0" collapsed="false">
      <c r="A582" s="99" t="s">
        <v>67</v>
      </c>
      <c r="B582" s="49"/>
      <c r="C582" s="107"/>
      <c r="D582" s="102" t="n">
        <v>0</v>
      </c>
      <c r="E582" s="102" t="n">
        <v>0</v>
      </c>
      <c r="F582" s="102" t="n">
        <v>0</v>
      </c>
      <c r="G582" s="102" t="n">
        <v>0</v>
      </c>
      <c r="H582" s="102" t="n">
        <v>0</v>
      </c>
      <c r="I582" s="102" t="n">
        <v>0</v>
      </c>
      <c r="J582" s="102" t="n">
        <v>0</v>
      </c>
      <c r="K582" s="102" t="n">
        <v>0</v>
      </c>
      <c r="L582" s="102" t="n">
        <v>0</v>
      </c>
      <c r="M582" s="102" t="n">
        <v>0</v>
      </c>
      <c r="N582" s="102" t="n">
        <v>0</v>
      </c>
      <c r="O582" s="102" t="n">
        <v>0</v>
      </c>
      <c r="P582" s="102" t="n">
        <v>0</v>
      </c>
      <c r="Q582" s="102" t="n">
        <v>0</v>
      </c>
      <c r="R582" s="102" t="n">
        <v>0</v>
      </c>
      <c r="S582" s="102" t="n">
        <v>0</v>
      </c>
      <c r="T582" s="102" t="n">
        <v>0</v>
      </c>
      <c r="U582" s="102" t="n">
        <v>0</v>
      </c>
      <c r="V582" s="102" t="n">
        <v>0</v>
      </c>
      <c r="W582" s="102" t="n">
        <v>0</v>
      </c>
    </row>
    <row r="583" customFormat="false" ht="12.75" hidden="false" customHeight="false" outlineLevel="0" collapsed="false">
      <c r="A583" s="107"/>
      <c r="B583" s="49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</row>
    <row r="584" customFormat="false" ht="12.75" hidden="false" customHeight="false" outlineLevel="0" collapsed="false">
      <c r="A584" s="107"/>
      <c r="B584" s="49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</row>
    <row r="585" customFormat="false" ht="12.75" hidden="false" customHeight="false" outlineLevel="0" collapsed="false">
      <c r="A585" s="99" t="s">
        <v>68</v>
      </c>
      <c r="B585" s="148"/>
      <c r="C585" s="149"/>
      <c r="D585" s="79" t="n">
        <v>6314551.95712128</v>
      </c>
      <c r="E585" s="79" t="n">
        <v>4684703.03520162</v>
      </c>
      <c r="F585" s="79" t="n">
        <v>2299512.40444847</v>
      </c>
      <c r="G585" s="79" t="n">
        <v>2944251.22634379</v>
      </c>
      <c r="H585" s="79" t="n">
        <v>2312242.01805831</v>
      </c>
      <c r="I585" s="79" t="n">
        <v>3092247.83855946</v>
      </c>
      <c r="J585" s="79" t="n">
        <v>2512301.39847857</v>
      </c>
      <c r="K585" s="79" t="n">
        <v>2922874.67936637</v>
      </c>
      <c r="L585" s="79" t="n">
        <v>2795639.04234207</v>
      </c>
      <c r="M585" s="79" t="n">
        <v>2905954.03024167</v>
      </c>
      <c r="N585" s="79" t="n">
        <v>2662994.68486554</v>
      </c>
      <c r="O585" s="79" t="n">
        <v>2551585.53575035</v>
      </c>
      <c r="P585" s="79" t="n">
        <v>2711460.28978247</v>
      </c>
      <c r="Q585" s="79" t="n">
        <v>2869811.33585342</v>
      </c>
      <c r="R585" s="79" t="n">
        <v>3178163.0254218</v>
      </c>
      <c r="S585" s="79" t="n">
        <v>2625304.31891904</v>
      </c>
      <c r="T585" s="79" t="n">
        <v>2974418.39133359</v>
      </c>
      <c r="U585" s="79" t="n">
        <v>3566249.74786311</v>
      </c>
      <c r="V585" s="79" t="n">
        <v>5015517.01854039</v>
      </c>
      <c r="W585" s="79" t="n">
        <v>19085921.5408185</v>
      </c>
    </row>
    <row r="586" customFormat="false" ht="12.75" hidden="false" customHeight="false" outlineLevel="0" collapsed="false">
      <c r="A586" s="2"/>
      <c r="B586" s="3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customFormat="false" ht="12.75" hidden="false" customHeight="false" outlineLevel="0" collapsed="false">
      <c r="B587" s="153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16"/>
    </row>
    <row r="588" customFormat="false" ht="12.75" hidden="false" customHeight="false" outlineLevel="0" collapsed="false">
      <c r="B588" s="150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16"/>
    </row>
    <row r="589" customFormat="false" ht="12.75" hidden="false" customHeight="false" outlineLevel="0" collapsed="false">
      <c r="B589" s="150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16"/>
    </row>
    <row r="590" customFormat="false" ht="12.75" hidden="false" customHeight="false" outlineLevel="0" collapsed="false">
      <c r="B590" s="153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16"/>
    </row>
    <row r="591" customFormat="false" ht="12.75" hidden="false" customHeight="false" outlineLevel="0" collapsed="false">
      <c r="B591" s="150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16"/>
    </row>
    <row r="592" customFormat="false" ht="12.75" hidden="false" customHeight="false" outlineLevel="0" collapsed="false">
      <c r="B592" s="150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16"/>
    </row>
    <row r="593" customFormat="false" ht="12.75" hidden="false" customHeight="false" outlineLevel="0" collapsed="false">
      <c r="B593" s="150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16"/>
    </row>
    <row r="594" customFormat="false" ht="15.75" hidden="false" customHeight="false" outlineLevel="0" collapsed="false">
      <c r="A594" s="48" t="s">
        <v>17</v>
      </c>
      <c r="B594" s="57" t="s">
        <v>78</v>
      </c>
      <c r="C594" s="58" t="n">
        <v>2000</v>
      </c>
      <c r="D594" s="58" t="n">
        <v>2001</v>
      </c>
      <c r="E594" s="58" t="n">
        <v>2002</v>
      </c>
      <c r="F594" s="58" t="n">
        <v>2003</v>
      </c>
      <c r="G594" s="58" t="n">
        <v>2004</v>
      </c>
      <c r="H594" s="58" t="n">
        <v>2005</v>
      </c>
      <c r="I594" s="58" t="n">
        <v>2006</v>
      </c>
      <c r="J594" s="58" t="n">
        <v>2007</v>
      </c>
      <c r="K594" s="58" t="n">
        <v>2008</v>
      </c>
      <c r="L594" s="58" t="n">
        <v>2009</v>
      </c>
      <c r="M594" s="58" t="n">
        <v>2010</v>
      </c>
      <c r="N594" s="58" t="n">
        <v>2011</v>
      </c>
      <c r="O594" s="58" t="n">
        <v>2012</v>
      </c>
      <c r="P594" s="58" t="n">
        <v>2013</v>
      </c>
      <c r="Q594" s="58" t="n">
        <v>2014</v>
      </c>
      <c r="R594" s="58" t="n">
        <v>2015</v>
      </c>
      <c r="S594" s="58" t="n">
        <v>2016</v>
      </c>
      <c r="T594" s="58" t="n">
        <v>2017</v>
      </c>
      <c r="U594" s="58" t="n">
        <v>2018</v>
      </c>
      <c r="V594" s="58" t="n">
        <v>2019</v>
      </c>
      <c r="W594" s="58" t="s">
        <v>19</v>
      </c>
    </row>
    <row r="595" customFormat="false" ht="12.75" hidden="false" customHeight="false" outlineLevel="0" collapsed="false">
      <c r="A595" s="48" t="s">
        <v>5</v>
      </c>
      <c r="B595" s="49" t="n">
        <v>163</v>
      </c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</row>
    <row r="596" customFormat="false" ht="12.75" hidden="false" customHeight="false" outlineLevel="0" collapsed="false">
      <c r="A596" s="2"/>
      <c r="B596" s="117" t="s">
        <v>20</v>
      </c>
      <c r="C596" s="118" t="n">
        <v>0</v>
      </c>
      <c r="D596" s="64" t="n">
        <v>44329663.0604142</v>
      </c>
      <c r="E596" s="64" t="n">
        <v>43714865.9208072</v>
      </c>
      <c r="F596" s="64" t="n">
        <v>44556302.0765477</v>
      </c>
      <c r="G596" s="64" t="n">
        <v>43924769.4042121</v>
      </c>
      <c r="H596" s="64" t="n">
        <v>44255618.9222962</v>
      </c>
      <c r="I596" s="64" t="n">
        <v>47243840.5356824</v>
      </c>
      <c r="J596" s="64" t="n">
        <v>50657454.0916648</v>
      </c>
      <c r="K596" s="64" t="n">
        <v>51968355.420602</v>
      </c>
      <c r="L596" s="64" t="n">
        <v>53056094.7338615</v>
      </c>
      <c r="M596" s="64" t="n">
        <v>53245502.0604551</v>
      </c>
      <c r="N596" s="64" t="n">
        <v>54395867.6095414</v>
      </c>
      <c r="O596" s="64" t="n">
        <v>55006721.6216355</v>
      </c>
      <c r="P596" s="64" t="n">
        <v>55654043.2104473</v>
      </c>
      <c r="Q596" s="64" t="n">
        <v>57613133.4763982</v>
      </c>
      <c r="R596" s="64" t="n">
        <v>61700727.4939744</v>
      </c>
      <c r="S596" s="64" t="n">
        <v>61345286.4944441</v>
      </c>
      <c r="T596" s="64" t="n">
        <v>62127121.0746916</v>
      </c>
      <c r="U596" s="64" t="n">
        <v>65112666.6665912</v>
      </c>
      <c r="V596" s="64" t="n">
        <v>67090371.0934136</v>
      </c>
      <c r="W596" s="65"/>
    </row>
    <row r="597" customFormat="false" ht="12.75" hidden="false" customHeight="false" outlineLevel="0" collapsed="false">
      <c r="A597" s="2"/>
      <c r="B597" s="117" t="s">
        <v>21</v>
      </c>
      <c r="C597" s="118" t="n">
        <v>0</v>
      </c>
      <c r="D597" s="64" t="n">
        <v>-13753991.3277585</v>
      </c>
      <c r="E597" s="64" t="n">
        <v>-13953858.5503326</v>
      </c>
      <c r="F597" s="64" t="n">
        <v>-14196155.686079</v>
      </c>
      <c r="G597" s="64" t="n">
        <v>-14601473.0145395</v>
      </c>
      <c r="H597" s="64" t="n">
        <v>-15106165.6659559</v>
      </c>
      <c r="I597" s="64" t="n">
        <v>-15684552.3770923</v>
      </c>
      <c r="J597" s="64" t="n">
        <v>-16046323.2157182</v>
      </c>
      <c r="K597" s="64" t="n">
        <v>-16391345.4044077</v>
      </c>
      <c r="L597" s="64" t="n">
        <v>-16662673.5333771</v>
      </c>
      <c r="M597" s="64" t="n">
        <v>-16800012.4628555</v>
      </c>
      <c r="N597" s="64" t="n">
        <v>-17030027.2553152</v>
      </c>
      <c r="O597" s="64" t="n">
        <v>-17400730.7072405</v>
      </c>
      <c r="P597" s="64" t="n">
        <v>-17797115.4224015</v>
      </c>
      <c r="Q597" s="64" t="n">
        <v>-18176751.4876262</v>
      </c>
      <c r="R597" s="64" t="n">
        <v>-18435797.273309</v>
      </c>
      <c r="S597" s="64" t="n">
        <v>-18814316.7618713</v>
      </c>
      <c r="T597" s="64" t="n">
        <v>-19244198.7769051</v>
      </c>
      <c r="U597" s="64" t="n">
        <v>-19716510.7051111</v>
      </c>
      <c r="V597" s="64" t="n">
        <v>-20204454.7065911</v>
      </c>
      <c r="W597" s="65"/>
    </row>
    <row r="598" customFormat="false" ht="12.75" hidden="false" customHeight="false" outlineLevel="0" collapsed="false">
      <c r="A598" s="2"/>
      <c r="B598" s="117" t="s">
        <v>22</v>
      </c>
      <c r="C598" s="118" t="n">
        <v>0</v>
      </c>
      <c r="D598" s="64" t="n">
        <v>-655483.228062986</v>
      </c>
      <c r="E598" s="64" t="n">
        <v>-668713.734681468</v>
      </c>
      <c r="F598" s="64" t="n">
        <v>-682211.290551384</v>
      </c>
      <c r="G598" s="64" t="n">
        <v>-695981.285889809</v>
      </c>
      <c r="H598" s="64" t="n">
        <v>-710029.219711878</v>
      </c>
      <c r="I598" s="64" t="n">
        <v>-724360.702026802</v>
      </c>
      <c r="J598" s="64" t="n">
        <v>-738981.456078213</v>
      </c>
      <c r="K598" s="64" t="n">
        <v>-753897.32062973</v>
      </c>
      <c r="L598" s="64" t="n">
        <v>-769114.252296652</v>
      </c>
      <c r="M598" s="64" t="n">
        <v>-784638.327924719</v>
      </c>
      <c r="N598" s="64" t="n">
        <v>-800475.747016891</v>
      </c>
      <c r="O598" s="64" t="n">
        <v>-816632.834209096</v>
      </c>
      <c r="P598" s="64" t="n">
        <v>-833116.041795965</v>
      </c>
      <c r="Q598" s="64" t="n">
        <v>-849931.952307539</v>
      </c>
      <c r="R598" s="64" t="n">
        <v>-867087.281137988</v>
      </c>
      <c r="S598" s="64" t="n">
        <v>-884588.879227384</v>
      </c>
      <c r="T598" s="64" t="n">
        <v>-902443.73579761</v>
      </c>
      <c r="U598" s="64" t="n">
        <v>-920658.981143492</v>
      </c>
      <c r="V598" s="64" t="n">
        <v>-939241.889480262</v>
      </c>
      <c r="W598" s="65"/>
    </row>
    <row r="599" customFormat="false" ht="12.75" hidden="false" customHeight="false" outlineLevel="0" collapsed="false">
      <c r="A599" s="2"/>
      <c r="B599" s="117" t="s">
        <v>23</v>
      </c>
      <c r="C599" s="118" t="n">
        <v>0</v>
      </c>
      <c r="D599" s="64" t="n">
        <v>0</v>
      </c>
      <c r="E599" s="64" t="n">
        <v>0</v>
      </c>
      <c r="F599" s="64" t="n">
        <v>0</v>
      </c>
      <c r="G599" s="64" t="n">
        <v>0</v>
      </c>
      <c r="H599" s="64" t="n">
        <v>0</v>
      </c>
      <c r="I599" s="64" t="n">
        <v>-526392.602796215</v>
      </c>
      <c r="J599" s="64" t="n">
        <v>-583464.149876268</v>
      </c>
      <c r="K599" s="64" t="n">
        <v>-740318.246269391</v>
      </c>
      <c r="L599" s="64" t="n">
        <v>-707143.793285598</v>
      </c>
      <c r="M599" s="64" t="n">
        <v>-786452.621835833</v>
      </c>
      <c r="N599" s="64" t="n">
        <v>-866337.037457241</v>
      </c>
      <c r="O599" s="64" t="n">
        <v>-959875.463932823</v>
      </c>
      <c r="P599" s="64" t="n">
        <v>-1076272.89964713</v>
      </c>
      <c r="Q599" s="64" t="n">
        <v>-1198059.68648408</v>
      </c>
      <c r="R599" s="64" t="n">
        <v>-1327084.14656132</v>
      </c>
      <c r="S599" s="64" t="n">
        <v>-1457136.76092856</v>
      </c>
      <c r="T599" s="64" t="n">
        <v>-1431565.82877081</v>
      </c>
      <c r="U599" s="64" t="n">
        <v>-1224781.99635357</v>
      </c>
      <c r="V599" s="64" t="n">
        <v>-1269872.9621814</v>
      </c>
      <c r="W599" s="65"/>
    </row>
    <row r="600" customFormat="false" ht="13.5" hidden="false" customHeight="false" outlineLevel="0" collapsed="false">
      <c r="A600" s="2"/>
      <c r="B600" s="119" t="s">
        <v>24</v>
      </c>
      <c r="C600" s="120" t="n">
        <v>0</v>
      </c>
      <c r="D600" s="68" t="n">
        <v>0</v>
      </c>
      <c r="E600" s="68" t="n">
        <v>0</v>
      </c>
      <c r="F600" s="68" t="n">
        <v>-831148.071040021</v>
      </c>
      <c r="G600" s="68" t="n">
        <v>-708190.255483601</v>
      </c>
      <c r="H600" s="68" t="n">
        <v>-735198.238358983</v>
      </c>
      <c r="I600" s="68" t="n">
        <v>-763568.102797633</v>
      </c>
      <c r="J600" s="68" t="n">
        <v>-959208.304066014</v>
      </c>
      <c r="K600" s="68" t="n">
        <v>-837857.703650295</v>
      </c>
      <c r="L600" s="68" t="n">
        <v>-886813.179769564</v>
      </c>
      <c r="M600" s="68" t="n">
        <v>-843836.704573232</v>
      </c>
      <c r="N600" s="68" t="n">
        <v>-868004.883263875</v>
      </c>
      <c r="O600" s="68" t="n">
        <v>-890513.006755088</v>
      </c>
      <c r="P600" s="68" t="n">
        <v>-795414.950887979</v>
      </c>
      <c r="Q600" s="68" t="n">
        <v>-823854.756754514</v>
      </c>
      <c r="R600" s="68" t="n">
        <v>-840880.029357625</v>
      </c>
      <c r="S600" s="68" t="n">
        <v>-892955.512419955</v>
      </c>
      <c r="T600" s="68" t="n">
        <v>-839470.795997804</v>
      </c>
      <c r="U600" s="68" t="n">
        <v>-924573.861498303</v>
      </c>
      <c r="V600" s="68" t="n">
        <v>-503384.75146488</v>
      </c>
      <c r="W600" s="65"/>
    </row>
    <row r="601" customFormat="false" ht="13.5" hidden="false" customHeight="false" outlineLevel="0" collapsed="false">
      <c r="A601" s="2"/>
      <c r="B601" s="121" t="s">
        <v>25</v>
      </c>
      <c r="C601" s="122" t="n">
        <v>0</v>
      </c>
      <c r="D601" s="71" t="n">
        <v>29920188.5045928</v>
      </c>
      <c r="E601" s="71" t="n">
        <v>29092293.6357931</v>
      </c>
      <c r="F601" s="71" t="n">
        <v>28846787.0288773</v>
      </c>
      <c r="G601" s="71" t="n">
        <v>27919124.8482992</v>
      </c>
      <c r="H601" s="71" t="n">
        <v>27704225.7982695</v>
      </c>
      <c r="I601" s="71" t="n">
        <v>29544966.7509694</v>
      </c>
      <c r="J601" s="71" t="n">
        <v>32329476.9659261</v>
      </c>
      <c r="K601" s="71" t="n">
        <v>33244936.7456448</v>
      </c>
      <c r="L601" s="71" t="n">
        <v>34030349.9751325</v>
      </c>
      <c r="M601" s="71" t="n">
        <v>34030561.9432659</v>
      </c>
      <c r="N601" s="71" t="n">
        <v>34831022.6864883</v>
      </c>
      <c r="O601" s="71" t="n">
        <v>34938969.6094981</v>
      </c>
      <c r="P601" s="71" t="n">
        <v>35152123.8957147</v>
      </c>
      <c r="Q601" s="71" t="n">
        <v>36564535.5932258</v>
      </c>
      <c r="R601" s="71" t="n">
        <v>40229878.7636085</v>
      </c>
      <c r="S601" s="71" t="n">
        <v>39296288.5799969</v>
      </c>
      <c r="T601" s="71" t="n">
        <v>39709441.9372203</v>
      </c>
      <c r="U601" s="71" t="n">
        <v>42326141.1224847</v>
      </c>
      <c r="V601" s="71" t="n">
        <v>44173416.7836959</v>
      </c>
      <c r="W601" s="65"/>
    </row>
    <row r="602" customFormat="false" ht="12.75" hidden="false" customHeight="false" outlineLevel="0" collapsed="false">
      <c r="A602" s="2"/>
      <c r="B602" s="117" t="s">
        <v>26</v>
      </c>
      <c r="C602" s="118" t="n">
        <v>0</v>
      </c>
      <c r="D602" s="64" t="n">
        <v>-2719789.53379214</v>
      </c>
      <c r="E602" s="64" t="n">
        <v>-2774185.32446798</v>
      </c>
      <c r="F602" s="64" t="n">
        <v>-2829669.03095734</v>
      </c>
      <c r="G602" s="64" t="n">
        <v>-2886262.41157648</v>
      </c>
      <c r="H602" s="64" t="n">
        <v>-2943987.65980801</v>
      </c>
      <c r="I602" s="64" t="n">
        <v>-3002867.41300417</v>
      </c>
      <c r="J602" s="64" t="n">
        <v>-3062924.76126426</v>
      </c>
      <c r="K602" s="64" t="n">
        <v>-3124183.25648954</v>
      </c>
      <c r="L602" s="64" t="n">
        <v>-3186666.92161933</v>
      </c>
      <c r="M602" s="64" t="n">
        <v>-3250400.26005172</v>
      </c>
      <c r="N602" s="64" t="n">
        <v>-3315408.26525276</v>
      </c>
      <c r="O602" s="64" t="n">
        <v>-3381716.43055781</v>
      </c>
      <c r="P602" s="64" t="n">
        <v>-3449350.75916897</v>
      </c>
      <c r="Q602" s="64" t="n">
        <v>-3518337.77435235</v>
      </c>
      <c r="R602" s="64" t="n">
        <v>-3588704.52983939</v>
      </c>
      <c r="S602" s="64" t="n">
        <v>-3660478.62043618</v>
      </c>
      <c r="T602" s="64" t="n">
        <v>-3733688.19284491</v>
      </c>
      <c r="U602" s="64" t="n">
        <v>-3808361.9567018</v>
      </c>
      <c r="V602" s="64" t="n">
        <v>-3884529.19583584</v>
      </c>
      <c r="W602" s="65"/>
    </row>
    <row r="603" customFormat="false" ht="12.75" hidden="false" customHeight="false" outlineLevel="0" collapsed="false">
      <c r="A603" s="2"/>
      <c r="B603" s="117" t="s">
        <v>27</v>
      </c>
      <c r="C603" s="118" t="n">
        <v>0</v>
      </c>
      <c r="D603" s="64" t="n">
        <v>-408315.873488985</v>
      </c>
      <c r="E603" s="64" t="n">
        <v>-417397.215776205</v>
      </c>
      <c r="F603" s="64" t="n">
        <v>-426677.439459515</v>
      </c>
      <c r="G603" s="64" t="n">
        <v>-445393.609917035</v>
      </c>
      <c r="H603" s="64" t="n">
        <v>-502785.073429748</v>
      </c>
      <c r="I603" s="64" t="n">
        <v>-638437.907869637</v>
      </c>
      <c r="J603" s="64" t="n">
        <v>-708139.973764268</v>
      </c>
      <c r="K603" s="64" t="n">
        <v>-779539.645705155</v>
      </c>
      <c r="L603" s="64" t="n">
        <v>-852788.962959349</v>
      </c>
      <c r="M603" s="64" t="n">
        <v>-895780.217253422</v>
      </c>
      <c r="N603" s="64" t="n">
        <v>-907042.909714504</v>
      </c>
      <c r="O603" s="64" t="n">
        <v>-918589.422025605</v>
      </c>
      <c r="P603" s="64" t="n">
        <v>-930429.215749408</v>
      </c>
      <c r="Q603" s="64" t="n">
        <v>-942565.004316306</v>
      </c>
      <c r="R603" s="64" t="n">
        <v>-955005.401176234</v>
      </c>
      <c r="S603" s="64" t="n">
        <v>-967756.807957659</v>
      </c>
      <c r="T603" s="64" t="n">
        <v>-980824.449627264</v>
      </c>
      <c r="U603" s="64" t="n">
        <v>-994220.089102776</v>
      </c>
      <c r="V603" s="64" t="n">
        <v>-1007951.95912912</v>
      </c>
      <c r="W603" s="65"/>
    </row>
    <row r="604" customFormat="false" ht="13.5" hidden="false" customHeight="false" outlineLevel="0" collapsed="false">
      <c r="A604" s="2"/>
      <c r="B604" s="119" t="s">
        <v>28</v>
      </c>
      <c r="C604" s="120" t="n">
        <v>0</v>
      </c>
      <c r="D604" s="68" t="n">
        <v>-457195.00152146</v>
      </c>
      <c r="E604" s="68" t="n">
        <v>-466841.816053565</v>
      </c>
      <c r="F604" s="68" t="n">
        <v>-477065.651825139</v>
      </c>
      <c r="G604" s="68" t="n">
        <v>-487847.335556383</v>
      </c>
      <c r="H604" s="68" t="n">
        <v>-499458.102142626</v>
      </c>
      <c r="I604" s="68" t="n">
        <v>-511974.572393741</v>
      </c>
      <c r="J604" s="68" t="n">
        <v>-524672.968084553</v>
      </c>
      <c r="K604" s="68" t="n">
        <v>-537953.525182395</v>
      </c>
      <c r="L604" s="68" t="n">
        <v>-551240.977254401</v>
      </c>
      <c r="M604" s="68" t="n">
        <v>-565297.622174386</v>
      </c>
      <c r="N604" s="68" t="n">
        <v>-578977.824631009</v>
      </c>
      <c r="O604" s="68" t="n">
        <v>-593568.065811709</v>
      </c>
      <c r="P604" s="68" t="n">
        <v>-608644.694683325</v>
      </c>
      <c r="Q604" s="68" t="n">
        <v>-623860.812050408</v>
      </c>
      <c r="R604" s="68" t="n">
        <v>-639519.718432873</v>
      </c>
      <c r="S604" s="68" t="n">
        <v>-655507.711393696</v>
      </c>
      <c r="T604" s="68" t="n">
        <v>-671764.302636259</v>
      </c>
      <c r="U604" s="68" t="n">
        <v>-688625.58663243</v>
      </c>
      <c r="V604" s="68" t="n">
        <v>-705910.088856904</v>
      </c>
      <c r="W604" s="65"/>
    </row>
    <row r="605" customFormat="false" ht="13.5" hidden="false" customHeight="false" outlineLevel="0" collapsed="false">
      <c r="A605" s="2"/>
      <c r="B605" s="121" t="s">
        <v>29</v>
      </c>
      <c r="C605" s="123" t="n">
        <v>0</v>
      </c>
      <c r="D605" s="73" t="n">
        <v>26334888.0957902</v>
      </c>
      <c r="E605" s="73" t="n">
        <v>25433869.2794954</v>
      </c>
      <c r="F605" s="73" t="n">
        <v>25113374.9066353</v>
      </c>
      <c r="G605" s="73" t="n">
        <v>24099621.4912493</v>
      </c>
      <c r="H605" s="73" t="n">
        <v>23757994.9628891</v>
      </c>
      <c r="I605" s="73" t="n">
        <v>25391686.8577019</v>
      </c>
      <c r="J605" s="73" t="n">
        <v>28033739.262813</v>
      </c>
      <c r="K605" s="73" t="n">
        <v>28803260.3182677</v>
      </c>
      <c r="L605" s="73" t="n">
        <v>29439653.1132994</v>
      </c>
      <c r="M605" s="73" t="n">
        <v>29319083.8437863</v>
      </c>
      <c r="N605" s="73" t="n">
        <v>30029593.68689</v>
      </c>
      <c r="O605" s="73" t="n">
        <v>30045095.691103</v>
      </c>
      <c r="P605" s="73" t="n">
        <v>30163699.226113</v>
      </c>
      <c r="Q605" s="73" t="n">
        <v>31479772.0025068</v>
      </c>
      <c r="R605" s="73" t="n">
        <v>35046649.11416</v>
      </c>
      <c r="S605" s="73" t="n">
        <v>34012545.4402094</v>
      </c>
      <c r="T605" s="73" t="n">
        <v>34323164.9921119</v>
      </c>
      <c r="U605" s="73" t="n">
        <v>36834933.4900477</v>
      </c>
      <c r="V605" s="73" t="n">
        <v>38575025.5398741</v>
      </c>
      <c r="W605" s="65"/>
    </row>
    <row r="606" customFormat="false" ht="12.75" hidden="false" customHeight="false" outlineLevel="0" collapsed="false">
      <c r="A606" s="2"/>
      <c r="B606" s="117" t="s">
        <v>30</v>
      </c>
      <c r="C606" s="118" t="n">
        <v>0</v>
      </c>
      <c r="D606" s="64" t="n">
        <v>-1428845.3279177</v>
      </c>
      <c r="E606" s="64" t="n">
        <v>-1671845.08313476</v>
      </c>
      <c r="F606" s="64" t="n">
        <v>-1950497.18699443</v>
      </c>
      <c r="G606" s="64" t="n">
        <v>-1964377.60773888</v>
      </c>
      <c r="H606" s="64" t="n">
        <v>-2015306.69688264</v>
      </c>
      <c r="I606" s="64" t="n">
        <v>-2132269.98886106</v>
      </c>
      <c r="J606" s="64" t="n">
        <v>-2247134.56763261</v>
      </c>
      <c r="K606" s="64" t="n">
        <v>-2358781.21624859</v>
      </c>
      <c r="L606" s="64" t="n">
        <v>-2469516.50669494</v>
      </c>
      <c r="M606" s="64" t="n">
        <v>-2474024.03599731</v>
      </c>
      <c r="N606" s="64" t="n">
        <v>-2482519.70337241</v>
      </c>
      <c r="O606" s="64" t="n">
        <v>-2611566.71145318</v>
      </c>
      <c r="P606" s="64" t="n">
        <v>-2432024.2573896</v>
      </c>
      <c r="Q606" s="64" t="n">
        <v>-2256092.45221441</v>
      </c>
      <c r="R606" s="64" t="n">
        <v>-2164328.98313087</v>
      </c>
      <c r="S606" s="64" t="n">
        <v>-2076652.90162092</v>
      </c>
      <c r="T606" s="64" t="n">
        <v>-2225302.98145168</v>
      </c>
      <c r="U606" s="64" t="n">
        <v>-2378407.11692839</v>
      </c>
      <c r="V606" s="64" t="n">
        <v>-2531167.50223072</v>
      </c>
      <c r="W606" s="65"/>
    </row>
    <row r="607" customFormat="false" ht="13.5" hidden="false" customHeight="false" outlineLevel="0" collapsed="false">
      <c r="A607" s="2"/>
      <c r="B607" s="119" t="s">
        <v>70</v>
      </c>
      <c r="C607" s="120" t="n">
        <v>0</v>
      </c>
      <c r="D607" s="68" t="n">
        <v>-9962417.10714901</v>
      </c>
      <c r="E607" s="68" t="n">
        <v>-9504809.67854424</v>
      </c>
      <c r="F607" s="68" t="n">
        <v>-9265151.08785633</v>
      </c>
      <c r="G607" s="68" t="n">
        <v>-8854097.55340417</v>
      </c>
      <c r="H607" s="68" t="n">
        <v>-8697075.30640257</v>
      </c>
      <c r="I607" s="68" t="n">
        <v>-9303766.74753632</v>
      </c>
      <c r="J607" s="68" t="n">
        <v>-10314641.8780722</v>
      </c>
      <c r="K607" s="68" t="n">
        <v>-10577791.6408077</v>
      </c>
      <c r="L607" s="68" t="n">
        <v>-10788054.6426418</v>
      </c>
      <c r="M607" s="68" t="n">
        <v>-10738023.9231156</v>
      </c>
      <c r="N607" s="68" t="n">
        <v>-11018829.593407</v>
      </c>
      <c r="O607" s="68" t="n">
        <v>-10973411.5918599</v>
      </c>
      <c r="P607" s="68" t="n">
        <v>-11092669.9874894</v>
      </c>
      <c r="Q607" s="68" t="n">
        <v>-11689471.8201169</v>
      </c>
      <c r="R607" s="68" t="n">
        <v>-13152928.0524117</v>
      </c>
      <c r="S607" s="68" t="n">
        <v>-12774357.0154354</v>
      </c>
      <c r="T607" s="68" t="n">
        <v>-12839144.8042641</v>
      </c>
      <c r="U607" s="68" t="n">
        <v>-13782610.5492477</v>
      </c>
      <c r="V607" s="68" t="n">
        <v>-14417543.2150573</v>
      </c>
      <c r="W607" s="65"/>
    </row>
    <row r="608" customFormat="false" ht="13.5" hidden="false" customHeight="false" outlineLevel="0" collapsed="false">
      <c r="A608" s="2"/>
      <c r="B608" s="121" t="s">
        <v>32</v>
      </c>
      <c r="C608" s="123" t="n">
        <v>0</v>
      </c>
      <c r="D608" s="73" t="n">
        <v>14943625.6607235</v>
      </c>
      <c r="E608" s="73" t="n">
        <v>14257214.5178164</v>
      </c>
      <c r="F608" s="73" t="n">
        <v>13897726.6317845</v>
      </c>
      <c r="G608" s="73" t="n">
        <v>13281146.3301063</v>
      </c>
      <c r="H608" s="73" t="n">
        <v>13045612.9596039</v>
      </c>
      <c r="I608" s="73" t="n">
        <v>13955650.1213045</v>
      </c>
      <c r="J608" s="73" t="n">
        <v>15471962.8171082</v>
      </c>
      <c r="K608" s="73" t="n">
        <v>15866687.4612115</v>
      </c>
      <c r="L608" s="73" t="n">
        <v>16182081.9639627</v>
      </c>
      <c r="M608" s="73" t="n">
        <v>16107035.8846734</v>
      </c>
      <c r="N608" s="73" t="n">
        <v>16528244.3901106</v>
      </c>
      <c r="O608" s="73" t="n">
        <v>16460117.3877899</v>
      </c>
      <c r="P608" s="73" t="n">
        <v>16639004.981234</v>
      </c>
      <c r="Q608" s="73" t="n">
        <v>17534207.7301754</v>
      </c>
      <c r="R608" s="73" t="n">
        <v>19729392.0786175</v>
      </c>
      <c r="S608" s="73" t="n">
        <v>19161535.5231531</v>
      </c>
      <c r="T608" s="73" t="n">
        <v>19258717.2063961</v>
      </c>
      <c r="U608" s="73" t="n">
        <v>20673915.8238716</v>
      </c>
      <c r="V608" s="73" t="n">
        <v>21626314.822586</v>
      </c>
      <c r="W608" s="65"/>
    </row>
    <row r="609" customFormat="false" ht="12.75" hidden="false" customHeight="false" outlineLevel="0" collapsed="false">
      <c r="A609" s="2"/>
      <c r="B609" s="117" t="s">
        <v>30</v>
      </c>
      <c r="C609" s="118" t="n">
        <v>0</v>
      </c>
      <c r="D609" s="64" t="n">
        <v>1428845.3279177</v>
      </c>
      <c r="E609" s="64" t="n">
        <v>1671845.08313476</v>
      </c>
      <c r="F609" s="64" t="n">
        <v>1950497.18699443</v>
      </c>
      <c r="G609" s="64" t="n">
        <v>1964377.60773888</v>
      </c>
      <c r="H609" s="64" t="n">
        <v>2015306.69688264</v>
      </c>
      <c r="I609" s="64" t="n">
        <v>2132269.98886106</v>
      </c>
      <c r="J609" s="64" t="n">
        <v>2247134.56763261</v>
      </c>
      <c r="K609" s="64" t="n">
        <v>2358781.21624859</v>
      </c>
      <c r="L609" s="64" t="n">
        <v>2469516.50669494</v>
      </c>
      <c r="M609" s="64" t="n">
        <v>2474024.03599731</v>
      </c>
      <c r="N609" s="64" t="n">
        <v>2482519.70337241</v>
      </c>
      <c r="O609" s="64" t="n">
        <v>2611566.71145318</v>
      </c>
      <c r="P609" s="64" t="n">
        <v>2432024.2573896</v>
      </c>
      <c r="Q609" s="64" t="n">
        <v>2256092.45221441</v>
      </c>
      <c r="R609" s="64" t="n">
        <v>2164328.98313087</v>
      </c>
      <c r="S609" s="64" t="n">
        <v>2076652.90162092</v>
      </c>
      <c r="T609" s="64" t="n">
        <v>2225302.98145168</v>
      </c>
      <c r="U609" s="64" t="n">
        <v>2378407.11692839</v>
      </c>
      <c r="V609" s="64" t="n">
        <v>2531167.50223072</v>
      </c>
      <c r="W609" s="65"/>
    </row>
    <row r="610" customFormat="false" ht="12.75" hidden="false" customHeight="false" outlineLevel="0" collapsed="false">
      <c r="A610" s="2"/>
      <c r="B610" s="117" t="s">
        <v>33</v>
      </c>
      <c r="C610" s="118" t="n">
        <v>0</v>
      </c>
      <c r="D610" s="64" t="n">
        <v>-627871.68</v>
      </c>
      <c r="E610" s="64" t="n">
        <v>-7085452.56</v>
      </c>
      <c r="F610" s="64" t="n">
        <v>-1209378.25</v>
      </c>
      <c r="G610" s="64" t="n">
        <v>-434627.63</v>
      </c>
      <c r="H610" s="64" t="n">
        <v>-2222979.216</v>
      </c>
      <c r="I610" s="64" t="n">
        <v>-2289668.59248</v>
      </c>
      <c r="J610" s="64" t="n">
        <v>-2358358.6502544</v>
      </c>
      <c r="K610" s="64" t="n">
        <v>-2429109.40976203</v>
      </c>
      <c r="L610" s="64" t="n">
        <v>-2501982.69205489</v>
      </c>
      <c r="M610" s="64" t="n">
        <v>-2577042.17281654</v>
      </c>
      <c r="N610" s="64" t="n">
        <v>-2654353.43800104</v>
      </c>
      <c r="O610" s="64" t="n">
        <v>-2733984.04114107</v>
      </c>
      <c r="P610" s="64" t="n">
        <v>-2816003.5623753</v>
      </c>
      <c r="Q610" s="64" t="n">
        <v>-2900483.66924656</v>
      </c>
      <c r="R610" s="64" t="n">
        <v>-2987498.17932396</v>
      </c>
      <c r="S610" s="64" t="n">
        <v>-3077123.12470367</v>
      </c>
      <c r="T610" s="64" t="n">
        <v>-3169436.81844478</v>
      </c>
      <c r="U610" s="64" t="n">
        <v>-3264519.92299813</v>
      </c>
      <c r="V610" s="64" t="n">
        <v>-3362455.52068807</v>
      </c>
      <c r="W610" s="65"/>
    </row>
    <row r="611" customFormat="false" ht="13.5" hidden="false" customHeight="false" outlineLevel="0" collapsed="false">
      <c r="A611" s="2"/>
      <c r="B611" s="119" t="s">
        <v>34</v>
      </c>
      <c r="C611" s="120" t="n">
        <v>0</v>
      </c>
      <c r="D611" s="68" t="n">
        <v>0</v>
      </c>
      <c r="E611" s="68" t="n">
        <v>0</v>
      </c>
      <c r="F611" s="68" t="n">
        <v>0</v>
      </c>
      <c r="G611" s="68" t="n">
        <v>0</v>
      </c>
      <c r="H611" s="68" t="n">
        <v>0</v>
      </c>
      <c r="I611" s="68" t="n">
        <v>0</v>
      </c>
      <c r="J611" s="68" t="n">
        <v>0</v>
      </c>
      <c r="K611" s="68" t="n">
        <v>0</v>
      </c>
      <c r="L611" s="68" t="n">
        <v>0</v>
      </c>
      <c r="M611" s="68" t="n">
        <v>0</v>
      </c>
      <c r="N611" s="68" t="n">
        <v>0</v>
      </c>
      <c r="O611" s="68" t="n">
        <v>0</v>
      </c>
      <c r="P611" s="68" t="n">
        <v>0</v>
      </c>
      <c r="Q611" s="68" t="n">
        <v>0</v>
      </c>
      <c r="R611" s="68" t="n">
        <v>0</v>
      </c>
      <c r="S611" s="68" t="n">
        <v>0</v>
      </c>
      <c r="T611" s="68" t="n">
        <v>0</v>
      </c>
      <c r="U611" s="68" t="n">
        <v>0</v>
      </c>
      <c r="V611" s="68" t="n">
        <v>0</v>
      </c>
      <c r="W611" s="65"/>
    </row>
    <row r="612" customFormat="false" ht="13.5" hidden="false" customHeight="false" outlineLevel="0" collapsed="false">
      <c r="A612" s="2"/>
      <c r="B612" s="117"/>
      <c r="C612" s="124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</row>
    <row r="613" customFormat="false" ht="12.75" hidden="false" customHeight="false" outlineLevel="0" collapsed="false">
      <c r="A613" s="2"/>
      <c r="B613" s="121" t="s">
        <v>35</v>
      </c>
      <c r="C613" s="123" t="n">
        <v>0</v>
      </c>
      <c r="D613" s="73" t="n">
        <v>15744599.3086412</v>
      </c>
      <c r="E613" s="73" t="n">
        <v>8843607.04095112</v>
      </c>
      <c r="F613" s="73" t="n">
        <v>14638845.5687789</v>
      </c>
      <c r="G613" s="73" t="n">
        <v>14810896.3078451</v>
      </c>
      <c r="H613" s="73" t="n">
        <v>12837940.4404865</v>
      </c>
      <c r="I613" s="73" t="n">
        <v>13798251.5176855</v>
      </c>
      <c r="J613" s="73" t="n">
        <v>15360738.7344865</v>
      </c>
      <c r="K613" s="73" t="n">
        <v>15796359.2676981</v>
      </c>
      <c r="L613" s="73" t="n">
        <v>16149615.7786027</v>
      </c>
      <c r="M613" s="73" t="n">
        <v>16004017.7478542</v>
      </c>
      <c r="N613" s="73" t="n">
        <v>16356410.6554819</v>
      </c>
      <c r="O613" s="73" t="n">
        <v>16337700.058102</v>
      </c>
      <c r="P613" s="73" t="n">
        <v>16255025.6762483</v>
      </c>
      <c r="Q613" s="73" t="n">
        <v>16889816.5131433</v>
      </c>
      <c r="R613" s="73" t="n">
        <v>18906222.8824244</v>
      </c>
      <c r="S613" s="73" t="n">
        <v>18161065.3000703</v>
      </c>
      <c r="T613" s="73" t="n">
        <v>18314583.369403</v>
      </c>
      <c r="U613" s="73" t="n">
        <v>19787803.0178019</v>
      </c>
      <c r="V613" s="73" t="n">
        <v>20795026.8041287</v>
      </c>
      <c r="W613" s="71" t="n">
        <v>109255117.266464</v>
      </c>
    </row>
    <row r="614" customFormat="false" ht="12.75" hidden="false" customHeight="false" outlineLevel="0" collapsed="false">
      <c r="A614" s="2"/>
      <c r="B614" s="12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customFormat="false" ht="12.75" hidden="false" customHeight="false" outlineLevel="0" collapsed="false">
      <c r="A615" s="48" t="s">
        <v>36</v>
      </c>
      <c r="B615" s="126" t="s">
        <v>37</v>
      </c>
      <c r="C615" s="76" t="n">
        <v>50707812.0201838</v>
      </c>
      <c r="D615" s="2"/>
      <c r="E615" s="127" t="s">
        <v>38</v>
      </c>
      <c r="F615" s="128" t="s">
        <v>37</v>
      </c>
      <c r="G615" s="79" t="n">
        <v>50707812.0201838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customFormat="false" ht="12.75" hidden="false" customHeight="false" outlineLevel="0" collapsed="false">
      <c r="A616" s="2"/>
      <c r="B616" s="126" t="s">
        <v>39</v>
      </c>
      <c r="C616" s="76" t="n">
        <v>75215232.2675086</v>
      </c>
      <c r="D616" s="2"/>
      <c r="E616" s="129"/>
      <c r="F616" s="128" t="s">
        <v>39</v>
      </c>
      <c r="G616" s="79" t="n">
        <v>75215232.2675086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customFormat="false" ht="13.5" hidden="false" customHeight="false" outlineLevel="0" collapsed="false">
      <c r="A617" s="2"/>
      <c r="B617" s="130" t="s">
        <v>40</v>
      </c>
      <c r="C617" s="82" t="n">
        <v>16240077.0106905</v>
      </c>
      <c r="D617" s="131"/>
      <c r="E617" s="129"/>
      <c r="F617" s="128" t="s">
        <v>40</v>
      </c>
      <c r="G617" s="79" t="n">
        <v>16240077.0106905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customFormat="false" ht="14.25" hidden="false" customHeight="false" outlineLevel="0" collapsed="false">
      <c r="A618" s="2"/>
      <c r="B618" s="126" t="s">
        <v>41</v>
      </c>
      <c r="C618" s="76" t="n">
        <v>142163121.298383</v>
      </c>
      <c r="D618" s="132"/>
      <c r="E618" s="129"/>
      <c r="F618" s="133" t="s">
        <v>42</v>
      </c>
      <c r="G618" s="85" t="n">
        <v>0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customFormat="false" ht="13.5" hidden="false" customHeight="false" outlineLevel="0" collapsed="false">
      <c r="A619" s="2"/>
      <c r="B619" s="125"/>
      <c r="C619" s="134"/>
      <c r="D619" s="2"/>
      <c r="E619" s="135"/>
      <c r="F619" s="128" t="s">
        <v>41</v>
      </c>
      <c r="G619" s="79" t="n">
        <v>142163121.298383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customFormat="false" ht="12.75" hidden="false" customHeight="false" outlineLevel="0" collapsed="false">
      <c r="A620" s="2"/>
      <c r="B620" s="125"/>
      <c r="C620" s="134"/>
      <c r="D620" s="2"/>
      <c r="E620" s="135"/>
      <c r="F620" s="128"/>
      <c r="G620" s="13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customFormat="false" ht="12.75" hidden="false" customHeight="false" outlineLevel="0" collapsed="false">
      <c r="A621" s="2"/>
      <c r="B621" s="125"/>
      <c r="C621" s="134"/>
      <c r="D621" s="2"/>
      <c r="E621" s="135"/>
      <c r="F621" s="128"/>
      <c r="G621" s="13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customFormat="false" ht="12.75" hidden="false" customHeight="false" outlineLevel="0" collapsed="false">
      <c r="A622" s="2"/>
      <c r="B622" s="137" t="s">
        <v>43</v>
      </c>
      <c r="C622" s="134"/>
      <c r="D622" s="2"/>
      <c r="E622" s="135"/>
      <c r="F622" s="128"/>
      <c r="G622" s="13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customFormat="false" ht="12.75" hidden="false" customHeight="false" outlineLevel="0" collapsed="false">
      <c r="A623" s="87" t="s">
        <v>44</v>
      </c>
      <c r="B623" s="137" t="s">
        <v>45</v>
      </c>
      <c r="C623" s="138"/>
      <c r="D623" s="88" t="n">
        <v>14943625.6607235</v>
      </c>
      <c r="E623" s="88" t="n">
        <v>14257214.5178164</v>
      </c>
      <c r="F623" s="88" t="n">
        <v>13897726.6317845</v>
      </c>
      <c r="G623" s="88" t="n">
        <v>13281146.3301063</v>
      </c>
      <c r="H623" s="88" t="n">
        <v>13045612.9596039</v>
      </c>
      <c r="I623" s="88" t="n">
        <v>13955650.1213045</v>
      </c>
      <c r="J623" s="88" t="n">
        <v>15471962.8171082</v>
      </c>
      <c r="K623" s="88" t="n">
        <v>15866687.4612115</v>
      </c>
      <c r="L623" s="88" t="n">
        <v>16182081.9639627</v>
      </c>
      <c r="M623" s="88" t="n">
        <v>16107035.8846734</v>
      </c>
      <c r="N623" s="88" t="n">
        <v>16528244.3901106</v>
      </c>
      <c r="O623" s="88" t="n">
        <v>16460117.3877899</v>
      </c>
      <c r="P623" s="88" t="n">
        <v>16639004.981234</v>
      </c>
      <c r="Q623" s="88" t="n">
        <v>17534207.7301754</v>
      </c>
      <c r="R623" s="88" t="n">
        <v>19729392.0786175</v>
      </c>
      <c r="S623" s="88" t="n">
        <v>19161535.5231531</v>
      </c>
      <c r="T623" s="88" t="n">
        <v>19258717.2063961</v>
      </c>
      <c r="U623" s="88" t="n">
        <v>20673915.8238716</v>
      </c>
      <c r="V623" s="88" t="n">
        <v>21626314.822586</v>
      </c>
      <c r="W623" s="2"/>
    </row>
    <row r="624" customFormat="false" ht="12.75" hidden="false" customHeight="false" outlineLevel="0" collapsed="false">
      <c r="A624" s="2"/>
      <c r="B624" s="125" t="s">
        <v>46</v>
      </c>
      <c r="C624" s="134"/>
      <c r="D624" s="65" t="n">
        <v>9962417.10714901</v>
      </c>
      <c r="E624" s="65" t="n">
        <v>9504809.67854424</v>
      </c>
      <c r="F624" s="65" t="n">
        <v>9265151.08785633</v>
      </c>
      <c r="G624" s="65" t="n">
        <v>8854097.55340417</v>
      </c>
      <c r="H624" s="65" t="n">
        <v>8697075.30640257</v>
      </c>
      <c r="I624" s="65" t="n">
        <v>9303766.74753632</v>
      </c>
      <c r="J624" s="65" t="n">
        <v>10314641.8780722</v>
      </c>
      <c r="K624" s="65" t="n">
        <v>10577791.6408077</v>
      </c>
      <c r="L624" s="65" t="n">
        <v>10788054.6426418</v>
      </c>
      <c r="M624" s="65" t="n">
        <v>10738023.9231156</v>
      </c>
      <c r="N624" s="65" t="n">
        <v>11018829.593407</v>
      </c>
      <c r="O624" s="65" t="n">
        <v>10973411.5918599</v>
      </c>
      <c r="P624" s="65" t="n">
        <v>11092669.9874894</v>
      </c>
      <c r="Q624" s="65" t="n">
        <v>11689471.8201169</v>
      </c>
      <c r="R624" s="65" t="n">
        <v>13152928.0524117</v>
      </c>
      <c r="S624" s="65" t="n">
        <v>12774357.0154354</v>
      </c>
      <c r="T624" s="65" t="n">
        <v>12839144.8042641</v>
      </c>
      <c r="U624" s="65" t="n">
        <v>13782610.5492477</v>
      </c>
      <c r="V624" s="65" t="n">
        <v>14417543.2150573</v>
      </c>
      <c r="W624" s="2"/>
    </row>
    <row r="625" customFormat="false" ht="12.75" hidden="false" customHeight="false" outlineLevel="0" collapsed="false">
      <c r="A625" s="2"/>
      <c r="B625" s="139" t="s">
        <v>47</v>
      </c>
      <c r="C625" s="140"/>
      <c r="D625" s="65" t="n">
        <v>1428845.3279177</v>
      </c>
      <c r="E625" s="65" t="n">
        <v>1671845.08313476</v>
      </c>
      <c r="F625" s="65" t="n">
        <v>1950497.18699443</v>
      </c>
      <c r="G625" s="65" t="n">
        <v>1964377.60773888</v>
      </c>
      <c r="H625" s="65" t="n">
        <v>2015306.69688264</v>
      </c>
      <c r="I625" s="65" t="n">
        <v>2132269.98886106</v>
      </c>
      <c r="J625" s="65" t="n">
        <v>2247134.56763261</v>
      </c>
      <c r="K625" s="65" t="n">
        <v>2358781.21624859</v>
      </c>
      <c r="L625" s="65" t="n">
        <v>2469516.50669494</v>
      </c>
      <c r="M625" s="65" t="n">
        <v>2474024.03599731</v>
      </c>
      <c r="N625" s="65" t="n">
        <v>2482519.70337241</v>
      </c>
      <c r="O625" s="65" t="n">
        <v>2611566.71145318</v>
      </c>
      <c r="P625" s="65" t="n">
        <v>2432024.2573896</v>
      </c>
      <c r="Q625" s="65" t="n">
        <v>2256092.45221441</v>
      </c>
      <c r="R625" s="65" t="n">
        <v>2164328.98313087</v>
      </c>
      <c r="S625" s="65" t="n">
        <v>2076652.90162092</v>
      </c>
      <c r="T625" s="65" t="n">
        <v>2225302.98145168</v>
      </c>
      <c r="U625" s="65" t="n">
        <v>2378407.11692839</v>
      </c>
      <c r="V625" s="65" t="n">
        <v>2531167.50223072</v>
      </c>
      <c r="W625" s="2"/>
    </row>
    <row r="626" customFormat="false" ht="13.5" hidden="false" customHeight="false" outlineLevel="0" collapsed="false">
      <c r="A626" s="2"/>
      <c r="B626" s="141" t="s">
        <v>48</v>
      </c>
      <c r="C626" s="142"/>
      <c r="D626" s="93" t="n">
        <v>26334888.0957902</v>
      </c>
      <c r="E626" s="93" t="n">
        <v>25433869.2794954</v>
      </c>
      <c r="F626" s="93" t="n">
        <v>25113374.9066353</v>
      </c>
      <c r="G626" s="93" t="n">
        <v>24099621.4912493</v>
      </c>
      <c r="H626" s="93" t="n">
        <v>23757994.9628891</v>
      </c>
      <c r="I626" s="93" t="n">
        <v>25391686.8577019</v>
      </c>
      <c r="J626" s="93" t="n">
        <v>28033739.262813</v>
      </c>
      <c r="K626" s="93" t="n">
        <v>28803260.3182677</v>
      </c>
      <c r="L626" s="93" t="n">
        <v>29439653.1132994</v>
      </c>
      <c r="M626" s="93" t="n">
        <v>29319083.8437863</v>
      </c>
      <c r="N626" s="93" t="n">
        <v>30029593.68689</v>
      </c>
      <c r="O626" s="93" t="n">
        <v>30045095.691103</v>
      </c>
      <c r="P626" s="93" t="n">
        <v>30163699.226113</v>
      </c>
      <c r="Q626" s="93" t="n">
        <v>31479772.0025068</v>
      </c>
      <c r="R626" s="93" t="n">
        <v>35046649.11416</v>
      </c>
      <c r="S626" s="93" t="n">
        <v>34012545.4402094</v>
      </c>
      <c r="T626" s="93" t="n">
        <v>34323164.9921119</v>
      </c>
      <c r="U626" s="93" t="n">
        <v>36834933.4900477</v>
      </c>
      <c r="V626" s="93" t="n">
        <v>38575025.5398741</v>
      </c>
      <c r="W626" s="2"/>
    </row>
    <row r="627" customFormat="false" ht="13.5" hidden="false" customHeight="false" outlineLevel="0" collapsed="false">
      <c r="A627" s="87" t="s">
        <v>49</v>
      </c>
      <c r="B627" s="125" t="s">
        <v>50</v>
      </c>
      <c r="C627" s="134"/>
      <c r="D627" s="65" t="n">
        <v>-1824772.08708249</v>
      </c>
      <c r="E627" s="65" t="n">
        <v>-2175294.84440788</v>
      </c>
      <c r="F627" s="65" t="n">
        <v>-2222202.46563314</v>
      </c>
      <c r="G627" s="65" t="n">
        <v>-2243745.03041682</v>
      </c>
      <c r="H627" s="65" t="n">
        <v>-2354701.06394506</v>
      </c>
      <c r="I627" s="65" t="n">
        <v>-2469184.49356906</v>
      </c>
      <c r="J627" s="65" t="n">
        <v>-2307755.5461818</v>
      </c>
      <c r="K627" s="65" t="n">
        <v>-2218398.36611659</v>
      </c>
      <c r="L627" s="65" t="n">
        <v>-2243214.30550759</v>
      </c>
      <c r="M627" s="65" t="n">
        <v>-2363360.94455914</v>
      </c>
      <c r="N627" s="65" t="n">
        <v>-2496078.6164592</v>
      </c>
      <c r="O627" s="65" t="n">
        <v>-2632777.81851625</v>
      </c>
      <c r="P627" s="65" t="n">
        <v>-2533466.55049754</v>
      </c>
      <c r="Q627" s="65" t="n">
        <v>-2350424.30050594</v>
      </c>
      <c r="R627" s="65" t="n">
        <v>-2001133.14123421</v>
      </c>
      <c r="S627" s="65" t="n">
        <v>-2123603.61104675</v>
      </c>
      <c r="T627" s="65" t="n">
        <v>-2279933.36174767</v>
      </c>
      <c r="U627" s="65" t="n">
        <v>-2443159.35789758</v>
      </c>
      <c r="V627" s="65" t="n">
        <v>-2609450.1096715</v>
      </c>
      <c r="W627" s="2"/>
    </row>
    <row r="628" customFormat="false" ht="12.75" hidden="false" customHeight="false" outlineLevel="0" collapsed="false">
      <c r="A628" s="2"/>
      <c r="B628" s="125" t="s">
        <v>51</v>
      </c>
      <c r="C628" s="134"/>
      <c r="D628" s="65" t="n">
        <v>0</v>
      </c>
      <c r="E628" s="65" t="n">
        <v>0</v>
      </c>
      <c r="F628" s="65" t="n">
        <v>0</v>
      </c>
      <c r="G628" s="65" t="n">
        <v>0</v>
      </c>
      <c r="H628" s="65" t="n">
        <v>0</v>
      </c>
      <c r="I628" s="65" t="n">
        <v>0</v>
      </c>
      <c r="J628" s="65" t="n">
        <v>0</v>
      </c>
      <c r="K628" s="65" t="n">
        <v>0</v>
      </c>
      <c r="L628" s="65" t="n">
        <v>0</v>
      </c>
      <c r="M628" s="65" t="n">
        <v>0</v>
      </c>
      <c r="N628" s="65" t="n">
        <v>0</v>
      </c>
      <c r="O628" s="65" t="n">
        <v>0</v>
      </c>
      <c r="P628" s="65" t="n">
        <v>0</v>
      </c>
      <c r="Q628" s="65" t="n">
        <v>0</v>
      </c>
      <c r="R628" s="65" t="n">
        <v>0</v>
      </c>
      <c r="S628" s="65" t="n">
        <v>0</v>
      </c>
      <c r="T628" s="65" t="n">
        <v>0</v>
      </c>
      <c r="U628" s="65" t="n">
        <v>0</v>
      </c>
      <c r="V628" s="65" t="n">
        <v>0</v>
      </c>
      <c r="W628" s="2"/>
    </row>
    <row r="629" customFormat="false" ht="12.75" hidden="false" customHeight="false" outlineLevel="0" collapsed="false">
      <c r="A629" s="2"/>
      <c r="B629" s="137" t="s">
        <v>52</v>
      </c>
      <c r="C629" s="138"/>
      <c r="D629" s="88" t="n">
        <v>24510116.0087077</v>
      </c>
      <c r="E629" s="88" t="n">
        <v>23258574.4350875</v>
      </c>
      <c r="F629" s="88" t="n">
        <v>22891172.4410021</v>
      </c>
      <c r="G629" s="88" t="n">
        <v>21855876.4608325</v>
      </c>
      <c r="H629" s="88" t="n">
        <v>21403293.898944</v>
      </c>
      <c r="I629" s="88" t="n">
        <v>22922502.3641328</v>
      </c>
      <c r="J629" s="88" t="n">
        <v>25725983.7166312</v>
      </c>
      <c r="K629" s="88" t="n">
        <v>26584861.9521512</v>
      </c>
      <c r="L629" s="88" t="n">
        <v>27196438.8077918</v>
      </c>
      <c r="M629" s="88" t="n">
        <v>26955722.8992272</v>
      </c>
      <c r="N629" s="88" t="n">
        <v>27533515.0704308</v>
      </c>
      <c r="O629" s="88" t="n">
        <v>27412317.8725867</v>
      </c>
      <c r="P629" s="88" t="n">
        <v>27630232.6756155</v>
      </c>
      <c r="Q629" s="88" t="n">
        <v>29129347.7020008</v>
      </c>
      <c r="R629" s="88" t="n">
        <v>33045515.9729258</v>
      </c>
      <c r="S629" s="88" t="n">
        <v>31888941.8291626</v>
      </c>
      <c r="T629" s="88" t="n">
        <v>32043231.6303642</v>
      </c>
      <c r="U629" s="88" t="n">
        <v>34391774.1321502</v>
      </c>
      <c r="V629" s="88" t="n">
        <v>35965575.4302026</v>
      </c>
      <c r="W629" s="2"/>
    </row>
    <row r="630" customFormat="false" ht="13.5" hidden="false" customHeight="false" outlineLevel="0" collapsed="false">
      <c r="A630" s="2"/>
      <c r="B630" s="143" t="s">
        <v>53</v>
      </c>
      <c r="C630" s="144"/>
      <c r="D630" s="96" t="n">
        <v>-9804046.40348309</v>
      </c>
      <c r="E630" s="96" t="n">
        <v>-9303429.77403499</v>
      </c>
      <c r="F630" s="96" t="n">
        <v>-9156468.97640085</v>
      </c>
      <c r="G630" s="96" t="n">
        <v>-8742350.584333</v>
      </c>
      <c r="H630" s="96" t="n">
        <v>-8561317.5595776</v>
      </c>
      <c r="I630" s="96" t="n">
        <v>-9169000.94565312</v>
      </c>
      <c r="J630" s="96" t="n">
        <v>-10290393.4866525</v>
      </c>
      <c r="K630" s="96" t="n">
        <v>-10633944.7808605</v>
      </c>
      <c r="L630" s="96" t="n">
        <v>-10878575.5231167</v>
      </c>
      <c r="M630" s="96" t="n">
        <v>-10782289.1596909</v>
      </c>
      <c r="N630" s="96" t="n">
        <v>-11013406.0281723</v>
      </c>
      <c r="O630" s="96" t="n">
        <v>-10964927.1490347</v>
      </c>
      <c r="P630" s="96" t="n">
        <v>-11052093.0702462</v>
      </c>
      <c r="Q630" s="96" t="n">
        <v>-11651739.0808003</v>
      </c>
      <c r="R630" s="96" t="n">
        <v>-13218206.3891703</v>
      </c>
      <c r="S630" s="96" t="n">
        <v>-12755576.731665</v>
      </c>
      <c r="T630" s="96" t="n">
        <v>-12817292.6521457</v>
      </c>
      <c r="U630" s="96" t="n">
        <v>-13756709.6528601</v>
      </c>
      <c r="V630" s="96" t="n">
        <v>-14386230.172081</v>
      </c>
      <c r="W630" s="2"/>
    </row>
    <row r="631" customFormat="false" ht="13.5" hidden="false" customHeight="false" outlineLevel="0" collapsed="false">
      <c r="A631" s="2"/>
      <c r="B631" s="137" t="s">
        <v>54</v>
      </c>
      <c r="C631" s="138"/>
      <c r="D631" s="88" t="n">
        <v>14706069.6052246</v>
      </c>
      <c r="E631" s="88" t="n">
        <v>13955144.6610525</v>
      </c>
      <c r="F631" s="88" t="n">
        <v>13734703.4646013</v>
      </c>
      <c r="G631" s="88" t="n">
        <v>13113525.8764995</v>
      </c>
      <c r="H631" s="88" t="n">
        <v>12841976.3393664</v>
      </c>
      <c r="I631" s="88" t="n">
        <v>13753501.4184797</v>
      </c>
      <c r="J631" s="88" t="n">
        <v>15435590.2299787</v>
      </c>
      <c r="K631" s="88" t="n">
        <v>15950917.1712907</v>
      </c>
      <c r="L631" s="88" t="n">
        <v>16317863.2846751</v>
      </c>
      <c r="M631" s="88" t="n">
        <v>16173433.7395363</v>
      </c>
      <c r="N631" s="88" t="n">
        <v>16520109.0422585</v>
      </c>
      <c r="O631" s="88" t="n">
        <v>16447390.723552</v>
      </c>
      <c r="P631" s="88" t="n">
        <v>16578139.6053693</v>
      </c>
      <c r="Q631" s="88" t="n">
        <v>17477608.6212005</v>
      </c>
      <c r="R631" s="88" t="n">
        <v>19827309.5837555</v>
      </c>
      <c r="S631" s="88" t="n">
        <v>19133365.0974976</v>
      </c>
      <c r="T631" s="88" t="n">
        <v>19225938.9782185</v>
      </c>
      <c r="U631" s="88" t="n">
        <v>20635064.4792901</v>
      </c>
      <c r="V631" s="88" t="n">
        <v>21579345.2581215</v>
      </c>
      <c r="W631" s="2"/>
    </row>
    <row r="632" customFormat="false" ht="12.75" hidden="false" customHeight="false" outlineLevel="0" collapsed="false">
      <c r="A632" s="2"/>
      <c r="B632" s="2"/>
      <c r="C632" s="134"/>
      <c r="D632" s="2"/>
      <c r="E632" s="135"/>
      <c r="F632" s="128"/>
      <c r="G632" s="13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customFormat="false" ht="15.75" hidden="false" customHeight="false" outlineLevel="0" collapsed="false">
      <c r="A633" s="97" t="s">
        <v>55</v>
      </c>
      <c r="B633" s="14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customFormat="false" ht="12.75" hidden="false" customHeight="false" outlineLevel="0" collapsed="false">
      <c r="A634" s="99" t="s">
        <v>56</v>
      </c>
      <c r="B634" s="49"/>
      <c r="C634" s="101" t="n">
        <v>0</v>
      </c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</row>
    <row r="635" customFormat="false" ht="12.75" hidden="false" customHeight="false" outlineLevel="0" collapsed="false">
      <c r="A635" s="99" t="s">
        <v>57</v>
      </c>
      <c r="B635" s="49"/>
      <c r="C635" s="146" t="n">
        <v>0</v>
      </c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</row>
    <row r="636" customFormat="false" ht="12.75" hidden="false" customHeight="false" outlineLevel="0" collapsed="false">
      <c r="A636" s="99" t="s">
        <v>58</v>
      </c>
      <c r="B636" s="49"/>
      <c r="C636" s="99" t="n">
        <v>15</v>
      </c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</row>
    <row r="637" customFormat="false" ht="12.75" hidden="false" customHeight="false" outlineLevel="0" collapsed="false">
      <c r="A637" s="99" t="s">
        <v>59</v>
      </c>
      <c r="B637" s="49"/>
      <c r="C637" s="146" t="n">
        <v>0</v>
      </c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</row>
    <row r="638" customFormat="false" ht="12.75" hidden="false" customHeight="false" outlineLevel="0" collapsed="false">
      <c r="A638" s="99" t="s">
        <v>60</v>
      </c>
      <c r="B638" s="49"/>
      <c r="C638" s="147" t="n">
        <v>0.0875</v>
      </c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</row>
    <row r="639" customFormat="false" ht="12.75" hidden="false" customHeight="false" outlineLevel="0" collapsed="false">
      <c r="A639" s="99"/>
      <c r="B639" s="49"/>
      <c r="C639" s="107"/>
      <c r="D639" s="58" t="n">
        <v>2001</v>
      </c>
      <c r="E639" s="58" t="n">
        <v>2002</v>
      </c>
      <c r="F639" s="58" t="n">
        <v>2003</v>
      </c>
      <c r="G639" s="58" t="n">
        <v>2004</v>
      </c>
      <c r="H639" s="58" t="n">
        <v>2005</v>
      </c>
      <c r="I639" s="58" t="n">
        <v>2006</v>
      </c>
      <c r="J639" s="58" t="n">
        <v>2007</v>
      </c>
      <c r="K639" s="58" t="n">
        <v>2008</v>
      </c>
      <c r="L639" s="58" t="n">
        <v>2009</v>
      </c>
      <c r="M639" s="58" t="n">
        <v>2010</v>
      </c>
      <c r="N639" s="58" t="n">
        <v>2011</v>
      </c>
      <c r="O639" s="58" t="n">
        <v>2012</v>
      </c>
      <c r="P639" s="58" t="n">
        <v>2013</v>
      </c>
      <c r="Q639" s="58" t="n">
        <v>2014</v>
      </c>
      <c r="R639" s="58" t="n">
        <v>2015</v>
      </c>
      <c r="S639" s="58" t="n">
        <v>2016</v>
      </c>
      <c r="T639" s="58" t="n">
        <v>2017</v>
      </c>
      <c r="U639" s="58" t="n">
        <v>2018</v>
      </c>
      <c r="V639" s="58" t="n">
        <v>2019</v>
      </c>
      <c r="W639" s="58" t="s">
        <v>19</v>
      </c>
    </row>
    <row r="640" customFormat="false" ht="12.75" hidden="false" customHeight="false" outlineLevel="0" collapsed="false">
      <c r="A640" s="99" t="s">
        <v>61</v>
      </c>
      <c r="B640" s="49"/>
      <c r="C640" s="107"/>
      <c r="D640" s="102" t="n">
        <v>0</v>
      </c>
      <c r="E640" s="102" t="n">
        <v>0</v>
      </c>
      <c r="F640" s="102" t="n">
        <v>0</v>
      </c>
      <c r="G640" s="102" t="n">
        <v>0</v>
      </c>
      <c r="H640" s="102" t="n">
        <v>0</v>
      </c>
      <c r="I640" s="102" t="n">
        <v>0</v>
      </c>
      <c r="J640" s="102" t="n">
        <v>0</v>
      </c>
      <c r="K640" s="102" t="n">
        <v>0</v>
      </c>
      <c r="L640" s="102" t="n">
        <v>0</v>
      </c>
      <c r="M640" s="102" t="n">
        <v>0</v>
      </c>
      <c r="N640" s="102" t="n">
        <v>0</v>
      </c>
      <c r="O640" s="102" t="n">
        <v>0</v>
      </c>
      <c r="P640" s="102" t="n">
        <v>0</v>
      </c>
      <c r="Q640" s="102" t="n">
        <v>0</v>
      </c>
      <c r="R640" s="102" t="n">
        <v>0</v>
      </c>
      <c r="S640" s="102" t="n">
        <v>0</v>
      </c>
      <c r="T640" s="102" t="n">
        <v>0</v>
      </c>
      <c r="U640" s="102" t="n">
        <v>0</v>
      </c>
      <c r="V640" s="102" t="n">
        <v>0</v>
      </c>
      <c r="W640" s="102" t="n">
        <v>0</v>
      </c>
    </row>
    <row r="641" customFormat="false" ht="12.75" hidden="false" customHeight="false" outlineLevel="0" collapsed="false">
      <c r="A641" s="99" t="s">
        <v>62</v>
      </c>
      <c r="B641" s="49"/>
      <c r="C641" s="107"/>
      <c r="D641" s="102" t="n">
        <v>0</v>
      </c>
      <c r="E641" s="102" t="n">
        <v>0</v>
      </c>
      <c r="F641" s="102" t="n">
        <v>0</v>
      </c>
      <c r="G641" s="102" t="n">
        <v>0</v>
      </c>
      <c r="H641" s="102" t="n">
        <v>0</v>
      </c>
      <c r="I641" s="102" t="n">
        <v>0</v>
      </c>
      <c r="J641" s="102" t="n">
        <v>0</v>
      </c>
      <c r="K641" s="102" t="n">
        <v>0</v>
      </c>
      <c r="L641" s="102" t="n">
        <v>0</v>
      </c>
      <c r="M641" s="102" t="n">
        <v>0</v>
      </c>
      <c r="N641" s="102" t="n">
        <v>0</v>
      </c>
      <c r="O641" s="102" t="n">
        <v>0</v>
      </c>
      <c r="P641" s="102" t="n">
        <v>0</v>
      </c>
      <c r="Q641" s="102" t="n">
        <v>0</v>
      </c>
      <c r="R641" s="102" t="n">
        <v>0</v>
      </c>
      <c r="S641" s="102" t="n">
        <v>0</v>
      </c>
      <c r="T641" s="102" t="n">
        <v>0</v>
      </c>
      <c r="U641" s="102" t="n">
        <v>0</v>
      </c>
      <c r="V641" s="102" t="n">
        <v>0</v>
      </c>
      <c r="W641" s="102" t="n">
        <v>0</v>
      </c>
    </row>
    <row r="642" customFormat="false" ht="12.75" hidden="false" customHeight="false" outlineLevel="0" collapsed="false">
      <c r="A642" s="99" t="s">
        <v>63</v>
      </c>
      <c r="B642" s="49"/>
      <c r="C642" s="107"/>
      <c r="D642" s="102" t="n">
        <v>0</v>
      </c>
      <c r="E642" s="102" t="n">
        <v>0</v>
      </c>
      <c r="F642" s="102" t="n">
        <v>0</v>
      </c>
      <c r="G642" s="102" t="n">
        <v>0</v>
      </c>
      <c r="H642" s="102" t="n">
        <v>0</v>
      </c>
      <c r="I642" s="102" t="n">
        <v>0</v>
      </c>
      <c r="J642" s="102" t="n">
        <v>0</v>
      </c>
      <c r="K642" s="102" t="n">
        <v>0</v>
      </c>
      <c r="L642" s="102" t="n">
        <v>0</v>
      </c>
      <c r="M642" s="102" t="n">
        <v>0</v>
      </c>
      <c r="N642" s="102" t="n">
        <v>0</v>
      </c>
      <c r="O642" s="102" t="n">
        <v>0</v>
      </c>
      <c r="P642" s="102" t="n">
        <v>0</v>
      </c>
      <c r="Q642" s="102" t="n">
        <v>0</v>
      </c>
      <c r="R642" s="102" t="n">
        <v>0</v>
      </c>
      <c r="S642" s="102" t="n">
        <v>0</v>
      </c>
      <c r="T642" s="102" t="n">
        <v>0</v>
      </c>
      <c r="U642" s="102" t="n">
        <v>0</v>
      </c>
      <c r="V642" s="102" t="n">
        <v>0</v>
      </c>
      <c r="W642" s="102" t="n">
        <v>0</v>
      </c>
    </row>
    <row r="643" customFormat="false" ht="12.75" hidden="false" customHeight="false" outlineLevel="0" collapsed="false">
      <c r="A643" s="99" t="s">
        <v>64</v>
      </c>
      <c r="B643" s="49"/>
      <c r="C643" s="107"/>
      <c r="D643" s="105" t="n">
        <v>0</v>
      </c>
      <c r="E643" s="105" t="n">
        <v>0</v>
      </c>
      <c r="F643" s="105" t="n">
        <v>0</v>
      </c>
      <c r="G643" s="105" t="n">
        <v>0</v>
      </c>
      <c r="H643" s="105" t="n">
        <v>0</v>
      </c>
      <c r="I643" s="105" t="n">
        <v>0</v>
      </c>
      <c r="J643" s="105" t="n">
        <v>0</v>
      </c>
      <c r="K643" s="105" t="n">
        <v>0</v>
      </c>
      <c r="L643" s="105" t="n">
        <v>0</v>
      </c>
      <c r="M643" s="105" t="n">
        <v>0</v>
      </c>
      <c r="N643" s="105" t="n">
        <v>0</v>
      </c>
      <c r="O643" s="105" t="n">
        <v>0</v>
      </c>
      <c r="P643" s="105" t="n">
        <v>0</v>
      </c>
      <c r="Q643" s="105" t="n">
        <v>0</v>
      </c>
      <c r="R643" s="105" t="n">
        <v>0</v>
      </c>
      <c r="S643" s="105" t="n">
        <v>0</v>
      </c>
      <c r="T643" s="105" t="n">
        <v>0</v>
      </c>
      <c r="U643" s="105" t="n">
        <v>0</v>
      </c>
      <c r="V643" s="105" t="n">
        <v>0</v>
      </c>
      <c r="W643" s="105" t="n">
        <v>0</v>
      </c>
    </row>
    <row r="644" customFormat="false" ht="13.5" hidden="false" customHeight="false" outlineLevel="0" collapsed="false">
      <c r="A644" s="99" t="s">
        <v>65</v>
      </c>
      <c r="B644" s="49"/>
      <c r="C644" s="107"/>
      <c r="D644" s="106" t="n">
        <v>0</v>
      </c>
      <c r="E644" s="106" t="n">
        <v>0</v>
      </c>
      <c r="F644" s="106" t="n">
        <v>0</v>
      </c>
      <c r="G644" s="106" t="n">
        <v>0</v>
      </c>
      <c r="H644" s="106" t="n">
        <v>0</v>
      </c>
      <c r="I644" s="106" t="n">
        <v>0</v>
      </c>
      <c r="J644" s="106" t="n">
        <v>0</v>
      </c>
      <c r="K644" s="106" t="n">
        <v>0</v>
      </c>
      <c r="L644" s="106" t="n">
        <v>0</v>
      </c>
      <c r="M644" s="106" t="n">
        <v>0</v>
      </c>
      <c r="N644" s="106" t="n">
        <v>0</v>
      </c>
      <c r="O644" s="106" t="n">
        <v>0</v>
      </c>
      <c r="P644" s="106" t="n">
        <v>0</v>
      </c>
      <c r="Q644" s="106" t="n">
        <v>0</v>
      </c>
      <c r="R644" s="106" t="n">
        <v>0</v>
      </c>
      <c r="S644" s="106" t="n">
        <v>0</v>
      </c>
      <c r="T644" s="106" t="n">
        <v>0</v>
      </c>
      <c r="U644" s="106" t="n">
        <v>0</v>
      </c>
      <c r="V644" s="106" t="n">
        <v>0</v>
      </c>
      <c r="W644" s="106" t="n">
        <v>0</v>
      </c>
    </row>
    <row r="645" customFormat="false" ht="13.5" hidden="false" customHeight="false" outlineLevel="0" collapsed="false">
      <c r="A645" s="99"/>
      <c r="B645" s="49"/>
      <c r="C645" s="107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</row>
    <row r="646" customFormat="false" ht="12.75" hidden="false" customHeight="false" outlineLevel="0" collapsed="false">
      <c r="A646" s="99" t="s">
        <v>66</v>
      </c>
      <c r="B646" s="49"/>
      <c r="C646" s="107"/>
      <c r="D646" s="102" t="n">
        <v>0</v>
      </c>
      <c r="E646" s="102" t="n">
        <v>0</v>
      </c>
      <c r="F646" s="102" t="n">
        <v>0</v>
      </c>
      <c r="G646" s="102" t="n">
        <v>0</v>
      </c>
      <c r="H646" s="102" t="n">
        <v>0</v>
      </c>
      <c r="I646" s="102" t="n">
        <v>0</v>
      </c>
      <c r="J646" s="102" t="n">
        <v>0</v>
      </c>
      <c r="K646" s="102" t="n">
        <v>0</v>
      </c>
      <c r="L646" s="102" t="n">
        <v>0</v>
      </c>
      <c r="M646" s="102" t="n">
        <v>0</v>
      </c>
      <c r="N646" s="102" t="n">
        <v>0</v>
      </c>
      <c r="O646" s="102" t="n">
        <v>0</v>
      </c>
      <c r="P646" s="102" t="n">
        <v>0</v>
      </c>
      <c r="Q646" s="102" t="n">
        <v>0</v>
      </c>
      <c r="R646" s="102" t="n">
        <v>0</v>
      </c>
      <c r="S646" s="102" t="n">
        <v>0</v>
      </c>
      <c r="T646" s="102" t="n">
        <v>0</v>
      </c>
      <c r="U646" s="102" t="n">
        <v>0</v>
      </c>
      <c r="V646" s="102" t="n">
        <v>0</v>
      </c>
      <c r="W646" s="102" t="n">
        <v>0</v>
      </c>
    </row>
    <row r="647" customFormat="false" ht="12.75" hidden="false" customHeight="false" outlineLevel="0" collapsed="false">
      <c r="A647" s="99"/>
      <c r="B647" s="49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</row>
    <row r="648" customFormat="false" ht="12.75" hidden="false" customHeight="false" outlineLevel="0" collapsed="false">
      <c r="A648" s="99" t="s">
        <v>67</v>
      </c>
      <c r="B648" s="49"/>
      <c r="C648" s="107"/>
      <c r="D648" s="102" t="n">
        <v>0</v>
      </c>
      <c r="E648" s="102" t="n">
        <v>0</v>
      </c>
      <c r="F648" s="102" t="n">
        <v>0</v>
      </c>
      <c r="G648" s="102" t="n">
        <v>0</v>
      </c>
      <c r="H648" s="102" t="n">
        <v>0</v>
      </c>
      <c r="I648" s="102" t="n">
        <v>0</v>
      </c>
      <c r="J648" s="102" t="n">
        <v>0</v>
      </c>
      <c r="K648" s="102" t="n">
        <v>0</v>
      </c>
      <c r="L648" s="102" t="n">
        <v>0</v>
      </c>
      <c r="M648" s="102" t="n">
        <v>0</v>
      </c>
      <c r="N648" s="102" t="n">
        <v>0</v>
      </c>
      <c r="O648" s="102" t="n">
        <v>0</v>
      </c>
      <c r="P648" s="102" t="n">
        <v>0</v>
      </c>
      <c r="Q648" s="102" t="n">
        <v>0</v>
      </c>
      <c r="R648" s="102" t="n">
        <v>0</v>
      </c>
      <c r="S648" s="102" t="n">
        <v>0</v>
      </c>
      <c r="T648" s="102" t="n">
        <v>0</v>
      </c>
      <c r="U648" s="102" t="n">
        <v>0</v>
      </c>
      <c r="V648" s="102" t="n">
        <v>0</v>
      </c>
      <c r="W648" s="102" t="n">
        <v>0</v>
      </c>
    </row>
    <row r="649" customFormat="false" ht="12.75" hidden="false" customHeight="false" outlineLevel="0" collapsed="false">
      <c r="A649" s="107"/>
      <c r="B649" s="49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</row>
    <row r="650" customFormat="false" ht="12.75" hidden="false" customHeight="false" outlineLevel="0" collapsed="false">
      <c r="A650" s="107"/>
      <c r="B650" s="49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</row>
    <row r="651" customFormat="false" ht="12.75" hidden="false" customHeight="false" outlineLevel="0" collapsed="false">
      <c r="A651" s="99" t="s">
        <v>68</v>
      </c>
      <c r="B651" s="148"/>
      <c r="C651" s="149"/>
      <c r="D651" s="79" t="n">
        <v>15744599.3086412</v>
      </c>
      <c r="E651" s="79" t="n">
        <v>8843607.04095112</v>
      </c>
      <c r="F651" s="79" t="n">
        <v>14638845.5687789</v>
      </c>
      <c r="G651" s="79" t="n">
        <v>14810896.3078451</v>
      </c>
      <c r="H651" s="79" t="n">
        <v>12837940.4404865</v>
      </c>
      <c r="I651" s="79" t="n">
        <v>13798251.5176855</v>
      </c>
      <c r="J651" s="79" t="n">
        <v>15360738.7344865</v>
      </c>
      <c r="K651" s="79" t="n">
        <v>15796359.2676981</v>
      </c>
      <c r="L651" s="79" t="n">
        <v>16149615.7786027</v>
      </c>
      <c r="M651" s="79" t="n">
        <v>16004017.7478542</v>
      </c>
      <c r="N651" s="79" t="n">
        <v>16356410.6554819</v>
      </c>
      <c r="O651" s="79" t="n">
        <v>16337700.058102</v>
      </c>
      <c r="P651" s="79" t="n">
        <v>16255025.6762483</v>
      </c>
      <c r="Q651" s="79" t="n">
        <v>16889816.5131433</v>
      </c>
      <c r="R651" s="79" t="n">
        <v>18906222.8824244</v>
      </c>
      <c r="S651" s="79" t="n">
        <v>18161065.3000703</v>
      </c>
      <c r="T651" s="79" t="n">
        <v>18314583.369403</v>
      </c>
      <c r="U651" s="79" t="n">
        <v>19787803.0178019</v>
      </c>
      <c r="V651" s="79" t="n">
        <v>20795026.8041287</v>
      </c>
      <c r="W651" s="79" t="n">
        <v>109255117.266464</v>
      </c>
    </row>
    <row r="652" customFormat="false" ht="12.75" hidden="false" customHeight="false" outlineLevel="0" collapsed="false">
      <c r="A652" s="2"/>
      <c r="B652" s="3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customFormat="false" ht="12.75" hidden="false" customHeight="false" outlineLevel="0" collapsed="false">
      <c r="B653" s="150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16"/>
    </row>
    <row r="654" customFormat="false" ht="12.75" hidden="false" customHeight="false" outlineLevel="0" collapsed="false">
      <c r="B654" s="153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16"/>
    </row>
    <row r="655" customFormat="false" ht="12.75" hidden="false" customHeight="false" outlineLevel="0" collapsed="false">
      <c r="B655" s="150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16"/>
    </row>
    <row r="656" customFormat="false" ht="12.75" hidden="false" customHeight="false" outlineLevel="0" collapsed="false">
      <c r="B656" s="150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16"/>
    </row>
    <row r="657" customFormat="false" ht="12.75" hidden="false" customHeight="false" outlineLevel="0" collapsed="false">
      <c r="B657" s="150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16"/>
    </row>
    <row r="658" customFormat="false" ht="12.75" hidden="false" customHeight="false" outlineLevel="0" collapsed="false">
      <c r="B658" s="150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</row>
    <row r="659" customFormat="false" ht="12.75" hidden="false" customHeight="false" outlineLevel="0" collapsed="false">
      <c r="B659" s="153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4"/>
    </row>
    <row r="660" customFormat="false" ht="15.75" hidden="false" customHeight="false" outlineLevel="0" collapsed="false">
      <c r="A660" s="48" t="s">
        <v>17</v>
      </c>
      <c r="B660" s="57" t="s">
        <v>79</v>
      </c>
      <c r="C660" s="58" t="n">
        <v>2000</v>
      </c>
      <c r="D660" s="58" t="n">
        <v>2001</v>
      </c>
      <c r="E660" s="58" t="n">
        <v>2002</v>
      </c>
      <c r="F660" s="58" t="n">
        <v>2003</v>
      </c>
      <c r="G660" s="58" t="n">
        <v>2004</v>
      </c>
      <c r="H660" s="58" t="n">
        <v>2005</v>
      </c>
      <c r="I660" s="58" t="n">
        <v>2006</v>
      </c>
      <c r="J660" s="58" t="n">
        <v>2007</v>
      </c>
      <c r="K660" s="58" t="n">
        <v>2008</v>
      </c>
      <c r="L660" s="58" t="n">
        <v>2009</v>
      </c>
      <c r="M660" s="58" t="n">
        <v>2010</v>
      </c>
      <c r="N660" s="58" t="n">
        <v>2011</v>
      </c>
      <c r="O660" s="58" t="n">
        <v>2012</v>
      </c>
      <c r="P660" s="58" t="n">
        <v>2013</v>
      </c>
      <c r="Q660" s="58" t="n">
        <v>2014</v>
      </c>
      <c r="R660" s="58" t="n">
        <v>2015</v>
      </c>
      <c r="S660" s="58" t="n">
        <v>2016</v>
      </c>
      <c r="T660" s="58" t="n">
        <v>2017</v>
      </c>
      <c r="U660" s="58" t="n">
        <v>2018</v>
      </c>
      <c r="V660" s="58" t="n">
        <v>2019</v>
      </c>
      <c r="W660" s="58" t="s">
        <v>19</v>
      </c>
    </row>
    <row r="661" customFormat="false" ht="12.75" hidden="false" customHeight="false" outlineLevel="0" collapsed="false">
      <c r="A661" s="48" t="s">
        <v>5</v>
      </c>
      <c r="B661" s="49" t="n">
        <v>320</v>
      </c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</row>
    <row r="662" customFormat="false" ht="12.75" hidden="false" customHeight="false" outlineLevel="0" collapsed="false">
      <c r="A662" s="2"/>
      <c r="B662" s="117" t="s">
        <v>20</v>
      </c>
      <c r="C662" s="118" t="n">
        <v>0</v>
      </c>
      <c r="D662" s="64" t="n">
        <v>93747292.3078581</v>
      </c>
      <c r="E662" s="64" t="n">
        <v>92447134.2832364</v>
      </c>
      <c r="F662" s="64" t="n">
        <v>94226582.9820252</v>
      </c>
      <c r="G662" s="64" t="n">
        <v>92891033.060188</v>
      </c>
      <c r="H662" s="64" t="n">
        <v>93590705.567048</v>
      </c>
      <c r="I662" s="64" t="n">
        <v>99910123.891726</v>
      </c>
      <c r="J662" s="64" t="n">
        <v>107129150.741143</v>
      </c>
      <c r="K662" s="64" t="n">
        <v>109901412.959856</v>
      </c>
      <c r="L662" s="64" t="n">
        <v>112201737.580323</v>
      </c>
      <c r="M662" s="64" t="n">
        <v>112602291.583795</v>
      </c>
      <c r="N662" s="64" t="n">
        <v>115035056.643257</v>
      </c>
      <c r="O662" s="64" t="n">
        <v>116326875.837803</v>
      </c>
      <c r="P662" s="64" t="n">
        <v>117695815.775849</v>
      </c>
      <c r="Q662" s="64" t="n">
        <v>121838852.179471</v>
      </c>
      <c r="R662" s="64" t="n">
        <v>130483196.502127</v>
      </c>
      <c r="S662" s="64" t="n">
        <v>129731518.528943</v>
      </c>
      <c r="T662" s="64" t="n">
        <v>131384923.266782</v>
      </c>
      <c r="U662" s="64" t="n">
        <v>137698682.406363</v>
      </c>
      <c r="V662" s="64" t="n">
        <v>141881083.584265</v>
      </c>
      <c r="W662" s="65"/>
    </row>
    <row r="663" customFormat="false" ht="12.75" hidden="false" customHeight="false" outlineLevel="0" collapsed="false">
      <c r="A663" s="2"/>
      <c r="B663" s="117" t="s">
        <v>21</v>
      </c>
      <c r="C663" s="118" t="n">
        <v>0</v>
      </c>
      <c r="D663" s="64" t="n">
        <v>-29592587.2227984</v>
      </c>
      <c r="E663" s="64" t="n">
        <v>-30022614.2655717</v>
      </c>
      <c r="F663" s="64" t="n">
        <v>-30543931.96547</v>
      </c>
      <c r="G663" s="64" t="n">
        <v>-31415997.9795856</v>
      </c>
      <c r="H663" s="64" t="n">
        <v>-32501876.3222309</v>
      </c>
      <c r="I663" s="64" t="n">
        <v>-33746312.1219881</v>
      </c>
      <c r="J663" s="64" t="n">
        <v>-34524685.0932648</v>
      </c>
      <c r="K663" s="64" t="n">
        <v>-35267022.2788343</v>
      </c>
      <c r="L663" s="64" t="n">
        <v>-35850802.0072919</v>
      </c>
      <c r="M663" s="64" t="n">
        <v>-36146295.4500913</v>
      </c>
      <c r="N663" s="64" t="n">
        <v>-36641186.9071377</v>
      </c>
      <c r="O663" s="64" t="n">
        <v>-37438778.9641249</v>
      </c>
      <c r="P663" s="64" t="n">
        <v>-38291625.89253</v>
      </c>
      <c r="Q663" s="64" t="n">
        <v>-39108437.0352278</v>
      </c>
      <c r="R663" s="64" t="n">
        <v>-39665790.5208333</v>
      </c>
      <c r="S663" s="64" t="n">
        <v>-40480199.2778173</v>
      </c>
      <c r="T663" s="64" t="n">
        <v>-41405117.7776369</v>
      </c>
      <c r="U663" s="64" t="n">
        <v>-42421326.9345815</v>
      </c>
      <c r="V663" s="64" t="n">
        <v>-43471169.4915195</v>
      </c>
      <c r="W663" s="65"/>
    </row>
    <row r="664" customFormat="false" ht="12.75" hidden="false" customHeight="false" outlineLevel="0" collapsed="false">
      <c r="A664" s="2"/>
      <c r="B664" s="117" t="s">
        <v>22</v>
      </c>
      <c r="C664" s="118" t="n">
        <v>0</v>
      </c>
      <c r="D664" s="64" t="n">
        <v>-1870269.80626182</v>
      </c>
      <c r="E664" s="64" t="n">
        <v>-1908019.99725178</v>
      </c>
      <c r="F664" s="64" t="n">
        <v>-3401544.96574303</v>
      </c>
      <c r="G664" s="64" t="n">
        <v>-3477209.78339035</v>
      </c>
      <c r="H664" s="64" t="n">
        <v>-3554577.01723444</v>
      </c>
      <c r="I664" s="64" t="n">
        <v>-3633685.40871445</v>
      </c>
      <c r="J664" s="64" t="n">
        <v>-3714574.59072217</v>
      </c>
      <c r="K664" s="64" t="n">
        <v>-3797285.10833239</v>
      </c>
      <c r="L664" s="64" t="n">
        <v>-3881858.44002031</v>
      </c>
      <c r="M664" s="64" t="n">
        <v>-3968337.01937712</v>
      </c>
      <c r="N664" s="64" t="n">
        <v>-4056764.25733595</v>
      </c>
      <c r="O664" s="64" t="n">
        <v>-4147184.56492006</v>
      </c>
      <c r="P664" s="64" t="n">
        <v>-4239643.37652574</v>
      </c>
      <c r="Q664" s="64" t="n">
        <v>-4334187.17375251</v>
      </c>
      <c r="R664" s="64" t="n">
        <v>-4430863.5097938</v>
      </c>
      <c r="S664" s="64" t="n">
        <v>-4529721.03440113</v>
      </c>
      <c r="T664" s="64" t="n">
        <v>-4630809.51943566</v>
      </c>
      <c r="U664" s="64" t="n">
        <v>-4734179.88502089</v>
      </c>
      <c r="V664" s="64" t="n">
        <v>-4839884.22631081</v>
      </c>
      <c r="W664" s="65"/>
    </row>
    <row r="665" customFormat="false" ht="12.75" hidden="false" customHeight="false" outlineLevel="0" collapsed="false">
      <c r="A665" s="2"/>
      <c r="B665" s="117" t="s">
        <v>23</v>
      </c>
      <c r="C665" s="118" t="n">
        <v>0</v>
      </c>
      <c r="D665" s="64" t="n">
        <v>0</v>
      </c>
      <c r="E665" s="64" t="n">
        <v>0</v>
      </c>
      <c r="F665" s="64" t="n">
        <v>0</v>
      </c>
      <c r="G665" s="64" t="n">
        <v>0</v>
      </c>
      <c r="H665" s="64" t="n">
        <v>0</v>
      </c>
      <c r="I665" s="64" t="n">
        <v>-1107552.78096491</v>
      </c>
      <c r="J665" s="64" t="n">
        <v>-1227633.78200237</v>
      </c>
      <c r="K665" s="64" t="n">
        <v>-1562246.81234493</v>
      </c>
      <c r="L665" s="64" t="n">
        <v>-1487861.09575849</v>
      </c>
      <c r="M665" s="64" t="n">
        <v>-1654730.29785077</v>
      </c>
      <c r="N665" s="64" t="n">
        <v>-1822810.5600111</v>
      </c>
      <c r="O665" s="64" t="n">
        <v>-2019619.45097915</v>
      </c>
      <c r="P665" s="64" t="n">
        <v>-2264524.68509103</v>
      </c>
      <c r="Q665" s="64" t="n">
        <v>-2520769.3468312</v>
      </c>
      <c r="R665" s="64" t="n">
        <v>-2792242.38579858</v>
      </c>
      <c r="S665" s="64" t="n">
        <v>-3065878.70581725</v>
      </c>
      <c r="T665" s="64" t="n">
        <v>-3012076.35967344</v>
      </c>
      <c r="U665" s="64" t="n">
        <v>-2576994.24142991</v>
      </c>
      <c r="V665" s="64" t="n">
        <v>-2671867.58184867</v>
      </c>
      <c r="W665" s="65"/>
    </row>
    <row r="666" customFormat="false" ht="13.5" hidden="false" customHeight="false" outlineLevel="0" collapsed="false">
      <c r="A666" s="2"/>
      <c r="B666" s="119" t="s">
        <v>24</v>
      </c>
      <c r="C666" s="120" t="n">
        <v>0</v>
      </c>
      <c r="D666" s="68" t="n">
        <v>0</v>
      </c>
      <c r="E666" s="68" t="n">
        <v>0</v>
      </c>
      <c r="F666" s="68" t="n">
        <v>-1676501.19707931</v>
      </c>
      <c r="G666" s="68" t="n">
        <v>-1428484.1082438</v>
      </c>
      <c r="H666" s="68" t="n">
        <v>-1482961.66428819</v>
      </c>
      <c r="I666" s="68" t="n">
        <v>-1540186.2592185</v>
      </c>
      <c r="J666" s="68" t="n">
        <v>-1934810.3256774</v>
      </c>
      <c r="K666" s="68" t="n">
        <v>-1690035.1358503</v>
      </c>
      <c r="L666" s="68" t="n">
        <v>-1788782.78043647</v>
      </c>
      <c r="M666" s="68" t="n">
        <v>-1702095.32410544</v>
      </c>
      <c r="N666" s="68" t="n">
        <v>-1750844.73701738</v>
      </c>
      <c r="O666" s="68" t="n">
        <v>-1796245.66772015</v>
      </c>
      <c r="P666" s="68" t="n">
        <v>-1604424.24617534</v>
      </c>
      <c r="Q666" s="68" t="n">
        <v>-1661789.91932223</v>
      </c>
      <c r="R666" s="68" t="n">
        <v>-1696131.44148205</v>
      </c>
      <c r="S666" s="68" t="n">
        <v>-1801172.42363008</v>
      </c>
      <c r="T666" s="68" t="n">
        <v>-1693288.88971899</v>
      </c>
      <c r="U666" s="68" t="n">
        <v>-1864949.50731288</v>
      </c>
      <c r="V666" s="68" t="n">
        <v>-1015372.79316107</v>
      </c>
      <c r="W666" s="65"/>
    </row>
    <row r="667" customFormat="false" ht="13.5" hidden="false" customHeight="false" outlineLevel="0" collapsed="false">
      <c r="A667" s="2"/>
      <c r="B667" s="121" t="s">
        <v>25</v>
      </c>
      <c r="C667" s="122" t="n">
        <v>0</v>
      </c>
      <c r="D667" s="71" t="n">
        <v>62284435.2787978</v>
      </c>
      <c r="E667" s="71" t="n">
        <v>60516500.0204129</v>
      </c>
      <c r="F667" s="71" t="n">
        <v>58604604.8537328</v>
      </c>
      <c r="G667" s="71" t="n">
        <v>56569341.1889683</v>
      </c>
      <c r="H667" s="71" t="n">
        <v>56051290.5632945</v>
      </c>
      <c r="I667" s="71" t="n">
        <v>59882387.32084</v>
      </c>
      <c r="J667" s="71" t="n">
        <v>65727446.9494765</v>
      </c>
      <c r="K667" s="71" t="n">
        <v>67584823.6244937</v>
      </c>
      <c r="L667" s="71" t="n">
        <v>69192433.2568156</v>
      </c>
      <c r="M667" s="71" t="n">
        <v>69130833.4923702</v>
      </c>
      <c r="N667" s="71" t="n">
        <v>70763450.1817545</v>
      </c>
      <c r="O667" s="71" t="n">
        <v>70925047.1900587</v>
      </c>
      <c r="P667" s="71" t="n">
        <v>71295597.5755269</v>
      </c>
      <c r="Q667" s="71" t="n">
        <v>74213668.704337</v>
      </c>
      <c r="R667" s="71" t="n">
        <v>81898168.6442194</v>
      </c>
      <c r="S667" s="71" t="n">
        <v>79854547.0872776</v>
      </c>
      <c r="T667" s="71" t="n">
        <v>80643630.7203166</v>
      </c>
      <c r="U667" s="71" t="n">
        <v>86101231.8380179</v>
      </c>
      <c r="V667" s="71" t="n">
        <v>89882789.4914246</v>
      </c>
      <c r="W667" s="65"/>
    </row>
    <row r="668" customFormat="false" ht="12.75" hidden="false" customHeight="false" outlineLevel="0" collapsed="false">
      <c r="A668" s="2"/>
      <c r="B668" s="117" t="s">
        <v>26</v>
      </c>
      <c r="C668" s="118" t="n">
        <v>0</v>
      </c>
      <c r="D668" s="64" t="n">
        <v>-3823941.67491181</v>
      </c>
      <c r="E668" s="64" t="n">
        <v>-3900420.50841004</v>
      </c>
      <c r="F668" s="64" t="n">
        <v>-4047349.91857824</v>
      </c>
      <c r="G668" s="64" t="n">
        <v>-4128641.52194981</v>
      </c>
      <c r="H668" s="64" t="n">
        <v>-4211567.5725138</v>
      </c>
      <c r="I668" s="64" t="n">
        <v>-4296160.9745922</v>
      </c>
      <c r="J668" s="64" t="n">
        <v>-4382455.29597788</v>
      </c>
      <c r="K668" s="64" t="n">
        <v>-4470484.78133861</v>
      </c>
      <c r="L668" s="64" t="n">
        <v>-4560284.36589258</v>
      </c>
      <c r="M668" s="64" t="n">
        <v>-4651889.68936082</v>
      </c>
      <c r="N668" s="64" t="n">
        <v>-4745337.11020218</v>
      </c>
      <c r="O668" s="64" t="n">
        <v>-4840663.72013672</v>
      </c>
      <c r="P668" s="64" t="n">
        <v>-4937907.35896321</v>
      </c>
      <c r="Q668" s="64" t="n">
        <v>-5037106.62967683</v>
      </c>
      <c r="R668" s="64" t="n">
        <v>-5138300.91389308</v>
      </c>
      <c r="S668" s="64" t="n">
        <v>-5241530.38758422</v>
      </c>
      <c r="T668" s="64" t="n">
        <v>-5346836.03713451</v>
      </c>
      <c r="U668" s="64" t="n">
        <v>-5454259.67572078</v>
      </c>
      <c r="V668" s="64" t="n">
        <v>-5563843.96002486</v>
      </c>
      <c r="W668" s="65"/>
    </row>
    <row r="669" customFormat="false" ht="12.75" hidden="false" customHeight="false" outlineLevel="0" collapsed="false">
      <c r="A669" s="2"/>
      <c r="B669" s="117" t="s">
        <v>27</v>
      </c>
      <c r="C669" s="118" t="n">
        <v>0</v>
      </c>
      <c r="D669" s="64" t="n">
        <v>-695592.311439238</v>
      </c>
      <c r="E669" s="64" t="n">
        <v>-709213.759047067</v>
      </c>
      <c r="F669" s="64" t="n">
        <v>-723133.516357507</v>
      </c>
      <c r="G669" s="64" t="n">
        <v>-737367.860183163</v>
      </c>
      <c r="H669" s="64" t="n">
        <v>-751940.98139187</v>
      </c>
      <c r="I669" s="64" t="n">
        <v>-767475.728385741</v>
      </c>
      <c r="J669" s="64" t="n">
        <v>-782784.565555519</v>
      </c>
      <c r="K669" s="64" t="n">
        <v>-799107.370123581</v>
      </c>
      <c r="L669" s="64" t="n">
        <v>-815191.405085217</v>
      </c>
      <c r="M669" s="64" t="n">
        <v>-831685.582938375</v>
      </c>
      <c r="N669" s="64" t="n">
        <v>-848578.919895579</v>
      </c>
      <c r="O669" s="64" t="n">
        <v>-865897.968944105</v>
      </c>
      <c r="P669" s="64" t="n">
        <v>-883656.921838463</v>
      </c>
      <c r="Q669" s="64" t="n">
        <v>-901859.84855518</v>
      </c>
      <c r="R669" s="64" t="n">
        <v>-920519.668732487</v>
      </c>
      <c r="S669" s="64" t="n">
        <v>-939645.984414226</v>
      </c>
      <c r="T669" s="64" t="n">
        <v>-959246.632724872</v>
      </c>
      <c r="U669" s="64" t="n">
        <v>-979339.257308116</v>
      </c>
      <c r="V669" s="64" t="n">
        <v>-999936.206768399</v>
      </c>
      <c r="W669" s="65"/>
    </row>
    <row r="670" customFormat="false" ht="13.5" hidden="false" customHeight="false" outlineLevel="0" collapsed="false">
      <c r="A670" s="2"/>
      <c r="B670" s="119" t="s">
        <v>28</v>
      </c>
      <c r="C670" s="120" t="n">
        <v>0</v>
      </c>
      <c r="D670" s="68" t="n">
        <v>-657011.694616466</v>
      </c>
      <c r="E670" s="68" t="n">
        <v>-670874.641372877</v>
      </c>
      <c r="F670" s="68" t="n">
        <v>-685566.796018944</v>
      </c>
      <c r="G670" s="68" t="n">
        <v>-701060.605608967</v>
      </c>
      <c r="H670" s="68" t="n">
        <v>-717745.848022462</v>
      </c>
      <c r="I670" s="68" t="n">
        <v>-735732.631130185</v>
      </c>
      <c r="J670" s="68" t="n">
        <v>-753980.850038893</v>
      </c>
      <c r="K670" s="68" t="n">
        <v>-773065.663510754</v>
      </c>
      <c r="L670" s="68" t="n">
        <v>-792160.38539947</v>
      </c>
      <c r="M670" s="68" t="n">
        <v>-812360.475227154</v>
      </c>
      <c r="N670" s="68" t="n">
        <v>-832019.598727655</v>
      </c>
      <c r="O670" s="68" t="n">
        <v>-852986.492615589</v>
      </c>
      <c r="P670" s="68" t="n">
        <v>-874652.349528023</v>
      </c>
      <c r="Q670" s="68" t="n">
        <v>-896518.658266224</v>
      </c>
      <c r="R670" s="68" t="n">
        <v>-919021.276588706</v>
      </c>
      <c r="S670" s="68" t="n">
        <v>-941996.808503425</v>
      </c>
      <c r="T670" s="68" t="n">
        <v>-965358.329354309</v>
      </c>
      <c r="U670" s="68" t="n">
        <v>-989588.823421104</v>
      </c>
      <c r="V670" s="68" t="n">
        <v>-1014427.50288897</v>
      </c>
      <c r="W670" s="65"/>
    </row>
    <row r="671" customFormat="false" ht="13.5" hidden="false" customHeight="false" outlineLevel="0" collapsed="false">
      <c r="A671" s="2"/>
      <c r="B671" s="121" t="s">
        <v>29</v>
      </c>
      <c r="C671" s="123" t="n">
        <v>0</v>
      </c>
      <c r="D671" s="73" t="n">
        <v>57107889.5978303</v>
      </c>
      <c r="E671" s="73" t="n">
        <v>55235991.111583</v>
      </c>
      <c r="F671" s="73" t="n">
        <v>53148554.6227781</v>
      </c>
      <c r="G671" s="73" t="n">
        <v>51002271.2012264</v>
      </c>
      <c r="H671" s="73" t="n">
        <v>50370036.1613664</v>
      </c>
      <c r="I671" s="73" t="n">
        <v>54083017.9867319</v>
      </c>
      <c r="J671" s="73" t="n">
        <v>59808226.2379043</v>
      </c>
      <c r="K671" s="73" t="n">
        <v>61542165.8095207</v>
      </c>
      <c r="L671" s="73" t="n">
        <v>63024797.1004383</v>
      </c>
      <c r="M671" s="73" t="n">
        <v>62834897.7448439</v>
      </c>
      <c r="N671" s="73" t="n">
        <v>64337514.5529291</v>
      </c>
      <c r="O671" s="73" t="n">
        <v>64365499.0083623</v>
      </c>
      <c r="P671" s="73" t="n">
        <v>64599380.9451972</v>
      </c>
      <c r="Q671" s="73" t="n">
        <v>67378183.5678388</v>
      </c>
      <c r="R671" s="73" t="n">
        <v>74920326.7850052</v>
      </c>
      <c r="S671" s="73" t="n">
        <v>72731373.9067758</v>
      </c>
      <c r="T671" s="73" t="n">
        <v>73372189.7211029</v>
      </c>
      <c r="U671" s="73" t="n">
        <v>78678044.0815679</v>
      </c>
      <c r="V671" s="73" t="n">
        <v>82304581.8217424</v>
      </c>
      <c r="W671" s="65"/>
    </row>
    <row r="672" customFormat="false" ht="12.75" hidden="false" customHeight="false" outlineLevel="0" collapsed="false">
      <c r="A672" s="2"/>
      <c r="B672" s="117" t="s">
        <v>30</v>
      </c>
      <c r="C672" s="118" t="n">
        <v>0</v>
      </c>
      <c r="D672" s="64" t="n">
        <v>-3441938.199057</v>
      </c>
      <c r="E672" s="64" t="n">
        <v>-5877737.6589122</v>
      </c>
      <c r="F672" s="64" t="n">
        <v>-6266087.4678224</v>
      </c>
      <c r="G672" s="64" t="n">
        <v>-6345796.296572</v>
      </c>
      <c r="H672" s="64" t="n">
        <v>-6231939.0057115</v>
      </c>
      <c r="I672" s="64" t="n">
        <v>-4498514.42272028</v>
      </c>
      <c r="J672" s="64" t="n">
        <v>-2680917.04590736</v>
      </c>
      <c r="K672" s="64" t="n">
        <v>-2519655.59770362</v>
      </c>
      <c r="L672" s="64" t="n">
        <v>-2620192.4501547</v>
      </c>
      <c r="M672" s="64" t="n">
        <v>-2608450.18038676</v>
      </c>
      <c r="N672" s="64" t="n">
        <v>-2606053.8853048</v>
      </c>
      <c r="O672" s="64" t="n">
        <v>-2736589.41112579</v>
      </c>
      <c r="P672" s="64" t="n">
        <v>-2870456.98687482</v>
      </c>
      <c r="Q672" s="64" t="n">
        <v>-2844880.30989632</v>
      </c>
      <c r="R672" s="64" t="n">
        <v>-2823270.47260846</v>
      </c>
      <c r="S672" s="64" t="n">
        <v>-2969737.18520197</v>
      </c>
      <c r="T672" s="64" t="n">
        <v>-3120495.38417328</v>
      </c>
      <c r="U672" s="64" t="n">
        <v>-3152091.84411373</v>
      </c>
      <c r="V672" s="64" t="n">
        <v>-3177925.7928524</v>
      </c>
      <c r="W672" s="65"/>
    </row>
    <row r="673" customFormat="false" ht="13.5" hidden="false" customHeight="false" outlineLevel="0" collapsed="false">
      <c r="A673" s="2"/>
      <c r="B673" s="119" t="s">
        <v>70</v>
      </c>
      <c r="C673" s="120" t="n">
        <v>0</v>
      </c>
      <c r="D673" s="68" t="n">
        <v>-21466380.5595093</v>
      </c>
      <c r="E673" s="68" t="n">
        <v>-19743301.3810683</v>
      </c>
      <c r="F673" s="68" t="n">
        <v>-18752986.8619823</v>
      </c>
      <c r="G673" s="68" t="n">
        <v>-17862589.9618617</v>
      </c>
      <c r="H673" s="68" t="n">
        <v>-17655238.862262</v>
      </c>
      <c r="I673" s="68" t="n">
        <v>-19833801.4256046</v>
      </c>
      <c r="J673" s="68" t="n">
        <v>-22850923.6767988</v>
      </c>
      <c r="K673" s="68" t="n">
        <v>-23609004.0847268</v>
      </c>
      <c r="L673" s="68" t="n">
        <v>-24161841.8601134</v>
      </c>
      <c r="M673" s="68" t="n">
        <v>-24090579.0257828</v>
      </c>
      <c r="N673" s="68" t="n">
        <v>-24692584.2670497</v>
      </c>
      <c r="O673" s="68" t="n">
        <v>-24651563.8388946</v>
      </c>
      <c r="P673" s="68" t="n">
        <v>-24691569.583329</v>
      </c>
      <c r="Q673" s="68" t="n">
        <v>-25813321.303177</v>
      </c>
      <c r="R673" s="68" t="n">
        <v>-28838822.5249587</v>
      </c>
      <c r="S673" s="68" t="n">
        <v>-27904654.6886295</v>
      </c>
      <c r="T673" s="68" t="n">
        <v>-28100677.7347718</v>
      </c>
      <c r="U673" s="68" t="n">
        <v>-30210380.8949817</v>
      </c>
      <c r="V673" s="68" t="n">
        <v>-31650662.411556</v>
      </c>
      <c r="W673" s="65"/>
    </row>
    <row r="674" customFormat="false" ht="13.5" hidden="false" customHeight="false" outlineLevel="0" collapsed="false">
      <c r="A674" s="2"/>
      <c r="B674" s="121" t="s">
        <v>32</v>
      </c>
      <c r="C674" s="123" t="n">
        <v>0</v>
      </c>
      <c r="D674" s="73" t="n">
        <v>32199570.839264</v>
      </c>
      <c r="E674" s="73" t="n">
        <v>29614952.0716025</v>
      </c>
      <c r="F674" s="73" t="n">
        <v>28129480.2929734</v>
      </c>
      <c r="G674" s="73" t="n">
        <v>26793884.9427926</v>
      </c>
      <c r="H674" s="73" t="n">
        <v>26482858.2933929</v>
      </c>
      <c r="I674" s="73" t="n">
        <v>29750702.138407</v>
      </c>
      <c r="J674" s="73" t="n">
        <v>34276385.5151981</v>
      </c>
      <c r="K674" s="73" t="n">
        <v>35413506.1270903</v>
      </c>
      <c r="L674" s="73" t="n">
        <v>36242762.7901702</v>
      </c>
      <c r="M674" s="73" t="n">
        <v>36135868.5386743</v>
      </c>
      <c r="N674" s="73" t="n">
        <v>37038876.4005746</v>
      </c>
      <c r="O674" s="73" t="n">
        <v>36977345.7583419</v>
      </c>
      <c r="P674" s="73" t="n">
        <v>37037354.3749934</v>
      </c>
      <c r="Q674" s="73" t="n">
        <v>38719981.9547655</v>
      </c>
      <c r="R674" s="73" t="n">
        <v>43258233.787438</v>
      </c>
      <c r="S674" s="73" t="n">
        <v>41856982.0329443</v>
      </c>
      <c r="T674" s="73" t="n">
        <v>42151016.6021578</v>
      </c>
      <c r="U674" s="73" t="n">
        <v>45315571.3424725</v>
      </c>
      <c r="V674" s="73" t="n">
        <v>47475993.617334</v>
      </c>
      <c r="W674" s="65"/>
    </row>
    <row r="675" customFormat="false" ht="12.75" hidden="false" customHeight="false" outlineLevel="0" collapsed="false">
      <c r="A675" s="2"/>
      <c r="B675" s="117" t="s">
        <v>30</v>
      </c>
      <c r="C675" s="118" t="n">
        <v>0</v>
      </c>
      <c r="D675" s="64" t="n">
        <v>3441938.199057</v>
      </c>
      <c r="E675" s="64" t="n">
        <v>5877737.6589122</v>
      </c>
      <c r="F675" s="64" t="n">
        <v>6266087.4678224</v>
      </c>
      <c r="G675" s="64" t="n">
        <v>6345796.296572</v>
      </c>
      <c r="H675" s="64" t="n">
        <v>6231939.0057115</v>
      </c>
      <c r="I675" s="64" t="n">
        <v>4498514.42272028</v>
      </c>
      <c r="J675" s="64" t="n">
        <v>2680917.04590736</v>
      </c>
      <c r="K675" s="64" t="n">
        <v>2519655.59770362</v>
      </c>
      <c r="L675" s="64" t="n">
        <v>2620192.4501547</v>
      </c>
      <c r="M675" s="64" t="n">
        <v>2608450.18038676</v>
      </c>
      <c r="N675" s="64" t="n">
        <v>2606053.8853048</v>
      </c>
      <c r="O675" s="64" t="n">
        <v>2736589.41112579</v>
      </c>
      <c r="P675" s="64" t="n">
        <v>2870456.98687482</v>
      </c>
      <c r="Q675" s="64" t="n">
        <v>2844880.30989632</v>
      </c>
      <c r="R675" s="64" t="n">
        <v>2823270.47260846</v>
      </c>
      <c r="S675" s="64" t="n">
        <v>2969737.18520197</v>
      </c>
      <c r="T675" s="64" t="n">
        <v>3120495.38417328</v>
      </c>
      <c r="U675" s="64" t="n">
        <v>3152091.84411373</v>
      </c>
      <c r="V675" s="64" t="n">
        <v>3177925.7928524</v>
      </c>
      <c r="W675" s="65"/>
    </row>
    <row r="676" customFormat="false" ht="12.75" hidden="false" customHeight="false" outlineLevel="0" collapsed="false">
      <c r="A676" s="2"/>
      <c r="B676" s="117" t="s">
        <v>33</v>
      </c>
      <c r="C676" s="118" t="n">
        <v>0</v>
      </c>
      <c r="D676" s="64" t="n">
        <v>-2140736.38</v>
      </c>
      <c r="E676" s="64" t="n">
        <v>-2090891.7</v>
      </c>
      <c r="F676" s="64" t="n">
        <v>-3759535.24</v>
      </c>
      <c r="G676" s="64" t="n">
        <v>-1669261.97</v>
      </c>
      <c r="H676" s="64" t="n">
        <v>-2255300.872</v>
      </c>
      <c r="I676" s="64" t="n">
        <v>-2322959.89816</v>
      </c>
      <c r="J676" s="64" t="n">
        <v>-2392648.6951048</v>
      </c>
      <c r="K676" s="64" t="n">
        <v>-2464428.15595794</v>
      </c>
      <c r="L676" s="64" t="n">
        <v>-2538361.00063668</v>
      </c>
      <c r="M676" s="64" t="n">
        <v>-2614511.83065578</v>
      </c>
      <c r="N676" s="64" t="n">
        <v>-2692947.18557546</v>
      </c>
      <c r="O676" s="64" t="n">
        <v>-2773735.60114272</v>
      </c>
      <c r="P676" s="64" t="n">
        <v>-2856947.669177</v>
      </c>
      <c r="Q676" s="64" t="n">
        <v>-2942656.09925231</v>
      </c>
      <c r="R676" s="64" t="n">
        <v>-3030935.78222988</v>
      </c>
      <c r="S676" s="64" t="n">
        <v>-3121863.85569678</v>
      </c>
      <c r="T676" s="64" t="n">
        <v>-3215519.77136768</v>
      </c>
      <c r="U676" s="64" t="n">
        <v>-3311985.36450871</v>
      </c>
      <c r="V676" s="64" t="n">
        <v>-3411344.92544397</v>
      </c>
      <c r="W676" s="65"/>
    </row>
    <row r="677" customFormat="false" ht="13.5" hidden="false" customHeight="false" outlineLevel="0" collapsed="false">
      <c r="A677" s="2"/>
      <c r="B677" s="119" t="s">
        <v>34</v>
      </c>
      <c r="C677" s="120" t="n">
        <v>0</v>
      </c>
      <c r="D677" s="68" t="n">
        <v>-27587393.21</v>
      </c>
      <c r="E677" s="68" t="n">
        <v>-3755790.25</v>
      </c>
      <c r="F677" s="68" t="n">
        <v>0</v>
      </c>
      <c r="G677" s="68" t="n">
        <v>0</v>
      </c>
      <c r="H677" s="68" t="n">
        <v>0</v>
      </c>
      <c r="I677" s="68" t="n">
        <v>0</v>
      </c>
      <c r="J677" s="68" t="n">
        <v>0</v>
      </c>
      <c r="K677" s="68" t="n">
        <v>0</v>
      </c>
      <c r="L677" s="68" t="n">
        <v>0</v>
      </c>
      <c r="M677" s="68" t="n">
        <v>0</v>
      </c>
      <c r="N677" s="68" t="n">
        <v>0</v>
      </c>
      <c r="O677" s="68" t="n">
        <v>0</v>
      </c>
      <c r="P677" s="68" t="n">
        <v>0</v>
      </c>
      <c r="Q677" s="68" t="n">
        <v>0</v>
      </c>
      <c r="R677" s="68" t="n">
        <v>0</v>
      </c>
      <c r="S677" s="68" t="n">
        <v>0</v>
      </c>
      <c r="T677" s="68" t="n">
        <v>0</v>
      </c>
      <c r="U677" s="68" t="n">
        <v>0</v>
      </c>
      <c r="V677" s="68" t="n">
        <v>0</v>
      </c>
      <c r="W677" s="65"/>
    </row>
    <row r="678" customFormat="false" ht="13.5" hidden="false" customHeight="false" outlineLevel="0" collapsed="false">
      <c r="A678" s="2"/>
      <c r="B678" s="117"/>
      <c r="C678" s="124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</row>
    <row r="679" customFormat="false" ht="12.75" hidden="false" customHeight="false" outlineLevel="0" collapsed="false">
      <c r="A679" s="2"/>
      <c r="B679" s="121" t="s">
        <v>35</v>
      </c>
      <c r="C679" s="123" t="n">
        <v>0</v>
      </c>
      <c r="D679" s="73" t="n">
        <v>5913379.448321</v>
      </c>
      <c r="E679" s="73" t="n">
        <v>29646007.7805147</v>
      </c>
      <c r="F679" s="73" t="n">
        <v>30636032.5207958</v>
      </c>
      <c r="G679" s="73" t="n">
        <v>31470419.2693646</v>
      </c>
      <c r="H679" s="73" t="n">
        <v>30459496.4271044</v>
      </c>
      <c r="I679" s="73" t="n">
        <v>31926256.6629672</v>
      </c>
      <c r="J679" s="73" t="n">
        <v>34564653.8660007</v>
      </c>
      <c r="K679" s="73" t="n">
        <v>35468733.5688359</v>
      </c>
      <c r="L679" s="73" t="n">
        <v>36324594.2396882</v>
      </c>
      <c r="M679" s="73" t="n">
        <v>36129806.8884053</v>
      </c>
      <c r="N679" s="73" t="n">
        <v>36951983.1003039</v>
      </c>
      <c r="O679" s="73" t="n">
        <v>36940199.568325</v>
      </c>
      <c r="P679" s="73" t="n">
        <v>37050863.6926913</v>
      </c>
      <c r="Q679" s="73" t="n">
        <v>38622206.1654095</v>
      </c>
      <c r="R679" s="73" t="n">
        <v>43050568.4778166</v>
      </c>
      <c r="S679" s="73" t="n">
        <v>41704855.3624495</v>
      </c>
      <c r="T679" s="73" t="n">
        <v>42055992.2149634</v>
      </c>
      <c r="U679" s="73" t="n">
        <v>45155677.8220775</v>
      </c>
      <c r="V679" s="73" t="n">
        <v>47242574.4847424</v>
      </c>
      <c r="W679" s="71" t="n">
        <v>248796427.1244</v>
      </c>
    </row>
    <row r="680" customFormat="false" ht="12.75" hidden="false" customHeight="false" outlineLevel="0" collapsed="false">
      <c r="A680" s="2"/>
      <c r="B680" s="12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customFormat="false" ht="12.75" hidden="false" customHeight="false" outlineLevel="0" collapsed="false">
      <c r="A681" s="48" t="s">
        <v>36</v>
      </c>
      <c r="B681" s="126" t="s">
        <v>37</v>
      </c>
      <c r="C681" s="76" t="n">
        <v>93301607.6768975</v>
      </c>
      <c r="D681" s="2"/>
      <c r="E681" s="127" t="s">
        <v>38</v>
      </c>
      <c r="F681" s="128" t="s">
        <v>37</v>
      </c>
      <c r="G681" s="79" t="n">
        <v>93301607.6768975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customFormat="false" ht="12.75" hidden="false" customHeight="false" outlineLevel="0" collapsed="false">
      <c r="A682" s="2"/>
      <c r="B682" s="126" t="s">
        <v>39</v>
      </c>
      <c r="C682" s="76" t="n">
        <v>170813250.177193</v>
      </c>
      <c r="D682" s="2"/>
      <c r="E682" s="129"/>
      <c r="F682" s="128" t="s">
        <v>39</v>
      </c>
      <c r="G682" s="79" t="n">
        <v>170813250.177193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customFormat="false" ht="13.5" hidden="false" customHeight="false" outlineLevel="0" collapsed="false">
      <c r="A683" s="2"/>
      <c r="B683" s="130" t="s">
        <v>40</v>
      </c>
      <c r="C683" s="82" t="n">
        <v>36982003.5672152</v>
      </c>
      <c r="D683" s="131"/>
      <c r="E683" s="129"/>
      <c r="F683" s="128" t="s">
        <v>40</v>
      </c>
      <c r="G683" s="79" t="n">
        <v>36982003.5672152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customFormat="false" ht="14.25" hidden="false" customHeight="false" outlineLevel="0" collapsed="false">
      <c r="A684" s="2"/>
      <c r="B684" s="126" t="s">
        <v>41</v>
      </c>
      <c r="C684" s="76" t="n">
        <v>301096861.421306</v>
      </c>
      <c r="D684" s="132"/>
      <c r="E684" s="129"/>
      <c r="F684" s="133" t="s">
        <v>42</v>
      </c>
      <c r="G684" s="85" t="n">
        <v>0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customFormat="false" ht="13.5" hidden="false" customHeight="false" outlineLevel="0" collapsed="false">
      <c r="A685" s="2"/>
      <c r="B685" s="125"/>
      <c r="C685" s="134"/>
      <c r="D685" s="2"/>
      <c r="E685" s="135"/>
      <c r="F685" s="128" t="s">
        <v>41</v>
      </c>
      <c r="G685" s="79" t="n">
        <v>301096861.421306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customFormat="false" ht="12.75" hidden="false" customHeight="false" outlineLevel="0" collapsed="false">
      <c r="A686" s="2"/>
      <c r="B686" s="125"/>
      <c r="C686" s="134"/>
      <c r="D686" s="2"/>
      <c r="E686" s="135"/>
      <c r="F686" s="128"/>
      <c r="G686" s="13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customFormat="false" ht="12.75" hidden="false" customHeight="false" outlineLevel="0" collapsed="false">
      <c r="A687" s="2"/>
      <c r="B687" s="125"/>
      <c r="C687" s="134"/>
      <c r="D687" s="2"/>
      <c r="E687" s="135"/>
      <c r="F687" s="128"/>
      <c r="G687" s="13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customFormat="false" ht="12.75" hidden="false" customHeight="false" outlineLevel="0" collapsed="false">
      <c r="A688" s="2"/>
      <c r="B688" s="137" t="s">
        <v>43</v>
      </c>
      <c r="C688" s="134"/>
      <c r="D688" s="2"/>
      <c r="E688" s="135"/>
      <c r="F688" s="128"/>
      <c r="G688" s="13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customFormat="false" ht="12.75" hidden="false" customHeight="false" outlineLevel="0" collapsed="false">
      <c r="A689" s="87" t="s">
        <v>44</v>
      </c>
      <c r="B689" s="137" t="s">
        <v>45</v>
      </c>
      <c r="C689" s="138"/>
      <c r="D689" s="88" t="n">
        <v>32199570.839264</v>
      </c>
      <c r="E689" s="88" t="n">
        <v>29614952.0716025</v>
      </c>
      <c r="F689" s="88" t="n">
        <v>28129480.2929734</v>
      </c>
      <c r="G689" s="88" t="n">
        <v>26793884.9427926</v>
      </c>
      <c r="H689" s="88" t="n">
        <v>26482858.2933929</v>
      </c>
      <c r="I689" s="88" t="n">
        <v>29750702.138407</v>
      </c>
      <c r="J689" s="88" t="n">
        <v>34276385.5151981</v>
      </c>
      <c r="K689" s="88" t="n">
        <v>35413506.1270903</v>
      </c>
      <c r="L689" s="88" t="n">
        <v>36242762.7901702</v>
      </c>
      <c r="M689" s="88" t="n">
        <v>36135868.5386743</v>
      </c>
      <c r="N689" s="88" t="n">
        <v>37038876.4005746</v>
      </c>
      <c r="O689" s="88" t="n">
        <v>36977345.7583419</v>
      </c>
      <c r="P689" s="88" t="n">
        <v>37037354.3749934</v>
      </c>
      <c r="Q689" s="88" t="n">
        <v>38719981.9547655</v>
      </c>
      <c r="R689" s="88" t="n">
        <v>43258233.787438</v>
      </c>
      <c r="S689" s="88" t="n">
        <v>41856982.0329443</v>
      </c>
      <c r="T689" s="88" t="n">
        <v>42151016.6021578</v>
      </c>
      <c r="U689" s="88" t="n">
        <v>45315571.3424725</v>
      </c>
      <c r="V689" s="88" t="n">
        <v>47475993.617334</v>
      </c>
      <c r="W689" s="2"/>
    </row>
    <row r="690" customFormat="false" ht="12.75" hidden="false" customHeight="false" outlineLevel="0" collapsed="false">
      <c r="A690" s="2"/>
      <c r="B690" s="125" t="s">
        <v>46</v>
      </c>
      <c r="C690" s="134"/>
      <c r="D690" s="65" t="n">
        <v>21466380.5595093</v>
      </c>
      <c r="E690" s="65" t="n">
        <v>19743301.3810683</v>
      </c>
      <c r="F690" s="65" t="n">
        <v>18752986.8619823</v>
      </c>
      <c r="G690" s="65" t="n">
        <v>17862589.9618617</v>
      </c>
      <c r="H690" s="65" t="n">
        <v>17655238.862262</v>
      </c>
      <c r="I690" s="65" t="n">
        <v>19833801.4256046</v>
      </c>
      <c r="J690" s="65" t="n">
        <v>22850923.6767988</v>
      </c>
      <c r="K690" s="65" t="n">
        <v>23609004.0847268</v>
      </c>
      <c r="L690" s="65" t="n">
        <v>24161841.8601134</v>
      </c>
      <c r="M690" s="65" t="n">
        <v>24090579.0257828</v>
      </c>
      <c r="N690" s="65" t="n">
        <v>24692584.2670497</v>
      </c>
      <c r="O690" s="65" t="n">
        <v>24651563.8388946</v>
      </c>
      <c r="P690" s="65" t="n">
        <v>24691569.583329</v>
      </c>
      <c r="Q690" s="65" t="n">
        <v>25813321.303177</v>
      </c>
      <c r="R690" s="65" t="n">
        <v>28838822.5249587</v>
      </c>
      <c r="S690" s="65" t="n">
        <v>27904654.6886295</v>
      </c>
      <c r="T690" s="65" t="n">
        <v>28100677.7347718</v>
      </c>
      <c r="U690" s="65" t="n">
        <v>30210380.8949817</v>
      </c>
      <c r="V690" s="65" t="n">
        <v>31650662.411556</v>
      </c>
      <c r="W690" s="2"/>
    </row>
    <row r="691" customFormat="false" ht="12.75" hidden="false" customHeight="false" outlineLevel="0" collapsed="false">
      <c r="A691" s="2"/>
      <c r="B691" s="139" t="s">
        <v>47</v>
      </c>
      <c r="C691" s="140"/>
      <c r="D691" s="65" t="n">
        <v>3441938.199057</v>
      </c>
      <c r="E691" s="65" t="n">
        <v>5877737.6589122</v>
      </c>
      <c r="F691" s="65" t="n">
        <v>6266087.4678224</v>
      </c>
      <c r="G691" s="65" t="n">
        <v>6345796.296572</v>
      </c>
      <c r="H691" s="65" t="n">
        <v>6231939.0057115</v>
      </c>
      <c r="I691" s="65" t="n">
        <v>4498514.42272028</v>
      </c>
      <c r="J691" s="65" t="n">
        <v>2680917.04590736</v>
      </c>
      <c r="K691" s="65" t="n">
        <v>2519655.59770362</v>
      </c>
      <c r="L691" s="65" t="n">
        <v>2620192.4501547</v>
      </c>
      <c r="M691" s="65" t="n">
        <v>2608450.18038676</v>
      </c>
      <c r="N691" s="65" t="n">
        <v>2606053.8853048</v>
      </c>
      <c r="O691" s="65" t="n">
        <v>2736589.41112579</v>
      </c>
      <c r="P691" s="65" t="n">
        <v>2870456.98687482</v>
      </c>
      <c r="Q691" s="65" t="n">
        <v>2844880.30989632</v>
      </c>
      <c r="R691" s="65" t="n">
        <v>2823270.47260846</v>
      </c>
      <c r="S691" s="65" t="n">
        <v>2969737.18520197</v>
      </c>
      <c r="T691" s="65" t="n">
        <v>3120495.38417328</v>
      </c>
      <c r="U691" s="65" t="n">
        <v>3152091.84411373</v>
      </c>
      <c r="V691" s="65" t="n">
        <v>3177925.7928524</v>
      </c>
      <c r="W691" s="2"/>
    </row>
    <row r="692" customFormat="false" ht="13.5" hidden="false" customHeight="false" outlineLevel="0" collapsed="false">
      <c r="A692" s="2"/>
      <c r="B692" s="141" t="s">
        <v>48</v>
      </c>
      <c r="C692" s="142"/>
      <c r="D692" s="93" t="n">
        <v>57107889.5978303</v>
      </c>
      <c r="E692" s="93" t="n">
        <v>55235991.111583</v>
      </c>
      <c r="F692" s="93" t="n">
        <v>53148554.6227781</v>
      </c>
      <c r="G692" s="93" t="n">
        <v>51002271.2012264</v>
      </c>
      <c r="H692" s="93" t="n">
        <v>50370036.1613664</v>
      </c>
      <c r="I692" s="93" t="n">
        <v>54083017.9867319</v>
      </c>
      <c r="J692" s="93" t="n">
        <v>59808226.2379043</v>
      </c>
      <c r="K692" s="93" t="n">
        <v>61542165.8095207</v>
      </c>
      <c r="L692" s="93" t="n">
        <v>63024797.1004383</v>
      </c>
      <c r="M692" s="93" t="n">
        <v>62834897.7448439</v>
      </c>
      <c r="N692" s="93" t="n">
        <v>64337514.5529291</v>
      </c>
      <c r="O692" s="93" t="n">
        <v>64365499.0083623</v>
      </c>
      <c r="P692" s="93" t="n">
        <v>64599380.9451972</v>
      </c>
      <c r="Q692" s="93" t="n">
        <v>67378183.5678388</v>
      </c>
      <c r="R692" s="93" t="n">
        <v>74920326.7850052</v>
      </c>
      <c r="S692" s="93" t="n">
        <v>72731373.9067758</v>
      </c>
      <c r="T692" s="93" t="n">
        <v>73372189.7211029</v>
      </c>
      <c r="U692" s="93" t="n">
        <v>78678044.0815679</v>
      </c>
      <c r="V692" s="93" t="n">
        <v>82304581.8217424</v>
      </c>
      <c r="W692" s="2"/>
    </row>
    <row r="693" customFormat="false" ht="13.5" hidden="false" customHeight="false" outlineLevel="0" collapsed="false">
      <c r="A693" s="87" t="s">
        <v>49</v>
      </c>
      <c r="B693" s="125" t="s">
        <v>50</v>
      </c>
      <c r="C693" s="134"/>
      <c r="D693" s="65" t="n">
        <v>-5117325.70953618</v>
      </c>
      <c r="E693" s="65" t="n">
        <v>-5402298.09773633</v>
      </c>
      <c r="F693" s="65" t="n">
        <v>-5563651.46582273</v>
      </c>
      <c r="G693" s="65" t="n">
        <v>-5646743.88119866</v>
      </c>
      <c r="H693" s="65" t="n">
        <v>-5759130.17187251</v>
      </c>
      <c r="I693" s="65" t="n">
        <v>-5875278.16678051</v>
      </c>
      <c r="J693" s="65" t="n">
        <v>-5446499.54897137</v>
      </c>
      <c r="K693" s="65" t="n">
        <v>-5155855.63052965</v>
      </c>
      <c r="L693" s="65" t="n">
        <v>-5085898.6960967</v>
      </c>
      <c r="M693" s="65" t="n">
        <v>-5199533.79518429</v>
      </c>
      <c r="N693" s="65" t="n">
        <v>-5334181.15446306</v>
      </c>
      <c r="O693" s="65" t="n">
        <v>-5472867.9345202</v>
      </c>
      <c r="P693" s="65" t="n">
        <v>-5144330.88384413</v>
      </c>
      <c r="Q693" s="65" t="n">
        <v>-4647406.886934</v>
      </c>
      <c r="R693" s="65" t="n">
        <v>-3819977.34576245</v>
      </c>
      <c r="S693" s="65" t="n">
        <v>-3914454.46704272</v>
      </c>
      <c r="T693" s="65" t="n">
        <v>-4071025.12511526</v>
      </c>
      <c r="U693" s="65" t="n">
        <v>-4236624.39334069</v>
      </c>
      <c r="V693" s="65" t="n">
        <v>-4403595.02756777</v>
      </c>
      <c r="W693" s="2"/>
    </row>
    <row r="694" customFormat="false" ht="12.75" hidden="false" customHeight="false" outlineLevel="0" collapsed="false">
      <c r="A694" s="2"/>
      <c r="B694" s="125" t="s">
        <v>51</v>
      </c>
      <c r="C694" s="134"/>
      <c r="D694" s="65" t="n">
        <v>0</v>
      </c>
      <c r="E694" s="65" t="n">
        <v>0</v>
      </c>
      <c r="F694" s="65" t="n">
        <v>0</v>
      </c>
      <c r="G694" s="65" t="n">
        <v>0</v>
      </c>
      <c r="H694" s="65" t="n">
        <v>0</v>
      </c>
      <c r="I694" s="65" t="n">
        <v>0</v>
      </c>
      <c r="J694" s="65" t="n">
        <v>0</v>
      </c>
      <c r="K694" s="65" t="n">
        <v>0</v>
      </c>
      <c r="L694" s="65" t="n">
        <v>0</v>
      </c>
      <c r="M694" s="65" t="n">
        <v>0</v>
      </c>
      <c r="N694" s="65" t="n">
        <v>0</v>
      </c>
      <c r="O694" s="65" t="n">
        <v>0</v>
      </c>
      <c r="P694" s="65" t="n">
        <v>0</v>
      </c>
      <c r="Q694" s="65" t="n">
        <v>0</v>
      </c>
      <c r="R694" s="65" t="n">
        <v>0</v>
      </c>
      <c r="S694" s="65" t="n">
        <v>0</v>
      </c>
      <c r="T694" s="65" t="n">
        <v>0</v>
      </c>
      <c r="U694" s="65" t="n">
        <v>0</v>
      </c>
      <c r="V694" s="65" t="n">
        <v>0</v>
      </c>
      <c r="W694" s="2"/>
    </row>
    <row r="695" customFormat="false" ht="12.75" hidden="false" customHeight="false" outlineLevel="0" collapsed="false">
      <c r="A695" s="2"/>
      <c r="B695" s="137" t="s">
        <v>52</v>
      </c>
      <c r="C695" s="138"/>
      <c r="D695" s="88" t="n">
        <v>51990563.8882941</v>
      </c>
      <c r="E695" s="88" t="n">
        <v>49833693.0138466</v>
      </c>
      <c r="F695" s="88" t="n">
        <v>47584903.1569554</v>
      </c>
      <c r="G695" s="88" t="n">
        <v>45355527.3200277</v>
      </c>
      <c r="H695" s="88" t="n">
        <v>44610905.9894939</v>
      </c>
      <c r="I695" s="88" t="n">
        <v>48207739.8199514</v>
      </c>
      <c r="J695" s="88" t="n">
        <v>54361726.6889329</v>
      </c>
      <c r="K695" s="88" t="n">
        <v>56386310.1789911</v>
      </c>
      <c r="L695" s="88" t="n">
        <v>57938898.4043416</v>
      </c>
      <c r="M695" s="88" t="n">
        <v>57635363.9496596</v>
      </c>
      <c r="N695" s="88" t="n">
        <v>59003333.398466</v>
      </c>
      <c r="O695" s="88" t="n">
        <v>58892631.0738421</v>
      </c>
      <c r="P695" s="88" t="n">
        <v>59455050.0613531</v>
      </c>
      <c r="Q695" s="88" t="n">
        <v>62730776.6809048</v>
      </c>
      <c r="R695" s="88" t="n">
        <v>71100349.4392427</v>
      </c>
      <c r="S695" s="88" t="n">
        <v>68816919.4397331</v>
      </c>
      <c r="T695" s="88" t="n">
        <v>69301164.5959876</v>
      </c>
      <c r="U695" s="88" t="n">
        <v>74441419.6882272</v>
      </c>
      <c r="V695" s="88" t="n">
        <v>77900986.7941746</v>
      </c>
      <c r="W695" s="2"/>
    </row>
    <row r="696" customFormat="false" ht="13.5" hidden="false" customHeight="false" outlineLevel="0" collapsed="false">
      <c r="A696" s="2"/>
      <c r="B696" s="143" t="s">
        <v>53</v>
      </c>
      <c r="C696" s="144"/>
      <c r="D696" s="96" t="n">
        <v>-20796225.5553177</v>
      </c>
      <c r="E696" s="96" t="n">
        <v>-19933477.2055387</v>
      </c>
      <c r="F696" s="96" t="n">
        <v>-19033961.2627822</v>
      </c>
      <c r="G696" s="96" t="n">
        <v>-18142210.9280111</v>
      </c>
      <c r="H696" s="96" t="n">
        <v>-17844362.3957976</v>
      </c>
      <c r="I696" s="96" t="n">
        <v>-19283095.9279805</v>
      </c>
      <c r="J696" s="96" t="n">
        <v>-21744690.6755732</v>
      </c>
      <c r="K696" s="96" t="n">
        <v>-22554524.0715964</v>
      </c>
      <c r="L696" s="96" t="n">
        <v>-23175559.3617366</v>
      </c>
      <c r="M696" s="96" t="n">
        <v>-23054145.5798638</v>
      </c>
      <c r="N696" s="96" t="n">
        <v>-23601333.3593864</v>
      </c>
      <c r="O696" s="96" t="n">
        <v>-23557052.4295369</v>
      </c>
      <c r="P696" s="96" t="n">
        <v>-23782020.0245412</v>
      </c>
      <c r="Q696" s="96" t="n">
        <v>-25092310.6723619</v>
      </c>
      <c r="R696" s="96" t="n">
        <v>-28440139.7756971</v>
      </c>
      <c r="S696" s="96" t="n">
        <v>-27526767.7758932</v>
      </c>
      <c r="T696" s="96" t="n">
        <v>-27720465.838395</v>
      </c>
      <c r="U696" s="96" t="n">
        <v>-29776567.8752909</v>
      </c>
      <c r="V696" s="96" t="n">
        <v>-31160394.7176698</v>
      </c>
      <c r="W696" s="2"/>
    </row>
    <row r="697" customFormat="false" ht="13.5" hidden="false" customHeight="false" outlineLevel="0" collapsed="false">
      <c r="A697" s="2"/>
      <c r="B697" s="137" t="s">
        <v>54</v>
      </c>
      <c r="C697" s="138"/>
      <c r="D697" s="88" t="n">
        <v>31194338.3329765</v>
      </c>
      <c r="E697" s="88" t="n">
        <v>29900215.808308</v>
      </c>
      <c r="F697" s="88" t="n">
        <v>28550941.8941732</v>
      </c>
      <c r="G697" s="88" t="n">
        <v>27213316.3920166</v>
      </c>
      <c r="H697" s="88" t="n">
        <v>26766543.5936963</v>
      </c>
      <c r="I697" s="88" t="n">
        <v>28924643.8919708</v>
      </c>
      <c r="J697" s="88" t="n">
        <v>32617036.0133597</v>
      </c>
      <c r="K697" s="88" t="n">
        <v>33831786.1073946</v>
      </c>
      <c r="L697" s="88" t="n">
        <v>34763339.042605</v>
      </c>
      <c r="M697" s="88" t="n">
        <v>34581218.3697958</v>
      </c>
      <c r="N697" s="88" t="n">
        <v>35402000.0390796</v>
      </c>
      <c r="O697" s="88" t="n">
        <v>35335578.6443053</v>
      </c>
      <c r="P697" s="88" t="n">
        <v>35673030.0368119</v>
      </c>
      <c r="Q697" s="88" t="n">
        <v>37638466.0085429</v>
      </c>
      <c r="R697" s="88" t="n">
        <v>42660209.6635456</v>
      </c>
      <c r="S697" s="88" t="n">
        <v>41290151.6638398</v>
      </c>
      <c r="T697" s="88" t="n">
        <v>41580698.7575926</v>
      </c>
      <c r="U697" s="88" t="n">
        <v>44664851.8129363</v>
      </c>
      <c r="V697" s="88" t="n">
        <v>46740592.0765048</v>
      </c>
      <c r="W697" s="2"/>
    </row>
    <row r="698" customFormat="false" ht="12.75" hidden="false" customHeight="false" outlineLevel="0" collapsed="false">
      <c r="A698" s="2"/>
      <c r="B698" s="2"/>
      <c r="C698" s="134"/>
      <c r="D698" s="2"/>
      <c r="E698" s="135"/>
      <c r="F698" s="128"/>
      <c r="G698" s="13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customFormat="false" ht="15.75" hidden="false" customHeight="false" outlineLevel="0" collapsed="false">
      <c r="A699" s="97" t="s">
        <v>55</v>
      </c>
      <c r="B699" s="14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customFormat="false" ht="12.75" hidden="false" customHeight="false" outlineLevel="0" collapsed="false">
      <c r="A700" s="99" t="s">
        <v>56</v>
      </c>
      <c r="B700" s="49"/>
      <c r="C700" s="101" t="n">
        <v>0</v>
      </c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</row>
    <row r="701" customFormat="false" ht="12.75" hidden="false" customHeight="false" outlineLevel="0" collapsed="false">
      <c r="A701" s="99" t="s">
        <v>57</v>
      </c>
      <c r="B701" s="49"/>
      <c r="C701" s="146" t="n">
        <v>0</v>
      </c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</row>
    <row r="702" customFormat="false" ht="12.75" hidden="false" customHeight="false" outlineLevel="0" collapsed="false">
      <c r="A702" s="99" t="s">
        <v>58</v>
      </c>
      <c r="B702" s="49"/>
      <c r="C702" s="99" t="n">
        <v>15</v>
      </c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</row>
    <row r="703" customFormat="false" ht="12.75" hidden="false" customHeight="false" outlineLevel="0" collapsed="false">
      <c r="A703" s="99" t="s">
        <v>59</v>
      </c>
      <c r="B703" s="49"/>
      <c r="C703" s="146" t="n">
        <v>0</v>
      </c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</row>
    <row r="704" customFormat="false" ht="12.75" hidden="false" customHeight="false" outlineLevel="0" collapsed="false">
      <c r="A704" s="99" t="s">
        <v>60</v>
      </c>
      <c r="B704" s="49"/>
      <c r="C704" s="147" t="n">
        <v>0.0875</v>
      </c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</row>
    <row r="705" customFormat="false" ht="12.75" hidden="false" customHeight="false" outlineLevel="0" collapsed="false">
      <c r="A705" s="99"/>
      <c r="B705" s="49"/>
      <c r="C705" s="107"/>
      <c r="D705" s="58" t="n">
        <v>2001</v>
      </c>
      <c r="E705" s="58" t="n">
        <v>2002</v>
      </c>
      <c r="F705" s="58" t="n">
        <v>2003</v>
      </c>
      <c r="G705" s="58" t="n">
        <v>2004</v>
      </c>
      <c r="H705" s="58" t="n">
        <v>2005</v>
      </c>
      <c r="I705" s="58" t="n">
        <v>2006</v>
      </c>
      <c r="J705" s="58" t="n">
        <v>2007</v>
      </c>
      <c r="K705" s="58" t="n">
        <v>2008</v>
      </c>
      <c r="L705" s="58" t="n">
        <v>2009</v>
      </c>
      <c r="M705" s="58" t="n">
        <v>2010</v>
      </c>
      <c r="N705" s="58" t="n">
        <v>2011</v>
      </c>
      <c r="O705" s="58" t="n">
        <v>2012</v>
      </c>
      <c r="P705" s="58" t="n">
        <v>2013</v>
      </c>
      <c r="Q705" s="58" t="n">
        <v>2014</v>
      </c>
      <c r="R705" s="58" t="n">
        <v>2015</v>
      </c>
      <c r="S705" s="58" t="n">
        <v>2016</v>
      </c>
      <c r="T705" s="58" t="n">
        <v>2017</v>
      </c>
      <c r="U705" s="58" t="n">
        <v>2018</v>
      </c>
      <c r="V705" s="58" t="n">
        <v>2019</v>
      </c>
      <c r="W705" s="58" t="s">
        <v>19</v>
      </c>
    </row>
    <row r="706" customFormat="false" ht="12.75" hidden="false" customHeight="false" outlineLevel="0" collapsed="false">
      <c r="A706" s="99" t="s">
        <v>61</v>
      </c>
      <c r="B706" s="49"/>
      <c r="C706" s="107"/>
      <c r="D706" s="102" t="n">
        <v>0</v>
      </c>
      <c r="E706" s="102" t="n">
        <v>0</v>
      </c>
      <c r="F706" s="102" t="n">
        <v>0</v>
      </c>
      <c r="G706" s="102" t="n">
        <v>0</v>
      </c>
      <c r="H706" s="102" t="n">
        <v>0</v>
      </c>
      <c r="I706" s="102" t="n">
        <v>0</v>
      </c>
      <c r="J706" s="102" t="n">
        <v>0</v>
      </c>
      <c r="K706" s="102" t="n">
        <v>0</v>
      </c>
      <c r="L706" s="102" t="n">
        <v>0</v>
      </c>
      <c r="M706" s="102" t="n">
        <v>0</v>
      </c>
      <c r="N706" s="102" t="n">
        <v>0</v>
      </c>
      <c r="O706" s="102" t="n">
        <v>0</v>
      </c>
      <c r="P706" s="102" t="n">
        <v>0</v>
      </c>
      <c r="Q706" s="102" t="n">
        <v>0</v>
      </c>
      <c r="R706" s="102" t="n">
        <v>0</v>
      </c>
      <c r="S706" s="102" t="n">
        <v>0</v>
      </c>
      <c r="T706" s="102" t="n">
        <v>0</v>
      </c>
      <c r="U706" s="102" t="n">
        <v>0</v>
      </c>
      <c r="V706" s="102" t="n">
        <v>0</v>
      </c>
      <c r="W706" s="102" t="n">
        <v>0</v>
      </c>
    </row>
    <row r="707" customFormat="false" ht="12.75" hidden="false" customHeight="false" outlineLevel="0" collapsed="false">
      <c r="A707" s="99" t="s">
        <v>62</v>
      </c>
      <c r="B707" s="49"/>
      <c r="C707" s="107"/>
      <c r="D707" s="102" t="n">
        <v>0</v>
      </c>
      <c r="E707" s="102" t="n">
        <v>0</v>
      </c>
      <c r="F707" s="102" t="n">
        <v>0</v>
      </c>
      <c r="G707" s="102" t="n">
        <v>0</v>
      </c>
      <c r="H707" s="102" t="n">
        <v>0</v>
      </c>
      <c r="I707" s="102" t="n">
        <v>0</v>
      </c>
      <c r="J707" s="102" t="n">
        <v>0</v>
      </c>
      <c r="K707" s="102" t="n">
        <v>0</v>
      </c>
      <c r="L707" s="102" t="n">
        <v>0</v>
      </c>
      <c r="M707" s="102" t="n">
        <v>0</v>
      </c>
      <c r="N707" s="102" t="n">
        <v>0</v>
      </c>
      <c r="O707" s="102" t="n">
        <v>0</v>
      </c>
      <c r="P707" s="102" t="n">
        <v>0</v>
      </c>
      <c r="Q707" s="102" t="n">
        <v>0</v>
      </c>
      <c r="R707" s="102" t="n">
        <v>0</v>
      </c>
      <c r="S707" s="102" t="n">
        <v>0</v>
      </c>
      <c r="T707" s="102" t="n">
        <v>0</v>
      </c>
      <c r="U707" s="102" t="n">
        <v>0</v>
      </c>
      <c r="V707" s="102" t="n">
        <v>0</v>
      </c>
      <c r="W707" s="102" t="n">
        <v>0</v>
      </c>
    </row>
    <row r="708" customFormat="false" ht="12.75" hidden="false" customHeight="false" outlineLevel="0" collapsed="false">
      <c r="A708" s="99" t="s">
        <v>63</v>
      </c>
      <c r="B708" s="49"/>
      <c r="C708" s="107"/>
      <c r="D708" s="102" t="n">
        <v>0</v>
      </c>
      <c r="E708" s="102" t="n">
        <v>0</v>
      </c>
      <c r="F708" s="102" t="n">
        <v>0</v>
      </c>
      <c r="G708" s="102" t="n">
        <v>0</v>
      </c>
      <c r="H708" s="102" t="n">
        <v>0</v>
      </c>
      <c r="I708" s="102" t="n">
        <v>0</v>
      </c>
      <c r="J708" s="102" t="n">
        <v>0</v>
      </c>
      <c r="K708" s="102" t="n">
        <v>0</v>
      </c>
      <c r="L708" s="102" t="n">
        <v>0</v>
      </c>
      <c r="M708" s="102" t="n">
        <v>0</v>
      </c>
      <c r="N708" s="102" t="n">
        <v>0</v>
      </c>
      <c r="O708" s="102" t="n">
        <v>0</v>
      </c>
      <c r="P708" s="102" t="n">
        <v>0</v>
      </c>
      <c r="Q708" s="102" t="n">
        <v>0</v>
      </c>
      <c r="R708" s="102" t="n">
        <v>0</v>
      </c>
      <c r="S708" s="102" t="n">
        <v>0</v>
      </c>
      <c r="T708" s="102" t="n">
        <v>0</v>
      </c>
      <c r="U708" s="102" t="n">
        <v>0</v>
      </c>
      <c r="V708" s="102" t="n">
        <v>0</v>
      </c>
      <c r="W708" s="102" t="n">
        <v>0</v>
      </c>
    </row>
    <row r="709" customFormat="false" ht="12.75" hidden="false" customHeight="false" outlineLevel="0" collapsed="false">
      <c r="A709" s="99" t="s">
        <v>64</v>
      </c>
      <c r="B709" s="49"/>
      <c r="C709" s="107"/>
      <c r="D709" s="105" t="n">
        <v>0</v>
      </c>
      <c r="E709" s="105" t="n">
        <v>0</v>
      </c>
      <c r="F709" s="105" t="n">
        <v>0</v>
      </c>
      <c r="G709" s="105" t="n">
        <v>0</v>
      </c>
      <c r="H709" s="105" t="n">
        <v>0</v>
      </c>
      <c r="I709" s="105" t="n">
        <v>0</v>
      </c>
      <c r="J709" s="105" t="n">
        <v>0</v>
      </c>
      <c r="K709" s="105" t="n">
        <v>0</v>
      </c>
      <c r="L709" s="105" t="n">
        <v>0</v>
      </c>
      <c r="M709" s="105" t="n">
        <v>0</v>
      </c>
      <c r="N709" s="105" t="n">
        <v>0</v>
      </c>
      <c r="O709" s="105" t="n">
        <v>0</v>
      </c>
      <c r="P709" s="105" t="n">
        <v>0</v>
      </c>
      <c r="Q709" s="105" t="n">
        <v>0</v>
      </c>
      <c r="R709" s="105" t="n">
        <v>0</v>
      </c>
      <c r="S709" s="105" t="n">
        <v>0</v>
      </c>
      <c r="T709" s="105" t="n">
        <v>0</v>
      </c>
      <c r="U709" s="105" t="n">
        <v>0</v>
      </c>
      <c r="V709" s="105" t="n">
        <v>0</v>
      </c>
      <c r="W709" s="105" t="n">
        <v>0</v>
      </c>
    </row>
    <row r="710" customFormat="false" ht="13.5" hidden="false" customHeight="false" outlineLevel="0" collapsed="false">
      <c r="A710" s="99" t="s">
        <v>65</v>
      </c>
      <c r="B710" s="49"/>
      <c r="C710" s="107"/>
      <c r="D710" s="106" t="n">
        <v>0</v>
      </c>
      <c r="E710" s="106" t="n">
        <v>0</v>
      </c>
      <c r="F710" s="106" t="n">
        <v>0</v>
      </c>
      <c r="G710" s="106" t="n">
        <v>0</v>
      </c>
      <c r="H710" s="106" t="n">
        <v>0</v>
      </c>
      <c r="I710" s="106" t="n">
        <v>0</v>
      </c>
      <c r="J710" s="106" t="n">
        <v>0</v>
      </c>
      <c r="K710" s="106" t="n">
        <v>0</v>
      </c>
      <c r="L710" s="106" t="n">
        <v>0</v>
      </c>
      <c r="M710" s="106" t="n">
        <v>0</v>
      </c>
      <c r="N710" s="106" t="n">
        <v>0</v>
      </c>
      <c r="O710" s="106" t="n">
        <v>0</v>
      </c>
      <c r="P710" s="106" t="n">
        <v>0</v>
      </c>
      <c r="Q710" s="106" t="n">
        <v>0</v>
      </c>
      <c r="R710" s="106" t="n">
        <v>0</v>
      </c>
      <c r="S710" s="106" t="n">
        <v>0</v>
      </c>
      <c r="T710" s="106" t="n">
        <v>0</v>
      </c>
      <c r="U710" s="106" t="n">
        <v>0</v>
      </c>
      <c r="V710" s="106" t="n">
        <v>0</v>
      </c>
      <c r="W710" s="106" t="n">
        <v>0</v>
      </c>
    </row>
    <row r="711" customFormat="false" ht="13.5" hidden="false" customHeight="false" outlineLevel="0" collapsed="false">
      <c r="A711" s="99"/>
      <c r="B711" s="49"/>
      <c r="C711" s="107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</row>
    <row r="712" customFormat="false" ht="12.75" hidden="false" customHeight="false" outlineLevel="0" collapsed="false">
      <c r="A712" s="99" t="s">
        <v>66</v>
      </c>
      <c r="B712" s="49"/>
      <c r="C712" s="107"/>
      <c r="D712" s="102" t="n">
        <v>0</v>
      </c>
      <c r="E712" s="102" t="n">
        <v>0</v>
      </c>
      <c r="F712" s="102" t="n">
        <v>0</v>
      </c>
      <c r="G712" s="102" t="n">
        <v>0</v>
      </c>
      <c r="H712" s="102" t="n">
        <v>0</v>
      </c>
      <c r="I712" s="102" t="n">
        <v>0</v>
      </c>
      <c r="J712" s="102" t="n">
        <v>0</v>
      </c>
      <c r="K712" s="102" t="n">
        <v>0</v>
      </c>
      <c r="L712" s="102" t="n">
        <v>0</v>
      </c>
      <c r="M712" s="102" t="n">
        <v>0</v>
      </c>
      <c r="N712" s="102" t="n">
        <v>0</v>
      </c>
      <c r="O712" s="102" t="n">
        <v>0</v>
      </c>
      <c r="P712" s="102" t="n">
        <v>0</v>
      </c>
      <c r="Q712" s="102" t="n">
        <v>0</v>
      </c>
      <c r="R712" s="102" t="n">
        <v>0</v>
      </c>
      <c r="S712" s="102" t="n">
        <v>0</v>
      </c>
      <c r="T712" s="102" t="n">
        <v>0</v>
      </c>
      <c r="U712" s="102" t="n">
        <v>0</v>
      </c>
      <c r="V712" s="102" t="n">
        <v>0</v>
      </c>
      <c r="W712" s="102" t="n">
        <v>0</v>
      </c>
    </row>
    <row r="713" customFormat="false" ht="12.75" hidden="false" customHeight="false" outlineLevel="0" collapsed="false">
      <c r="A713" s="99"/>
      <c r="B713" s="49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</row>
    <row r="714" customFormat="false" ht="12.75" hidden="false" customHeight="false" outlineLevel="0" collapsed="false">
      <c r="A714" s="99" t="s">
        <v>67</v>
      </c>
      <c r="B714" s="49"/>
      <c r="C714" s="107"/>
      <c r="D714" s="102" t="n">
        <v>0</v>
      </c>
      <c r="E714" s="102" t="n">
        <v>0</v>
      </c>
      <c r="F714" s="102" t="n">
        <v>0</v>
      </c>
      <c r="G714" s="102" t="n">
        <v>0</v>
      </c>
      <c r="H714" s="102" t="n">
        <v>0</v>
      </c>
      <c r="I714" s="102" t="n">
        <v>0</v>
      </c>
      <c r="J714" s="102" t="n">
        <v>0</v>
      </c>
      <c r="K714" s="102" t="n">
        <v>0</v>
      </c>
      <c r="L714" s="102" t="n">
        <v>0</v>
      </c>
      <c r="M714" s="102" t="n">
        <v>0</v>
      </c>
      <c r="N714" s="102" t="n">
        <v>0</v>
      </c>
      <c r="O714" s="102" t="n">
        <v>0</v>
      </c>
      <c r="P714" s="102" t="n">
        <v>0</v>
      </c>
      <c r="Q714" s="102" t="n">
        <v>0</v>
      </c>
      <c r="R714" s="102" t="n">
        <v>0</v>
      </c>
      <c r="S714" s="102" t="n">
        <v>0</v>
      </c>
      <c r="T714" s="102" t="n">
        <v>0</v>
      </c>
      <c r="U714" s="102" t="n">
        <v>0</v>
      </c>
      <c r="V714" s="102" t="n">
        <v>0</v>
      </c>
      <c r="W714" s="102" t="n">
        <v>0</v>
      </c>
    </row>
    <row r="715" customFormat="false" ht="12.75" hidden="false" customHeight="false" outlineLevel="0" collapsed="false">
      <c r="A715" s="107"/>
      <c r="B715" s="49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</row>
    <row r="716" customFormat="false" ht="12.75" hidden="false" customHeight="false" outlineLevel="0" collapsed="false">
      <c r="A716" s="107"/>
      <c r="B716" s="49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</row>
    <row r="717" customFormat="false" ht="12.75" hidden="false" customHeight="false" outlineLevel="0" collapsed="false">
      <c r="A717" s="99" t="s">
        <v>68</v>
      </c>
      <c r="B717" s="148"/>
      <c r="C717" s="149"/>
      <c r="D717" s="79" t="n">
        <v>5913379.448321</v>
      </c>
      <c r="E717" s="79" t="n">
        <v>29646007.7805147</v>
      </c>
      <c r="F717" s="79" t="n">
        <v>30636032.5207958</v>
      </c>
      <c r="G717" s="79" t="n">
        <v>31470419.2693646</v>
      </c>
      <c r="H717" s="79" t="n">
        <v>30459496.4271044</v>
      </c>
      <c r="I717" s="79" t="n">
        <v>31926256.6629672</v>
      </c>
      <c r="J717" s="79" t="n">
        <v>34564653.8660007</v>
      </c>
      <c r="K717" s="79" t="n">
        <v>35468733.5688359</v>
      </c>
      <c r="L717" s="79" t="n">
        <v>36324594.2396882</v>
      </c>
      <c r="M717" s="79" t="n">
        <v>36129806.8884053</v>
      </c>
      <c r="N717" s="79" t="n">
        <v>36951983.1003039</v>
      </c>
      <c r="O717" s="79" t="n">
        <v>36940199.568325</v>
      </c>
      <c r="P717" s="79" t="n">
        <v>37050863.6926913</v>
      </c>
      <c r="Q717" s="79" t="n">
        <v>38622206.1654095</v>
      </c>
      <c r="R717" s="79" t="n">
        <v>43050568.4778166</v>
      </c>
      <c r="S717" s="79" t="n">
        <v>41704855.3624495</v>
      </c>
      <c r="T717" s="79" t="n">
        <v>42055992.2149634</v>
      </c>
      <c r="U717" s="79" t="n">
        <v>45155677.8220775</v>
      </c>
      <c r="V717" s="79" t="n">
        <v>47242574.4847424</v>
      </c>
      <c r="W717" s="79" t="n">
        <v>248796427.1244</v>
      </c>
    </row>
    <row r="718" customFormat="false" ht="12.75" hidden="false" customHeight="false" outlineLevel="0" collapsed="false">
      <c r="A718" s="2"/>
      <c r="B718" s="3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customFormat="false" ht="12.75" hidden="false" customHeight="false" outlineLevel="0" collapsed="false">
      <c r="B719" s="150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16"/>
    </row>
    <row r="720" customFormat="false" ht="12.75" hidden="false" customHeight="false" outlineLevel="0" collapsed="false">
      <c r="B720" s="150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16"/>
    </row>
    <row r="721" customFormat="false" ht="12.75" hidden="false" customHeight="false" outlineLevel="0" collapsed="false">
      <c r="B721" s="150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16"/>
    </row>
    <row r="722" customFormat="false" ht="12.75" hidden="false" customHeight="false" outlineLevel="0" collapsed="false">
      <c r="B722" s="150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</row>
    <row r="723" customFormat="false" ht="12.75" hidden="false" customHeight="false" outlineLevel="0" collapsed="false">
      <c r="B723" s="153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4"/>
    </row>
    <row r="724" customFormat="false" ht="12.75" hidden="false" customHeight="false" outlineLevel="0" collapsed="false">
      <c r="B724" s="156"/>
    </row>
    <row r="725" customFormat="false" ht="12.75" hidden="false" customHeight="false" outlineLevel="0" collapsed="false">
      <c r="A725" s="51"/>
      <c r="B725" s="126"/>
      <c r="C725" s="157"/>
      <c r="E725" s="158"/>
      <c r="F725" s="128"/>
      <c r="G725" s="159"/>
    </row>
    <row r="726" customFormat="false" ht="15.75" hidden="false" customHeight="false" outlineLevel="0" collapsed="false">
      <c r="A726" s="48" t="s">
        <v>17</v>
      </c>
      <c r="B726" s="57" t="s">
        <v>80</v>
      </c>
      <c r="C726" s="58" t="n">
        <v>2000</v>
      </c>
      <c r="D726" s="58" t="n">
        <v>2001</v>
      </c>
      <c r="E726" s="58" t="n">
        <v>2002</v>
      </c>
      <c r="F726" s="58" t="n">
        <v>2003</v>
      </c>
      <c r="G726" s="58" t="n">
        <v>2004</v>
      </c>
      <c r="H726" s="58" t="n">
        <v>2005</v>
      </c>
      <c r="I726" s="58" t="n">
        <v>2006</v>
      </c>
      <c r="J726" s="58" t="n">
        <v>2007</v>
      </c>
      <c r="K726" s="58" t="n">
        <v>2008</v>
      </c>
      <c r="L726" s="58" t="n">
        <v>2009</v>
      </c>
      <c r="M726" s="58" t="n">
        <v>2010</v>
      </c>
      <c r="N726" s="58" t="n">
        <v>2011</v>
      </c>
      <c r="O726" s="58" t="n">
        <v>2012</v>
      </c>
      <c r="P726" s="58" t="n">
        <v>2013</v>
      </c>
      <c r="Q726" s="58" t="n">
        <v>2014</v>
      </c>
      <c r="R726" s="58" t="n">
        <v>2015</v>
      </c>
      <c r="S726" s="58" t="n">
        <v>2016</v>
      </c>
      <c r="T726" s="58" t="n">
        <v>2017</v>
      </c>
      <c r="U726" s="58" t="n">
        <v>2018</v>
      </c>
      <c r="V726" s="58" t="n">
        <v>2019</v>
      </c>
      <c r="W726" s="58" t="s">
        <v>19</v>
      </c>
    </row>
    <row r="727" customFormat="false" ht="12.75" hidden="false" customHeight="false" outlineLevel="0" collapsed="false">
      <c r="A727" s="48" t="s">
        <v>5</v>
      </c>
      <c r="B727" s="49" t="n">
        <v>320</v>
      </c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</row>
    <row r="728" customFormat="false" ht="12.75" hidden="false" customHeight="false" outlineLevel="0" collapsed="false">
      <c r="A728" s="2"/>
      <c r="B728" s="117" t="s">
        <v>20</v>
      </c>
      <c r="C728" s="118" t="n">
        <v>0</v>
      </c>
      <c r="D728" s="64" t="n">
        <v>100539398.335965</v>
      </c>
      <c r="E728" s="64" t="n">
        <v>99145042.2717075</v>
      </c>
      <c r="F728" s="64" t="n">
        <v>101053414.20589</v>
      </c>
      <c r="G728" s="64" t="n">
        <v>99621102.0581622</v>
      </c>
      <c r="H728" s="64" t="n">
        <v>100371466.694198</v>
      </c>
      <c r="I728" s="64" t="n">
        <v>107148734.608347</v>
      </c>
      <c r="J728" s="64" t="n">
        <v>114890788.785529</v>
      </c>
      <c r="K728" s="64" t="n">
        <v>117863904.793867</v>
      </c>
      <c r="L728" s="64" t="n">
        <v>120330890.747549</v>
      </c>
      <c r="M728" s="64" t="n">
        <v>120760465.378653</v>
      </c>
      <c r="N728" s="64" t="n">
        <v>123369487.243176</v>
      </c>
      <c r="O728" s="64" t="n">
        <v>124754900.318916</v>
      </c>
      <c r="P728" s="64" t="n">
        <v>126223021.630381</v>
      </c>
      <c r="Q728" s="64" t="n">
        <v>130666226.090476</v>
      </c>
      <c r="R728" s="64" t="n">
        <v>139936863.735718</v>
      </c>
      <c r="S728" s="64" t="n">
        <v>139130725.773695</v>
      </c>
      <c r="T728" s="64" t="n">
        <v>140903921.70774</v>
      </c>
      <c r="U728" s="64" t="n">
        <v>147675120.421908</v>
      </c>
      <c r="V728" s="64" t="n">
        <v>152160541.682343</v>
      </c>
      <c r="W728" s="65"/>
    </row>
    <row r="729" customFormat="false" ht="12.75" hidden="false" customHeight="false" outlineLevel="0" collapsed="false">
      <c r="A729" s="2"/>
      <c r="B729" s="117" t="s">
        <v>21</v>
      </c>
      <c r="C729" s="118" t="n">
        <v>0</v>
      </c>
      <c r="D729" s="64" t="n">
        <v>-31121823.3288112</v>
      </c>
      <c r="E729" s="64" t="n">
        <v>-31574072.588095</v>
      </c>
      <c r="F729" s="64" t="n">
        <v>-32122330.07002</v>
      </c>
      <c r="G729" s="64" t="n">
        <v>-33039461.2494613</v>
      </c>
      <c r="H729" s="64" t="n">
        <v>-34181453.7924571</v>
      </c>
      <c r="I729" s="64" t="n">
        <v>-35490197.4589877</v>
      </c>
      <c r="J729" s="64" t="n">
        <v>-36308793.8836131</v>
      </c>
      <c r="K729" s="64" t="n">
        <v>-37089492.3256169</v>
      </c>
      <c r="L729" s="64" t="n">
        <v>-37703439.6440859</v>
      </c>
      <c r="M729" s="64" t="n">
        <v>-38014203.1015825</v>
      </c>
      <c r="N729" s="64" t="n">
        <v>-38534668.729585</v>
      </c>
      <c r="O729" s="64" t="n">
        <v>-39373477.4116085</v>
      </c>
      <c r="P729" s="64" t="n">
        <v>-40270396.3336517</v>
      </c>
      <c r="Q729" s="64" t="n">
        <v>-41129417.2730734</v>
      </c>
      <c r="R729" s="64" t="n">
        <v>-41715572.7376199</v>
      </c>
      <c r="S729" s="64" t="n">
        <v>-42572067.1448668</v>
      </c>
      <c r="T729" s="64" t="n">
        <v>-43544782.0321531</v>
      </c>
      <c r="U729" s="64" t="n">
        <v>-44613505.1420806</v>
      </c>
      <c r="V729" s="64" t="n">
        <v>-45717599.7024549</v>
      </c>
      <c r="W729" s="65"/>
    </row>
    <row r="730" customFormat="false" ht="12.75" hidden="false" customHeight="false" outlineLevel="0" collapsed="false">
      <c r="A730" s="2"/>
      <c r="B730" s="117" t="s">
        <v>22</v>
      </c>
      <c r="C730" s="118" t="n">
        <v>0</v>
      </c>
      <c r="D730" s="64" t="n">
        <v>-1699007.83793989</v>
      </c>
      <c r="E730" s="64" t="n">
        <v>-1733301.21644653</v>
      </c>
      <c r="F730" s="64" t="n">
        <v>-3210564.373686</v>
      </c>
      <c r="G730" s="64" t="n">
        <v>-3282313.04281993</v>
      </c>
      <c r="H730" s="64" t="n">
        <v>-3355683.55000825</v>
      </c>
      <c r="I730" s="64" t="n">
        <v>-3430712.97194204</v>
      </c>
      <c r="J730" s="64" t="n">
        <v>-3507439.24220487</v>
      </c>
      <c r="K730" s="64" t="n">
        <v>-3585901.1712817</v>
      </c>
      <c r="L730" s="64" t="n">
        <v>-3666138.4670395</v>
      </c>
      <c r="M730" s="64" t="n">
        <v>-3748191.75569074</v>
      </c>
      <c r="N730" s="64" t="n">
        <v>-3832102.60325133</v>
      </c>
      <c r="O730" s="64" t="n">
        <v>-3917913.53750465</v>
      </c>
      <c r="P730" s="64" t="n">
        <v>-4005668.07048383</v>
      </c>
      <c r="Q730" s="64" t="n">
        <v>-4095410.72148454</v>
      </c>
      <c r="R730" s="64" t="n">
        <v>-4187187.04062096</v>
      </c>
      <c r="S730" s="64" t="n">
        <v>-4281043.63293777</v>
      </c>
      <c r="T730" s="64" t="n">
        <v>-4377028.18309156</v>
      </c>
      <c r="U730" s="64" t="n">
        <v>-4475189.48061504</v>
      </c>
      <c r="V730" s="64" t="n">
        <v>-4575577.44577809</v>
      </c>
      <c r="W730" s="65"/>
    </row>
    <row r="731" customFormat="false" ht="12.75" hidden="false" customHeight="false" outlineLevel="0" collapsed="false">
      <c r="A731" s="2"/>
      <c r="B731" s="117" t="s">
        <v>23</v>
      </c>
      <c r="C731" s="118" t="n">
        <v>0</v>
      </c>
      <c r="D731" s="64" t="n">
        <v>0</v>
      </c>
      <c r="E731" s="64" t="n">
        <v>0</v>
      </c>
      <c r="F731" s="64" t="n">
        <v>0</v>
      </c>
      <c r="G731" s="64" t="n">
        <v>0</v>
      </c>
      <c r="H731" s="64" t="n">
        <v>0</v>
      </c>
      <c r="I731" s="64" t="n">
        <v>-1026671.86878216</v>
      </c>
      <c r="J731" s="64" t="n">
        <v>-1137983.75193499</v>
      </c>
      <c r="K731" s="64" t="n">
        <v>-1474049.93833635</v>
      </c>
      <c r="L731" s="64" t="n">
        <v>-1379207.52665153</v>
      </c>
      <c r="M731" s="64" t="n">
        <v>-1533890.82346472</v>
      </c>
      <c r="N731" s="64" t="n">
        <v>-1689696.74063934</v>
      </c>
      <c r="O731" s="64" t="n">
        <v>-1872133.32998823</v>
      </c>
      <c r="P731" s="64" t="n">
        <v>-2099153.94580134</v>
      </c>
      <c r="Q731" s="64" t="n">
        <v>-2336685.908391</v>
      </c>
      <c r="R731" s="64" t="n">
        <v>-2588334.17024431</v>
      </c>
      <c r="S731" s="64" t="n">
        <v>-2841987.73589693</v>
      </c>
      <c r="T731" s="64" t="n">
        <v>-2792114.39693767</v>
      </c>
      <c r="U731" s="64" t="n">
        <v>-2388804.88511321</v>
      </c>
      <c r="V731" s="64" t="n">
        <v>-2476749.93963286</v>
      </c>
      <c r="W731" s="65"/>
    </row>
    <row r="732" customFormat="false" ht="13.5" hidden="false" customHeight="false" outlineLevel="0" collapsed="false">
      <c r="A732" s="2"/>
      <c r="B732" s="119" t="s">
        <v>24</v>
      </c>
      <c r="C732" s="120" t="n">
        <v>0</v>
      </c>
      <c r="D732" s="68" t="n">
        <v>0</v>
      </c>
      <c r="E732" s="68" t="n">
        <v>0</v>
      </c>
      <c r="F732" s="68" t="n">
        <v>-1727873.88273132</v>
      </c>
      <c r="G732" s="68" t="n">
        <v>-1472256.85661973</v>
      </c>
      <c r="H732" s="68" t="n">
        <v>-1528403.75734854</v>
      </c>
      <c r="I732" s="68" t="n">
        <v>-1587381.87391787</v>
      </c>
      <c r="J732" s="68" t="n">
        <v>-1994098.32548941</v>
      </c>
      <c r="K732" s="68" t="n">
        <v>-1741822.53923906</v>
      </c>
      <c r="L732" s="68" t="n">
        <v>-1843596.08784071</v>
      </c>
      <c r="M732" s="68" t="n">
        <v>-1754252.28539325</v>
      </c>
      <c r="N732" s="68" t="n">
        <v>-1804495.51666309</v>
      </c>
      <c r="O732" s="68" t="n">
        <v>-1851287.65886357</v>
      </c>
      <c r="P732" s="68" t="n">
        <v>-1653588.29246103</v>
      </c>
      <c r="Q732" s="68" t="n">
        <v>-1712711.81027807</v>
      </c>
      <c r="R732" s="68" t="n">
        <v>-1748105.65272601</v>
      </c>
      <c r="S732" s="68" t="n">
        <v>-1856365.38435413</v>
      </c>
      <c r="T732" s="68" t="n">
        <v>-1745175.99722665</v>
      </c>
      <c r="U732" s="68" t="n">
        <v>-1922096.77625785</v>
      </c>
      <c r="V732" s="68" t="n">
        <v>-1046486.65541988</v>
      </c>
      <c r="W732" s="65"/>
    </row>
    <row r="733" customFormat="false" ht="13.5" hidden="false" customHeight="false" outlineLevel="0" collapsed="false">
      <c r="A733" s="2"/>
      <c r="B733" s="121" t="s">
        <v>25</v>
      </c>
      <c r="C733" s="122" t="n">
        <v>0</v>
      </c>
      <c r="D733" s="71" t="n">
        <v>67718567.1692134</v>
      </c>
      <c r="E733" s="71" t="n">
        <v>65837668.467166</v>
      </c>
      <c r="F733" s="71" t="n">
        <v>63992645.8794529</v>
      </c>
      <c r="G733" s="71" t="n">
        <v>61827070.9092612</v>
      </c>
      <c r="H733" s="71" t="n">
        <v>61305925.594384</v>
      </c>
      <c r="I733" s="71" t="n">
        <v>65613770.434717</v>
      </c>
      <c r="J733" s="71" t="n">
        <v>71942473.5822868</v>
      </c>
      <c r="K733" s="71" t="n">
        <v>73972638.8193935</v>
      </c>
      <c r="L733" s="71" t="n">
        <v>75738509.0219314</v>
      </c>
      <c r="M733" s="71" t="n">
        <v>75709927.412522</v>
      </c>
      <c r="N733" s="71" t="n">
        <v>77508523.6530374</v>
      </c>
      <c r="O733" s="71" t="n">
        <v>77740088.3809514</v>
      </c>
      <c r="P733" s="71" t="n">
        <v>78194214.9879826</v>
      </c>
      <c r="Q733" s="71" t="n">
        <v>81392000.3772487</v>
      </c>
      <c r="R733" s="71" t="n">
        <v>89697664.1345072</v>
      </c>
      <c r="S733" s="71" t="n">
        <v>87579261.8756393</v>
      </c>
      <c r="T733" s="71" t="n">
        <v>88444821.0983313</v>
      </c>
      <c r="U733" s="71" t="n">
        <v>94275524.1378417</v>
      </c>
      <c r="V733" s="71" t="n">
        <v>98344127.9390575</v>
      </c>
      <c r="W733" s="65"/>
    </row>
    <row r="734" customFormat="false" ht="12.75" hidden="false" customHeight="false" outlineLevel="0" collapsed="false">
      <c r="A734" s="2"/>
      <c r="B734" s="117" t="s">
        <v>26</v>
      </c>
      <c r="C734" s="118" t="n">
        <v>0</v>
      </c>
      <c r="D734" s="64" t="n">
        <v>-4712996.93251453</v>
      </c>
      <c r="E734" s="64" t="n">
        <v>-4807256.87116482</v>
      </c>
      <c r="F734" s="64" t="n">
        <v>-4972323.00858812</v>
      </c>
      <c r="G734" s="64" t="n">
        <v>-5072114.07375988</v>
      </c>
      <c r="H734" s="64" t="n">
        <v>-5173909.57536008</v>
      </c>
      <c r="I734" s="64" t="n">
        <v>-5277749.81749541</v>
      </c>
      <c r="J734" s="64" t="n">
        <v>-5383675.91573914</v>
      </c>
      <c r="K734" s="64" t="n">
        <v>-5491729.8134951</v>
      </c>
      <c r="L734" s="64" t="n">
        <v>-5601954.2986922</v>
      </c>
      <c r="M734" s="64" t="n">
        <v>-5714393.02081643</v>
      </c>
      <c r="N734" s="64" t="n">
        <v>-5829090.5082869</v>
      </c>
      <c r="O734" s="64" t="n">
        <v>-5946092.18618314</v>
      </c>
      <c r="P734" s="64" t="n">
        <v>-6065444.39433056</v>
      </c>
      <c r="Q734" s="64" t="n">
        <v>-6187194.40575152</v>
      </c>
      <c r="R734" s="64" t="n">
        <v>-6311390.44548927</v>
      </c>
      <c r="S734" s="64" t="n">
        <v>-6438081.70981233</v>
      </c>
      <c r="T734" s="64" t="n">
        <v>-6567318.38580719</v>
      </c>
      <c r="U734" s="64" t="n">
        <v>-6699151.67136691</v>
      </c>
      <c r="V734" s="64" t="n">
        <v>-6833633.79558391</v>
      </c>
      <c r="W734" s="65"/>
    </row>
    <row r="735" customFormat="false" ht="12.75" hidden="false" customHeight="false" outlineLevel="0" collapsed="false">
      <c r="A735" s="2"/>
      <c r="B735" s="117" t="s">
        <v>27</v>
      </c>
      <c r="C735" s="118" t="n">
        <v>0</v>
      </c>
      <c r="D735" s="64" t="n">
        <v>-695592.311439238</v>
      </c>
      <c r="E735" s="64" t="n">
        <v>-709213.759047067</v>
      </c>
      <c r="F735" s="64" t="n">
        <v>-723133.516357507</v>
      </c>
      <c r="G735" s="64" t="n">
        <v>-737367.860183163</v>
      </c>
      <c r="H735" s="64" t="n">
        <v>-751940.98139187</v>
      </c>
      <c r="I735" s="64" t="n">
        <v>-767475.728385741</v>
      </c>
      <c r="J735" s="64" t="n">
        <v>-783396.237673474</v>
      </c>
      <c r="K735" s="64" t="n">
        <v>-799092.573148868</v>
      </c>
      <c r="L735" s="64" t="n">
        <v>-815819.435905212</v>
      </c>
      <c r="M735" s="64" t="n">
        <v>-832313.613758369</v>
      </c>
      <c r="N735" s="64" t="n">
        <v>-849206.950715574</v>
      </c>
      <c r="O735" s="64" t="n">
        <v>-866525.999764099</v>
      </c>
      <c r="P735" s="64" t="n">
        <v>-884284.952658457</v>
      </c>
      <c r="Q735" s="64" t="n">
        <v>-902487.879375174</v>
      </c>
      <c r="R735" s="64" t="n">
        <v>-921147.699552481</v>
      </c>
      <c r="S735" s="64" t="n">
        <v>-940274.01523422</v>
      </c>
      <c r="T735" s="64" t="n">
        <v>-959874.663544867</v>
      </c>
      <c r="U735" s="64" t="n">
        <v>-979967.288128111</v>
      </c>
      <c r="V735" s="64" t="n">
        <v>-1000564.23758839</v>
      </c>
      <c r="W735" s="65"/>
    </row>
    <row r="736" customFormat="false" ht="13.5" hidden="false" customHeight="false" outlineLevel="0" collapsed="false">
      <c r="A736" s="2"/>
      <c r="B736" s="119" t="s">
        <v>28</v>
      </c>
      <c r="C736" s="120" t="n">
        <v>0</v>
      </c>
      <c r="D736" s="68" t="n">
        <v>-657011.694616466</v>
      </c>
      <c r="E736" s="68" t="n">
        <v>-670874.641372877</v>
      </c>
      <c r="F736" s="68" t="n">
        <v>-685566.796018944</v>
      </c>
      <c r="G736" s="68" t="n">
        <v>-701060.605608967</v>
      </c>
      <c r="H736" s="68" t="n">
        <v>-717745.848022462</v>
      </c>
      <c r="I736" s="68" t="n">
        <v>-735732.631130185</v>
      </c>
      <c r="J736" s="68" t="n">
        <v>-753980.850038893</v>
      </c>
      <c r="K736" s="68" t="n">
        <v>-773065.663510754</v>
      </c>
      <c r="L736" s="68" t="n">
        <v>-792160.38539947</v>
      </c>
      <c r="M736" s="68" t="n">
        <v>-812360.475227154</v>
      </c>
      <c r="N736" s="68" t="n">
        <v>-832019.598727655</v>
      </c>
      <c r="O736" s="68" t="n">
        <v>-852986.492615589</v>
      </c>
      <c r="P736" s="68" t="n">
        <v>-874652.349528023</v>
      </c>
      <c r="Q736" s="68" t="n">
        <v>-896518.658266224</v>
      </c>
      <c r="R736" s="68" t="n">
        <v>-919021.276588706</v>
      </c>
      <c r="S736" s="68" t="n">
        <v>-941996.808503425</v>
      </c>
      <c r="T736" s="68" t="n">
        <v>-965358.329354309</v>
      </c>
      <c r="U736" s="68" t="n">
        <v>-989588.823421104</v>
      </c>
      <c r="V736" s="68" t="n">
        <v>-1014427.50288897</v>
      </c>
      <c r="W736" s="65"/>
    </row>
    <row r="737" customFormat="false" ht="13.5" hidden="false" customHeight="false" outlineLevel="0" collapsed="false">
      <c r="A737" s="2"/>
      <c r="B737" s="121" t="s">
        <v>29</v>
      </c>
      <c r="C737" s="123" t="n">
        <v>0</v>
      </c>
      <c r="D737" s="73" t="n">
        <v>61652966.2306432</v>
      </c>
      <c r="E737" s="73" t="n">
        <v>59650323.1955812</v>
      </c>
      <c r="F737" s="73" t="n">
        <v>57611622.5584883</v>
      </c>
      <c r="G737" s="73" t="n">
        <v>55316528.3697092</v>
      </c>
      <c r="H737" s="73" t="n">
        <v>54662329.1896096</v>
      </c>
      <c r="I737" s="73" t="n">
        <v>58832812.2577057</v>
      </c>
      <c r="J737" s="73" t="n">
        <v>65021420.5788353</v>
      </c>
      <c r="K737" s="73" t="n">
        <v>66908750.7692387</v>
      </c>
      <c r="L737" s="73" t="n">
        <v>68528574.9019345</v>
      </c>
      <c r="M737" s="73" t="n">
        <v>68350860.30272</v>
      </c>
      <c r="N737" s="73" t="n">
        <v>69998206.5953073</v>
      </c>
      <c r="O737" s="73" t="n">
        <v>70074483.7023886</v>
      </c>
      <c r="P737" s="73" t="n">
        <v>70369833.2914656</v>
      </c>
      <c r="Q737" s="73" t="n">
        <v>73405799.4338558</v>
      </c>
      <c r="R737" s="73" t="n">
        <v>81546104.7128767</v>
      </c>
      <c r="S737" s="73" t="n">
        <v>79258909.3420893</v>
      </c>
      <c r="T737" s="73" t="n">
        <v>79952269.719625</v>
      </c>
      <c r="U737" s="73" t="n">
        <v>85606816.3549255</v>
      </c>
      <c r="V737" s="73" t="n">
        <v>89495502.4029963</v>
      </c>
      <c r="W737" s="65"/>
    </row>
    <row r="738" customFormat="false" ht="12.75" hidden="false" customHeight="false" outlineLevel="0" collapsed="false">
      <c r="A738" s="2"/>
      <c r="B738" s="117" t="s">
        <v>30</v>
      </c>
      <c r="C738" s="118" t="n">
        <v>0</v>
      </c>
      <c r="D738" s="64" t="n">
        <v>-4804319.869399</v>
      </c>
      <c r="E738" s="64" t="n">
        <v>-6492054.9141274</v>
      </c>
      <c r="F738" s="64" t="n">
        <v>-6517620.5654609</v>
      </c>
      <c r="G738" s="64" t="n">
        <v>-6660545.6649593</v>
      </c>
      <c r="H738" s="64" t="n">
        <v>-5999973.8414612</v>
      </c>
      <c r="I738" s="64" t="n">
        <v>-4459776.1983775</v>
      </c>
      <c r="J738" s="64" t="n">
        <v>-3772298.7757747</v>
      </c>
      <c r="K738" s="64" t="n">
        <v>-3952014.447599</v>
      </c>
      <c r="L738" s="64" t="n">
        <v>-4201247.2218109</v>
      </c>
      <c r="M738" s="64" t="n">
        <v>-4335295.91994232</v>
      </c>
      <c r="N738" s="64" t="n">
        <v>-4471702.1036967</v>
      </c>
      <c r="O738" s="64" t="n">
        <v>-4748077.29560819</v>
      </c>
      <c r="P738" s="64" t="n">
        <v>-5033130.13014069</v>
      </c>
      <c r="Q738" s="64" t="n">
        <v>-5163274.26970915</v>
      </c>
      <c r="R738" s="64" t="n">
        <v>-5302056.87346467</v>
      </c>
      <c r="S738" s="64" t="n">
        <v>-5613727.80033286</v>
      </c>
      <c r="T738" s="64" t="n">
        <v>-5934646.34000709</v>
      </c>
      <c r="U738" s="64" t="n">
        <v>-6141507.95087155</v>
      </c>
      <c r="V738" s="64" t="n">
        <v>-6347865.00506194</v>
      </c>
      <c r="W738" s="65"/>
    </row>
    <row r="739" customFormat="false" ht="13.5" hidden="false" customHeight="false" outlineLevel="0" collapsed="false">
      <c r="A739" s="2"/>
      <c r="B739" s="119" t="s">
        <v>70</v>
      </c>
      <c r="C739" s="120" t="n">
        <v>0</v>
      </c>
      <c r="D739" s="68" t="n">
        <v>-22739458.5444977</v>
      </c>
      <c r="E739" s="68" t="n">
        <v>-21263307.3125815</v>
      </c>
      <c r="F739" s="68" t="n">
        <v>-20437600.797211</v>
      </c>
      <c r="G739" s="68" t="n">
        <v>-19462393.0819</v>
      </c>
      <c r="H739" s="68" t="n">
        <v>-19464942.1392594</v>
      </c>
      <c r="I739" s="68" t="n">
        <v>-21749214.4237313</v>
      </c>
      <c r="J739" s="68" t="n">
        <v>-24499648.7212242</v>
      </c>
      <c r="K739" s="68" t="n">
        <v>-25182694.5286559</v>
      </c>
      <c r="L739" s="68" t="n">
        <v>-25730931.0720494</v>
      </c>
      <c r="M739" s="68" t="n">
        <v>-25606225.7531111</v>
      </c>
      <c r="N739" s="68" t="n">
        <v>-26210601.7966442</v>
      </c>
      <c r="O739" s="68" t="n">
        <v>-26130562.5627122</v>
      </c>
      <c r="P739" s="68" t="n">
        <v>-26134681.26453</v>
      </c>
      <c r="Q739" s="68" t="n">
        <v>-27297010.0656587</v>
      </c>
      <c r="R739" s="68" t="n">
        <v>-30497619.1357648</v>
      </c>
      <c r="S739" s="68" t="n">
        <v>-29458072.6167026</v>
      </c>
      <c r="T739" s="68" t="n">
        <v>-29607049.3518471</v>
      </c>
      <c r="U739" s="68" t="n">
        <v>-31786123.3616216</v>
      </c>
      <c r="V739" s="68" t="n">
        <v>-33259054.9591737</v>
      </c>
      <c r="W739" s="65"/>
    </row>
    <row r="740" customFormat="false" ht="13.5" hidden="false" customHeight="false" outlineLevel="0" collapsed="false">
      <c r="A740" s="2"/>
      <c r="B740" s="121" t="s">
        <v>32</v>
      </c>
      <c r="C740" s="123" t="n">
        <v>0</v>
      </c>
      <c r="D740" s="73" t="n">
        <v>34109187.8167465</v>
      </c>
      <c r="E740" s="73" t="n">
        <v>31894960.9688723</v>
      </c>
      <c r="F740" s="73" t="n">
        <v>30656401.1958164</v>
      </c>
      <c r="G740" s="73" t="n">
        <v>29193589.62285</v>
      </c>
      <c r="H740" s="73" t="n">
        <v>29197413.208889</v>
      </c>
      <c r="I740" s="73" t="n">
        <v>32623821.6355969</v>
      </c>
      <c r="J740" s="73" t="n">
        <v>36749473.0818363</v>
      </c>
      <c r="K740" s="73" t="n">
        <v>37774041.7929838</v>
      </c>
      <c r="L740" s="73" t="n">
        <v>38596396.6080742</v>
      </c>
      <c r="M740" s="73" t="n">
        <v>38409338.6296666</v>
      </c>
      <c r="N740" s="73" t="n">
        <v>39315902.6949663</v>
      </c>
      <c r="O740" s="73" t="n">
        <v>39195843.8440682</v>
      </c>
      <c r="P740" s="73" t="n">
        <v>39202021.8967949</v>
      </c>
      <c r="Q740" s="73" t="n">
        <v>40945515.098488</v>
      </c>
      <c r="R740" s="73" t="n">
        <v>45746428.7036472</v>
      </c>
      <c r="S740" s="73" t="n">
        <v>44187108.9250539</v>
      </c>
      <c r="T740" s="73" t="n">
        <v>44410574.0277707</v>
      </c>
      <c r="U740" s="73" t="n">
        <v>47679185.0424324</v>
      </c>
      <c r="V740" s="73" t="n">
        <v>49888582.4387606</v>
      </c>
      <c r="W740" s="65"/>
    </row>
    <row r="741" customFormat="false" ht="12.75" hidden="false" customHeight="false" outlineLevel="0" collapsed="false">
      <c r="A741" s="2"/>
      <c r="B741" s="117" t="s">
        <v>30</v>
      </c>
      <c r="C741" s="118" t="n">
        <v>0</v>
      </c>
      <c r="D741" s="64" t="n">
        <v>4804319.869399</v>
      </c>
      <c r="E741" s="64" t="n">
        <v>6492054.9141274</v>
      </c>
      <c r="F741" s="64" t="n">
        <v>6517620.5654609</v>
      </c>
      <c r="G741" s="64" t="n">
        <v>6660545.6649593</v>
      </c>
      <c r="H741" s="64" t="n">
        <v>5999973.8414612</v>
      </c>
      <c r="I741" s="64" t="n">
        <v>4459776.1983775</v>
      </c>
      <c r="J741" s="64" t="n">
        <v>3772298.7757747</v>
      </c>
      <c r="K741" s="64" t="n">
        <v>3952014.447599</v>
      </c>
      <c r="L741" s="64" t="n">
        <v>4201247.2218109</v>
      </c>
      <c r="M741" s="64" t="n">
        <v>4335295.91994232</v>
      </c>
      <c r="N741" s="64" t="n">
        <v>4471702.1036967</v>
      </c>
      <c r="O741" s="64" t="n">
        <v>4748077.29560819</v>
      </c>
      <c r="P741" s="64" t="n">
        <v>5033130.13014069</v>
      </c>
      <c r="Q741" s="64" t="n">
        <v>5163274.26970915</v>
      </c>
      <c r="R741" s="64" t="n">
        <v>5302056.87346467</v>
      </c>
      <c r="S741" s="64" t="n">
        <v>5613727.80033286</v>
      </c>
      <c r="T741" s="64" t="n">
        <v>5934646.34000709</v>
      </c>
      <c r="U741" s="64" t="n">
        <v>6141507.95087155</v>
      </c>
      <c r="V741" s="64" t="n">
        <v>6347865.00506194</v>
      </c>
      <c r="W741" s="65"/>
    </row>
    <row r="742" customFormat="false" ht="12.75" hidden="false" customHeight="false" outlineLevel="0" collapsed="false">
      <c r="A742" s="2"/>
      <c r="B742" s="117" t="s">
        <v>33</v>
      </c>
      <c r="C742" s="118" t="n">
        <v>0</v>
      </c>
      <c r="D742" s="64" t="n">
        <v>-17423162.36</v>
      </c>
      <c r="E742" s="64" t="n">
        <v>-2384312.89</v>
      </c>
      <c r="F742" s="64" t="n">
        <v>-3137634.37</v>
      </c>
      <c r="G742" s="64" t="n">
        <v>-5659421.96</v>
      </c>
      <c r="H742" s="64" t="n">
        <v>-4800000</v>
      </c>
      <c r="I742" s="64" t="n">
        <v>-4944000</v>
      </c>
      <c r="J742" s="64" t="n">
        <v>-5092320</v>
      </c>
      <c r="K742" s="64" t="n">
        <v>-5245089.6</v>
      </c>
      <c r="L742" s="64" t="n">
        <v>-5402442.288</v>
      </c>
      <c r="M742" s="64" t="n">
        <v>-5564515.55664</v>
      </c>
      <c r="N742" s="64" t="n">
        <v>-5731451.0233392</v>
      </c>
      <c r="O742" s="64" t="n">
        <v>-5903394.55403938</v>
      </c>
      <c r="P742" s="64" t="n">
        <v>-6080496.39066056</v>
      </c>
      <c r="Q742" s="64" t="n">
        <v>-6262911.28238038</v>
      </c>
      <c r="R742" s="64" t="n">
        <v>-6450798.62085179</v>
      </c>
      <c r="S742" s="64" t="n">
        <v>-6644322.57947734</v>
      </c>
      <c r="T742" s="64" t="n">
        <v>-6843652.25686166</v>
      </c>
      <c r="U742" s="64" t="n">
        <v>-7048961.82456751</v>
      </c>
      <c r="V742" s="64" t="n">
        <v>-7260430.67930454</v>
      </c>
      <c r="W742" s="65"/>
    </row>
    <row r="743" customFormat="false" ht="13.5" hidden="false" customHeight="false" outlineLevel="0" collapsed="false">
      <c r="A743" s="2"/>
      <c r="B743" s="119" t="s">
        <v>34</v>
      </c>
      <c r="C743" s="120" t="n">
        <v>0</v>
      </c>
      <c r="D743" s="68" t="n">
        <v>-14239251.33</v>
      </c>
      <c r="E743" s="68" t="n">
        <v>-71334.62</v>
      </c>
      <c r="F743" s="68" t="n">
        <v>0</v>
      </c>
      <c r="G743" s="68" t="n">
        <v>0</v>
      </c>
      <c r="H743" s="68" t="n">
        <v>0</v>
      </c>
      <c r="I743" s="68" t="n">
        <v>0</v>
      </c>
      <c r="J743" s="68" t="n">
        <v>0</v>
      </c>
      <c r="K743" s="68" t="n">
        <v>0</v>
      </c>
      <c r="L743" s="68" t="n">
        <v>0</v>
      </c>
      <c r="M743" s="68" t="n">
        <v>0</v>
      </c>
      <c r="N743" s="68" t="n">
        <v>0</v>
      </c>
      <c r="O743" s="68" t="n">
        <v>0</v>
      </c>
      <c r="P743" s="68" t="n">
        <v>0</v>
      </c>
      <c r="Q743" s="68" t="n">
        <v>0</v>
      </c>
      <c r="R743" s="68" t="n">
        <v>0</v>
      </c>
      <c r="S743" s="68" t="n">
        <v>0</v>
      </c>
      <c r="T743" s="68" t="n">
        <v>0</v>
      </c>
      <c r="U743" s="68" t="n">
        <v>0</v>
      </c>
      <c r="V743" s="68" t="n">
        <v>0</v>
      </c>
      <c r="W743" s="65"/>
    </row>
    <row r="744" customFormat="false" ht="13.5" hidden="false" customHeight="false" outlineLevel="0" collapsed="false">
      <c r="A744" s="2"/>
      <c r="B744" s="117"/>
      <c r="C744" s="124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</row>
    <row r="745" customFormat="false" ht="12.75" hidden="false" customHeight="false" outlineLevel="0" collapsed="false">
      <c r="A745" s="2"/>
      <c r="B745" s="121" t="s">
        <v>35</v>
      </c>
      <c r="C745" s="123" t="n">
        <v>0</v>
      </c>
      <c r="D745" s="73" t="n">
        <v>7251093.99614552</v>
      </c>
      <c r="E745" s="73" t="n">
        <v>35931368.3729997</v>
      </c>
      <c r="F745" s="73" t="n">
        <v>34036387.3912773</v>
      </c>
      <c r="G745" s="73" t="n">
        <v>30194713.3278093</v>
      </c>
      <c r="H745" s="73" t="n">
        <v>30397387.0503502</v>
      </c>
      <c r="I745" s="73" t="n">
        <v>32139597.8339744</v>
      </c>
      <c r="J745" s="73" t="n">
        <v>35429451.857611</v>
      </c>
      <c r="K745" s="73" t="n">
        <v>36480966.6405828</v>
      </c>
      <c r="L745" s="73" t="n">
        <v>37395201.5418851</v>
      </c>
      <c r="M745" s="73" t="n">
        <v>37180118.992969</v>
      </c>
      <c r="N745" s="73" t="n">
        <v>38056153.7753239</v>
      </c>
      <c r="O745" s="73" t="n">
        <v>38040526.5856371</v>
      </c>
      <c r="P745" s="73" t="n">
        <v>38154655.6362751</v>
      </c>
      <c r="Q745" s="73" t="n">
        <v>39845878.0858168</v>
      </c>
      <c r="R745" s="73" t="n">
        <v>44597686.9562601</v>
      </c>
      <c r="S745" s="73" t="n">
        <v>43156514.1459094</v>
      </c>
      <c r="T745" s="73" t="n">
        <v>43501568.1109161</v>
      </c>
      <c r="U745" s="73" t="n">
        <v>46771731.1687364</v>
      </c>
      <c r="V745" s="73" t="n">
        <v>48976016.764518</v>
      </c>
      <c r="W745" s="71" t="n">
        <v>257015475.322251</v>
      </c>
    </row>
    <row r="746" customFormat="false" ht="12.75" hidden="false" customHeight="false" outlineLevel="0" collapsed="false">
      <c r="A746" s="2"/>
      <c r="B746" s="12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customFormat="false" ht="12.75" hidden="false" customHeight="false" outlineLevel="0" collapsed="false">
      <c r="A747" s="48" t="s">
        <v>36</v>
      </c>
      <c r="B747" s="126" t="s">
        <v>37</v>
      </c>
      <c r="C747" s="76" t="n">
        <v>101357072.280585</v>
      </c>
      <c r="D747" s="2"/>
      <c r="E747" s="127" t="s">
        <v>38</v>
      </c>
      <c r="F747" s="128" t="s">
        <v>37</v>
      </c>
      <c r="G747" s="79" t="n">
        <v>101357072.280585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customFormat="false" ht="12.75" hidden="false" customHeight="false" outlineLevel="0" collapsed="false">
      <c r="A748" s="2"/>
      <c r="B748" s="126" t="s">
        <v>39</v>
      </c>
      <c r="C748" s="76" t="n">
        <v>175634597.916849</v>
      </c>
      <c r="D748" s="2"/>
      <c r="E748" s="129"/>
      <c r="F748" s="128" t="s">
        <v>39</v>
      </c>
      <c r="G748" s="79" t="n">
        <v>175634597.916849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customFormat="false" ht="13.5" hidden="false" customHeight="false" outlineLevel="0" collapsed="false">
      <c r="A749" s="2"/>
      <c r="B749" s="130" t="s">
        <v>40</v>
      </c>
      <c r="C749" s="82" t="n">
        <v>38203712.7102492</v>
      </c>
      <c r="D749" s="131"/>
      <c r="E749" s="129"/>
      <c r="F749" s="128" t="s">
        <v>40</v>
      </c>
      <c r="G749" s="79" t="n">
        <v>38203712.7102492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customFormat="false" ht="14.25" hidden="false" customHeight="false" outlineLevel="0" collapsed="false">
      <c r="A750" s="2"/>
      <c r="B750" s="126" t="s">
        <v>41</v>
      </c>
      <c r="C750" s="76" t="n">
        <v>315195382.907684</v>
      </c>
      <c r="D750" s="132"/>
      <c r="E750" s="129"/>
      <c r="F750" s="133" t="s">
        <v>42</v>
      </c>
      <c r="G750" s="85" t="n">
        <v>0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customFormat="false" ht="13.5" hidden="false" customHeight="false" outlineLevel="0" collapsed="false">
      <c r="A751" s="2"/>
      <c r="B751" s="125"/>
      <c r="C751" s="134"/>
      <c r="D751" s="2"/>
      <c r="E751" s="135"/>
      <c r="F751" s="128" t="s">
        <v>41</v>
      </c>
      <c r="G751" s="79" t="n">
        <v>315195382.907684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customFormat="false" ht="12.75" hidden="false" customHeight="false" outlineLevel="0" collapsed="false">
      <c r="A752" s="2"/>
      <c r="B752" s="125"/>
      <c r="C752" s="134"/>
      <c r="D752" s="2"/>
      <c r="E752" s="135"/>
      <c r="F752" s="128"/>
      <c r="G752" s="13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customFormat="false" ht="12.75" hidden="false" customHeight="false" outlineLevel="0" collapsed="false">
      <c r="A753" s="2"/>
      <c r="B753" s="125"/>
      <c r="C753" s="134"/>
      <c r="D753" s="2"/>
      <c r="E753" s="135"/>
      <c r="F753" s="128"/>
      <c r="G753" s="13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customFormat="false" ht="12.75" hidden="false" customHeight="false" outlineLevel="0" collapsed="false">
      <c r="A754" s="2"/>
      <c r="B754" s="137" t="s">
        <v>43</v>
      </c>
      <c r="C754" s="134"/>
      <c r="D754" s="2"/>
      <c r="E754" s="135"/>
      <c r="F754" s="128"/>
      <c r="G754" s="13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customFormat="false" ht="12.75" hidden="false" customHeight="false" outlineLevel="0" collapsed="false">
      <c r="A755" s="87" t="s">
        <v>44</v>
      </c>
      <c r="B755" s="137" t="s">
        <v>45</v>
      </c>
      <c r="C755" s="138"/>
      <c r="D755" s="88" t="n">
        <v>34109187.8167465</v>
      </c>
      <c r="E755" s="88" t="n">
        <v>31894960.9688723</v>
      </c>
      <c r="F755" s="88" t="n">
        <v>30656401.1958164</v>
      </c>
      <c r="G755" s="88" t="n">
        <v>29193589.62285</v>
      </c>
      <c r="H755" s="88" t="n">
        <v>29197413.208889</v>
      </c>
      <c r="I755" s="88" t="n">
        <v>32623821.6355969</v>
      </c>
      <c r="J755" s="88" t="n">
        <v>36749473.0818363</v>
      </c>
      <c r="K755" s="88" t="n">
        <v>37774041.7929838</v>
      </c>
      <c r="L755" s="88" t="n">
        <v>38596396.6080742</v>
      </c>
      <c r="M755" s="88" t="n">
        <v>38409338.6296666</v>
      </c>
      <c r="N755" s="88" t="n">
        <v>39315902.6949663</v>
      </c>
      <c r="O755" s="88" t="n">
        <v>39195843.8440682</v>
      </c>
      <c r="P755" s="88" t="n">
        <v>39202021.8967949</v>
      </c>
      <c r="Q755" s="88" t="n">
        <v>40945515.098488</v>
      </c>
      <c r="R755" s="88" t="n">
        <v>45746428.7036472</v>
      </c>
      <c r="S755" s="88" t="n">
        <v>44187108.9250539</v>
      </c>
      <c r="T755" s="88" t="n">
        <v>44410574.0277707</v>
      </c>
      <c r="U755" s="88" t="n">
        <v>47679185.0424324</v>
      </c>
      <c r="V755" s="88" t="n">
        <v>49888582.4387606</v>
      </c>
      <c r="W755" s="2"/>
    </row>
    <row r="756" customFormat="false" ht="12.75" hidden="false" customHeight="false" outlineLevel="0" collapsed="false">
      <c r="A756" s="2"/>
      <c r="B756" s="125" t="s">
        <v>46</v>
      </c>
      <c r="C756" s="134"/>
      <c r="D756" s="65" t="n">
        <v>22739458.5444977</v>
      </c>
      <c r="E756" s="65" t="n">
        <v>21263307.3125815</v>
      </c>
      <c r="F756" s="65" t="n">
        <v>20437600.797211</v>
      </c>
      <c r="G756" s="65" t="n">
        <v>19462393.0819</v>
      </c>
      <c r="H756" s="65" t="n">
        <v>19464942.1392594</v>
      </c>
      <c r="I756" s="65" t="n">
        <v>21749214.4237313</v>
      </c>
      <c r="J756" s="65" t="n">
        <v>24499648.7212242</v>
      </c>
      <c r="K756" s="65" t="n">
        <v>25182694.5286559</v>
      </c>
      <c r="L756" s="65" t="n">
        <v>25730931.0720494</v>
      </c>
      <c r="M756" s="65" t="n">
        <v>25606225.7531111</v>
      </c>
      <c r="N756" s="65" t="n">
        <v>26210601.7966442</v>
      </c>
      <c r="O756" s="65" t="n">
        <v>26130562.5627122</v>
      </c>
      <c r="P756" s="65" t="n">
        <v>26134681.26453</v>
      </c>
      <c r="Q756" s="65" t="n">
        <v>27297010.0656587</v>
      </c>
      <c r="R756" s="65" t="n">
        <v>30497619.1357648</v>
      </c>
      <c r="S756" s="65" t="n">
        <v>29458072.6167026</v>
      </c>
      <c r="T756" s="65" t="n">
        <v>29607049.3518471</v>
      </c>
      <c r="U756" s="65" t="n">
        <v>31786123.3616216</v>
      </c>
      <c r="V756" s="65" t="n">
        <v>33259054.9591737</v>
      </c>
      <c r="W756" s="2"/>
    </row>
    <row r="757" customFormat="false" ht="12.75" hidden="false" customHeight="false" outlineLevel="0" collapsed="false">
      <c r="A757" s="2"/>
      <c r="B757" s="139" t="s">
        <v>47</v>
      </c>
      <c r="C757" s="140"/>
      <c r="D757" s="65" t="n">
        <v>4804319.869399</v>
      </c>
      <c r="E757" s="65" t="n">
        <v>6492054.9141274</v>
      </c>
      <c r="F757" s="65" t="n">
        <v>6517620.5654609</v>
      </c>
      <c r="G757" s="65" t="n">
        <v>6660545.6649593</v>
      </c>
      <c r="H757" s="65" t="n">
        <v>5999973.8414612</v>
      </c>
      <c r="I757" s="65" t="n">
        <v>4459776.1983775</v>
      </c>
      <c r="J757" s="65" t="n">
        <v>3772298.7757747</v>
      </c>
      <c r="K757" s="65" t="n">
        <v>3952014.447599</v>
      </c>
      <c r="L757" s="65" t="n">
        <v>4201247.2218109</v>
      </c>
      <c r="M757" s="65" t="n">
        <v>4335295.91994232</v>
      </c>
      <c r="N757" s="65" t="n">
        <v>4471702.1036967</v>
      </c>
      <c r="O757" s="65" t="n">
        <v>4748077.29560819</v>
      </c>
      <c r="P757" s="65" t="n">
        <v>5033130.13014069</v>
      </c>
      <c r="Q757" s="65" t="n">
        <v>5163274.26970915</v>
      </c>
      <c r="R757" s="65" t="n">
        <v>5302056.87346467</v>
      </c>
      <c r="S757" s="65" t="n">
        <v>5613727.80033286</v>
      </c>
      <c r="T757" s="65" t="n">
        <v>5934646.34000709</v>
      </c>
      <c r="U757" s="65" t="n">
        <v>6141507.95087155</v>
      </c>
      <c r="V757" s="65" t="n">
        <v>6347865.00506194</v>
      </c>
      <c r="W757" s="2"/>
    </row>
    <row r="758" customFormat="false" ht="13.5" hidden="false" customHeight="false" outlineLevel="0" collapsed="false">
      <c r="A758" s="2"/>
      <c r="B758" s="141" t="s">
        <v>48</v>
      </c>
      <c r="C758" s="142"/>
      <c r="D758" s="93" t="n">
        <v>61652966.2306432</v>
      </c>
      <c r="E758" s="93" t="n">
        <v>59650323.1955812</v>
      </c>
      <c r="F758" s="93" t="n">
        <v>57611622.5584883</v>
      </c>
      <c r="G758" s="93" t="n">
        <v>55316528.3697092</v>
      </c>
      <c r="H758" s="93" t="n">
        <v>54662329.1896096</v>
      </c>
      <c r="I758" s="93" t="n">
        <v>58832812.2577057</v>
      </c>
      <c r="J758" s="93" t="n">
        <v>65021420.5788353</v>
      </c>
      <c r="K758" s="93" t="n">
        <v>66908750.7692388</v>
      </c>
      <c r="L758" s="93" t="n">
        <v>68528574.9019345</v>
      </c>
      <c r="M758" s="93" t="n">
        <v>68350860.30272</v>
      </c>
      <c r="N758" s="93" t="n">
        <v>69998206.5953073</v>
      </c>
      <c r="O758" s="93" t="n">
        <v>70074483.7023886</v>
      </c>
      <c r="P758" s="93" t="n">
        <v>70369833.2914656</v>
      </c>
      <c r="Q758" s="93" t="n">
        <v>73405799.4338558</v>
      </c>
      <c r="R758" s="93" t="n">
        <v>81546104.7128767</v>
      </c>
      <c r="S758" s="93" t="n">
        <v>79258909.3420893</v>
      </c>
      <c r="T758" s="93" t="n">
        <v>79952269.719625</v>
      </c>
      <c r="U758" s="93" t="n">
        <v>85606816.3549255</v>
      </c>
      <c r="V758" s="93" t="n">
        <v>89495502.4029963</v>
      </c>
      <c r="W758" s="2"/>
    </row>
    <row r="759" customFormat="false" ht="13.5" hidden="false" customHeight="false" outlineLevel="0" collapsed="false">
      <c r="A759" s="87" t="s">
        <v>49</v>
      </c>
      <c r="B759" s="125" t="s">
        <v>50</v>
      </c>
      <c r="C759" s="134"/>
      <c r="D759" s="65" t="n">
        <v>-5815249.22853618</v>
      </c>
      <c r="E759" s="65" t="n">
        <v>-5930669.89473633</v>
      </c>
      <c r="F759" s="65" t="n">
        <v>-6060928.21932273</v>
      </c>
      <c r="G759" s="65" t="n">
        <v>-6343528.63419867</v>
      </c>
      <c r="H759" s="65" t="n">
        <v>-6583149.88127251</v>
      </c>
      <c r="I759" s="65" t="n">
        <v>-6830349.88127251</v>
      </c>
      <c r="J759" s="65" t="n">
        <v>-6536554.82870813</v>
      </c>
      <c r="K759" s="65" t="n">
        <v>-6384943.98246851</v>
      </c>
      <c r="L759" s="65" t="n">
        <v>-6458191.11240373</v>
      </c>
      <c r="M759" s="65" t="n">
        <v>-6719326.39779053</v>
      </c>
      <c r="N759" s="65" t="n">
        <v>-7005898.94895749</v>
      </c>
      <c r="O759" s="65" t="n">
        <v>-7301068.67665946</v>
      </c>
      <c r="P759" s="65" t="n">
        <v>-7133709.06205757</v>
      </c>
      <c r="Q759" s="65" t="n">
        <v>-6802797.82430384</v>
      </c>
      <c r="R759" s="65" t="n">
        <v>-6146361.42506339</v>
      </c>
      <c r="S759" s="65" t="n">
        <v>-6416961.48253269</v>
      </c>
      <c r="T759" s="65" t="n">
        <v>-6754938.76487992</v>
      </c>
      <c r="U759" s="65" t="n">
        <v>-7107386.85610829</v>
      </c>
      <c r="V759" s="65" t="n">
        <v>-7466811.7780284</v>
      </c>
      <c r="W759" s="2"/>
    </row>
    <row r="760" customFormat="false" ht="12.75" hidden="false" customHeight="false" outlineLevel="0" collapsed="false">
      <c r="A760" s="2"/>
      <c r="B760" s="125" t="s">
        <v>51</v>
      </c>
      <c r="C760" s="134"/>
      <c r="D760" s="65" t="n">
        <v>0</v>
      </c>
      <c r="E760" s="65" t="n">
        <v>0</v>
      </c>
      <c r="F760" s="65" t="n">
        <v>0</v>
      </c>
      <c r="G760" s="65" t="n">
        <v>0</v>
      </c>
      <c r="H760" s="65" t="n">
        <v>0</v>
      </c>
      <c r="I760" s="65" t="n">
        <v>0</v>
      </c>
      <c r="J760" s="65" t="n">
        <v>0</v>
      </c>
      <c r="K760" s="65" t="n">
        <v>0</v>
      </c>
      <c r="L760" s="65" t="n">
        <v>0</v>
      </c>
      <c r="M760" s="65" t="n">
        <v>0</v>
      </c>
      <c r="N760" s="65" t="n">
        <v>0</v>
      </c>
      <c r="O760" s="65" t="n">
        <v>0</v>
      </c>
      <c r="P760" s="65" t="n">
        <v>0</v>
      </c>
      <c r="Q760" s="65" t="n">
        <v>0</v>
      </c>
      <c r="R760" s="65" t="n">
        <v>0</v>
      </c>
      <c r="S760" s="65" t="n">
        <v>0</v>
      </c>
      <c r="T760" s="65" t="n">
        <v>0</v>
      </c>
      <c r="U760" s="65" t="n">
        <v>0</v>
      </c>
      <c r="V760" s="65" t="n">
        <v>0</v>
      </c>
      <c r="W760" s="2"/>
    </row>
    <row r="761" customFormat="false" ht="12.75" hidden="false" customHeight="false" outlineLevel="0" collapsed="false">
      <c r="A761" s="2"/>
      <c r="B761" s="137" t="s">
        <v>52</v>
      </c>
      <c r="C761" s="138"/>
      <c r="D761" s="88" t="n">
        <v>55837717.002107</v>
      </c>
      <c r="E761" s="88" t="n">
        <v>53719653.3008449</v>
      </c>
      <c r="F761" s="88" t="n">
        <v>51550694.3391656</v>
      </c>
      <c r="G761" s="88" t="n">
        <v>48972999.7355106</v>
      </c>
      <c r="H761" s="88" t="n">
        <v>48079179.3083371</v>
      </c>
      <c r="I761" s="88" t="n">
        <v>52002462.3764332</v>
      </c>
      <c r="J761" s="88" t="n">
        <v>58484865.7501272</v>
      </c>
      <c r="K761" s="88" t="n">
        <v>60523806.7867702</v>
      </c>
      <c r="L761" s="88" t="n">
        <v>62070383.7895308</v>
      </c>
      <c r="M761" s="88" t="n">
        <v>61631533.9049295</v>
      </c>
      <c r="N761" s="88" t="n">
        <v>62992307.6463498</v>
      </c>
      <c r="O761" s="88" t="n">
        <v>62773415.0257291</v>
      </c>
      <c r="P761" s="88" t="n">
        <v>63236124.229408</v>
      </c>
      <c r="Q761" s="88" t="n">
        <v>66603001.609552</v>
      </c>
      <c r="R761" s="88" t="n">
        <v>75399743.2878133</v>
      </c>
      <c r="S761" s="88" t="n">
        <v>72841947.8595566</v>
      </c>
      <c r="T761" s="88" t="n">
        <v>73197330.954745</v>
      </c>
      <c r="U761" s="88" t="n">
        <v>78499429.4988173</v>
      </c>
      <c r="V761" s="88" t="n">
        <v>82028690.6249679</v>
      </c>
      <c r="W761" s="2"/>
    </row>
    <row r="762" customFormat="false" ht="13.5" hidden="false" customHeight="false" outlineLevel="0" collapsed="false">
      <c r="A762" s="2"/>
      <c r="B762" s="143" t="s">
        <v>53</v>
      </c>
      <c r="C762" s="144"/>
      <c r="D762" s="96" t="n">
        <v>-22335086.8008428</v>
      </c>
      <c r="E762" s="96" t="n">
        <v>-21487861.320338</v>
      </c>
      <c r="F762" s="96" t="n">
        <v>-20620277.7356662</v>
      </c>
      <c r="G762" s="96" t="n">
        <v>-19589199.8942042</v>
      </c>
      <c r="H762" s="96" t="n">
        <v>-19231671.7233348</v>
      </c>
      <c r="I762" s="96" t="n">
        <v>-20800984.9505733</v>
      </c>
      <c r="J762" s="96" t="n">
        <v>-23393946.3000509</v>
      </c>
      <c r="K762" s="96" t="n">
        <v>-24209522.7147081</v>
      </c>
      <c r="L762" s="96" t="n">
        <v>-24828153.5158123</v>
      </c>
      <c r="M762" s="96" t="n">
        <v>-24652613.5619718</v>
      </c>
      <c r="N762" s="96" t="n">
        <v>-25196923.0585399</v>
      </c>
      <c r="O762" s="96" t="n">
        <v>-25109366.0102917</v>
      </c>
      <c r="P762" s="96" t="n">
        <v>-25294449.6917632</v>
      </c>
      <c r="Q762" s="96" t="n">
        <v>-26641200.6438208</v>
      </c>
      <c r="R762" s="96" t="n">
        <v>-30159897.3151253</v>
      </c>
      <c r="S762" s="96" t="n">
        <v>-29136779.1438226</v>
      </c>
      <c r="T762" s="96" t="n">
        <v>-29278932.381898</v>
      </c>
      <c r="U762" s="96" t="n">
        <v>-31399771.7995269</v>
      </c>
      <c r="V762" s="96" t="n">
        <v>-32811476.2499871</v>
      </c>
      <c r="W762" s="2"/>
    </row>
    <row r="763" customFormat="false" ht="13.5" hidden="false" customHeight="false" outlineLevel="0" collapsed="false">
      <c r="A763" s="2"/>
      <c r="B763" s="137" t="s">
        <v>54</v>
      </c>
      <c r="C763" s="138"/>
      <c r="D763" s="88" t="n">
        <v>33502630.2012642</v>
      </c>
      <c r="E763" s="88" t="n">
        <v>32231791.9805069</v>
      </c>
      <c r="F763" s="88" t="n">
        <v>30930416.6034993</v>
      </c>
      <c r="G763" s="88" t="n">
        <v>29383799.8413063</v>
      </c>
      <c r="H763" s="88" t="n">
        <v>28847507.5850022</v>
      </c>
      <c r="I763" s="88" t="n">
        <v>31201477.4258599</v>
      </c>
      <c r="J763" s="88" t="n">
        <v>35090919.4500763</v>
      </c>
      <c r="K763" s="88" t="n">
        <v>36314284.0720621</v>
      </c>
      <c r="L763" s="88" t="n">
        <v>37242230.2737185</v>
      </c>
      <c r="M763" s="88" t="n">
        <v>36978920.3429577</v>
      </c>
      <c r="N763" s="88" t="n">
        <v>37795384.5878099</v>
      </c>
      <c r="O763" s="88" t="n">
        <v>37664049.0154375</v>
      </c>
      <c r="P763" s="88" t="n">
        <v>37941674.5376448</v>
      </c>
      <c r="Q763" s="88" t="n">
        <v>39961800.9657312</v>
      </c>
      <c r="R763" s="88" t="n">
        <v>45239845.972688</v>
      </c>
      <c r="S763" s="88" t="n">
        <v>43705168.715734</v>
      </c>
      <c r="T763" s="88" t="n">
        <v>43918398.572847</v>
      </c>
      <c r="U763" s="88" t="n">
        <v>47099657.6992904</v>
      </c>
      <c r="V763" s="88" t="n">
        <v>49217214.3749807</v>
      </c>
      <c r="W763" s="2"/>
    </row>
    <row r="764" customFormat="false" ht="12.75" hidden="false" customHeight="false" outlineLevel="0" collapsed="false">
      <c r="A764" s="2"/>
      <c r="B764" s="2"/>
      <c r="C764" s="134"/>
      <c r="D764" s="2"/>
      <c r="E764" s="135"/>
      <c r="F764" s="128"/>
      <c r="G764" s="13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customFormat="false" ht="15.75" hidden="false" customHeight="false" outlineLevel="0" collapsed="false">
      <c r="A765" s="97" t="s">
        <v>55</v>
      </c>
      <c r="B765" s="14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customFormat="false" ht="12.75" hidden="false" customHeight="false" outlineLevel="0" collapsed="false">
      <c r="A766" s="99" t="s">
        <v>56</v>
      </c>
      <c r="B766" s="49"/>
      <c r="C766" s="101" t="n">
        <v>0</v>
      </c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</row>
    <row r="767" customFormat="false" ht="12.75" hidden="false" customHeight="false" outlineLevel="0" collapsed="false">
      <c r="A767" s="99" t="s">
        <v>57</v>
      </c>
      <c r="B767" s="49"/>
      <c r="C767" s="146" t="n">
        <v>0</v>
      </c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</row>
    <row r="768" customFormat="false" ht="12.75" hidden="false" customHeight="false" outlineLevel="0" collapsed="false">
      <c r="A768" s="99" t="s">
        <v>58</v>
      </c>
      <c r="B768" s="49"/>
      <c r="C768" s="99" t="n">
        <v>15</v>
      </c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</row>
    <row r="769" customFormat="false" ht="12.75" hidden="false" customHeight="false" outlineLevel="0" collapsed="false">
      <c r="A769" s="99" t="s">
        <v>59</v>
      </c>
      <c r="B769" s="49"/>
      <c r="C769" s="146" t="n">
        <v>0</v>
      </c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</row>
    <row r="770" customFormat="false" ht="12.75" hidden="false" customHeight="false" outlineLevel="0" collapsed="false">
      <c r="A770" s="99" t="s">
        <v>60</v>
      </c>
      <c r="B770" s="49"/>
      <c r="C770" s="147" t="n">
        <v>0.0875</v>
      </c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</row>
    <row r="771" customFormat="false" ht="12.75" hidden="false" customHeight="false" outlineLevel="0" collapsed="false">
      <c r="A771" s="99"/>
      <c r="B771" s="49"/>
      <c r="C771" s="107"/>
      <c r="D771" s="58" t="n">
        <v>2001</v>
      </c>
      <c r="E771" s="58" t="n">
        <v>2002</v>
      </c>
      <c r="F771" s="58" t="n">
        <v>2003</v>
      </c>
      <c r="G771" s="58" t="n">
        <v>2004</v>
      </c>
      <c r="H771" s="58" t="n">
        <v>2005</v>
      </c>
      <c r="I771" s="58" t="n">
        <v>2006</v>
      </c>
      <c r="J771" s="58" t="n">
        <v>2007</v>
      </c>
      <c r="K771" s="58" t="n">
        <v>2008</v>
      </c>
      <c r="L771" s="58" t="n">
        <v>2009</v>
      </c>
      <c r="M771" s="58" t="n">
        <v>2010</v>
      </c>
      <c r="N771" s="58" t="n">
        <v>2011</v>
      </c>
      <c r="O771" s="58" t="n">
        <v>2012</v>
      </c>
      <c r="P771" s="58" t="n">
        <v>2013</v>
      </c>
      <c r="Q771" s="58" t="n">
        <v>2014</v>
      </c>
      <c r="R771" s="58" t="n">
        <v>2015</v>
      </c>
      <c r="S771" s="58" t="n">
        <v>2016</v>
      </c>
      <c r="T771" s="58" t="n">
        <v>2017</v>
      </c>
      <c r="U771" s="58" t="n">
        <v>2018</v>
      </c>
      <c r="V771" s="58" t="n">
        <v>2019</v>
      </c>
      <c r="W771" s="58" t="s">
        <v>19</v>
      </c>
    </row>
    <row r="772" customFormat="false" ht="12.75" hidden="false" customHeight="false" outlineLevel="0" collapsed="false">
      <c r="A772" s="99" t="s">
        <v>61</v>
      </c>
      <c r="B772" s="49"/>
      <c r="C772" s="107"/>
      <c r="D772" s="102" t="n">
        <v>0</v>
      </c>
      <c r="E772" s="102" t="n">
        <v>0</v>
      </c>
      <c r="F772" s="102" t="n">
        <v>0</v>
      </c>
      <c r="G772" s="102" t="n">
        <v>0</v>
      </c>
      <c r="H772" s="102" t="n">
        <v>0</v>
      </c>
      <c r="I772" s="102" t="n">
        <v>0</v>
      </c>
      <c r="J772" s="102" t="n">
        <v>0</v>
      </c>
      <c r="K772" s="102" t="n">
        <v>0</v>
      </c>
      <c r="L772" s="102" t="n">
        <v>0</v>
      </c>
      <c r="M772" s="102" t="n">
        <v>0</v>
      </c>
      <c r="N772" s="102" t="n">
        <v>0</v>
      </c>
      <c r="O772" s="102" t="n">
        <v>0</v>
      </c>
      <c r="P772" s="102" t="n">
        <v>0</v>
      </c>
      <c r="Q772" s="102" t="n">
        <v>0</v>
      </c>
      <c r="R772" s="102" t="n">
        <v>0</v>
      </c>
      <c r="S772" s="102" t="n">
        <v>0</v>
      </c>
      <c r="T772" s="102" t="n">
        <v>0</v>
      </c>
      <c r="U772" s="102" t="n">
        <v>0</v>
      </c>
      <c r="V772" s="102" t="n">
        <v>0</v>
      </c>
      <c r="W772" s="102" t="n">
        <v>0</v>
      </c>
    </row>
    <row r="773" customFormat="false" ht="12.75" hidden="false" customHeight="false" outlineLevel="0" collapsed="false">
      <c r="A773" s="99" t="s">
        <v>62</v>
      </c>
      <c r="B773" s="49"/>
      <c r="C773" s="107"/>
      <c r="D773" s="102" t="n">
        <v>0</v>
      </c>
      <c r="E773" s="102" t="n">
        <v>0</v>
      </c>
      <c r="F773" s="102" t="n">
        <v>0</v>
      </c>
      <c r="G773" s="102" t="n">
        <v>0</v>
      </c>
      <c r="H773" s="102" t="n">
        <v>0</v>
      </c>
      <c r="I773" s="102" t="n">
        <v>0</v>
      </c>
      <c r="J773" s="102" t="n">
        <v>0</v>
      </c>
      <c r="K773" s="102" t="n">
        <v>0</v>
      </c>
      <c r="L773" s="102" t="n">
        <v>0</v>
      </c>
      <c r="M773" s="102" t="n">
        <v>0</v>
      </c>
      <c r="N773" s="102" t="n">
        <v>0</v>
      </c>
      <c r="O773" s="102" t="n">
        <v>0</v>
      </c>
      <c r="P773" s="102" t="n">
        <v>0</v>
      </c>
      <c r="Q773" s="102" t="n">
        <v>0</v>
      </c>
      <c r="R773" s="102" t="n">
        <v>0</v>
      </c>
      <c r="S773" s="102" t="n">
        <v>0</v>
      </c>
      <c r="T773" s="102" t="n">
        <v>0</v>
      </c>
      <c r="U773" s="102" t="n">
        <v>0</v>
      </c>
      <c r="V773" s="102" t="n">
        <v>0</v>
      </c>
      <c r="W773" s="102" t="n">
        <v>0</v>
      </c>
    </row>
    <row r="774" customFormat="false" ht="12.75" hidden="false" customHeight="false" outlineLevel="0" collapsed="false">
      <c r="A774" s="99" t="s">
        <v>63</v>
      </c>
      <c r="B774" s="49"/>
      <c r="C774" s="107"/>
      <c r="D774" s="102" t="n">
        <v>0</v>
      </c>
      <c r="E774" s="102" t="n">
        <v>0</v>
      </c>
      <c r="F774" s="102" t="n">
        <v>0</v>
      </c>
      <c r="G774" s="102" t="n">
        <v>0</v>
      </c>
      <c r="H774" s="102" t="n">
        <v>0</v>
      </c>
      <c r="I774" s="102" t="n">
        <v>0</v>
      </c>
      <c r="J774" s="102" t="n">
        <v>0</v>
      </c>
      <c r="K774" s="102" t="n">
        <v>0</v>
      </c>
      <c r="L774" s="102" t="n">
        <v>0</v>
      </c>
      <c r="M774" s="102" t="n">
        <v>0</v>
      </c>
      <c r="N774" s="102" t="n">
        <v>0</v>
      </c>
      <c r="O774" s="102" t="n">
        <v>0</v>
      </c>
      <c r="P774" s="102" t="n">
        <v>0</v>
      </c>
      <c r="Q774" s="102" t="n">
        <v>0</v>
      </c>
      <c r="R774" s="102" t="n">
        <v>0</v>
      </c>
      <c r="S774" s="102" t="n">
        <v>0</v>
      </c>
      <c r="T774" s="102" t="n">
        <v>0</v>
      </c>
      <c r="U774" s="102" t="n">
        <v>0</v>
      </c>
      <c r="V774" s="102" t="n">
        <v>0</v>
      </c>
      <c r="W774" s="102" t="n">
        <v>0</v>
      </c>
    </row>
    <row r="775" customFormat="false" ht="12.75" hidden="false" customHeight="false" outlineLevel="0" collapsed="false">
      <c r="A775" s="99" t="s">
        <v>64</v>
      </c>
      <c r="B775" s="49"/>
      <c r="C775" s="107"/>
      <c r="D775" s="105" t="n">
        <v>0</v>
      </c>
      <c r="E775" s="105" t="n">
        <v>0</v>
      </c>
      <c r="F775" s="105" t="n">
        <v>0</v>
      </c>
      <c r="G775" s="105" t="n">
        <v>0</v>
      </c>
      <c r="H775" s="105" t="n">
        <v>0</v>
      </c>
      <c r="I775" s="105" t="n">
        <v>0</v>
      </c>
      <c r="J775" s="105" t="n">
        <v>0</v>
      </c>
      <c r="K775" s="105" t="n">
        <v>0</v>
      </c>
      <c r="L775" s="105" t="n">
        <v>0</v>
      </c>
      <c r="M775" s="105" t="n">
        <v>0</v>
      </c>
      <c r="N775" s="105" t="n">
        <v>0</v>
      </c>
      <c r="O775" s="105" t="n">
        <v>0</v>
      </c>
      <c r="P775" s="105" t="n">
        <v>0</v>
      </c>
      <c r="Q775" s="105" t="n">
        <v>0</v>
      </c>
      <c r="R775" s="105" t="n">
        <v>0</v>
      </c>
      <c r="S775" s="105" t="n">
        <v>0</v>
      </c>
      <c r="T775" s="105" t="n">
        <v>0</v>
      </c>
      <c r="U775" s="105" t="n">
        <v>0</v>
      </c>
      <c r="V775" s="105" t="n">
        <v>0</v>
      </c>
      <c r="W775" s="105" t="n">
        <v>0</v>
      </c>
    </row>
    <row r="776" customFormat="false" ht="13.5" hidden="false" customHeight="false" outlineLevel="0" collapsed="false">
      <c r="A776" s="99" t="s">
        <v>65</v>
      </c>
      <c r="B776" s="49"/>
      <c r="C776" s="107"/>
      <c r="D776" s="106" t="n">
        <v>0</v>
      </c>
      <c r="E776" s="106" t="n">
        <v>0</v>
      </c>
      <c r="F776" s="106" t="n">
        <v>0</v>
      </c>
      <c r="G776" s="106" t="n">
        <v>0</v>
      </c>
      <c r="H776" s="106" t="n">
        <v>0</v>
      </c>
      <c r="I776" s="106" t="n">
        <v>0</v>
      </c>
      <c r="J776" s="106" t="n">
        <v>0</v>
      </c>
      <c r="K776" s="106" t="n">
        <v>0</v>
      </c>
      <c r="L776" s="106" t="n">
        <v>0</v>
      </c>
      <c r="M776" s="106" t="n">
        <v>0</v>
      </c>
      <c r="N776" s="106" t="n">
        <v>0</v>
      </c>
      <c r="O776" s="106" t="n">
        <v>0</v>
      </c>
      <c r="P776" s="106" t="n">
        <v>0</v>
      </c>
      <c r="Q776" s="106" t="n">
        <v>0</v>
      </c>
      <c r="R776" s="106" t="n">
        <v>0</v>
      </c>
      <c r="S776" s="106" t="n">
        <v>0</v>
      </c>
      <c r="T776" s="106" t="n">
        <v>0</v>
      </c>
      <c r="U776" s="106" t="n">
        <v>0</v>
      </c>
      <c r="V776" s="106" t="n">
        <v>0</v>
      </c>
      <c r="W776" s="106" t="n">
        <v>0</v>
      </c>
    </row>
    <row r="777" customFormat="false" ht="13.5" hidden="false" customHeight="false" outlineLevel="0" collapsed="false">
      <c r="A777" s="99"/>
      <c r="B777" s="49"/>
      <c r="C777" s="107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</row>
    <row r="778" customFormat="false" ht="12.75" hidden="false" customHeight="false" outlineLevel="0" collapsed="false">
      <c r="A778" s="99" t="s">
        <v>66</v>
      </c>
      <c r="B778" s="49"/>
      <c r="C778" s="107"/>
      <c r="D778" s="102" t="n">
        <v>0</v>
      </c>
      <c r="E778" s="102" t="n">
        <v>0</v>
      </c>
      <c r="F778" s="102" t="n">
        <v>0</v>
      </c>
      <c r="G778" s="102" t="n">
        <v>0</v>
      </c>
      <c r="H778" s="102" t="n">
        <v>0</v>
      </c>
      <c r="I778" s="102" t="n">
        <v>0</v>
      </c>
      <c r="J778" s="102" t="n">
        <v>0</v>
      </c>
      <c r="K778" s="102" t="n">
        <v>0</v>
      </c>
      <c r="L778" s="102" t="n">
        <v>0</v>
      </c>
      <c r="M778" s="102" t="n">
        <v>0</v>
      </c>
      <c r="N778" s="102" t="n">
        <v>0</v>
      </c>
      <c r="O778" s="102" t="n">
        <v>0</v>
      </c>
      <c r="P778" s="102" t="n">
        <v>0</v>
      </c>
      <c r="Q778" s="102" t="n">
        <v>0</v>
      </c>
      <c r="R778" s="102" t="n">
        <v>0</v>
      </c>
      <c r="S778" s="102" t="n">
        <v>0</v>
      </c>
      <c r="T778" s="102" t="n">
        <v>0</v>
      </c>
      <c r="U778" s="102" t="n">
        <v>0</v>
      </c>
      <c r="V778" s="102" t="n">
        <v>0</v>
      </c>
      <c r="W778" s="102" t="n">
        <v>0</v>
      </c>
    </row>
    <row r="779" customFormat="false" ht="12.75" hidden="false" customHeight="false" outlineLevel="0" collapsed="false">
      <c r="A779" s="99"/>
      <c r="B779" s="49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</row>
    <row r="780" customFormat="false" ht="12.75" hidden="false" customHeight="false" outlineLevel="0" collapsed="false">
      <c r="A780" s="99" t="s">
        <v>67</v>
      </c>
      <c r="B780" s="49"/>
      <c r="C780" s="107"/>
      <c r="D780" s="102" t="n">
        <v>0</v>
      </c>
      <c r="E780" s="102" t="n">
        <v>0</v>
      </c>
      <c r="F780" s="102" t="n">
        <v>0</v>
      </c>
      <c r="G780" s="102" t="n">
        <v>0</v>
      </c>
      <c r="H780" s="102" t="n">
        <v>0</v>
      </c>
      <c r="I780" s="102" t="n">
        <v>0</v>
      </c>
      <c r="J780" s="102" t="n">
        <v>0</v>
      </c>
      <c r="K780" s="102" t="n">
        <v>0</v>
      </c>
      <c r="L780" s="102" t="n">
        <v>0</v>
      </c>
      <c r="M780" s="102" t="n">
        <v>0</v>
      </c>
      <c r="N780" s="102" t="n">
        <v>0</v>
      </c>
      <c r="O780" s="102" t="n">
        <v>0</v>
      </c>
      <c r="P780" s="102" t="n">
        <v>0</v>
      </c>
      <c r="Q780" s="102" t="n">
        <v>0</v>
      </c>
      <c r="R780" s="102" t="n">
        <v>0</v>
      </c>
      <c r="S780" s="102" t="n">
        <v>0</v>
      </c>
      <c r="T780" s="102" t="n">
        <v>0</v>
      </c>
      <c r="U780" s="102" t="n">
        <v>0</v>
      </c>
      <c r="V780" s="102" t="n">
        <v>0</v>
      </c>
      <c r="W780" s="102" t="n">
        <v>0</v>
      </c>
    </row>
    <row r="781" customFormat="false" ht="12.75" hidden="false" customHeight="false" outlineLevel="0" collapsed="false">
      <c r="A781" s="107"/>
      <c r="B781" s="49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</row>
    <row r="782" customFormat="false" ht="12.75" hidden="false" customHeight="false" outlineLevel="0" collapsed="false">
      <c r="A782" s="107"/>
      <c r="B782" s="49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</row>
    <row r="783" customFormat="false" ht="12.75" hidden="false" customHeight="false" outlineLevel="0" collapsed="false">
      <c r="A783" s="99" t="s">
        <v>68</v>
      </c>
      <c r="B783" s="148"/>
      <c r="C783" s="149"/>
      <c r="D783" s="79" t="n">
        <v>7251093.99614552</v>
      </c>
      <c r="E783" s="79" t="n">
        <v>35931368.3729997</v>
      </c>
      <c r="F783" s="79" t="n">
        <v>34036387.3912773</v>
      </c>
      <c r="G783" s="79" t="n">
        <v>30194713.3278093</v>
      </c>
      <c r="H783" s="79" t="n">
        <v>30397387.0503502</v>
      </c>
      <c r="I783" s="79" t="n">
        <v>32139597.8339744</v>
      </c>
      <c r="J783" s="79" t="n">
        <v>35429451.857611</v>
      </c>
      <c r="K783" s="79" t="n">
        <v>36480966.6405828</v>
      </c>
      <c r="L783" s="79" t="n">
        <v>37395201.5418851</v>
      </c>
      <c r="M783" s="79" t="n">
        <v>37180118.992969</v>
      </c>
      <c r="N783" s="79" t="n">
        <v>38056153.7753239</v>
      </c>
      <c r="O783" s="79" t="n">
        <v>38040526.5856371</v>
      </c>
      <c r="P783" s="79" t="n">
        <v>38154655.6362751</v>
      </c>
      <c r="Q783" s="79" t="n">
        <v>39845878.0858168</v>
      </c>
      <c r="R783" s="79" t="n">
        <v>44597686.9562601</v>
      </c>
      <c r="S783" s="79" t="n">
        <v>43156514.1459094</v>
      </c>
      <c r="T783" s="79" t="n">
        <v>43501568.1109161</v>
      </c>
      <c r="U783" s="79" t="n">
        <v>46771731.1687364</v>
      </c>
      <c r="V783" s="79" t="n">
        <v>48976016.764518</v>
      </c>
      <c r="W783" s="79" t="n">
        <v>257015475.322251</v>
      </c>
    </row>
    <row r="784" customFormat="false" ht="12.75" hidden="false" customHeight="false" outlineLevel="0" collapsed="false">
      <c r="A784" s="2"/>
      <c r="B784" s="3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customFormat="false" ht="12.75" hidden="false" customHeight="false" outlineLevel="0" collapsed="false">
      <c r="B785" s="150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16"/>
    </row>
    <row r="786" customFormat="false" ht="12.75" hidden="false" customHeight="false" outlineLevel="0" collapsed="false">
      <c r="B786" s="150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</row>
    <row r="787" customFormat="false" ht="12.75" hidden="false" customHeight="false" outlineLevel="0" collapsed="false">
      <c r="B787" s="153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4"/>
    </row>
    <row r="788" customFormat="false" ht="12.75" hidden="false" customHeight="false" outlineLevel="0" collapsed="false">
      <c r="B788" s="156"/>
    </row>
    <row r="789" customFormat="false" ht="12.75" hidden="false" customHeight="false" outlineLevel="0" collapsed="false">
      <c r="A789" s="51"/>
      <c r="B789" s="126"/>
      <c r="C789" s="157"/>
      <c r="E789" s="158"/>
      <c r="F789" s="128"/>
      <c r="G789" s="159"/>
    </row>
    <row r="790" customFormat="false" ht="12.75" hidden="false" customHeight="false" outlineLevel="0" collapsed="false">
      <c r="B790" s="126"/>
      <c r="C790" s="157"/>
      <c r="E790" s="160"/>
      <c r="F790" s="128"/>
      <c r="G790" s="159"/>
    </row>
    <row r="791" customFormat="false" ht="12.75" hidden="false" customHeight="false" outlineLevel="0" collapsed="false">
      <c r="B791" s="126"/>
      <c r="C791" s="157"/>
      <c r="D791" s="131"/>
      <c r="E791" s="160"/>
      <c r="F791" s="128"/>
      <c r="G791" s="159"/>
    </row>
    <row r="792" customFormat="false" ht="15.75" hidden="false" customHeight="false" outlineLevel="0" collapsed="false">
      <c r="A792" s="48" t="s">
        <v>17</v>
      </c>
      <c r="B792" s="57" t="s">
        <v>81</v>
      </c>
      <c r="C792" s="58" t="n">
        <v>2000</v>
      </c>
      <c r="D792" s="58" t="n">
        <v>2001</v>
      </c>
      <c r="E792" s="58" t="n">
        <v>2002</v>
      </c>
      <c r="F792" s="58" t="n">
        <v>2003</v>
      </c>
      <c r="G792" s="58" t="n">
        <v>2004</v>
      </c>
      <c r="H792" s="58" t="n">
        <v>2005</v>
      </c>
      <c r="I792" s="58" t="n">
        <v>2006</v>
      </c>
      <c r="J792" s="58" t="n">
        <v>2007</v>
      </c>
      <c r="K792" s="58" t="n">
        <v>2008</v>
      </c>
      <c r="L792" s="58" t="n">
        <v>2009</v>
      </c>
      <c r="M792" s="58" t="n">
        <v>2010</v>
      </c>
      <c r="N792" s="58" t="n">
        <v>2011</v>
      </c>
      <c r="O792" s="58" t="n">
        <v>2012</v>
      </c>
      <c r="P792" s="58" t="n">
        <v>2013</v>
      </c>
      <c r="Q792" s="58" t="n">
        <v>2014</v>
      </c>
      <c r="R792" s="58" t="n">
        <v>2015</v>
      </c>
      <c r="S792" s="58" t="n">
        <v>2016</v>
      </c>
      <c r="T792" s="58" t="n">
        <v>2017</v>
      </c>
      <c r="U792" s="58" t="n">
        <v>2018</v>
      </c>
      <c r="V792" s="58" t="n">
        <v>2019</v>
      </c>
      <c r="W792" s="58" t="s">
        <v>19</v>
      </c>
    </row>
    <row r="793" customFormat="false" ht="12.75" hidden="false" customHeight="false" outlineLevel="0" collapsed="false">
      <c r="A793" s="48" t="s">
        <v>5</v>
      </c>
      <c r="B793" s="49" t="n">
        <v>94</v>
      </c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</row>
    <row r="794" customFormat="false" ht="12.75" hidden="false" customHeight="false" outlineLevel="0" collapsed="false">
      <c r="A794" s="2"/>
      <c r="B794" s="117" t="s">
        <v>20</v>
      </c>
      <c r="C794" s="118" t="n">
        <v>0</v>
      </c>
      <c r="D794" s="64" t="n">
        <v>29030304.420429</v>
      </c>
      <c r="E794" s="64" t="n">
        <v>28627690.3041142</v>
      </c>
      <c r="F794" s="64" t="n">
        <v>29178724.2183176</v>
      </c>
      <c r="G794" s="64" t="n">
        <v>28765150.4515971</v>
      </c>
      <c r="H794" s="64" t="n">
        <v>28981814.9052439</v>
      </c>
      <c r="I794" s="64" t="n">
        <v>30938720.8937709</v>
      </c>
      <c r="J794" s="64" t="n">
        <v>33174204.6277397</v>
      </c>
      <c r="K794" s="64" t="n">
        <v>34032678.6610823</v>
      </c>
      <c r="L794" s="64" t="n">
        <v>34745009.8906464</v>
      </c>
      <c r="M794" s="64" t="n">
        <v>34869047.6561259</v>
      </c>
      <c r="N794" s="64" t="n">
        <v>35384817.8399892</v>
      </c>
      <c r="O794" s="64" t="n">
        <v>36022422.9917923</v>
      </c>
      <c r="P794" s="64" t="n">
        <v>36446336.4953872</v>
      </c>
      <c r="Q794" s="64" t="n">
        <v>37729292.0353412</v>
      </c>
      <c r="R794" s="64" t="n">
        <v>40138618.425687</v>
      </c>
      <c r="S794" s="64" t="n">
        <v>40173378.6982566</v>
      </c>
      <c r="T794" s="64" t="n">
        <v>40685381.1432126</v>
      </c>
      <c r="U794" s="64" t="n">
        <v>42640534.6772198</v>
      </c>
      <c r="V794" s="64" t="n">
        <v>43935680.1306385</v>
      </c>
      <c r="W794" s="65"/>
    </row>
    <row r="795" customFormat="false" ht="12.75" hidden="false" customHeight="false" outlineLevel="0" collapsed="false">
      <c r="A795" s="2"/>
      <c r="B795" s="117" t="s">
        <v>21</v>
      </c>
      <c r="C795" s="118" t="n">
        <v>0</v>
      </c>
      <c r="D795" s="64" t="n">
        <v>-9851572.38302464</v>
      </c>
      <c r="E795" s="64" t="n">
        <v>-9993315.7988784</v>
      </c>
      <c r="F795" s="64" t="n">
        <v>-10167457.7097845</v>
      </c>
      <c r="G795" s="64" t="n">
        <v>-10458234.2028787</v>
      </c>
      <c r="H795" s="64" t="n">
        <v>-10821907.3098407</v>
      </c>
      <c r="I795" s="64" t="n">
        <v>-11237418.0088863</v>
      </c>
      <c r="J795" s="64" t="n">
        <v>-11496605.9693046</v>
      </c>
      <c r="K795" s="64" t="n">
        <v>-11743644.4940783</v>
      </c>
      <c r="L795" s="64" t="n">
        <v>-11937225.5020157</v>
      </c>
      <c r="M795" s="64" t="n">
        <v>-12032801.06242</v>
      </c>
      <c r="N795" s="64" t="n">
        <v>-12032765.4135169</v>
      </c>
      <c r="O795" s="64" t="n">
        <v>-12461271.1594865</v>
      </c>
      <c r="P795" s="64" t="n">
        <v>-12745567.9535703</v>
      </c>
      <c r="Q795" s="64" t="n">
        <v>-13016095.3872569</v>
      </c>
      <c r="R795" s="64" t="n">
        <v>-13023642.6291339</v>
      </c>
      <c r="S795" s="64" t="n">
        <v>-13471294.2427416</v>
      </c>
      <c r="T795" s="64" t="n">
        <v>-13779079.9457383</v>
      </c>
      <c r="U795" s="64" t="n">
        <v>-14116834.2566584</v>
      </c>
      <c r="V795" s="64" t="n">
        <v>-14465928.0408468</v>
      </c>
      <c r="W795" s="65"/>
    </row>
    <row r="796" customFormat="false" ht="12.75" hidden="false" customHeight="false" outlineLevel="0" collapsed="false">
      <c r="A796" s="2"/>
      <c r="B796" s="117" t="s">
        <v>22</v>
      </c>
      <c r="C796" s="118" t="n">
        <v>0</v>
      </c>
      <c r="D796" s="64" t="n">
        <v>-769939.56526013</v>
      </c>
      <c r="E796" s="64" t="n">
        <v>-785480.299298602</v>
      </c>
      <c r="F796" s="64" t="n">
        <v>-801334.713040458</v>
      </c>
      <c r="G796" s="64" t="n">
        <v>-817509.1379084</v>
      </c>
      <c r="H796" s="64" t="n">
        <v>-834010.033120821</v>
      </c>
      <c r="I796" s="64" t="n">
        <v>-850843.988271273</v>
      </c>
      <c r="J796" s="64" t="n">
        <v>-868017.725960008</v>
      </c>
      <c r="K796" s="64" t="n">
        <v>-885538.104478633</v>
      </c>
      <c r="L796" s="64" t="n">
        <v>-903412.120548953</v>
      </c>
      <c r="M796" s="64" t="n">
        <v>-921646.912117093</v>
      </c>
      <c r="N796" s="64" t="n">
        <v>-927645.368474809</v>
      </c>
      <c r="O796" s="64" t="n">
        <v>-959228.096813611</v>
      </c>
      <c r="P796" s="64" t="n">
        <v>-978589.497899387</v>
      </c>
      <c r="Q796" s="64" t="n">
        <v>-998341.69639117</v>
      </c>
      <c r="R796" s="64" t="n">
        <v>-1004816.55843729</v>
      </c>
      <c r="S796" s="64" t="n">
        <v>-1039050.1967822</v>
      </c>
      <c r="T796" s="64" t="n">
        <v>-1060022.75552499</v>
      </c>
      <c r="U796" s="64" t="n">
        <v>-1081418.63185299</v>
      </c>
      <c r="V796" s="64" t="n">
        <v>-1103246.37015891</v>
      </c>
      <c r="W796" s="65"/>
    </row>
    <row r="797" customFormat="false" ht="12.75" hidden="false" customHeight="false" outlineLevel="0" collapsed="false">
      <c r="A797" s="2"/>
      <c r="B797" s="117" t="s">
        <v>23</v>
      </c>
      <c r="C797" s="118" t="n">
        <v>0</v>
      </c>
      <c r="D797" s="64" t="n">
        <v>0</v>
      </c>
      <c r="E797" s="64" t="n">
        <v>0</v>
      </c>
      <c r="F797" s="64" t="n">
        <v>0</v>
      </c>
      <c r="G797" s="64" t="n">
        <v>0</v>
      </c>
      <c r="H797" s="64" t="n">
        <v>0</v>
      </c>
      <c r="I797" s="64" t="n">
        <v>-926111.900892017</v>
      </c>
      <c r="J797" s="64" t="n">
        <v>-1026521.06065678</v>
      </c>
      <c r="K797" s="64" t="n">
        <v>-1202716.83447996</v>
      </c>
      <c r="L797" s="64" t="n">
        <v>-1244117.56382004</v>
      </c>
      <c r="M797" s="64" t="n">
        <v>-1383650.01464859</v>
      </c>
      <c r="N797" s="64" t="n">
        <v>-1490815.21042903</v>
      </c>
      <c r="O797" s="64" t="n">
        <v>-1688762.50502057</v>
      </c>
      <c r="P797" s="64" t="n">
        <v>-1893547.01353325</v>
      </c>
      <c r="Q797" s="64" t="n">
        <v>-2107813.30842791</v>
      </c>
      <c r="R797" s="64" t="n">
        <v>-2283680.7681912</v>
      </c>
      <c r="S797" s="64" t="n">
        <v>-2563622.07286871</v>
      </c>
      <c r="T797" s="64" t="n">
        <v>-2518633.70399271</v>
      </c>
      <c r="U797" s="64" t="n">
        <v>-2154827.36040735</v>
      </c>
      <c r="V797" s="64" t="n">
        <v>-2234158.41455598</v>
      </c>
      <c r="W797" s="65"/>
    </row>
    <row r="798" customFormat="false" ht="13.5" hidden="false" customHeight="false" outlineLevel="0" collapsed="false">
      <c r="A798" s="2"/>
      <c r="B798" s="119" t="s">
        <v>24</v>
      </c>
      <c r="C798" s="120" t="n">
        <v>0</v>
      </c>
      <c r="D798" s="68" t="n">
        <v>0</v>
      </c>
      <c r="E798" s="68" t="n">
        <v>0</v>
      </c>
      <c r="F798" s="68" t="n">
        <v>-2411652.29164045</v>
      </c>
      <c r="G798" s="68" t="n">
        <v>-2054878.92237703</v>
      </c>
      <c r="H798" s="68" t="n">
        <v>-2133245.05960754</v>
      </c>
      <c r="I798" s="68" t="n">
        <v>-2215562.82099197</v>
      </c>
      <c r="J798" s="68" t="n">
        <v>-2783230.79275963</v>
      </c>
      <c r="K798" s="68" t="n">
        <v>-2431120.90550655</v>
      </c>
      <c r="L798" s="68" t="n">
        <v>-2573169.70557613</v>
      </c>
      <c r="M798" s="68" t="n">
        <v>-2448469.5245793</v>
      </c>
      <c r="N798" s="68" t="n">
        <v>-2484801.90017432</v>
      </c>
      <c r="O798" s="68" t="n">
        <v>-2583905.09261391</v>
      </c>
      <c r="P798" s="68" t="n">
        <v>-2307969.36906048</v>
      </c>
      <c r="Q798" s="68" t="n">
        <v>-2390490.0719071</v>
      </c>
      <c r="R798" s="68" t="n">
        <v>-2407152.6958579</v>
      </c>
      <c r="S798" s="68" t="n">
        <v>-2590992.24662324</v>
      </c>
      <c r="T798" s="68" t="n">
        <v>-2435801.44077102</v>
      </c>
      <c r="U798" s="68" t="n">
        <v>-2682735.78386958</v>
      </c>
      <c r="V798" s="68" t="n">
        <v>-1460616.9848028</v>
      </c>
      <c r="W798" s="65"/>
    </row>
    <row r="799" customFormat="false" ht="13.5" hidden="false" customHeight="false" outlineLevel="0" collapsed="false">
      <c r="A799" s="2"/>
      <c r="B799" s="121" t="s">
        <v>25</v>
      </c>
      <c r="C799" s="122" t="n">
        <v>0</v>
      </c>
      <c r="D799" s="71" t="n">
        <v>18408792.4721442</v>
      </c>
      <c r="E799" s="71" t="n">
        <v>17848894.2059372</v>
      </c>
      <c r="F799" s="71" t="n">
        <v>15798279.5038523</v>
      </c>
      <c r="G799" s="71" t="n">
        <v>15434528.1884329</v>
      </c>
      <c r="H799" s="71" t="n">
        <v>15192652.5026749</v>
      </c>
      <c r="I799" s="71" t="n">
        <v>15708784.1747294</v>
      </c>
      <c r="J799" s="71" t="n">
        <v>16999829.0790587</v>
      </c>
      <c r="K799" s="71" t="n">
        <v>17769658.3225388</v>
      </c>
      <c r="L799" s="71" t="n">
        <v>18087084.9986856</v>
      </c>
      <c r="M799" s="71" t="n">
        <v>18082480.142361</v>
      </c>
      <c r="N799" s="71" t="n">
        <v>18448789.9473942</v>
      </c>
      <c r="O799" s="71" t="n">
        <v>18329256.1378577</v>
      </c>
      <c r="P799" s="71" t="n">
        <v>18520662.6613238</v>
      </c>
      <c r="Q799" s="71" t="n">
        <v>19216551.5713581</v>
      </c>
      <c r="R799" s="71" t="n">
        <v>21419325.7740667</v>
      </c>
      <c r="S799" s="71" t="n">
        <v>20508419.9392409</v>
      </c>
      <c r="T799" s="71" t="n">
        <v>20891843.2971856</v>
      </c>
      <c r="U799" s="71" t="n">
        <v>22604718.6444314</v>
      </c>
      <c r="V799" s="71" t="n">
        <v>24671730.320274</v>
      </c>
      <c r="W799" s="65"/>
    </row>
    <row r="800" customFormat="false" ht="12.75" hidden="false" customHeight="false" outlineLevel="0" collapsed="false">
      <c r="A800" s="2"/>
      <c r="B800" s="117" t="s">
        <v>26</v>
      </c>
      <c r="C800" s="118" t="n">
        <v>0</v>
      </c>
      <c r="D800" s="64" t="n">
        <v>-2882633.33738267</v>
      </c>
      <c r="E800" s="64" t="n">
        <v>-2940286.00413032</v>
      </c>
      <c r="F800" s="64" t="n">
        <v>-2999091.72421293</v>
      </c>
      <c r="G800" s="64" t="n">
        <v>-3059073.55869719</v>
      </c>
      <c r="H800" s="64" t="n">
        <v>-3120255.02987113</v>
      </c>
      <c r="I800" s="64" t="n">
        <v>-3182660.13046855</v>
      </c>
      <c r="J800" s="64" t="n">
        <v>-3246313.33307792</v>
      </c>
      <c r="K800" s="64" t="n">
        <v>-3311239.59973948</v>
      </c>
      <c r="L800" s="64" t="n">
        <v>-3377464.39173427</v>
      </c>
      <c r="M800" s="64" t="n">
        <v>-3445013.67956896</v>
      </c>
      <c r="N800" s="64" t="n">
        <v>-3513913.95316034</v>
      </c>
      <c r="O800" s="64" t="n">
        <v>-3584192.23222354</v>
      </c>
      <c r="P800" s="64" t="n">
        <v>-3655876.07686801</v>
      </c>
      <c r="Q800" s="64" t="n">
        <v>-3728993.59840537</v>
      </c>
      <c r="R800" s="64" t="n">
        <v>-3803573.47037348</v>
      </c>
      <c r="S800" s="64" t="n">
        <v>-3879644.93978095</v>
      </c>
      <c r="T800" s="64" t="n">
        <v>-3957237.83857657</v>
      </c>
      <c r="U800" s="64" t="n">
        <v>-4036382.5953481</v>
      </c>
      <c r="V800" s="64" t="n">
        <v>-4117110.24725506</v>
      </c>
      <c r="W800" s="65"/>
    </row>
    <row r="801" customFormat="false" ht="12.75" hidden="false" customHeight="false" outlineLevel="0" collapsed="false">
      <c r="A801" s="2"/>
      <c r="B801" s="117" t="s">
        <v>27</v>
      </c>
      <c r="C801" s="118" t="n">
        <v>0</v>
      </c>
      <c r="D801" s="64" t="n">
        <v>-246782.100029798</v>
      </c>
      <c r="E801" s="64" t="n">
        <v>-252279.407856059</v>
      </c>
      <c r="F801" s="64" t="n">
        <v>-258194.951594714</v>
      </c>
      <c r="G801" s="64" t="n">
        <v>-269260.249043177</v>
      </c>
      <c r="H801" s="64" t="n">
        <v>-319346.274729274</v>
      </c>
      <c r="I801" s="64" t="n">
        <v>-397860.88812232</v>
      </c>
      <c r="J801" s="64" t="n">
        <v>-444395.532281813</v>
      </c>
      <c r="K801" s="64" t="n">
        <v>-491727.394720057</v>
      </c>
      <c r="L801" s="64" t="n">
        <v>-528611.104085683</v>
      </c>
      <c r="M801" s="64" t="n">
        <v>-547568.393560612</v>
      </c>
      <c r="N801" s="64" t="n">
        <v>-554386.161843414</v>
      </c>
      <c r="O801" s="64" t="n">
        <v>-561746.13690852</v>
      </c>
      <c r="P801" s="64" t="n">
        <v>-568913.248183555</v>
      </c>
      <c r="Q801" s="64" t="n">
        <v>-576259.537240465</v>
      </c>
      <c r="R801" s="64" t="n">
        <v>-583790.218152703</v>
      </c>
      <c r="S801" s="64" t="n">
        <v>-591509.166087748</v>
      </c>
      <c r="T801" s="64" t="n">
        <v>-599419.543931582</v>
      </c>
      <c r="U801" s="64" t="n">
        <v>-607528.472259296</v>
      </c>
      <c r="V801" s="64" t="n">
        <v>-615840.934688035</v>
      </c>
      <c r="W801" s="65"/>
    </row>
    <row r="802" customFormat="false" ht="13.5" hidden="false" customHeight="false" outlineLevel="0" collapsed="false">
      <c r="A802" s="2"/>
      <c r="B802" s="119" t="s">
        <v>28</v>
      </c>
      <c r="C802" s="120" t="n">
        <v>0</v>
      </c>
      <c r="D802" s="68" t="n">
        <v>-307061.972034519</v>
      </c>
      <c r="E802" s="68" t="n">
        <v>-313540.979644449</v>
      </c>
      <c r="F802" s="68" t="n">
        <v>-320407.527098663</v>
      </c>
      <c r="G802" s="68" t="n">
        <v>-327648.737211091</v>
      </c>
      <c r="H802" s="68" t="n">
        <v>-335446.777156715</v>
      </c>
      <c r="I802" s="68" t="n">
        <v>-343853.10711533</v>
      </c>
      <c r="J802" s="68" t="n">
        <v>-352381.622102413</v>
      </c>
      <c r="K802" s="68" t="n">
        <v>-361301.129180596</v>
      </c>
      <c r="L802" s="68" t="n">
        <v>-370225.267071357</v>
      </c>
      <c r="M802" s="68" t="n">
        <v>-379666.011381676</v>
      </c>
      <c r="N802" s="68" t="n">
        <v>-388853.928857114</v>
      </c>
      <c r="O802" s="68" t="n">
        <v>-398653.047864312</v>
      </c>
      <c r="P802" s="68" t="n">
        <v>-408778.835280065</v>
      </c>
      <c r="Q802" s="68" t="n">
        <v>-418998.306162066</v>
      </c>
      <c r="R802" s="68" t="n">
        <v>-429515.163646734</v>
      </c>
      <c r="S802" s="68" t="n">
        <v>-440253.042737903</v>
      </c>
      <c r="T802" s="68" t="n">
        <v>-451171.318197802</v>
      </c>
      <c r="U802" s="68" t="n">
        <v>-462495.718284568</v>
      </c>
      <c r="V802" s="68" t="n">
        <v>-474104.360813511</v>
      </c>
      <c r="W802" s="65"/>
    </row>
    <row r="803" customFormat="false" ht="13.5" hidden="false" customHeight="false" outlineLevel="0" collapsed="false">
      <c r="A803" s="2"/>
      <c r="B803" s="121" t="s">
        <v>29</v>
      </c>
      <c r="C803" s="123" t="n">
        <v>0</v>
      </c>
      <c r="D803" s="73" t="n">
        <v>14972315.0626972</v>
      </c>
      <c r="E803" s="73" t="n">
        <v>14342787.8143064</v>
      </c>
      <c r="F803" s="73" t="n">
        <v>12220585.300946</v>
      </c>
      <c r="G803" s="73" t="n">
        <v>11778545.6434815</v>
      </c>
      <c r="H803" s="73" t="n">
        <v>11417604.4209178</v>
      </c>
      <c r="I803" s="73" t="n">
        <v>11784410.0490232</v>
      </c>
      <c r="J803" s="73" t="n">
        <v>12956738.5915965</v>
      </c>
      <c r="K803" s="73" t="n">
        <v>13605390.1988987</v>
      </c>
      <c r="L803" s="73" t="n">
        <v>13810784.2357942</v>
      </c>
      <c r="M803" s="73" t="n">
        <v>13710232.0578497</v>
      </c>
      <c r="N803" s="73" t="n">
        <v>13991635.9035333</v>
      </c>
      <c r="O803" s="73" t="n">
        <v>13784664.7208614</v>
      </c>
      <c r="P803" s="73" t="n">
        <v>13887094.5009921</v>
      </c>
      <c r="Q803" s="73" t="n">
        <v>14492300.1295502</v>
      </c>
      <c r="R803" s="73" t="n">
        <v>16602446.9218938</v>
      </c>
      <c r="S803" s="73" t="n">
        <v>15597012.7906343</v>
      </c>
      <c r="T803" s="73" t="n">
        <v>15884014.5964796</v>
      </c>
      <c r="U803" s="73" t="n">
        <v>17498311.8585394</v>
      </c>
      <c r="V803" s="73" t="n">
        <v>19464674.7775174</v>
      </c>
      <c r="W803" s="65"/>
    </row>
    <row r="804" customFormat="false" ht="12.75" hidden="false" customHeight="false" outlineLevel="0" collapsed="false">
      <c r="A804" s="2"/>
      <c r="B804" s="117" t="s">
        <v>30</v>
      </c>
      <c r="C804" s="118" t="n">
        <v>0</v>
      </c>
      <c r="D804" s="64" t="n">
        <v>-890142.184011364</v>
      </c>
      <c r="E804" s="64" t="n">
        <v>-1111218.8981599</v>
      </c>
      <c r="F804" s="64" t="n">
        <v>-1122040.27956339</v>
      </c>
      <c r="G804" s="64" t="n">
        <v>-1124456.47699471</v>
      </c>
      <c r="H804" s="64" t="n">
        <v>-1180782.16798128</v>
      </c>
      <c r="I804" s="64" t="n">
        <v>-1271626.20239281</v>
      </c>
      <c r="J804" s="64" t="n">
        <v>-1299362.10174248</v>
      </c>
      <c r="K804" s="64" t="n">
        <v>-1258793.73366738</v>
      </c>
      <c r="L804" s="64" t="n">
        <v>-1241521.52792435</v>
      </c>
      <c r="M804" s="64" t="n">
        <v>-1293522.76805818</v>
      </c>
      <c r="N804" s="64" t="n">
        <v>-1360727.683297</v>
      </c>
      <c r="O804" s="64" t="n">
        <v>-1399709.74735192</v>
      </c>
      <c r="P804" s="64" t="n">
        <v>-1474496.95880346</v>
      </c>
      <c r="Q804" s="64" t="n">
        <v>-1528857.71046219</v>
      </c>
      <c r="R804" s="64" t="n">
        <v>-1586338.94833546</v>
      </c>
      <c r="S804" s="64" t="n">
        <v>-1667153.25121424</v>
      </c>
      <c r="T804" s="64" t="n">
        <v>-1751318.22900324</v>
      </c>
      <c r="U804" s="64" t="n">
        <v>-1870089.90081342</v>
      </c>
      <c r="V804" s="64" t="n">
        <v>-1986353.92505063</v>
      </c>
      <c r="W804" s="65"/>
    </row>
    <row r="805" customFormat="false" ht="13.5" hidden="false" customHeight="false" outlineLevel="0" collapsed="false">
      <c r="A805" s="2"/>
      <c r="B805" s="119" t="s">
        <v>70</v>
      </c>
      <c r="C805" s="120" t="n">
        <v>0</v>
      </c>
      <c r="D805" s="68" t="n">
        <v>-5632869.15147433</v>
      </c>
      <c r="E805" s="68" t="n">
        <v>-5292627.56645858</v>
      </c>
      <c r="F805" s="68" t="n">
        <v>-4439418.00855303</v>
      </c>
      <c r="G805" s="68" t="n">
        <v>-4261635.66659471</v>
      </c>
      <c r="H805" s="68" t="n">
        <v>-4094728.90117459</v>
      </c>
      <c r="I805" s="68" t="n">
        <v>-4205113.53865214</v>
      </c>
      <c r="J805" s="68" t="n">
        <v>-4662950.59594162</v>
      </c>
      <c r="K805" s="68" t="n">
        <v>-4938638.58609252</v>
      </c>
      <c r="L805" s="68" t="n">
        <v>-5027705.08314796</v>
      </c>
      <c r="M805" s="68" t="n">
        <v>-4966683.71591662</v>
      </c>
      <c r="N805" s="68" t="n">
        <v>-5052363.28809452</v>
      </c>
      <c r="O805" s="68" t="n">
        <v>-4953981.98940378</v>
      </c>
      <c r="P805" s="68" t="n">
        <v>-4965039.01687547</v>
      </c>
      <c r="Q805" s="68" t="n">
        <v>-5185376.96763521</v>
      </c>
      <c r="R805" s="68" t="n">
        <v>-6006443.18942333</v>
      </c>
      <c r="S805" s="68" t="n">
        <v>-5571943.81576803</v>
      </c>
      <c r="T805" s="68" t="n">
        <v>-5653078.54699055</v>
      </c>
      <c r="U805" s="68" t="n">
        <v>-6251288.78309041</v>
      </c>
      <c r="V805" s="68" t="n">
        <v>-6991328.34098671</v>
      </c>
      <c r="W805" s="65"/>
    </row>
    <row r="806" customFormat="false" ht="13.5" hidden="false" customHeight="false" outlineLevel="0" collapsed="false">
      <c r="A806" s="2"/>
      <c r="B806" s="121" t="s">
        <v>32</v>
      </c>
      <c r="C806" s="123" t="n">
        <v>0</v>
      </c>
      <c r="D806" s="73" t="n">
        <v>8449303.7272115</v>
      </c>
      <c r="E806" s="73" t="n">
        <v>7938941.34968787</v>
      </c>
      <c r="F806" s="73" t="n">
        <v>6659127.01282954</v>
      </c>
      <c r="G806" s="73" t="n">
        <v>6392453.49989206</v>
      </c>
      <c r="H806" s="73" t="n">
        <v>6142093.35176188</v>
      </c>
      <c r="I806" s="73" t="n">
        <v>6307670.30797821</v>
      </c>
      <c r="J806" s="73" t="n">
        <v>6994425.89391243</v>
      </c>
      <c r="K806" s="73" t="n">
        <v>7407957.87913878</v>
      </c>
      <c r="L806" s="73" t="n">
        <v>7541557.62472194</v>
      </c>
      <c r="M806" s="73" t="n">
        <v>7450025.57387492</v>
      </c>
      <c r="N806" s="73" t="n">
        <v>7578544.93214178</v>
      </c>
      <c r="O806" s="73" t="n">
        <v>7430972.98410567</v>
      </c>
      <c r="P806" s="73" t="n">
        <v>7447558.52531321</v>
      </c>
      <c r="Q806" s="73" t="n">
        <v>7778065.45145282</v>
      </c>
      <c r="R806" s="73" t="n">
        <v>9009664.784135</v>
      </c>
      <c r="S806" s="73" t="n">
        <v>8357915.72365204</v>
      </c>
      <c r="T806" s="73" t="n">
        <v>8479617.82048582</v>
      </c>
      <c r="U806" s="73" t="n">
        <v>9376933.17463561</v>
      </c>
      <c r="V806" s="73" t="n">
        <v>10486992.5114801</v>
      </c>
      <c r="W806" s="65"/>
    </row>
    <row r="807" customFormat="false" ht="12.75" hidden="false" customHeight="false" outlineLevel="0" collapsed="false">
      <c r="A807" s="2"/>
      <c r="B807" s="117" t="s">
        <v>30</v>
      </c>
      <c r="C807" s="118" t="n">
        <v>0</v>
      </c>
      <c r="D807" s="64" t="n">
        <v>890142.184011364</v>
      </c>
      <c r="E807" s="64" t="n">
        <v>1111218.8981599</v>
      </c>
      <c r="F807" s="64" t="n">
        <v>1122040.27956339</v>
      </c>
      <c r="G807" s="64" t="n">
        <v>1124456.47699471</v>
      </c>
      <c r="H807" s="64" t="n">
        <v>1180782.16798128</v>
      </c>
      <c r="I807" s="64" t="n">
        <v>1271626.20239281</v>
      </c>
      <c r="J807" s="64" t="n">
        <v>1299362.10174248</v>
      </c>
      <c r="K807" s="64" t="n">
        <v>1258793.73366738</v>
      </c>
      <c r="L807" s="64" t="n">
        <v>1241521.52792435</v>
      </c>
      <c r="M807" s="64" t="n">
        <v>1293522.76805818</v>
      </c>
      <c r="N807" s="64" t="n">
        <v>1360727.683297</v>
      </c>
      <c r="O807" s="64" t="n">
        <v>1399709.74735192</v>
      </c>
      <c r="P807" s="64" t="n">
        <v>1474496.95880346</v>
      </c>
      <c r="Q807" s="64" t="n">
        <v>1528857.71046219</v>
      </c>
      <c r="R807" s="64" t="n">
        <v>1586338.94833546</v>
      </c>
      <c r="S807" s="64" t="n">
        <v>1667153.25121424</v>
      </c>
      <c r="T807" s="64" t="n">
        <v>1751318.22900324</v>
      </c>
      <c r="U807" s="64" t="n">
        <v>1870089.90081342</v>
      </c>
      <c r="V807" s="64" t="n">
        <v>1986353.92505063</v>
      </c>
      <c r="W807" s="65"/>
    </row>
    <row r="808" customFormat="false" ht="12.75" hidden="false" customHeight="false" outlineLevel="0" collapsed="false">
      <c r="A808" s="2"/>
      <c r="B808" s="117" t="s">
        <v>33</v>
      </c>
      <c r="C808" s="118" t="n">
        <v>0</v>
      </c>
      <c r="D808" s="64" t="n">
        <v>-5440512.71</v>
      </c>
      <c r="E808" s="64" t="n">
        <v>-1207895.95</v>
      </c>
      <c r="F808" s="64" t="n">
        <v>-294093.1</v>
      </c>
      <c r="G808" s="64" t="n">
        <v>-776726.04</v>
      </c>
      <c r="H808" s="64" t="n">
        <v>-1724501.212</v>
      </c>
      <c r="I808" s="64" t="n">
        <v>-1776236.24836</v>
      </c>
      <c r="J808" s="64" t="n">
        <v>-1829523.3358108</v>
      </c>
      <c r="K808" s="64" t="n">
        <v>-1884409.03588512</v>
      </c>
      <c r="L808" s="64" t="n">
        <v>-1940941.30696168</v>
      </c>
      <c r="M808" s="64" t="n">
        <v>-1999169.54617053</v>
      </c>
      <c r="N808" s="64" t="n">
        <v>-2059144.63255564</v>
      </c>
      <c r="O808" s="64" t="n">
        <v>-2120918.97153231</v>
      </c>
      <c r="P808" s="64" t="n">
        <v>-2184546.54067828</v>
      </c>
      <c r="Q808" s="64" t="n">
        <v>-2250082.93689863</v>
      </c>
      <c r="R808" s="64" t="n">
        <v>-2317585.42500559</v>
      </c>
      <c r="S808" s="64" t="n">
        <v>-2387112.98775576</v>
      </c>
      <c r="T808" s="64" t="n">
        <v>-2458726.37738843</v>
      </c>
      <c r="U808" s="64" t="n">
        <v>-2532488.16871008</v>
      </c>
      <c r="V808" s="64" t="n">
        <v>-2608462.81377139</v>
      </c>
      <c r="W808" s="65"/>
    </row>
    <row r="809" customFormat="false" ht="13.5" hidden="false" customHeight="false" outlineLevel="0" collapsed="false">
      <c r="A809" s="2"/>
      <c r="B809" s="119" t="s">
        <v>34</v>
      </c>
      <c r="C809" s="120" t="n">
        <v>0</v>
      </c>
      <c r="D809" s="68" t="n">
        <v>0</v>
      </c>
      <c r="E809" s="68" t="n">
        <v>0</v>
      </c>
      <c r="F809" s="68" t="n">
        <v>0</v>
      </c>
      <c r="G809" s="68" t="n">
        <v>0</v>
      </c>
      <c r="H809" s="68" t="n">
        <v>0</v>
      </c>
      <c r="I809" s="68" t="n">
        <v>0</v>
      </c>
      <c r="J809" s="68" t="n">
        <v>0</v>
      </c>
      <c r="K809" s="68" t="n">
        <v>0</v>
      </c>
      <c r="L809" s="68" t="n">
        <v>0</v>
      </c>
      <c r="M809" s="68" t="n">
        <v>0</v>
      </c>
      <c r="N809" s="68" t="n">
        <v>0</v>
      </c>
      <c r="O809" s="68" t="n">
        <v>0</v>
      </c>
      <c r="P809" s="68" t="n">
        <v>0</v>
      </c>
      <c r="Q809" s="68" t="n">
        <v>0</v>
      </c>
      <c r="R809" s="68" t="n">
        <v>0</v>
      </c>
      <c r="S809" s="68" t="n">
        <v>0</v>
      </c>
      <c r="T809" s="68" t="n">
        <v>0</v>
      </c>
      <c r="U809" s="68" t="n">
        <v>0</v>
      </c>
      <c r="V809" s="68" t="n">
        <v>0</v>
      </c>
      <c r="W809" s="65"/>
    </row>
    <row r="810" customFormat="false" ht="13.5" hidden="false" customHeight="false" outlineLevel="0" collapsed="false">
      <c r="A810" s="2"/>
      <c r="B810" s="117"/>
      <c r="C810" s="124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</row>
    <row r="811" customFormat="false" ht="12.75" hidden="false" customHeight="false" outlineLevel="0" collapsed="false">
      <c r="A811" s="2"/>
      <c r="B811" s="121" t="s">
        <v>35</v>
      </c>
      <c r="C811" s="123" t="n">
        <v>0</v>
      </c>
      <c r="D811" s="73" t="n">
        <v>3898933.20122286</v>
      </c>
      <c r="E811" s="73" t="n">
        <v>7842264.29784777</v>
      </c>
      <c r="F811" s="73" t="n">
        <v>7487074.19239293</v>
      </c>
      <c r="G811" s="73" t="n">
        <v>6740183.93688677</v>
      </c>
      <c r="H811" s="73" t="n">
        <v>5598374.30774316</v>
      </c>
      <c r="I811" s="73" t="n">
        <v>5803060.26201102</v>
      </c>
      <c r="J811" s="73" t="n">
        <v>6464264.65984411</v>
      </c>
      <c r="K811" s="73" t="n">
        <v>6782342.57692104</v>
      </c>
      <c r="L811" s="73" t="n">
        <v>6842137.84568461</v>
      </c>
      <c r="M811" s="73" t="n">
        <v>6744378.79576258</v>
      </c>
      <c r="N811" s="73" t="n">
        <v>6880127.98288313</v>
      </c>
      <c r="O811" s="73" t="n">
        <v>6709763.75992528</v>
      </c>
      <c r="P811" s="73" t="n">
        <v>6737508.94343839</v>
      </c>
      <c r="Q811" s="73" t="n">
        <v>7056840.22501638</v>
      </c>
      <c r="R811" s="73" t="n">
        <v>8278418.30746487</v>
      </c>
      <c r="S811" s="73" t="n">
        <v>7637955.98711052</v>
      </c>
      <c r="T811" s="73" t="n">
        <v>7772209.67210063</v>
      </c>
      <c r="U811" s="73" t="n">
        <v>8714534.90673894</v>
      </c>
      <c r="V811" s="73" t="n">
        <v>9864883.62275931</v>
      </c>
      <c r="W811" s="71" t="n">
        <v>46942417.1776731</v>
      </c>
    </row>
    <row r="812" customFormat="false" ht="12.75" hidden="false" customHeight="false" outlineLevel="0" collapsed="false">
      <c r="A812" s="2"/>
      <c r="B812" s="12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customFormat="false" ht="12.75" hidden="false" customHeight="false" outlineLevel="0" collapsed="false">
      <c r="A813" s="48" t="s">
        <v>36</v>
      </c>
      <c r="B813" s="126" t="s">
        <v>37</v>
      </c>
      <c r="C813" s="76" t="n">
        <v>23730630.8507615</v>
      </c>
      <c r="D813" s="2"/>
      <c r="E813" s="127" t="s">
        <v>38</v>
      </c>
      <c r="F813" s="128" t="s">
        <v>37</v>
      </c>
      <c r="G813" s="79" t="n">
        <v>23730630.8507615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customFormat="false" ht="12.75" hidden="false" customHeight="false" outlineLevel="0" collapsed="false">
      <c r="A814" s="2"/>
      <c r="B814" s="126" t="s">
        <v>39</v>
      </c>
      <c r="C814" s="76" t="n">
        <v>31980239.2132417</v>
      </c>
      <c r="D814" s="2"/>
      <c r="E814" s="129"/>
      <c r="F814" s="128" t="s">
        <v>39</v>
      </c>
      <c r="G814" s="79" t="n">
        <v>31980239.2132417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customFormat="false" ht="13.5" hidden="false" customHeight="false" outlineLevel="0" collapsed="false">
      <c r="A815" s="2"/>
      <c r="B815" s="130" t="s">
        <v>40</v>
      </c>
      <c r="C815" s="82" t="n">
        <v>6977691.1975122</v>
      </c>
      <c r="D815" s="131"/>
      <c r="E815" s="129"/>
      <c r="F815" s="128" t="s">
        <v>40</v>
      </c>
      <c r="G815" s="79" t="n">
        <v>6977691.1975122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customFormat="false" ht="14.25" hidden="false" customHeight="false" outlineLevel="0" collapsed="false">
      <c r="A816" s="2"/>
      <c r="B816" s="126" t="s">
        <v>41</v>
      </c>
      <c r="C816" s="76" t="n">
        <v>62688561.2615153</v>
      </c>
      <c r="D816" s="132"/>
      <c r="E816" s="129"/>
      <c r="F816" s="133" t="s">
        <v>42</v>
      </c>
      <c r="G816" s="85" t="n">
        <v>0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customFormat="false" ht="13.5" hidden="false" customHeight="false" outlineLevel="0" collapsed="false">
      <c r="A817" s="2"/>
      <c r="B817" s="125"/>
      <c r="C817" s="134"/>
      <c r="D817" s="2"/>
      <c r="E817" s="135"/>
      <c r="F817" s="128" t="s">
        <v>41</v>
      </c>
      <c r="G817" s="79" t="n">
        <v>62688561.2615153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customFormat="false" ht="12.75" hidden="false" customHeight="false" outlineLevel="0" collapsed="false">
      <c r="A818" s="2"/>
      <c r="B818" s="125"/>
      <c r="C818" s="134"/>
      <c r="D818" s="2"/>
      <c r="E818" s="135"/>
      <c r="F818" s="128"/>
      <c r="G818" s="13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customFormat="false" ht="12.75" hidden="false" customHeight="false" outlineLevel="0" collapsed="false">
      <c r="A819" s="2"/>
      <c r="B819" s="125"/>
      <c r="C819" s="134"/>
      <c r="D819" s="2"/>
      <c r="E819" s="135"/>
      <c r="F819" s="128"/>
      <c r="G819" s="13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customFormat="false" ht="12.75" hidden="false" customHeight="false" outlineLevel="0" collapsed="false">
      <c r="A820" s="2"/>
      <c r="B820" s="137" t="s">
        <v>43</v>
      </c>
      <c r="C820" s="134"/>
      <c r="D820" s="2"/>
      <c r="E820" s="135"/>
      <c r="F820" s="128"/>
      <c r="G820" s="13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customFormat="false" ht="12.75" hidden="false" customHeight="false" outlineLevel="0" collapsed="false">
      <c r="A821" s="87" t="s">
        <v>44</v>
      </c>
      <c r="B821" s="137" t="s">
        <v>45</v>
      </c>
      <c r="C821" s="138"/>
      <c r="D821" s="88" t="n">
        <v>8449303.7272115</v>
      </c>
      <c r="E821" s="88" t="n">
        <v>7938941.34968787</v>
      </c>
      <c r="F821" s="88" t="n">
        <v>6659127.01282954</v>
      </c>
      <c r="G821" s="88" t="n">
        <v>6392453.49989206</v>
      </c>
      <c r="H821" s="88" t="n">
        <v>6142093.35176188</v>
      </c>
      <c r="I821" s="88" t="n">
        <v>6307670.30797821</v>
      </c>
      <c r="J821" s="88" t="n">
        <v>6994425.89391243</v>
      </c>
      <c r="K821" s="88" t="n">
        <v>7407957.87913878</v>
      </c>
      <c r="L821" s="88" t="n">
        <v>7541557.62472194</v>
      </c>
      <c r="M821" s="88" t="n">
        <v>7450025.57387492</v>
      </c>
      <c r="N821" s="88" t="n">
        <v>7578544.93214178</v>
      </c>
      <c r="O821" s="88" t="n">
        <v>7430972.98410567</v>
      </c>
      <c r="P821" s="88" t="n">
        <v>7447558.52531321</v>
      </c>
      <c r="Q821" s="88" t="n">
        <v>7778065.45145282</v>
      </c>
      <c r="R821" s="88" t="n">
        <v>9009664.784135</v>
      </c>
      <c r="S821" s="88" t="n">
        <v>8357915.72365204</v>
      </c>
      <c r="T821" s="88" t="n">
        <v>8479617.82048582</v>
      </c>
      <c r="U821" s="88" t="n">
        <v>9376933.17463561</v>
      </c>
      <c r="V821" s="88" t="n">
        <v>10486992.5114801</v>
      </c>
      <c r="W821" s="2"/>
    </row>
    <row r="822" customFormat="false" ht="12.75" hidden="false" customHeight="false" outlineLevel="0" collapsed="false">
      <c r="A822" s="2"/>
      <c r="B822" s="125" t="s">
        <v>46</v>
      </c>
      <c r="C822" s="134"/>
      <c r="D822" s="65" t="n">
        <v>5632869.15147433</v>
      </c>
      <c r="E822" s="65" t="n">
        <v>5292627.56645858</v>
      </c>
      <c r="F822" s="65" t="n">
        <v>4439418.00855303</v>
      </c>
      <c r="G822" s="65" t="n">
        <v>4261635.66659471</v>
      </c>
      <c r="H822" s="65" t="n">
        <v>4094728.90117459</v>
      </c>
      <c r="I822" s="65" t="n">
        <v>4205113.53865214</v>
      </c>
      <c r="J822" s="65" t="n">
        <v>4662950.59594162</v>
      </c>
      <c r="K822" s="65" t="n">
        <v>4938638.58609252</v>
      </c>
      <c r="L822" s="65" t="n">
        <v>5027705.08314796</v>
      </c>
      <c r="M822" s="65" t="n">
        <v>4966683.71591662</v>
      </c>
      <c r="N822" s="65" t="n">
        <v>5052363.28809452</v>
      </c>
      <c r="O822" s="65" t="n">
        <v>4953981.98940378</v>
      </c>
      <c r="P822" s="65" t="n">
        <v>4965039.01687547</v>
      </c>
      <c r="Q822" s="65" t="n">
        <v>5185376.96763521</v>
      </c>
      <c r="R822" s="65" t="n">
        <v>6006443.18942333</v>
      </c>
      <c r="S822" s="65" t="n">
        <v>5571943.81576803</v>
      </c>
      <c r="T822" s="65" t="n">
        <v>5653078.54699055</v>
      </c>
      <c r="U822" s="65" t="n">
        <v>6251288.78309041</v>
      </c>
      <c r="V822" s="65" t="n">
        <v>6991328.34098671</v>
      </c>
      <c r="W822" s="2"/>
    </row>
    <row r="823" customFormat="false" ht="12.75" hidden="false" customHeight="false" outlineLevel="0" collapsed="false">
      <c r="A823" s="2"/>
      <c r="B823" s="139" t="s">
        <v>47</v>
      </c>
      <c r="C823" s="140"/>
      <c r="D823" s="65" t="n">
        <v>890142.184011364</v>
      </c>
      <c r="E823" s="65" t="n">
        <v>1111218.8981599</v>
      </c>
      <c r="F823" s="65" t="n">
        <v>1122040.27956339</v>
      </c>
      <c r="G823" s="65" t="n">
        <v>1124456.47699471</v>
      </c>
      <c r="H823" s="65" t="n">
        <v>1180782.16798128</v>
      </c>
      <c r="I823" s="65" t="n">
        <v>1271626.20239281</v>
      </c>
      <c r="J823" s="65" t="n">
        <v>1299362.10174248</v>
      </c>
      <c r="K823" s="65" t="n">
        <v>1258793.73366738</v>
      </c>
      <c r="L823" s="65" t="n">
        <v>1241521.52792435</v>
      </c>
      <c r="M823" s="65" t="n">
        <v>1293522.76805818</v>
      </c>
      <c r="N823" s="65" t="n">
        <v>1360727.683297</v>
      </c>
      <c r="O823" s="65" t="n">
        <v>1399709.74735192</v>
      </c>
      <c r="P823" s="65" t="n">
        <v>1474496.95880346</v>
      </c>
      <c r="Q823" s="65" t="n">
        <v>1528857.71046219</v>
      </c>
      <c r="R823" s="65" t="n">
        <v>1586338.94833546</v>
      </c>
      <c r="S823" s="65" t="n">
        <v>1667153.25121424</v>
      </c>
      <c r="T823" s="65" t="n">
        <v>1751318.22900324</v>
      </c>
      <c r="U823" s="65" t="n">
        <v>1870089.90081342</v>
      </c>
      <c r="V823" s="65" t="n">
        <v>1986353.92505063</v>
      </c>
      <c r="W823" s="2"/>
    </row>
    <row r="824" customFormat="false" ht="13.5" hidden="false" customHeight="false" outlineLevel="0" collapsed="false">
      <c r="A824" s="2"/>
      <c r="B824" s="141" t="s">
        <v>48</v>
      </c>
      <c r="C824" s="142"/>
      <c r="D824" s="93" t="n">
        <v>14972315.0626972</v>
      </c>
      <c r="E824" s="93" t="n">
        <v>14342787.8143064</v>
      </c>
      <c r="F824" s="93" t="n">
        <v>12220585.300946</v>
      </c>
      <c r="G824" s="93" t="n">
        <v>11778545.6434815</v>
      </c>
      <c r="H824" s="93" t="n">
        <v>11417604.4209178</v>
      </c>
      <c r="I824" s="93" t="n">
        <v>11784410.0490232</v>
      </c>
      <c r="J824" s="93" t="n">
        <v>12956738.5915965</v>
      </c>
      <c r="K824" s="93" t="n">
        <v>13605390.1988987</v>
      </c>
      <c r="L824" s="93" t="n">
        <v>13810784.2357943</v>
      </c>
      <c r="M824" s="93" t="n">
        <v>13710232.0578497</v>
      </c>
      <c r="N824" s="93" t="n">
        <v>13991635.9035333</v>
      </c>
      <c r="O824" s="93" t="n">
        <v>13784664.7208614</v>
      </c>
      <c r="P824" s="93" t="n">
        <v>13887094.5009921</v>
      </c>
      <c r="Q824" s="93" t="n">
        <v>14492300.1295502</v>
      </c>
      <c r="R824" s="93" t="n">
        <v>16602446.9218938</v>
      </c>
      <c r="S824" s="93" t="n">
        <v>15597012.7906343</v>
      </c>
      <c r="T824" s="93" t="n">
        <v>15884014.5964796</v>
      </c>
      <c r="U824" s="93" t="n">
        <v>17498311.8585394</v>
      </c>
      <c r="V824" s="93" t="n">
        <v>19464674.7775174</v>
      </c>
      <c r="W824" s="2"/>
    </row>
    <row r="825" customFormat="false" ht="13.5" hidden="false" customHeight="false" outlineLevel="0" collapsed="false">
      <c r="A825" s="87" t="s">
        <v>49</v>
      </c>
      <c r="B825" s="125" t="s">
        <v>50</v>
      </c>
      <c r="C825" s="134"/>
      <c r="D825" s="65" t="n">
        <v>-1321672.12900205</v>
      </c>
      <c r="E825" s="65" t="n">
        <v>-1380157.12104229</v>
      </c>
      <c r="F825" s="65" t="n">
        <v>-1387955.02368595</v>
      </c>
      <c r="G825" s="65" t="n">
        <v>-1397144.36786985</v>
      </c>
      <c r="H825" s="65" t="n">
        <v>-1398252.04201118</v>
      </c>
      <c r="I825" s="65" t="n">
        <v>-1487063.85442918</v>
      </c>
      <c r="J825" s="65" t="n">
        <v>-1169901.52433488</v>
      </c>
      <c r="K825" s="65" t="n">
        <v>-909027.6503292</v>
      </c>
      <c r="L825" s="65" t="n">
        <v>-1005717.43882722</v>
      </c>
      <c r="M825" s="65" t="n">
        <v>-1092124.32705526</v>
      </c>
      <c r="N825" s="65" t="n">
        <v>-1093012.41636288</v>
      </c>
      <c r="O825" s="65" t="n">
        <v>-1199058.36493949</v>
      </c>
      <c r="P825" s="65" t="n">
        <v>-1308285.69197341</v>
      </c>
      <c r="Q825" s="65" t="n">
        <v>-1420789.83881834</v>
      </c>
      <c r="R825" s="65" t="n">
        <v>-1536669.11006862</v>
      </c>
      <c r="S825" s="65" t="n">
        <v>-1655381.78408639</v>
      </c>
      <c r="T825" s="65" t="n">
        <v>-1776579.87454816</v>
      </c>
      <c r="U825" s="65" t="n">
        <v>-1903204.28298367</v>
      </c>
      <c r="V825" s="65" t="n">
        <v>-2033627.42367224</v>
      </c>
      <c r="W825" s="2"/>
    </row>
    <row r="826" customFormat="false" ht="12.75" hidden="false" customHeight="false" outlineLevel="0" collapsed="false">
      <c r="A826" s="2"/>
      <c r="B826" s="125" t="s">
        <v>51</v>
      </c>
      <c r="C826" s="134"/>
      <c r="D826" s="65" t="n">
        <v>0</v>
      </c>
      <c r="E826" s="65" t="n">
        <v>0</v>
      </c>
      <c r="F826" s="65" t="n">
        <v>0</v>
      </c>
      <c r="G826" s="65" t="n">
        <v>0</v>
      </c>
      <c r="H826" s="65" t="n">
        <v>0</v>
      </c>
      <c r="I826" s="65" t="n">
        <v>0</v>
      </c>
      <c r="J826" s="65" t="n">
        <v>0</v>
      </c>
      <c r="K826" s="65" t="n">
        <v>0</v>
      </c>
      <c r="L826" s="65" t="n">
        <v>0</v>
      </c>
      <c r="M826" s="65" t="n">
        <v>0</v>
      </c>
      <c r="N826" s="65" t="n">
        <v>0</v>
      </c>
      <c r="O826" s="65" t="n">
        <v>0</v>
      </c>
      <c r="P826" s="65" t="n">
        <v>0</v>
      </c>
      <c r="Q826" s="65" t="n">
        <v>0</v>
      </c>
      <c r="R826" s="65" t="n">
        <v>0</v>
      </c>
      <c r="S826" s="65" t="n">
        <v>0</v>
      </c>
      <c r="T826" s="65" t="n">
        <v>0</v>
      </c>
      <c r="U826" s="65" t="n">
        <v>0</v>
      </c>
      <c r="V826" s="65" t="n">
        <v>0</v>
      </c>
      <c r="W826" s="2"/>
    </row>
    <row r="827" customFormat="false" ht="12.75" hidden="false" customHeight="false" outlineLevel="0" collapsed="false">
      <c r="A827" s="2"/>
      <c r="B827" s="137" t="s">
        <v>52</v>
      </c>
      <c r="C827" s="138"/>
      <c r="D827" s="88" t="n">
        <v>13650642.9336952</v>
      </c>
      <c r="E827" s="88" t="n">
        <v>12962630.6932641</v>
      </c>
      <c r="F827" s="88" t="n">
        <v>10832630.27726</v>
      </c>
      <c r="G827" s="88" t="n">
        <v>10381401.2756116</v>
      </c>
      <c r="H827" s="88" t="n">
        <v>10019352.3789066</v>
      </c>
      <c r="I827" s="88" t="n">
        <v>10297346.194594</v>
      </c>
      <c r="J827" s="88" t="n">
        <v>11786837.0672617</v>
      </c>
      <c r="K827" s="88" t="n">
        <v>12696362.5485695</v>
      </c>
      <c r="L827" s="88" t="n">
        <v>12805066.796967</v>
      </c>
      <c r="M827" s="88" t="n">
        <v>12618107.7307945</v>
      </c>
      <c r="N827" s="88" t="n">
        <v>12898623.4871704</v>
      </c>
      <c r="O827" s="88" t="n">
        <v>12585606.3559219</v>
      </c>
      <c r="P827" s="88" t="n">
        <v>12578808.8090187</v>
      </c>
      <c r="Q827" s="88" t="n">
        <v>13071510.2907319</v>
      </c>
      <c r="R827" s="88" t="n">
        <v>15065777.8118252</v>
      </c>
      <c r="S827" s="88" t="n">
        <v>13941631.0065479</v>
      </c>
      <c r="T827" s="88" t="n">
        <v>14107434.7219315</v>
      </c>
      <c r="U827" s="88" t="n">
        <v>15595107.5755558</v>
      </c>
      <c r="V827" s="88" t="n">
        <v>17431047.3538452</v>
      </c>
      <c r="W827" s="2"/>
    </row>
    <row r="828" customFormat="false" ht="13.5" hidden="false" customHeight="false" outlineLevel="0" collapsed="false">
      <c r="A828" s="2"/>
      <c r="B828" s="143" t="s">
        <v>53</v>
      </c>
      <c r="C828" s="144"/>
      <c r="D828" s="96" t="n">
        <v>-5460257.17347806</v>
      </c>
      <c r="E828" s="96" t="n">
        <v>-5185052.27730563</v>
      </c>
      <c r="F828" s="96" t="n">
        <v>-4333052.110904</v>
      </c>
      <c r="G828" s="96" t="n">
        <v>-4152560.51024465</v>
      </c>
      <c r="H828" s="96" t="n">
        <v>-4007740.95156263</v>
      </c>
      <c r="I828" s="96" t="n">
        <v>-4118938.47783759</v>
      </c>
      <c r="J828" s="96" t="n">
        <v>-4714734.82690466</v>
      </c>
      <c r="K828" s="96" t="n">
        <v>-5078545.01942779</v>
      </c>
      <c r="L828" s="96" t="n">
        <v>-5122026.71878681</v>
      </c>
      <c r="M828" s="96" t="n">
        <v>-5047243.09231779</v>
      </c>
      <c r="N828" s="96" t="n">
        <v>-5159449.39486817</v>
      </c>
      <c r="O828" s="96" t="n">
        <v>-5034242.54236875</v>
      </c>
      <c r="P828" s="96" t="n">
        <v>-5031523.5236075</v>
      </c>
      <c r="Q828" s="96" t="n">
        <v>-5228604.11629276</v>
      </c>
      <c r="R828" s="96" t="n">
        <v>-6026311.12473007</v>
      </c>
      <c r="S828" s="96" t="n">
        <v>-5576652.40261917</v>
      </c>
      <c r="T828" s="96" t="n">
        <v>-5642973.88877258</v>
      </c>
      <c r="U828" s="96" t="n">
        <v>-6238043.03022231</v>
      </c>
      <c r="V828" s="96" t="n">
        <v>-6972418.94153807</v>
      </c>
      <c r="W828" s="2"/>
    </row>
    <row r="829" customFormat="false" ht="13.5" hidden="false" customHeight="false" outlineLevel="0" collapsed="false">
      <c r="A829" s="2"/>
      <c r="B829" s="137" t="s">
        <v>54</v>
      </c>
      <c r="C829" s="138"/>
      <c r="D829" s="88" t="n">
        <v>8190385.76021709</v>
      </c>
      <c r="E829" s="88" t="n">
        <v>7777578.41595844</v>
      </c>
      <c r="F829" s="88" t="n">
        <v>6499578.16635601</v>
      </c>
      <c r="G829" s="88" t="n">
        <v>6228840.76536697</v>
      </c>
      <c r="H829" s="88" t="n">
        <v>6011611.42734394</v>
      </c>
      <c r="I829" s="88" t="n">
        <v>6178407.71675639</v>
      </c>
      <c r="J829" s="88" t="n">
        <v>7072102.24035699</v>
      </c>
      <c r="K829" s="88" t="n">
        <v>7617817.52914169</v>
      </c>
      <c r="L829" s="88" t="n">
        <v>7683040.07818022</v>
      </c>
      <c r="M829" s="88" t="n">
        <v>7570864.63847668</v>
      </c>
      <c r="N829" s="88" t="n">
        <v>7739174.09230225</v>
      </c>
      <c r="O829" s="88" t="n">
        <v>7551363.81355313</v>
      </c>
      <c r="P829" s="88" t="n">
        <v>7547285.28541125</v>
      </c>
      <c r="Q829" s="88" t="n">
        <v>7842906.17443914</v>
      </c>
      <c r="R829" s="88" t="n">
        <v>9039466.68709511</v>
      </c>
      <c r="S829" s="88" t="n">
        <v>8364978.60392875</v>
      </c>
      <c r="T829" s="88" t="n">
        <v>8464460.83315887</v>
      </c>
      <c r="U829" s="88" t="n">
        <v>9357064.54533346</v>
      </c>
      <c r="V829" s="88" t="n">
        <v>10458628.4123071</v>
      </c>
      <c r="W829" s="2"/>
    </row>
    <row r="830" customFormat="false" ht="12.75" hidden="false" customHeight="false" outlineLevel="0" collapsed="false">
      <c r="A830" s="2"/>
      <c r="B830" s="2"/>
      <c r="C830" s="134"/>
      <c r="D830" s="2"/>
      <c r="E830" s="135"/>
      <c r="F830" s="128"/>
      <c r="G830" s="13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customFormat="false" ht="15.75" hidden="false" customHeight="false" outlineLevel="0" collapsed="false">
      <c r="A831" s="97" t="s">
        <v>55</v>
      </c>
      <c r="B831" s="14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customFormat="false" ht="12.75" hidden="false" customHeight="false" outlineLevel="0" collapsed="false">
      <c r="A832" s="99" t="s">
        <v>56</v>
      </c>
      <c r="B832" s="49"/>
      <c r="C832" s="101" t="n">
        <v>0</v>
      </c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</row>
    <row r="833" customFormat="false" ht="12.75" hidden="false" customHeight="false" outlineLevel="0" collapsed="false">
      <c r="A833" s="99" t="s">
        <v>57</v>
      </c>
      <c r="B833" s="49"/>
      <c r="C833" s="146" t="n">
        <v>0</v>
      </c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</row>
    <row r="834" customFormat="false" ht="12.75" hidden="false" customHeight="false" outlineLevel="0" collapsed="false">
      <c r="A834" s="99" t="s">
        <v>58</v>
      </c>
      <c r="B834" s="49"/>
      <c r="C834" s="99" t="n">
        <v>15</v>
      </c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</row>
    <row r="835" customFormat="false" ht="12.75" hidden="false" customHeight="false" outlineLevel="0" collapsed="false">
      <c r="A835" s="99" t="s">
        <v>59</v>
      </c>
      <c r="B835" s="49"/>
      <c r="C835" s="146" t="n">
        <v>0</v>
      </c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</row>
    <row r="836" customFormat="false" ht="12.75" hidden="false" customHeight="false" outlineLevel="0" collapsed="false">
      <c r="A836" s="99" t="s">
        <v>60</v>
      </c>
      <c r="B836" s="49"/>
      <c r="C836" s="147" t="n">
        <v>0.0875</v>
      </c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</row>
    <row r="837" customFormat="false" ht="12.75" hidden="false" customHeight="false" outlineLevel="0" collapsed="false">
      <c r="A837" s="99"/>
      <c r="B837" s="49"/>
      <c r="C837" s="107"/>
      <c r="D837" s="58" t="n">
        <v>2001</v>
      </c>
      <c r="E837" s="58" t="n">
        <v>2002</v>
      </c>
      <c r="F837" s="58" t="n">
        <v>2003</v>
      </c>
      <c r="G837" s="58" t="n">
        <v>2004</v>
      </c>
      <c r="H837" s="58" t="n">
        <v>2005</v>
      </c>
      <c r="I837" s="58" t="n">
        <v>2006</v>
      </c>
      <c r="J837" s="58" t="n">
        <v>2007</v>
      </c>
      <c r="K837" s="58" t="n">
        <v>2008</v>
      </c>
      <c r="L837" s="58" t="n">
        <v>2009</v>
      </c>
      <c r="M837" s="58" t="n">
        <v>2010</v>
      </c>
      <c r="N837" s="58" t="n">
        <v>2011</v>
      </c>
      <c r="O837" s="58" t="n">
        <v>2012</v>
      </c>
      <c r="P837" s="58" t="n">
        <v>2013</v>
      </c>
      <c r="Q837" s="58" t="n">
        <v>2014</v>
      </c>
      <c r="R837" s="58" t="n">
        <v>2015</v>
      </c>
      <c r="S837" s="58" t="n">
        <v>2016</v>
      </c>
      <c r="T837" s="58" t="n">
        <v>2017</v>
      </c>
      <c r="U837" s="58" t="n">
        <v>2018</v>
      </c>
      <c r="V837" s="58" t="n">
        <v>2019</v>
      </c>
      <c r="W837" s="58" t="s">
        <v>19</v>
      </c>
    </row>
    <row r="838" customFormat="false" ht="12.75" hidden="false" customHeight="false" outlineLevel="0" collapsed="false">
      <c r="A838" s="99" t="s">
        <v>61</v>
      </c>
      <c r="B838" s="49"/>
      <c r="C838" s="107"/>
      <c r="D838" s="102" t="n">
        <v>0</v>
      </c>
      <c r="E838" s="102" t="n">
        <v>0</v>
      </c>
      <c r="F838" s="102" t="n">
        <v>0</v>
      </c>
      <c r="G838" s="102" t="n">
        <v>0</v>
      </c>
      <c r="H838" s="102" t="n">
        <v>0</v>
      </c>
      <c r="I838" s="102" t="n">
        <v>0</v>
      </c>
      <c r="J838" s="102" t="n">
        <v>0</v>
      </c>
      <c r="K838" s="102" t="n">
        <v>0</v>
      </c>
      <c r="L838" s="102" t="n">
        <v>0</v>
      </c>
      <c r="M838" s="102" t="n">
        <v>0</v>
      </c>
      <c r="N838" s="102" t="n">
        <v>0</v>
      </c>
      <c r="O838" s="102" t="n">
        <v>0</v>
      </c>
      <c r="P838" s="102" t="n">
        <v>0</v>
      </c>
      <c r="Q838" s="102" t="n">
        <v>0</v>
      </c>
      <c r="R838" s="102" t="n">
        <v>0</v>
      </c>
      <c r="S838" s="102" t="n">
        <v>0</v>
      </c>
      <c r="T838" s="102" t="n">
        <v>0</v>
      </c>
      <c r="U838" s="102" t="n">
        <v>0</v>
      </c>
      <c r="V838" s="102" t="n">
        <v>0</v>
      </c>
      <c r="W838" s="102" t="n">
        <v>0</v>
      </c>
    </row>
    <row r="839" customFormat="false" ht="12.75" hidden="false" customHeight="false" outlineLevel="0" collapsed="false">
      <c r="A839" s="99" t="s">
        <v>62</v>
      </c>
      <c r="B839" s="49"/>
      <c r="C839" s="107"/>
      <c r="D839" s="102" t="n">
        <v>0</v>
      </c>
      <c r="E839" s="102" t="n">
        <v>0</v>
      </c>
      <c r="F839" s="102" t="n">
        <v>0</v>
      </c>
      <c r="G839" s="102" t="n">
        <v>0</v>
      </c>
      <c r="H839" s="102" t="n">
        <v>0</v>
      </c>
      <c r="I839" s="102" t="n">
        <v>0</v>
      </c>
      <c r="J839" s="102" t="n">
        <v>0</v>
      </c>
      <c r="K839" s="102" t="n">
        <v>0</v>
      </c>
      <c r="L839" s="102" t="n">
        <v>0</v>
      </c>
      <c r="M839" s="102" t="n">
        <v>0</v>
      </c>
      <c r="N839" s="102" t="n">
        <v>0</v>
      </c>
      <c r="O839" s="102" t="n">
        <v>0</v>
      </c>
      <c r="P839" s="102" t="n">
        <v>0</v>
      </c>
      <c r="Q839" s="102" t="n">
        <v>0</v>
      </c>
      <c r="R839" s="102" t="n">
        <v>0</v>
      </c>
      <c r="S839" s="102" t="n">
        <v>0</v>
      </c>
      <c r="T839" s="102" t="n">
        <v>0</v>
      </c>
      <c r="U839" s="102" t="n">
        <v>0</v>
      </c>
      <c r="V839" s="102" t="n">
        <v>0</v>
      </c>
      <c r="W839" s="102" t="n">
        <v>0</v>
      </c>
    </row>
    <row r="840" customFormat="false" ht="12.75" hidden="false" customHeight="false" outlineLevel="0" collapsed="false">
      <c r="A840" s="99" t="s">
        <v>63</v>
      </c>
      <c r="B840" s="49"/>
      <c r="C840" s="107"/>
      <c r="D840" s="102" t="n">
        <v>0</v>
      </c>
      <c r="E840" s="102" t="n">
        <v>0</v>
      </c>
      <c r="F840" s="102" t="n">
        <v>0</v>
      </c>
      <c r="G840" s="102" t="n">
        <v>0</v>
      </c>
      <c r="H840" s="102" t="n">
        <v>0</v>
      </c>
      <c r="I840" s="102" t="n">
        <v>0</v>
      </c>
      <c r="J840" s="102" t="n">
        <v>0</v>
      </c>
      <c r="K840" s="102" t="n">
        <v>0</v>
      </c>
      <c r="L840" s="102" t="n">
        <v>0</v>
      </c>
      <c r="M840" s="102" t="n">
        <v>0</v>
      </c>
      <c r="N840" s="102" t="n">
        <v>0</v>
      </c>
      <c r="O840" s="102" t="n">
        <v>0</v>
      </c>
      <c r="P840" s="102" t="n">
        <v>0</v>
      </c>
      <c r="Q840" s="102" t="n">
        <v>0</v>
      </c>
      <c r="R840" s="102" t="n">
        <v>0</v>
      </c>
      <c r="S840" s="102" t="n">
        <v>0</v>
      </c>
      <c r="T840" s="102" t="n">
        <v>0</v>
      </c>
      <c r="U840" s="102" t="n">
        <v>0</v>
      </c>
      <c r="V840" s="102" t="n">
        <v>0</v>
      </c>
      <c r="W840" s="102" t="n">
        <v>0</v>
      </c>
    </row>
    <row r="841" customFormat="false" ht="12.75" hidden="false" customHeight="false" outlineLevel="0" collapsed="false">
      <c r="A841" s="99" t="s">
        <v>64</v>
      </c>
      <c r="B841" s="49"/>
      <c r="C841" s="107"/>
      <c r="D841" s="105" t="n">
        <v>0</v>
      </c>
      <c r="E841" s="105" t="n">
        <v>0</v>
      </c>
      <c r="F841" s="105" t="n">
        <v>0</v>
      </c>
      <c r="G841" s="105" t="n">
        <v>0</v>
      </c>
      <c r="H841" s="105" t="n">
        <v>0</v>
      </c>
      <c r="I841" s="105" t="n">
        <v>0</v>
      </c>
      <c r="J841" s="105" t="n">
        <v>0</v>
      </c>
      <c r="K841" s="105" t="n">
        <v>0</v>
      </c>
      <c r="L841" s="105" t="n">
        <v>0</v>
      </c>
      <c r="M841" s="105" t="n">
        <v>0</v>
      </c>
      <c r="N841" s="105" t="n">
        <v>0</v>
      </c>
      <c r="O841" s="105" t="n">
        <v>0</v>
      </c>
      <c r="P841" s="105" t="n">
        <v>0</v>
      </c>
      <c r="Q841" s="105" t="n">
        <v>0</v>
      </c>
      <c r="R841" s="105" t="n">
        <v>0</v>
      </c>
      <c r="S841" s="105" t="n">
        <v>0</v>
      </c>
      <c r="T841" s="105" t="n">
        <v>0</v>
      </c>
      <c r="U841" s="105" t="n">
        <v>0</v>
      </c>
      <c r="V841" s="105" t="n">
        <v>0</v>
      </c>
      <c r="W841" s="105" t="n">
        <v>0</v>
      </c>
    </row>
    <row r="842" customFormat="false" ht="13.5" hidden="false" customHeight="false" outlineLevel="0" collapsed="false">
      <c r="A842" s="99" t="s">
        <v>65</v>
      </c>
      <c r="B842" s="49"/>
      <c r="C842" s="107"/>
      <c r="D842" s="106" t="n">
        <v>0</v>
      </c>
      <c r="E842" s="106" t="n">
        <v>0</v>
      </c>
      <c r="F842" s="106" t="n">
        <v>0</v>
      </c>
      <c r="G842" s="106" t="n">
        <v>0</v>
      </c>
      <c r="H842" s="106" t="n">
        <v>0</v>
      </c>
      <c r="I842" s="106" t="n">
        <v>0</v>
      </c>
      <c r="J842" s="106" t="n">
        <v>0</v>
      </c>
      <c r="K842" s="106" t="n">
        <v>0</v>
      </c>
      <c r="L842" s="106" t="n">
        <v>0</v>
      </c>
      <c r="M842" s="106" t="n">
        <v>0</v>
      </c>
      <c r="N842" s="106" t="n">
        <v>0</v>
      </c>
      <c r="O842" s="106" t="n">
        <v>0</v>
      </c>
      <c r="P842" s="106" t="n">
        <v>0</v>
      </c>
      <c r="Q842" s="106" t="n">
        <v>0</v>
      </c>
      <c r="R842" s="106" t="n">
        <v>0</v>
      </c>
      <c r="S842" s="106" t="n">
        <v>0</v>
      </c>
      <c r="T842" s="106" t="n">
        <v>0</v>
      </c>
      <c r="U842" s="106" t="n">
        <v>0</v>
      </c>
      <c r="V842" s="106" t="n">
        <v>0</v>
      </c>
      <c r="W842" s="106" t="n">
        <v>0</v>
      </c>
    </row>
    <row r="843" customFormat="false" ht="13.5" hidden="false" customHeight="false" outlineLevel="0" collapsed="false">
      <c r="A843" s="99"/>
      <c r="B843" s="49"/>
      <c r="C843" s="107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</row>
    <row r="844" customFormat="false" ht="12.75" hidden="false" customHeight="false" outlineLevel="0" collapsed="false">
      <c r="A844" s="99" t="s">
        <v>66</v>
      </c>
      <c r="B844" s="49"/>
      <c r="C844" s="107"/>
      <c r="D844" s="102" t="n">
        <v>0</v>
      </c>
      <c r="E844" s="102" t="n">
        <v>0</v>
      </c>
      <c r="F844" s="102" t="n">
        <v>0</v>
      </c>
      <c r="G844" s="102" t="n">
        <v>0</v>
      </c>
      <c r="H844" s="102" t="n">
        <v>0</v>
      </c>
      <c r="I844" s="102" t="n">
        <v>0</v>
      </c>
      <c r="J844" s="102" t="n">
        <v>0</v>
      </c>
      <c r="K844" s="102" t="n">
        <v>0</v>
      </c>
      <c r="L844" s="102" t="n">
        <v>0</v>
      </c>
      <c r="M844" s="102" t="n">
        <v>0</v>
      </c>
      <c r="N844" s="102" t="n">
        <v>0</v>
      </c>
      <c r="O844" s="102" t="n">
        <v>0</v>
      </c>
      <c r="P844" s="102" t="n">
        <v>0</v>
      </c>
      <c r="Q844" s="102" t="n">
        <v>0</v>
      </c>
      <c r="R844" s="102" t="n">
        <v>0</v>
      </c>
      <c r="S844" s="102" t="n">
        <v>0</v>
      </c>
      <c r="T844" s="102" t="n">
        <v>0</v>
      </c>
      <c r="U844" s="102" t="n">
        <v>0</v>
      </c>
      <c r="V844" s="102" t="n">
        <v>0</v>
      </c>
      <c r="W844" s="102" t="n">
        <v>0</v>
      </c>
    </row>
    <row r="845" customFormat="false" ht="12.75" hidden="false" customHeight="false" outlineLevel="0" collapsed="false">
      <c r="A845" s="99"/>
      <c r="B845" s="49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</row>
    <row r="846" customFormat="false" ht="12.75" hidden="false" customHeight="false" outlineLevel="0" collapsed="false">
      <c r="A846" s="99" t="s">
        <v>67</v>
      </c>
      <c r="B846" s="49"/>
      <c r="C846" s="107"/>
      <c r="D846" s="102" t="n">
        <v>0</v>
      </c>
      <c r="E846" s="102" t="n">
        <v>0</v>
      </c>
      <c r="F846" s="102" t="n">
        <v>0</v>
      </c>
      <c r="G846" s="102" t="n">
        <v>0</v>
      </c>
      <c r="H846" s="102" t="n">
        <v>0</v>
      </c>
      <c r="I846" s="102" t="n">
        <v>0</v>
      </c>
      <c r="J846" s="102" t="n">
        <v>0</v>
      </c>
      <c r="K846" s="102" t="n">
        <v>0</v>
      </c>
      <c r="L846" s="102" t="n">
        <v>0</v>
      </c>
      <c r="M846" s="102" t="n">
        <v>0</v>
      </c>
      <c r="N846" s="102" t="n">
        <v>0</v>
      </c>
      <c r="O846" s="102" t="n">
        <v>0</v>
      </c>
      <c r="P846" s="102" t="n">
        <v>0</v>
      </c>
      <c r="Q846" s="102" t="n">
        <v>0</v>
      </c>
      <c r="R846" s="102" t="n">
        <v>0</v>
      </c>
      <c r="S846" s="102" t="n">
        <v>0</v>
      </c>
      <c r="T846" s="102" t="n">
        <v>0</v>
      </c>
      <c r="U846" s="102" t="n">
        <v>0</v>
      </c>
      <c r="V846" s="102" t="n">
        <v>0</v>
      </c>
      <c r="W846" s="102" t="n">
        <v>0</v>
      </c>
    </row>
    <row r="847" customFormat="false" ht="12.75" hidden="false" customHeight="false" outlineLevel="0" collapsed="false">
      <c r="A847" s="107"/>
      <c r="B847" s="49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</row>
    <row r="848" customFormat="false" ht="12.75" hidden="false" customHeight="false" outlineLevel="0" collapsed="false">
      <c r="A848" s="107"/>
      <c r="B848" s="49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</row>
    <row r="849" customFormat="false" ht="12.75" hidden="false" customHeight="false" outlineLevel="0" collapsed="false">
      <c r="A849" s="99" t="s">
        <v>68</v>
      </c>
      <c r="B849" s="148"/>
      <c r="C849" s="149"/>
      <c r="D849" s="79" t="n">
        <v>3898933.20122286</v>
      </c>
      <c r="E849" s="79" t="n">
        <v>7842264.29784777</v>
      </c>
      <c r="F849" s="79" t="n">
        <v>7487074.19239293</v>
      </c>
      <c r="G849" s="79" t="n">
        <v>6740183.93688677</v>
      </c>
      <c r="H849" s="79" t="n">
        <v>5598374.30774316</v>
      </c>
      <c r="I849" s="79" t="n">
        <v>5803060.26201102</v>
      </c>
      <c r="J849" s="79" t="n">
        <v>6464264.65984411</v>
      </c>
      <c r="K849" s="79" t="n">
        <v>6782342.57692104</v>
      </c>
      <c r="L849" s="79" t="n">
        <v>6842137.84568461</v>
      </c>
      <c r="M849" s="79" t="n">
        <v>6744378.79576258</v>
      </c>
      <c r="N849" s="79" t="n">
        <v>6880127.98288313</v>
      </c>
      <c r="O849" s="79" t="n">
        <v>6709763.75992528</v>
      </c>
      <c r="P849" s="79" t="n">
        <v>6737508.94343839</v>
      </c>
      <c r="Q849" s="79" t="n">
        <v>7056840.22501638</v>
      </c>
      <c r="R849" s="79" t="n">
        <v>8278418.30746487</v>
      </c>
      <c r="S849" s="79" t="n">
        <v>7637955.98711052</v>
      </c>
      <c r="T849" s="79" t="n">
        <v>7772209.67210063</v>
      </c>
      <c r="U849" s="79" t="n">
        <v>8714534.90673894</v>
      </c>
      <c r="V849" s="79" t="n">
        <v>9864883.62275931</v>
      </c>
      <c r="W849" s="79" t="n">
        <v>46942417.1776731</v>
      </c>
    </row>
    <row r="850" customFormat="false" ht="12.75" hidden="false" customHeight="false" outlineLevel="0" collapsed="false">
      <c r="A850" s="2"/>
      <c r="B850" s="3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customFormat="false" ht="12.75" hidden="false" customHeight="false" outlineLevel="0" collapsed="false">
      <c r="B851" s="153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4"/>
    </row>
    <row r="852" customFormat="false" ht="12.75" hidden="false" customHeight="false" outlineLevel="0" collapsed="false">
      <c r="B852" s="156"/>
    </row>
    <row r="853" customFormat="false" ht="12.75" hidden="false" customHeight="false" outlineLevel="0" collapsed="false">
      <c r="A853" s="51"/>
      <c r="B853" s="126"/>
      <c r="C853" s="157"/>
      <c r="E853" s="158"/>
      <c r="F853" s="128"/>
      <c r="G853" s="159"/>
    </row>
    <row r="854" customFormat="false" ht="12.75" hidden="false" customHeight="false" outlineLevel="0" collapsed="false">
      <c r="B854" s="126"/>
      <c r="C854" s="157"/>
      <c r="E854" s="160"/>
      <c r="F854" s="128"/>
      <c r="G854" s="159"/>
    </row>
    <row r="855" customFormat="false" ht="12.75" hidden="false" customHeight="false" outlineLevel="0" collapsed="false">
      <c r="B855" s="126"/>
      <c r="C855" s="157"/>
      <c r="D855" s="131"/>
      <c r="E855" s="160"/>
      <c r="F855" s="128"/>
      <c r="G855" s="159"/>
    </row>
    <row r="856" customFormat="false" ht="12.75" hidden="false" customHeight="false" outlineLevel="0" collapsed="false">
      <c r="B856" s="126"/>
      <c r="C856" s="138"/>
      <c r="D856" s="161"/>
      <c r="E856" s="160"/>
      <c r="F856" s="162"/>
      <c r="G856" s="79"/>
    </row>
    <row r="857" customFormat="false" ht="12.75" hidden="false" customHeight="false" outlineLevel="0" collapsed="false">
      <c r="B857" s="156"/>
      <c r="C857" s="134"/>
      <c r="E857" s="163"/>
      <c r="F857" s="128"/>
      <c r="G857" s="136"/>
    </row>
    <row r="858" customFormat="false" ht="15.75" hidden="false" customHeight="false" outlineLevel="0" collapsed="false">
      <c r="A858" s="48" t="s">
        <v>17</v>
      </c>
      <c r="B858" s="57" t="s">
        <v>82</v>
      </c>
      <c r="C858" s="58" t="n">
        <v>2000</v>
      </c>
      <c r="D858" s="58" t="n">
        <v>2001</v>
      </c>
      <c r="E858" s="58" t="n">
        <v>2002</v>
      </c>
      <c r="F858" s="58" t="n">
        <v>2003</v>
      </c>
      <c r="G858" s="58" t="n">
        <v>2004</v>
      </c>
      <c r="H858" s="58" t="n">
        <v>2005</v>
      </c>
      <c r="I858" s="58" t="n">
        <v>2006</v>
      </c>
      <c r="J858" s="58" t="n">
        <v>2007</v>
      </c>
      <c r="K858" s="58" t="n">
        <v>2008</v>
      </c>
      <c r="L858" s="58" t="n">
        <v>2009</v>
      </c>
      <c r="M858" s="58" t="n">
        <v>2010</v>
      </c>
      <c r="N858" s="58" t="n">
        <v>2011</v>
      </c>
      <c r="O858" s="58" t="n">
        <v>2012</v>
      </c>
      <c r="P858" s="58" t="n">
        <v>2013</v>
      </c>
      <c r="Q858" s="58" t="n">
        <v>2014</v>
      </c>
      <c r="R858" s="58" t="n">
        <v>2015</v>
      </c>
      <c r="S858" s="58" t="n">
        <v>2016</v>
      </c>
      <c r="T858" s="58" t="n">
        <v>2017</v>
      </c>
      <c r="U858" s="58" t="n">
        <v>2018</v>
      </c>
      <c r="V858" s="58" t="n">
        <v>2019</v>
      </c>
      <c r="W858" s="58" t="s">
        <v>19</v>
      </c>
    </row>
    <row r="859" customFormat="false" ht="12.75" hidden="false" customHeight="false" outlineLevel="0" collapsed="false">
      <c r="A859" s="48" t="s">
        <v>5</v>
      </c>
      <c r="B859" s="49" t="n">
        <v>94</v>
      </c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</row>
    <row r="860" customFormat="false" ht="12.75" hidden="false" customHeight="false" outlineLevel="0" collapsed="false">
      <c r="A860" s="2"/>
      <c r="B860" s="117" t="s">
        <v>20</v>
      </c>
      <c r="C860" s="118" t="n">
        <v>0</v>
      </c>
      <c r="D860" s="64" t="n">
        <v>28028526.3507967</v>
      </c>
      <c r="E860" s="64" t="n">
        <v>27639805.6469108</v>
      </c>
      <c r="F860" s="64" t="n">
        <v>28171824.4766399</v>
      </c>
      <c r="G860" s="64" t="n">
        <v>27772522.318087</v>
      </c>
      <c r="H860" s="64" t="n">
        <v>27981710.112344</v>
      </c>
      <c r="I860" s="64" t="n">
        <v>29871087.1671317</v>
      </c>
      <c r="J860" s="64" t="n">
        <v>32029428.8034057</v>
      </c>
      <c r="K860" s="64" t="n">
        <v>32858278.6052041</v>
      </c>
      <c r="L860" s="64" t="n">
        <v>33546028.7007313</v>
      </c>
      <c r="M860" s="64" t="n">
        <v>33665786.1696123</v>
      </c>
      <c r="N860" s="64" t="n">
        <v>34393133.2523472</v>
      </c>
      <c r="O860" s="64" t="n">
        <v>34779360.8162955</v>
      </c>
      <c r="P860" s="64" t="n">
        <v>35188645.907967</v>
      </c>
      <c r="Q860" s="64" t="n">
        <v>36427329.203799</v>
      </c>
      <c r="R860" s="64" t="n">
        <v>39011811.6637007</v>
      </c>
      <c r="S860" s="64" t="n">
        <v>38787075.2968145</v>
      </c>
      <c r="T860" s="64" t="n">
        <v>39281409.5556733</v>
      </c>
      <c r="U860" s="64" t="n">
        <v>41169094.6296614</v>
      </c>
      <c r="V860" s="64" t="n">
        <v>42419547.1892879</v>
      </c>
      <c r="W860" s="65"/>
    </row>
    <row r="861" customFormat="false" ht="12.75" hidden="false" customHeight="false" outlineLevel="0" collapsed="false">
      <c r="A861" s="2"/>
      <c r="B861" s="117" t="s">
        <v>21</v>
      </c>
      <c r="C861" s="118" t="n">
        <v>0</v>
      </c>
      <c r="D861" s="64" t="n">
        <v>-9174874.05844415</v>
      </c>
      <c r="E861" s="64" t="n">
        <v>-9306881.20801479</v>
      </c>
      <c r="F861" s="64" t="n">
        <v>-9469061.42034444</v>
      </c>
      <c r="G861" s="64" t="n">
        <v>-9739864.6586065</v>
      </c>
      <c r="H861" s="64" t="n">
        <v>-10078557.2880763</v>
      </c>
      <c r="I861" s="64" t="n">
        <v>-10465526.8179605</v>
      </c>
      <c r="J861" s="64" t="n">
        <v>-10706911.3200326</v>
      </c>
      <c r="K861" s="64" t="n">
        <v>-10936980.92357</v>
      </c>
      <c r="L861" s="64" t="n">
        <v>-11117264.973555</v>
      </c>
      <c r="M861" s="64" t="n">
        <v>-11206275.5086941</v>
      </c>
      <c r="N861" s="64" t="n">
        <v>-11358649.4756271</v>
      </c>
      <c r="O861" s="64" t="n">
        <v>-11605314.2636819</v>
      </c>
      <c r="P861" s="64" t="n">
        <v>-11870082.8893922</v>
      </c>
      <c r="Q861" s="64" t="n">
        <v>-12122027.9634299</v>
      </c>
      <c r="R861" s="64" t="n">
        <v>-12294014.4211562</v>
      </c>
      <c r="S861" s="64" t="n">
        <v>-12545959.4951939</v>
      </c>
      <c r="T861" s="64" t="n">
        <v>-12832603.5914044</v>
      </c>
      <c r="U861" s="64" t="n">
        <v>-13147157.770667</v>
      </c>
      <c r="V861" s="64" t="n">
        <v>-13472272.5218953</v>
      </c>
      <c r="W861" s="65"/>
    </row>
    <row r="862" customFormat="false" ht="12.75" hidden="false" customHeight="false" outlineLevel="0" collapsed="false">
      <c r="A862" s="2"/>
      <c r="B862" s="117" t="s">
        <v>22</v>
      </c>
      <c r="C862" s="118" t="n">
        <v>0</v>
      </c>
      <c r="D862" s="64" t="n">
        <v>-743370.482130676</v>
      </c>
      <c r="E862" s="64" t="n">
        <v>-758374.936345131</v>
      </c>
      <c r="F862" s="64" t="n">
        <v>-773682.245800257</v>
      </c>
      <c r="G862" s="64" t="n">
        <v>-789298.523433952</v>
      </c>
      <c r="H862" s="64" t="n">
        <v>-805230.005569828</v>
      </c>
      <c r="I862" s="64" t="n">
        <v>-821483.054407667</v>
      </c>
      <c r="J862" s="64" t="n">
        <v>-838064.160564158</v>
      </c>
      <c r="K862" s="64" t="n">
        <v>-854979.945664904</v>
      </c>
      <c r="L862" s="64" t="n">
        <v>-872237.164988755</v>
      </c>
      <c r="M862" s="64" t="n">
        <v>-889842.710165513</v>
      </c>
      <c r="N862" s="64" t="n">
        <v>-907803.611928085</v>
      </c>
      <c r="O862" s="64" t="n">
        <v>-926127.042920194</v>
      </c>
      <c r="P862" s="64" t="n">
        <v>-944820.320560752</v>
      </c>
      <c r="Q862" s="64" t="n">
        <v>-963890.909966061</v>
      </c>
      <c r="R862" s="64" t="n">
        <v>-983346.426930983</v>
      </c>
      <c r="S862" s="64" t="n">
        <v>-1003194.64097029</v>
      </c>
      <c r="T862" s="64" t="n">
        <v>-1023443.47842141</v>
      </c>
      <c r="U862" s="64" t="n">
        <v>-1044101.02560978</v>
      </c>
      <c r="V862" s="64" t="n">
        <v>-1065175.53207811</v>
      </c>
      <c r="W862" s="65"/>
    </row>
    <row r="863" customFormat="false" ht="12.75" hidden="false" customHeight="false" outlineLevel="0" collapsed="false">
      <c r="A863" s="2"/>
      <c r="B863" s="117" t="s">
        <v>23</v>
      </c>
      <c r="C863" s="118" t="n">
        <v>0</v>
      </c>
      <c r="D863" s="64" t="n">
        <v>0</v>
      </c>
      <c r="E863" s="64" t="n">
        <v>0</v>
      </c>
      <c r="F863" s="64" t="n">
        <v>0</v>
      </c>
      <c r="G863" s="64" t="n">
        <v>0</v>
      </c>
      <c r="H863" s="64" t="n">
        <v>0</v>
      </c>
      <c r="I863" s="64" t="n">
        <v>-814924.550765214</v>
      </c>
      <c r="J863" s="64" t="n">
        <v>-903278.765126568</v>
      </c>
      <c r="K863" s="64" t="n">
        <v>-1061916.27303071</v>
      </c>
      <c r="L863" s="64" t="n">
        <v>-1094751.01855253</v>
      </c>
      <c r="M863" s="64" t="n">
        <v>-1217531.45113212</v>
      </c>
      <c r="N863" s="64" t="n">
        <v>-1341202.96772944</v>
      </c>
      <c r="O863" s="64" t="n">
        <v>-1486012.67776332</v>
      </c>
      <c r="P863" s="64" t="n">
        <v>-1666211.12186347</v>
      </c>
      <c r="Q863" s="64" t="n">
        <v>-1854752.9859114</v>
      </c>
      <c r="R863" s="64" t="n">
        <v>-2054499.71412838</v>
      </c>
      <c r="S863" s="64" t="n">
        <v>-2255838.15957022</v>
      </c>
      <c r="T863" s="64" t="n">
        <v>-2216251.01436603</v>
      </c>
      <c r="U863" s="64" t="n">
        <v>-1896122.61430306</v>
      </c>
      <c r="V863" s="64" t="n">
        <v>-1965929.32297567</v>
      </c>
      <c r="W863" s="65"/>
    </row>
    <row r="864" customFormat="false" ht="13.5" hidden="false" customHeight="false" outlineLevel="0" collapsed="false">
      <c r="A864" s="2"/>
      <c r="B864" s="119" t="s">
        <v>24</v>
      </c>
      <c r="C864" s="120" t="n">
        <v>0</v>
      </c>
      <c r="D864" s="68" t="n">
        <v>0</v>
      </c>
      <c r="E864" s="68" t="n">
        <v>0</v>
      </c>
      <c r="F864" s="68" t="n">
        <v>-2245997.40917358</v>
      </c>
      <c r="G864" s="68" t="n">
        <v>-1913730.57874973</v>
      </c>
      <c r="H864" s="68" t="n">
        <v>-1986713.79519299</v>
      </c>
      <c r="I864" s="68" t="n">
        <v>-2063377.2012069</v>
      </c>
      <c r="J864" s="68" t="n">
        <v>-2592052.41623705</v>
      </c>
      <c r="K864" s="68" t="n">
        <v>-2264128.73617086</v>
      </c>
      <c r="L864" s="68" t="n">
        <v>-2396420.29330718</v>
      </c>
      <c r="M864" s="68" t="n">
        <v>-2280285.68948672</v>
      </c>
      <c r="N864" s="68" t="n">
        <v>-2345594.95099497</v>
      </c>
      <c r="O864" s="68" t="n">
        <v>-2406418.27334638</v>
      </c>
      <c r="P864" s="68" t="n">
        <v>-2149436.40147883</v>
      </c>
      <c r="Q864" s="68" t="n">
        <v>-2226288.80903325</v>
      </c>
      <c r="R864" s="68" t="n">
        <v>-2272295.91593685</v>
      </c>
      <c r="S864" s="68" t="n">
        <v>-2413018.6151944</v>
      </c>
      <c r="T864" s="68" t="n">
        <v>-2268487.76840531</v>
      </c>
      <c r="U864" s="68" t="n">
        <v>-2498460.34644146</v>
      </c>
      <c r="V864" s="68" t="n">
        <v>-1360288.12073507</v>
      </c>
      <c r="W864" s="65"/>
    </row>
    <row r="865" customFormat="false" ht="13.5" hidden="false" customHeight="false" outlineLevel="0" collapsed="false">
      <c r="A865" s="2"/>
      <c r="B865" s="121" t="s">
        <v>25</v>
      </c>
      <c r="C865" s="122" t="n">
        <v>0</v>
      </c>
      <c r="D865" s="71" t="n">
        <v>18110281.8102219</v>
      </c>
      <c r="E865" s="71" t="n">
        <v>17574549.5025509</v>
      </c>
      <c r="F865" s="71" t="n">
        <v>15683083.4013216</v>
      </c>
      <c r="G865" s="71" t="n">
        <v>15329628.5572968</v>
      </c>
      <c r="H865" s="71" t="n">
        <v>15111209.0235049</v>
      </c>
      <c r="I865" s="71" t="n">
        <v>15705775.5427914</v>
      </c>
      <c r="J865" s="71" t="n">
        <v>16989122.1414454</v>
      </c>
      <c r="K865" s="71" t="n">
        <v>17740272.7267676</v>
      </c>
      <c r="L865" s="71" t="n">
        <v>18065355.2503278</v>
      </c>
      <c r="M865" s="71" t="n">
        <v>18071850.8101339</v>
      </c>
      <c r="N865" s="71" t="n">
        <v>18439882.2460677</v>
      </c>
      <c r="O865" s="71" t="n">
        <v>18355488.5585837</v>
      </c>
      <c r="P865" s="71" t="n">
        <v>18558095.1746718</v>
      </c>
      <c r="Q865" s="71" t="n">
        <v>19260368.5354584</v>
      </c>
      <c r="R865" s="71" t="n">
        <v>21407655.1855483</v>
      </c>
      <c r="S865" s="71" t="n">
        <v>20569064.3858857</v>
      </c>
      <c r="T865" s="71" t="n">
        <v>20940623.7030761</v>
      </c>
      <c r="U865" s="71" t="n">
        <v>22583252.87264</v>
      </c>
      <c r="V865" s="71" t="n">
        <v>24555881.6916037</v>
      </c>
      <c r="W865" s="65"/>
    </row>
    <row r="866" customFormat="false" ht="12.75" hidden="false" customHeight="false" outlineLevel="0" collapsed="false">
      <c r="A866" s="2"/>
      <c r="B866" s="117" t="s">
        <v>26</v>
      </c>
      <c r="C866" s="118" t="n">
        <v>0</v>
      </c>
      <c r="D866" s="64" t="n">
        <v>-3115421.81295591</v>
      </c>
      <c r="E866" s="64" t="n">
        <v>-3177730.24921502</v>
      </c>
      <c r="F866" s="64" t="n">
        <v>-3241284.85419932</v>
      </c>
      <c r="G866" s="64" t="n">
        <v>-3306110.55128331</v>
      </c>
      <c r="H866" s="64" t="n">
        <v>-3372232.76230898</v>
      </c>
      <c r="I866" s="64" t="n">
        <v>-3439677.41755516</v>
      </c>
      <c r="J866" s="64" t="n">
        <v>-3508470.96590626</v>
      </c>
      <c r="K866" s="64" t="n">
        <v>-3578640.38522439</v>
      </c>
      <c r="L866" s="64" t="n">
        <v>-3650213.19292887</v>
      </c>
      <c r="M866" s="64" t="n">
        <v>-3723217.45678745</v>
      </c>
      <c r="N866" s="64" t="n">
        <v>-3797681.8059232</v>
      </c>
      <c r="O866" s="64" t="n">
        <v>-3873635.44204166</v>
      </c>
      <c r="P866" s="64" t="n">
        <v>-3951108.1508825</v>
      </c>
      <c r="Q866" s="64" t="n">
        <v>-4030130.31390015</v>
      </c>
      <c r="R866" s="64" t="n">
        <v>-4110732.92017815</v>
      </c>
      <c r="S866" s="64" t="n">
        <v>-4192947.57858171</v>
      </c>
      <c r="T866" s="64" t="n">
        <v>-4276806.53015335</v>
      </c>
      <c r="U866" s="64" t="n">
        <v>-4362342.66075642</v>
      </c>
      <c r="V866" s="64" t="n">
        <v>-4449589.51397154</v>
      </c>
      <c r="W866" s="65"/>
    </row>
    <row r="867" customFormat="false" ht="12.75" hidden="false" customHeight="false" outlineLevel="0" collapsed="false">
      <c r="A867" s="2"/>
      <c r="B867" s="117" t="s">
        <v>27</v>
      </c>
      <c r="C867" s="118" t="n">
        <v>0</v>
      </c>
      <c r="D867" s="64" t="n">
        <v>-246782.100029798</v>
      </c>
      <c r="E867" s="64" t="n">
        <v>-252279.407856059</v>
      </c>
      <c r="F867" s="64" t="n">
        <v>-257897.106723715</v>
      </c>
      <c r="G867" s="64" t="n">
        <v>-268962.404172178</v>
      </c>
      <c r="H867" s="64" t="n">
        <v>-318736.434700043</v>
      </c>
      <c r="I867" s="64" t="n">
        <v>-402826.882218652</v>
      </c>
      <c r="J867" s="64" t="n">
        <v>-443315.615070997</v>
      </c>
      <c r="K867" s="64" t="n">
        <v>-490647.477509242</v>
      </c>
      <c r="L867" s="64" t="n">
        <v>-533196.673363126</v>
      </c>
      <c r="M867" s="64" t="n">
        <v>-552153.962838055</v>
      </c>
      <c r="N867" s="64" t="n">
        <v>-558971.731120858</v>
      </c>
      <c r="O867" s="64" t="n">
        <v>-565961.307164386</v>
      </c>
      <c r="P867" s="64" t="n">
        <v>-573128.418439421</v>
      </c>
      <c r="Q867" s="64" t="n">
        <v>-580474.707496331</v>
      </c>
      <c r="R867" s="64" t="n">
        <v>-588005.388408569</v>
      </c>
      <c r="S867" s="64" t="n">
        <v>-595724.336343614</v>
      </c>
      <c r="T867" s="64" t="n">
        <v>-603634.714187448</v>
      </c>
      <c r="U867" s="64" t="n">
        <v>-611743.642515162</v>
      </c>
      <c r="V867" s="64" t="n">
        <v>-620056.104943901</v>
      </c>
      <c r="W867" s="65"/>
    </row>
    <row r="868" customFormat="false" ht="13.5" hidden="false" customHeight="false" outlineLevel="0" collapsed="false">
      <c r="A868" s="2"/>
      <c r="B868" s="119" t="s">
        <v>28</v>
      </c>
      <c r="C868" s="120" t="n">
        <v>0</v>
      </c>
      <c r="D868" s="68" t="n">
        <v>-307061.972034519</v>
      </c>
      <c r="E868" s="68" t="n">
        <v>-313540.979644449</v>
      </c>
      <c r="F868" s="68" t="n">
        <v>-320407.527098663</v>
      </c>
      <c r="G868" s="68" t="n">
        <v>-327648.737211091</v>
      </c>
      <c r="H868" s="68" t="n">
        <v>-335446.777156715</v>
      </c>
      <c r="I868" s="68" t="n">
        <v>-343853.10711533</v>
      </c>
      <c r="J868" s="68" t="n">
        <v>-352381.622102413</v>
      </c>
      <c r="K868" s="68" t="n">
        <v>-361301.129180596</v>
      </c>
      <c r="L868" s="68" t="n">
        <v>-370225.267071357</v>
      </c>
      <c r="M868" s="68" t="n">
        <v>-379666.011381676</v>
      </c>
      <c r="N868" s="68" t="n">
        <v>-388853.928857114</v>
      </c>
      <c r="O868" s="68" t="n">
        <v>-398653.047864312</v>
      </c>
      <c r="P868" s="68" t="n">
        <v>-408778.835280065</v>
      </c>
      <c r="Q868" s="68" t="n">
        <v>-418998.306162066</v>
      </c>
      <c r="R868" s="68" t="n">
        <v>-429515.163646734</v>
      </c>
      <c r="S868" s="68" t="n">
        <v>-440253.042737903</v>
      </c>
      <c r="T868" s="68" t="n">
        <v>-451171.318197802</v>
      </c>
      <c r="U868" s="68" t="n">
        <v>-462495.718284568</v>
      </c>
      <c r="V868" s="68" t="n">
        <v>-474104.360813511</v>
      </c>
      <c r="W868" s="65"/>
    </row>
    <row r="869" customFormat="false" ht="13.5" hidden="false" customHeight="false" outlineLevel="0" collapsed="false">
      <c r="A869" s="2"/>
      <c r="B869" s="121" t="s">
        <v>29</v>
      </c>
      <c r="C869" s="123" t="n">
        <v>0</v>
      </c>
      <c r="D869" s="73" t="n">
        <v>14441015.9252017</v>
      </c>
      <c r="E869" s="73" t="n">
        <v>13830998.8658354</v>
      </c>
      <c r="F869" s="73" t="n">
        <v>11863493.9132999</v>
      </c>
      <c r="G869" s="73" t="n">
        <v>11426906.8646302</v>
      </c>
      <c r="H869" s="73" t="n">
        <v>11084793.0493392</v>
      </c>
      <c r="I869" s="73" t="n">
        <v>11519418.1359023</v>
      </c>
      <c r="J869" s="73" t="n">
        <v>12684953.9383657</v>
      </c>
      <c r="K869" s="73" t="n">
        <v>13309683.7348534</v>
      </c>
      <c r="L869" s="73" t="n">
        <v>13511720.1169645</v>
      </c>
      <c r="M869" s="73" t="n">
        <v>13416813.3791267</v>
      </c>
      <c r="N869" s="73" t="n">
        <v>13694374.7801665</v>
      </c>
      <c r="O869" s="73" t="n">
        <v>13517238.7615133</v>
      </c>
      <c r="P869" s="73" t="n">
        <v>13625079.7700698</v>
      </c>
      <c r="Q869" s="73" t="n">
        <v>14230765.2078999</v>
      </c>
      <c r="R869" s="73" t="n">
        <v>16279401.7133148</v>
      </c>
      <c r="S869" s="73" t="n">
        <v>15340139.4282225</v>
      </c>
      <c r="T869" s="73" t="n">
        <v>15609011.1405375</v>
      </c>
      <c r="U869" s="73" t="n">
        <v>17146670.8510839</v>
      </c>
      <c r="V869" s="73" t="n">
        <v>19012131.7118748</v>
      </c>
      <c r="W869" s="65"/>
    </row>
    <row r="870" customFormat="false" ht="12.75" hidden="false" customHeight="false" outlineLevel="0" collapsed="false">
      <c r="A870" s="2"/>
      <c r="B870" s="117" t="s">
        <v>30</v>
      </c>
      <c r="C870" s="118" t="n">
        <v>0</v>
      </c>
      <c r="D870" s="64" t="n">
        <v>-711001.677261364</v>
      </c>
      <c r="E870" s="64" t="n">
        <v>-942429.1527157</v>
      </c>
      <c r="F870" s="64" t="n">
        <v>-1141876.54953159</v>
      </c>
      <c r="G870" s="64" t="n">
        <v>-1142692.04621511</v>
      </c>
      <c r="H870" s="64" t="n">
        <v>-1196917.07041368</v>
      </c>
      <c r="I870" s="64" t="n">
        <v>-1285050.222462</v>
      </c>
      <c r="J870" s="64" t="n">
        <v>-1310158.97885021</v>
      </c>
      <c r="K870" s="64" t="n">
        <v>-1267185.08755764</v>
      </c>
      <c r="L870" s="64" t="n">
        <v>-1234350.74763106</v>
      </c>
      <c r="M870" s="64" t="n">
        <v>-1282194.95181667</v>
      </c>
      <c r="N870" s="64" t="n">
        <v>-1348188.50742416</v>
      </c>
      <c r="O870" s="64" t="n">
        <v>-1385995.30342493</v>
      </c>
      <c r="P870" s="64" t="n">
        <v>-1459584.49091579</v>
      </c>
      <c r="Q870" s="64" t="n">
        <v>-1512711.27789501</v>
      </c>
      <c r="R870" s="64" t="n">
        <v>-1568921.53214838</v>
      </c>
      <c r="S870" s="64" t="n">
        <v>-1648426.72189867</v>
      </c>
      <c r="T870" s="64" t="n">
        <v>-1731243.31316533</v>
      </c>
      <c r="U870" s="64" t="n">
        <v>-1848626.14685749</v>
      </c>
      <c r="V870" s="64" t="n">
        <v>-1963459.66783314</v>
      </c>
      <c r="W870" s="65"/>
    </row>
    <row r="871" customFormat="false" ht="13.5" hidden="false" customHeight="false" outlineLevel="0" collapsed="false">
      <c r="A871" s="2"/>
      <c r="B871" s="119" t="s">
        <v>70</v>
      </c>
      <c r="C871" s="120" t="n">
        <v>0</v>
      </c>
      <c r="D871" s="68" t="n">
        <v>-5492005.69917613</v>
      </c>
      <c r="E871" s="68" t="n">
        <v>-5155427.88524787</v>
      </c>
      <c r="F871" s="68" t="n">
        <v>-4288646.94550732</v>
      </c>
      <c r="G871" s="68" t="n">
        <v>-4113685.92736604</v>
      </c>
      <c r="H871" s="68" t="n">
        <v>-3955150.3915702</v>
      </c>
      <c r="I871" s="68" t="n">
        <v>-4093747.16537611</v>
      </c>
      <c r="J871" s="68" t="n">
        <v>-4549917.98380621</v>
      </c>
      <c r="K871" s="68" t="n">
        <v>-4816999.4589183</v>
      </c>
      <c r="L871" s="68" t="n">
        <v>-4910947.74773336</v>
      </c>
      <c r="M871" s="68" t="n">
        <v>-4853847.370924</v>
      </c>
      <c r="N871" s="68" t="n">
        <v>-4938474.50909694</v>
      </c>
      <c r="O871" s="68" t="n">
        <v>-4852497.38323535</v>
      </c>
      <c r="P871" s="68" t="n">
        <v>-4866198.11166162</v>
      </c>
      <c r="Q871" s="68" t="n">
        <v>-5087221.57200196</v>
      </c>
      <c r="R871" s="68" t="n">
        <v>-5884192.07246659</v>
      </c>
      <c r="S871" s="68" t="n">
        <v>-5476685.08252952</v>
      </c>
      <c r="T871" s="68" t="n">
        <v>-5551107.13094888</v>
      </c>
      <c r="U871" s="68" t="n">
        <v>-6119217.88169056</v>
      </c>
      <c r="V871" s="68" t="n">
        <v>-6819468.81761666</v>
      </c>
      <c r="W871" s="65"/>
    </row>
    <row r="872" customFormat="false" ht="13.5" hidden="false" customHeight="false" outlineLevel="0" collapsed="false">
      <c r="A872" s="2"/>
      <c r="B872" s="121" t="s">
        <v>32</v>
      </c>
      <c r="C872" s="123" t="n">
        <v>0</v>
      </c>
      <c r="D872" s="73" t="n">
        <v>8238008.54876419</v>
      </c>
      <c r="E872" s="73" t="n">
        <v>7733141.82787181</v>
      </c>
      <c r="F872" s="73" t="n">
        <v>6432970.41826097</v>
      </c>
      <c r="G872" s="73" t="n">
        <v>6170528.89104905</v>
      </c>
      <c r="H872" s="73" t="n">
        <v>5932725.58735529</v>
      </c>
      <c r="I872" s="73" t="n">
        <v>6140620.74806417</v>
      </c>
      <c r="J872" s="73" t="n">
        <v>6824876.97570931</v>
      </c>
      <c r="K872" s="73" t="n">
        <v>7225499.18837745</v>
      </c>
      <c r="L872" s="73" t="n">
        <v>7366421.62160004</v>
      </c>
      <c r="M872" s="73" t="n">
        <v>7280771.05638601</v>
      </c>
      <c r="N872" s="73" t="n">
        <v>7407711.76364541</v>
      </c>
      <c r="O872" s="73" t="n">
        <v>7278746.07485302</v>
      </c>
      <c r="P872" s="73" t="n">
        <v>7299297.16749243</v>
      </c>
      <c r="Q872" s="73" t="n">
        <v>7630832.35800293</v>
      </c>
      <c r="R872" s="73" t="n">
        <v>8826288.10869988</v>
      </c>
      <c r="S872" s="73" t="n">
        <v>8215027.62379427</v>
      </c>
      <c r="T872" s="73" t="n">
        <v>8326660.69642331</v>
      </c>
      <c r="U872" s="73" t="n">
        <v>9178826.82253584</v>
      </c>
      <c r="V872" s="73" t="n">
        <v>10229203.226425</v>
      </c>
      <c r="W872" s="65"/>
    </row>
    <row r="873" customFormat="false" ht="12.75" hidden="false" customHeight="false" outlineLevel="0" collapsed="false">
      <c r="A873" s="2"/>
      <c r="B873" s="117" t="s">
        <v>30</v>
      </c>
      <c r="C873" s="118" t="n">
        <v>0</v>
      </c>
      <c r="D873" s="64" t="n">
        <v>711001.677261364</v>
      </c>
      <c r="E873" s="64" t="n">
        <v>942429.1527157</v>
      </c>
      <c r="F873" s="64" t="n">
        <v>1141876.54953159</v>
      </c>
      <c r="G873" s="64" t="n">
        <v>1142692.04621511</v>
      </c>
      <c r="H873" s="64" t="n">
        <v>1196917.07041368</v>
      </c>
      <c r="I873" s="64" t="n">
        <v>1285050.222462</v>
      </c>
      <c r="J873" s="64" t="n">
        <v>1310158.97885021</v>
      </c>
      <c r="K873" s="64" t="n">
        <v>1267185.08755764</v>
      </c>
      <c r="L873" s="64" t="n">
        <v>1234350.74763106</v>
      </c>
      <c r="M873" s="64" t="n">
        <v>1282194.95181667</v>
      </c>
      <c r="N873" s="64" t="n">
        <v>1348188.50742416</v>
      </c>
      <c r="O873" s="64" t="n">
        <v>1385995.30342493</v>
      </c>
      <c r="P873" s="64" t="n">
        <v>1459584.49091579</v>
      </c>
      <c r="Q873" s="64" t="n">
        <v>1512711.27789501</v>
      </c>
      <c r="R873" s="64" t="n">
        <v>1568921.53214838</v>
      </c>
      <c r="S873" s="64" t="n">
        <v>1648426.72189867</v>
      </c>
      <c r="T873" s="64" t="n">
        <v>1731243.31316533</v>
      </c>
      <c r="U873" s="64" t="n">
        <v>1848626.14685749</v>
      </c>
      <c r="V873" s="64" t="n">
        <v>1963459.66783314</v>
      </c>
      <c r="W873" s="65"/>
    </row>
    <row r="874" customFormat="false" ht="12.75" hidden="false" customHeight="false" outlineLevel="0" collapsed="false">
      <c r="A874" s="2"/>
      <c r="B874" s="117" t="s">
        <v>33</v>
      </c>
      <c r="C874" s="118" t="n">
        <v>0</v>
      </c>
      <c r="D874" s="64" t="n">
        <v>-663432.53</v>
      </c>
      <c r="E874" s="64" t="n">
        <v>-5903033.89</v>
      </c>
      <c r="F874" s="64" t="n">
        <v>-291631.14</v>
      </c>
      <c r="G874" s="64" t="n">
        <v>-776726.04</v>
      </c>
      <c r="H874" s="64" t="n">
        <v>-1704336.478</v>
      </c>
      <c r="I874" s="64" t="n">
        <v>-1755466.57234</v>
      </c>
      <c r="J874" s="64" t="n">
        <v>-1808130.5695102</v>
      </c>
      <c r="K874" s="64" t="n">
        <v>-1862374.48659551</v>
      </c>
      <c r="L874" s="64" t="n">
        <v>-1918245.72119337</v>
      </c>
      <c r="M874" s="64" t="n">
        <v>-1975793.09282917</v>
      </c>
      <c r="N874" s="64" t="n">
        <v>-2035066.88561405</v>
      </c>
      <c r="O874" s="64" t="n">
        <v>-2096118.89218247</v>
      </c>
      <c r="P874" s="64" t="n">
        <v>-2159002.45894794</v>
      </c>
      <c r="Q874" s="64" t="n">
        <v>-2223772.53271638</v>
      </c>
      <c r="R874" s="64" t="n">
        <v>-2290485.70869787</v>
      </c>
      <c r="S874" s="64" t="n">
        <v>-2359200.27995881</v>
      </c>
      <c r="T874" s="64" t="n">
        <v>-2429976.28835757</v>
      </c>
      <c r="U874" s="64" t="n">
        <v>-2502875.5770083</v>
      </c>
      <c r="V874" s="64" t="n">
        <v>-2577961.84431855</v>
      </c>
      <c r="W874" s="65"/>
    </row>
    <row r="875" customFormat="false" ht="13.5" hidden="false" customHeight="false" outlineLevel="0" collapsed="false">
      <c r="A875" s="2"/>
      <c r="B875" s="119" t="s">
        <v>34</v>
      </c>
      <c r="C875" s="120" t="n">
        <v>0</v>
      </c>
      <c r="D875" s="68" t="n">
        <v>0</v>
      </c>
      <c r="E875" s="68" t="n">
        <v>0</v>
      </c>
      <c r="F875" s="68" t="n">
        <v>0</v>
      </c>
      <c r="G875" s="68" t="n">
        <v>0</v>
      </c>
      <c r="H875" s="68" t="n">
        <v>0</v>
      </c>
      <c r="I875" s="68" t="n">
        <v>0</v>
      </c>
      <c r="J875" s="68" t="n">
        <v>0</v>
      </c>
      <c r="K875" s="68" t="n">
        <v>0</v>
      </c>
      <c r="L875" s="68" t="n">
        <v>0</v>
      </c>
      <c r="M875" s="68" t="n">
        <v>0</v>
      </c>
      <c r="N875" s="68" t="n">
        <v>0</v>
      </c>
      <c r="O875" s="68" t="n">
        <v>0</v>
      </c>
      <c r="P875" s="68" t="n">
        <v>0</v>
      </c>
      <c r="Q875" s="68" t="n">
        <v>0</v>
      </c>
      <c r="R875" s="68" t="n">
        <v>0</v>
      </c>
      <c r="S875" s="68" t="n">
        <v>0</v>
      </c>
      <c r="T875" s="68" t="n">
        <v>0</v>
      </c>
      <c r="U875" s="68" t="n">
        <v>0</v>
      </c>
      <c r="V875" s="68" t="n">
        <v>0</v>
      </c>
      <c r="W875" s="65"/>
    </row>
    <row r="876" customFormat="false" ht="13.5" hidden="false" customHeight="false" outlineLevel="0" collapsed="false">
      <c r="A876" s="2"/>
      <c r="B876" s="117"/>
      <c r="C876" s="124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</row>
    <row r="877" customFormat="false" ht="12.75" hidden="false" customHeight="false" outlineLevel="0" collapsed="false">
      <c r="A877" s="2"/>
      <c r="B877" s="121" t="s">
        <v>35</v>
      </c>
      <c r="C877" s="123" t="n">
        <v>0</v>
      </c>
      <c r="D877" s="73" t="n">
        <v>8285577.69602556</v>
      </c>
      <c r="E877" s="73" t="n">
        <v>2772537.09058751</v>
      </c>
      <c r="F877" s="73" t="n">
        <v>7283215.82779256</v>
      </c>
      <c r="G877" s="73" t="n">
        <v>6536494.89726416</v>
      </c>
      <c r="H877" s="73" t="n">
        <v>5425306.17976898</v>
      </c>
      <c r="I877" s="73" t="n">
        <v>5670204.39818617</v>
      </c>
      <c r="J877" s="73" t="n">
        <v>6326905.38504932</v>
      </c>
      <c r="K877" s="73" t="n">
        <v>6630309.78933959</v>
      </c>
      <c r="L877" s="73" t="n">
        <v>6682526.64803772</v>
      </c>
      <c r="M877" s="73" t="n">
        <v>6587172.9153735</v>
      </c>
      <c r="N877" s="73" t="n">
        <v>6720833.38545552</v>
      </c>
      <c r="O877" s="73" t="n">
        <v>6568622.48609549</v>
      </c>
      <c r="P877" s="73" t="n">
        <v>6599879.19946027</v>
      </c>
      <c r="Q877" s="73" t="n">
        <v>6919771.10318156</v>
      </c>
      <c r="R877" s="73" t="n">
        <v>8104723.93215038</v>
      </c>
      <c r="S877" s="73" t="n">
        <v>7504254.06573413</v>
      </c>
      <c r="T877" s="73" t="n">
        <v>7627927.72123107</v>
      </c>
      <c r="U877" s="73" t="n">
        <v>8524577.39238502</v>
      </c>
      <c r="V877" s="73" t="n">
        <v>9614701.04993958</v>
      </c>
      <c r="W877" s="71" t="n">
        <v>45944441.8104647</v>
      </c>
    </row>
    <row r="878" customFormat="false" ht="12.75" hidden="false" customHeight="false" outlineLevel="0" collapsed="false">
      <c r="A878" s="2"/>
      <c r="B878" s="12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customFormat="false" ht="12.75" hidden="false" customHeight="false" outlineLevel="0" collapsed="false">
      <c r="A879" s="48" t="s">
        <v>36</v>
      </c>
      <c r="B879" s="126" t="s">
        <v>37</v>
      </c>
      <c r="C879" s="76" t="n">
        <v>23128886.4339318</v>
      </c>
      <c r="D879" s="2"/>
      <c r="E879" s="127" t="s">
        <v>38</v>
      </c>
      <c r="F879" s="128" t="s">
        <v>37</v>
      </c>
      <c r="G879" s="79" t="n">
        <v>23128886.4339318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customFormat="false" ht="12.75" hidden="false" customHeight="false" outlineLevel="0" collapsed="false">
      <c r="A880" s="2"/>
      <c r="B880" s="126" t="s">
        <v>39</v>
      </c>
      <c r="C880" s="76" t="n">
        <v>31284472.6545389</v>
      </c>
      <c r="D880" s="2"/>
      <c r="E880" s="129"/>
      <c r="F880" s="128" t="s">
        <v>39</v>
      </c>
      <c r="G880" s="79" t="n">
        <v>31284472.6545389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customFormat="false" ht="13.5" hidden="false" customHeight="false" outlineLevel="0" collapsed="false">
      <c r="A881" s="2"/>
      <c r="B881" s="130" t="s">
        <v>40</v>
      </c>
      <c r="C881" s="82" t="n">
        <v>6829348.51825162</v>
      </c>
      <c r="D881" s="131"/>
      <c r="E881" s="129"/>
      <c r="F881" s="128" t="s">
        <v>40</v>
      </c>
      <c r="G881" s="79" t="n">
        <v>6829348.51825162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customFormat="false" ht="14.25" hidden="false" customHeight="false" outlineLevel="0" collapsed="false">
      <c r="A882" s="2"/>
      <c r="B882" s="126" t="s">
        <v>41</v>
      </c>
      <c r="C882" s="76" t="n">
        <v>61242707.6067224</v>
      </c>
      <c r="D882" s="132"/>
      <c r="E882" s="129"/>
      <c r="F882" s="133" t="s">
        <v>42</v>
      </c>
      <c r="G882" s="85" t="n">
        <v>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customFormat="false" ht="13.5" hidden="false" customHeight="false" outlineLevel="0" collapsed="false">
      <c r="A883" s="2"/>
      <c r="B883" s="125"/>
      <c r="C883" s="134"/>
      <c r="D883" s="2"/>
      <c r="E883" s="135"/>
      <c r="F883" s="128" t="s">
        <v>41</v>
      </c>
      <c r="G883" s="79" t="n">
        <v>61242707.6067224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customFormat="false" ht="12.75" hidden="false" customHeight="false" outlineLevel="0" collapsed="false">
      <c r="A884" s="2"/>
      <c r="B884" s="125"/>
      <c r="C884" s="134"/>
      <c r="D884" s="2"/>
      <c r="E884" s="135"/>
      <c r="F884" s="128"/>
      <c r="G884" s="13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customFormat="false" ht="12.75" hidden="false" customHeight="false" outlineLevel="0" collapsed="false">
      <c r="A885" s="2"/>
      <c r="B885" s="125"/>
      <c r="C885" s="134"/>
      <c r="D885" s="2"/>
      <c r="E885" s="135"/>
      <c r="F885" s="128"/>
      <c r="G885" s="13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customFormat="false" ht="12.75" hidden="false" customHeight="false" outlineLevel="0" collapsed="false">
      <c r="A886" s="2"/>
      <c r="B886" s="137" t="s">
        <v>43</v>
      </c>
      <c r="C886" s="134"/>
      <c r="D886" s="2"/>
      <c r="E886" s="135"/>
      <c r="F886" s="128"/>
      <c r="G886" s="13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customFormat="false" ht="12.75" hidden="false" customHeight="false" outlineLevel="0" collapsed="false">
      <c r="A887" s="87" t="s">
        <v>44</v>
      </c>
      <c r="B887" s="137" t="s">
        <v>45</v>
      </c>
      <c r="C887" s="138"/>
      <c r="D887" s="88" t="n">
        <v>8238008.54876419</v>
      </c>
      <c r="E887" s="88" t="n">
        <v>7733141.82787181</v>
      </c>
      <c r="F887" s="88" t="n">
        <v>6432970.41826097</v>
      </c>
      <c r="G887" s="88" t="n">
        <v>6170528.89104905</v>
      </c>
      <c r="H887" s="88" t="n">
        <v>5932725.58735529</v>
      </c>
      <c r="I887" s="88" t="n">
        <v>6140620.74806417</v>
      </c>
      <c r="J887" s="88" t="n">
        <v>6824876.97570931</v>
      </c>
      <c r="K887" s="88" t="n">
        <v>7225499.18837745</v>
      </c>
      <c r="L887" s="88" t="n">
        <v>7366421.62160004</v>
      </c>
      <c r="M887" s="88" t="n">
        <v>7280771.05638601</v>
      </c>
      <c r="N887" s="88" t="n">
        <v>7407711.76364541</v>
      </c>
      <c r="O887" s="88" t="n">
        <v>7278746.07485302</v>
      </c>
      <c r="P887" s="88" t="n">
        <v>7299297.16749243</v>
      </c>
      <c r="Q887" s="88" t="n">
        <v>7630832.35800293</v>
      </c>
      <c r="R887" s="88" t="n">
        <v>8826288.10869988</v>
      </c>
      <c r="S887" s="88" t="n">
        <v>8215027.62379427</v>
      </c>
      <c r="T887" s="88" t="n">
        <v>8326660.69642331</v>
      </c>
      <c r="U887" s="88" t="n">
        <v>9178826.82253584</v>
      </c>
      <c r="V887" s="88" t="n">
        <v>10229203.226425</v>
      </c>
      <c r="W887" s="2"/>
    </row>
    <row r="888" customFormat="false" ht="12.75" hidden="false" customHeight="false" outlineLevel="0" collapsed="false">
      <c r="A888" s="2"/>
      <c r="B888" s="125" t="s">
        <v>46</v>
      </c>
      <c r="C888" s="134"/>
      <c r="D888" s="65" t="n">
        <v>5492005.69917613</v>
      </c>
      <c r="E888" s="65" t="n">
        <v>5155427.88524787</v>
      </c>
      <c r="F888" s="65" t="n">
        <v>4288646.94550732</v>
      </c>
      <c r="G888" s="65" t="n">
        <v>4113685.92736604</v>
      </c>
      <c r="H888" s="65" t="n">
        <v>3955150.3915702</v>
      </c>
      <c r="I888" s="65" t="n">
        <v>4093747.16537611</v>
      </c>
      <c r="J888" s="65" t="n">
        <v>4549917.98380621</v>
      </c>
      <c r="K888" s="65" t="n">
        <v>4816999.4589183</v>
      </c>
      <c r="L888" s="65" t="n">
        <v>4910947.74773336</v>
      </c>
      <c r="M888" s="65" t="n">
        <v>4853847.370924</v>
      </c>
      <c r="N888" s="65" t="n">
        <v>4938474.50909694</v>
      </c>
      <c r="O888" s="65" t="n">
        <v>4852497.38323535</v>
      </c>
      <c r="P888" s="65" t="n">
        <v>4866198.11166162</v>
      </c>
      <c r="Q888" s="65" t="n">
        <v>5087221.57200196</v>
      </c>
      <c r="R888" s="65" t="n">
        <v>5884192.07246659</v>
      </c>
      <c r="S888" s="65" t="n">
        <v>5476685.08252952</v>
      </c>
      <c r="T888" s="65" t="n">
        <v>5551107.13094888</v>
      </c>
      <c r="U888" s="65" t="n">
        <v>6119217.88169056</v>
      </c>
      <c r="V888" s="65" t="n">
        <v>6819468.81761666</v>
      </c>
      <c r="W888" s="2"/>
    </row>
    <row r="889" customFormat="false" ht="12.75" hidden="false" customHeight="false" outlineLevel="0" collapsed="false">
      <c r="A889" s="2"/>
      <c r="B889" s="139" t="s">
        <v>47</v>
      </c>
      <c r="C889" s="140"/>
      <c r="D889" s="65" t="n">
        <v>711001.677261364</v>
      </c>
      <c r="E889" s="65" t="n">
        <v>942429.1527157</v>
      </c>
      <c r="F889" s="65" t="n">
        <v>1141876.54953159</v>
      </c>
      <c r="G889" s="65" t="n">
        <v>1142692.04621511</v>
      </c>
      <c r="H889" s="65" t="n">
        <v>1196917.07041368</v>
      </c>
      <c r="I889" s="65" t="n">
        <v>1285050.222462</v>
      </c>
      <c r="J889" s="65" t="n">
        <v>1310158.97885021</v>
      </c>
      <c r="K889" s="65" t="n">
        <v>1267185.08755764</v>
      </c>
      <c r="L889" s="65" t="n">
        <v>1234350.74763106</v>
      </c>
      <c r="M889" s="65" t="n">
        <v>1282194.95181667</v>
      </c>
      <c r="N889" s="65" t="n">
        <v>1348188.50742416</v>
      </c>
      <c r="O889" s="65" t="n">
        <v>1385995.30342493</v>
      </c>
      <c r="P889" s="65" t="n">
        <v>1459584.49091579</v>
      </c>
      <c r="Q889" s="65" t="n">
        <v>1512711.27789501</v>
      </c>
      <c r="R889" s="65" t="n">
        <v>1568921.53214838</v>
      </c>
      <c r="S889" s="65" t="n">
        <v>1648426.72189867</v>
      </c>
      <c r="T889" s="65" t="n">
        <v>1731243.31316533</v>
      </c>
      <c r="U889" s="65" t="n">
        <v>1848626.14685749</v>
      </c>
      <c r="V889" s="65" t="n">
        <v>1963459.66783314</v>
      </c>
      <c r="W889" s="2"/>
    </row>
    <row r="890" customFormat="false" ht="13.5" hidden="false" customHeight="false" outlineLevel="0" collapsed="false">
      <c r="A890" s="2"/>
      <c r="B890" s="141" t="s">
        <v>48</v>
      </c>
      <c r="C890" s="142"/>
      <c r="D890" s="93" t="n">
        <v>14441015.9252017</v>
      </c>
      <c r="E890" s="93" t="n">
        <v>13830998.8658354</v>
      </c>
      <c r="F890" s="93" t="n">
        <v>11863493.9132999</v>
      </c>
      <c r="G890" s="93" t="n">
        <v>11426906.8646302</v>
      </c>
      <c r="H890" s="93" t="n">
        <v>11084793.0493392</v>
      </c>
      <c r="I890" s="93" t="n">
        <v>11519418.1359023</v>
      </c>
      <c r="J890" s="93" t="n">
        <v>12684953.9383657</v>
      </c>
      <c r="K890" s="93" t="n">
        <v>13309683.7348534</v>
      </c>
      <c r="L890" s="93" t="n">
        <v>13511720.1169645</v>
      </c>
      <c r="M890" s="93" t="n">
        <v>13416813.3791267</v>
      </c>
      <c r="N890" s="93" t="n">
        <v>13694374.7801665</v>
      </c>
      <c r="O890" s="93" t="n">
        <v>13517238.7615133</v>
      </c>
      <c r="P890" s="93" t="n">
        <v>13625079.7700698</v>
      </c>
      <c r="Q890" s="93" t="n">
        <v>14230765.2078999</v>
      </c>
      <c r="R890" s="93" t="n">
        <v>16279401.7133148</v>
      </c>
      <c r="S890" s="93" t="n">
        <v>15340139.4282225</v>
      </c>
      <c r="T890" s="93" t="n">
        <v>15609011.1405375</v>
      </c>
      <c r="U890" s="93" t="n">
        <v>17146670.8510839</v>
      </c>
      <c r="V890" s="93" t="n">
        <v>19012131.7118748</v>
      </c>
      <c r="W890" s="2"/>
    </row>
    <row r="891" customFormat="false" ht="13.5" hidden="false" customHeight="false" outlineLevel="0" collapsed="false">
      <c r="A891" s="87" t="s">
        <v>49</v>
      </c>
      <c r="B891" s="125" t="s">
        <v>50</v>
      </c>
      <c r="C891" s="134"/>
      <c r="D891" s="65" t="n">
        <v>-1082818.12000205</v>
      </c>
      <c r="E891" s="65" t="n">
        <v>-1376060.00904229</v>
      </c>
      <c r="F891" s="65" t="n">
        <v>-1383734.81368595</v>
      </c>
      <c r="G891" s="65" t="n">
        <v>-1392924.15786985</v>
      </c>
      <c r="H891" s="65" t="n">
        <v>-1393023.59531118</v>
      </c>
      <c r="I891" s="65" t="n">
        <v>-1480796.92392818</v>
      </c>
      <c r="J891" s="65" t="n">
        <v>-1162564.95551885</v>
      </c>
      <c r="K891" s="65" t="n">
        <v>-900589.354048689</v>
      </c>
      <c r="L891" s="65" t="n">
        <v>-996144.36325829</v>
      </c>
      <c r="M891" s="65" t="n">
        <v>-1081382.42881926</v>
      </c>
      <c r="N891" s="65" t="n">
        <v>-1081066.6307798</v>
      </c>
      <c r="O891" s="65" t="n">
        <v>-1185872.57538893</v>
      </c>
      <c r="P891" s="65" t="n">
        <v>-1293822.69833632</v>
      </c>
      <c r="Q891" s="65" t="n">
        <v>-1405011.32497214</v>
      </c>
      <c r="R891" s="65" t="n">
        <v>-1519535.61040704</v>
      </c>
      <c r="S891" s="65" t="n">
        <v>-1636852.64903496</v>
      </c>
      <c r="T891" s="65" t="n">
        <v>-1756613.23504519</v>
      </c>
      <c r="U891" s="65" t="n">
        <v>-1881757.01389561</v>
      </c>
      <c r="V891" s="65" t="n">
        <v>-2010655.10611153</v>
      </c>
      <c r="W891" s="2"/>
    </row>
    <row r="892" customFormat="false" ht="12.75" hidden="false" customHeight="false" outlineLevel="0" collapsed="false">
      <c r="A892" s="2"/>
      <c r="B892" s="125" t="s">
        <v>51</v>
      </c>
      <c r="C892" s="134"/>
      <c r="D892" s="65" t="n">
        <v>0</v>
      </c>
      <c r="E892" s="65" t="n">
        <v>0</v>
      </c>
      <c r="F892" s="65" t="n">
        <v>0</v>
      </c>
      <c r="G892" s="65" t="n">
        <v>0</v>
      </c>
      <c r="H892" s="65" t="n">
        <v>0</v>
      </c>
      <c r="I892" s="65" t="n">
        <v>0</v>
      </c>
      <c r="J892" s="65" t="n">
        <v>0</v>
      </c>
      <c r="K892" s="65" t="n">
        <v>0</v>
      </c>
      <c r="L892" s="65" t="n">
        <v>0</v>
      </c>
      <c r="M892" s="65" t="n">
        <v>0</v>
      </c>
      <c r="N892" s="65" t="n">
        <v>0</v>
      </c>
      <c r="O892" s="65" t="n">
        <v>0</v>
      </c>
      <c r="P892" s="65" t="n">
        <v>0</v>
      </c>
      <c r="Q892" s="65" t="n">
        <v>0</v>
      </c>
      <c r="R892" s="65" t="n">
        <v>0</v>
      </c>
      <c r="S892" s="65" t="n">
        <v>0</v>
      </c>
      <c r="T892" s="65" t="n">
        <v>0</v>
      </c>
      <c r="U892" s="65" t="n">
        <v>0</v>
      </c>
      <c r="V892" s="65" t="n">
        <v>0</v>
      </c>
      <c r="W892" s="2"/>
    </row>
    <row r="893" customFormat="false" ht="12.75" hidden="false" customHeight="false" outlineLevel="0" collapsed="false">
      <c r="A893" s="2"/>
      <c r="B893" s="137" t="s">
        <v>52</v>
      </c>
      <c r="C893" s="138"/>
      <c r="D893" s="88" t="n">
        <v>13358197.8051996</v>
      </c>
      <c r="E893" s="88" t="n">
        <v>12454938.8567931</v>
      </c>
      <c r="F893" s="88" t="n">
        <v>10479759.0996139</v>
      </c>
      <c r="G893" s="88" t="n">
        <v>10033982.7067603</v>
      </c>
      <c r="H893" s="88" t="n">
        <v>9691769.454028</v>
      </c>
      <c r="I893" s="88" t="n">
        <v>10038621.2119741</v>
      </c>
      <c r="J893" s="88" t="n">
        <v>11522388.9828469</v>
      </c>
      <c r="K893" s="88" t="n">
        <v>12409094.3808047</v>
      </c>
      <c r="L893" s="88" t="n">
        <v>12515575.7537062</v>
      </c>
      <c r="M893" s="88" t="n">
        <v>12335430.9503074</v>
      </c>
      <c r="N893" s="88" t="n">
        <v>12613308.1493867</v>
      </c>
      <c r="O893" s="88" t="n">
        <v>12331366.1861244</v>
      </c>
      <c r="P893" s="88" t="n">
        <v>12331257.0717335</v>
      </c>
      <c r="Q893" s="88" t="n">
        <v>12825753.8829278</v>
      </c>
      <c r="R893" s="88" t="n">
        <v>14759866.1029078</v>
      </c>
      <c r="S893" s="88" t="n">
        <v>13703286.7791875</v>
      </c>
      <c r="T893" s="88" t="n">
        <v>13852397.9054923</v>
      </c>
      <c r="U893" s="88" t="n">
        <v>15264913.8371883</v>
      </c>
      <c r="V893" s="88" t="n">
        <v>17001476.6057633</v>
      </c>
      <c r="W893" s="2"/>
    </row>
    <row r="894" customFormat="false" ht="13.5" hidden="false" customHeight="false" outlineLevel="0" collapsed="false">
      <c r="A894" s="2"/>
      <c r="B894" s="143" t="s">
        <v>53</v>
      </c>
      <c r="C894" s="144"/>
      <c r="D894" s="96" t="n">
        <v>-5343279.12207986</v>
      </c>
      <c r="E894" s="96" t="n">
        <v>-4981975.54271724</v>
      </c>
      <c r="F894" s="96" t="n">
        <v>-4191903.63984557</v>
      </c>
      <c r="G894" s="96" t="n">
        <v>-4013593.08270414</v>
      </c>
      <c r="H894" s="96" t="n">
        <v>-3876707.7816112</v>
      </c>
      <c r="I894" s="96" t="n">
        <v>-4015448.48478964</v>
      </c>
      <c r="J894" s="96" t="n">
        <v>-4608955.59313875</v>
      </c>
      <c r="K894" s="96" t="n">
        <v>-4963637.75232188</v>
      </c>
      <c r="L894" s="96" t="n">
        <v>-5006230.30148246</v>
      </c>
      <c r="M894" s="96" t="n">
        <v>-4934172.38012297</v>
      </c>
      <c r="N894" s="96" t="n">
        <v>-5045323.25975468</v>
      </c>
      <c r="O894" s="96" t="n">
        <v>-4932546.47444975</v>
      </c>
      <c r="P894" s="96" t="n">
        <v>-4932502.8286934</v>
      </c>
      <c r="Q894" s="96" t="n">
        <v>-5130301.5531711</v>
      </c>
      <c r="R894" s="96" t="n">
        <v>-5903946.44116312</v>
      </c>
      <c r="S894" s="96" t="n">
        <v>-5481314.711675</v>
      </c>
      <c r="T894" s="96" t="n">
        <v>-5540959.16219693</v>
      </c>
      <c r="U894" s="96" t="n">
        <v>-6105965.53487531</v>
      </c>
      <c r="V894" s="96" t="n">
        <v>-6800590.6423053</v>
      </c>
      <c r="W894" s="2"/>
    </row>
    <row r="895" customFormat="false" ht="13.5" hidden="false" customHeight="false" outlineLevel="0" collapsed="false">
      <c r="A895" s="2"/>
      <c r="B895" s="137" t="s">
        <v>54</v>
      </c>
      <c r="C895" s="138"/>
      <c r="D895" s="88" t="n">
        <v>8014918.68311979</v>
      </c>
      <c r="E895" s="88" t="n">
        <v>7472963.31407585</v>
      </c>
      <c r="F895" s="88" t="n">
        <v>6287855.45976836</v>
      </c>
      <c r="G895" s="88" t="n">
        <v>6020389.62405621</v>
      </c>
      <c r="H895" s="88" t="n">
        <v>5815061.6724168</v>
      </c>
      <c r="I895" s="88" t="n">
        <v>6023172.72718446</v>
      </c>
      <c r="J895" s="88" t="n">
        <v>6913433.38970813</v>
      </c>
      <c r="K895" s="88" t="n">
        <v>7445456.62848282</v>
      </c>
      <c r="L895" s="88" t="n">
        <v>7509345.4522237</v>
      </c>
      <c r="M895" s="88" t="n">
        <v>7401258.57018445</v>
      </c>
      <c r="N895" s="88" t="n">
        <v>7567984.88963203</v>
      </c>
      <c r="O895" s="88" t="n">
        <v>7398819.71167463</v>
      </c>
      <c r="P895" s="88" t="n">
        <v>7398754.2430401</v>
      </c>
      <c r="Q895" s="88" t="n">
        <v>7695452.32975665</v>
      </c>
      <c r="R895" s="88" t="n">
        <v>8855919.66174468</v>
      </c>
      <c r="S895" s="88" t="n">
        <v>8221972.06751249</v>
      </c>
      <c r="T895" s="88" t="n">
        <v>8311438.74329539</v>
      </c>
      <c r="U895" s="88" t="n">
        <v>9158948.30231297</v>
      </c>
      <c r="V895" s="88" t="n">
        <v>10200885.963458</v>
      </c>
      <c r="W895" s="2"/>
    </row>
    <row r="896" customFormat="false" ht="12.75" hidden="false" customHeight="false" outlineLevel="0" collapsed="false">
      <c r="A896" s="2"/>
      <c r="B896" s="2"/>
      <c r="C896" s="134"/>
      <c r="D896" s="2"/>
      <c r="E896" s="135"/>
      <c r="F896" s="128"/>
      <c r="G896" s="13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customFormat="false" ht="15.75" hidden="false" customHeight="false" outlineLevel="0" collapsed="false">
      <c r="A897" s="97" t="s">
        <v>55</v>
      </c>
      <c r="B897" s="14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customFormat="false" ht="12.75" hidden="false" customHeight="false" outlineLevel="0" collapsed="false">
      <c r="A898" s="99" t="s">
        <v>56</v>
      </c>
      <c r="B898" s="49"/>
      <c r="C898" s="101" t="n">
        <v>0</v>
      </c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</row>
    <row r="899" customFormat="false" ht="12.75" hidden="false" customHeight="false" outlineLevel="0" collapsed="false">
      <c r="A899" s="99" t="s">
        <v>57</v>
      </c>
      <c r="B899" s="49"/>
      <c r="C899" s="146" t="n">
        <v>0</v>
      </c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</row>
    <row r="900" customFormat="false" ht="12.75" hidden="false" customHeight="false" outlineLevel="0" collapsed="false">
      <c r="A900" s="99" t="s">
        <v>58</v>
      </c>
      <c r="B900" s="49"/>
      <c r="C900" s="99" t="n">
        <v>15</v>
      </c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</row>
    <row r="901" customFormat="false" ht="12.75" hidden="false" customHeight="false" outlineLevel="0" collapsed="false">
      <c r="A901" s="99" t="s">
        <v>59</v>
      </c>
      <c r="B901" s="49"/>
      <c r="C901" s="146" t="n">
        <v>0</v>
      </c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</row>
    <row r="902" customFormat="false" ht="12.75" hidden="false" customHeight="false" outlineLevel="0" collapsed="false">
      <c r="A902" s="99" t="s">
        <v>60</v>
      </c>
      <c r="B902" s="49"/>
      <c r="C902" s="147" t="n">
        <v>0.0875</v>
      </c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</row>
    <row r="903" customFormat="false" ht="12.75" hidden="false" customHeight="false" outlineLevel="0" collapsed="false">
      <c r="A903" s="99"/>
      <c r="B903" s="49"/>
      <c r="C903" s="107"/>
      <c r="D903" s="58" t="n">
        <v>2001</v>
      </c>
      <c r="E903" s="58" t="n">
        <v>2002</v>
      </c>
      <c r="F903" s="58" t="n">
        <v>2003</v>
      </c>
      <c r="G903" s="58" t="n">
        <v>2004</v>
      </c>
      <c r="H903" s="58" t="n">
        <v>2005</v>
      </c>
      <c r="I903" s="58" t="n">
        <v>2006</v>
      </c>
      <c r="J903" s="58" t="n">
        <v>2007</v>
      </c>
      <c r="K903" s="58" t="n">
        <v>2008</v>
      </c>
      <c r="L903" s="58" t="n">
        <v>2009</v>
      </c>
      <c r="M903" s="58" t="n">
        <v>2010</v>
      </c>
      <c r="N903" s="58" t="n">
        <v>2011</v>
      </c>
      <c r="O903" s="58" t="n">
        <v>2012</v>
      </c>
      <c r="P903" s="58" t="n">
        <v>2013</v>
      </c>
      <c r="Q903" s="58" t="n">
        <v>2014</v>
      </c>
      <c r="R903" s="58" t="n">
        <v>2015</v>
      </c>
      <c r="S903" s="58" t="n">
        <v>2016</v>
      </c>
      <c r="T903" s="58" t="n">
        <v>2017</v>
      </c>
      <c r="U903" s="58" t="n">
        <v>2018</v>
      </c>
      <c r="V903" s="58" t="n">
        <v>2019</v>
      </c>
      <c r="W903" s="58" t="s">
        <v>19</v>
      </c>
    </row>
    <row r="904" customFormat="false" ht="12.75" hidden="false" customHeight="false" outlineLevel="0" collapsed="false">
      <c r="A904" s="99" t="s">
        <v>61</v>
      </c>
      <c r="B904" s="49"/>
      <c r="C904" s="107"/>
      <c r="D904" s="102" t="n">
        <v>0</v>
      </c>
      <c r="E904" s="102" t="n">
        <v>0</v>
      </c>
      <c r="F904" s="102" t="n">
        <v>0</v>
      </c>
      <c r="G904" s="102" t="n">
        <v>0</v>
      </c>
      <c r="H904" s="102" t="n">
        <v>0</v>
      </c>
      <c r="I904" s="102" t="n">
        <v>0</v>
      </c>
      <c r="J904" s="102" t="n">
        <v>0</v>
      </c>
      <c r="K904" s="102" t="n">
        <v>0</v>
      </c>
      <c r="L904" s="102" t="n">
        <v>0</v>
      </c>
      <c r="M904" s="102" t="n">
        <v>0</v>
      </c>
      <c r="N904" s="102" t="n">
        <v>0</v>
      </c>
      <c r="O904" s="102" t="n">
        <v>0</v>
      </c>
      <c r="P904" s="102" t="n">
        <v>0</v>
      </c>
      <c r="Q904" s="102" t="n">
        <v>0</v>
      </c>
      <c r="R904" s="102" t="n">
        <v>0</v>
      </c>
      <c r="S904" s="102" t="n">
        <v>0</v>
      </c>
      <c r="T904" s="102" t="n">
        <v>0</v>
      </c>
      <c r="U904" s="102" t="n">
        <v>0</v>
      </c>
      <c r="V904" s="102" t="n">
        <v>0</v>
      </c>
      <c r="W904" s="102" t="n">
        <v>0</v>
      </c>
    </row>
    <row r="905" customFormat="false" ht="12.75" hidden="false" customHeight="false" outlineLevel="0" collapsed="false">
      <c r="A905" s="99" t="s">
        <v>62</v>
      </c>
      <c r="B905" s="49"/>
      <c r="C905" s="107"/>
      <c r="D905" s="102" t="n">
        <v>0</v>
      </c>
      <c r="E905" s="102" t="n">
        <v>0</v>
      </c>
      <c r="F905" s="102" t="n">
        <v>0</v>
      </c>
      <c r="G905" s="102" t="n">
        <v>0</v>
      </c>
      <c r="H905" s="102" t="n">
        <v>0</v>
      </c>
      <c r="I905" s="102" t="n">
        <v>0</v>
      </c>
      <c r="J905" s="102" t="n">
        <v>0</v>
      </c>
      <c r="K905" s="102" t="n">
        <v>0</v>
      </c>
      <c r="L905" s="102" t="n">
        <v>0</v>
      </c>
      <c r="M905" s="102" t="n">
        <v>0</v>
      </c>
      <c r="N905" s="102" t="n">
        <v>0</v>
      </c>
      <c r="O905" s="102" t="n">
        <v>0</v>
      </c>
      <c r="P905" s="102" t="n">
        <v>0</v>
      </c>
      <c r="Q905" s="102" t="n">
        <v>0</v>
      </c>
      <c r="R905" s="102" t="n">
        <v>0</v>
      </c>
      <c r="S905" s="102" t="n">
        <v>0</v>
      </c>
      <c r="T905" s="102" t="n">
        <v>0</v>
      </c>
      <c r="U905" s="102" t="n">
        <v>0</v>
      </c>
      <c r="V905" s="102" t="n">
        <v>0</v>
      </c>
      <c r="W905" s="102" t="n">
        <v>0</v>
      </c>
    </row>
    <row r="906" customFormat="false" ht="12.75" hidden="false" customHeight="false" outlineLevel="0" collapsed="false">
      <c r="A906" s="99" t="s">
        <v>63</v>
      </c>
      <c r="B906" s="49"/>
      <c r="C906" s="107"/>
      <c r="D906" s="102" t="n">
        <v>0</v>
      </c>
      <c r="E906" s="102" t="n">
        <v>0</v>
      </c>
      <c r="F906" s="102" t="n">
        <v>0</v>
      </c>
      <c r="G906" s="102" t="n">
        <v>0</v>
      </c>
      <c r="H906" s="102" t="n">
        <v>0</v>
      </c>
      <c r="I906" s="102" t="n">
        <v>0</v>
      </c>
      <c r="J906" s="102" t="n">
        <v>0</v>
      </c>
      <c r="K906" s="102" t="n">
        <v>0</v>
      </c>
      <c r="L906" s="102" t="n">
        <v>0</v>
      </c>
      <c r="M906" s="102" t="n">
        <v>0</v>
      </c>
      <c r="N906" s="102" t="n">
        <v>0</v>
      </c>
      <c r="O906" s="102" t="n">
        <v>0</v>
      </c>
      <c r="P906" s="102" t="n">
        <v>0</v>
      </c>
      <c r="Q906" s="102" t="n">
        <v>0</v>
      </c>
      <c r="R906" s="102" t="n">
        <v>0</v>
      </c>
      <c r="S906" s="102" t="n">
        <v>0</v>
      </c>
      <c r="T906" s="102" t="n">
        <v>0</v>
      </c>
      <c r="U906" s="102" t="n">
        <v>0</v>
      </c>
      <c r="V906" s="102" t="n">
        <v>0</v>
      </c>
      <c r="W906" s="102" t="n">
        <v>0</v>
      </c>
    </row>
    <row r="907" customFormat="false" ht="12.75" hidden="false" customHeight="false" outlineLevel="0" collapsed="false">
      <c r="A907" s="99" t="s">
        <v>64</v>
      </c>
      <c r="B907" s="49"/>
      <c r="C907" s="107"/>
      <c r="D907" s="105" t="n">
        <v>0</v>
      </c>
      <c r="E907" s="105" t="n">
        <v>0</v>
      </c>
      <c r="F907" s="105" t="n">
        <v>0</v>
      </c>
      <c r="G907" s="105" t="n">
        <v>0</v>
      </c>
      <c r="H907" s="105" t="n">
        <v>0</v>
      </c>
      <c r="I907" s="105" t="n">
        <v>0</v>
      </c>
      <c r="J907" s="105" t="n">
        <v>0</v>
      </c>
      <c r="K907" s="105" t="n">
        <v>0</v>
      </c>
      <c r="L907" s="105" t="n">
        <v>0</v>
      </c>
      <c r="M907" s="105" t="n">
        <v>0</v>
      </c>
      <c r="N907" s="105" t="n">
        <v>0</v>
      </c>
      <c r="O907" s="105" t="n">
        <v>0</v>
      </c>
      <c r="P907" s="105" t="n">
        <v>0</v>
      </c>
      <c r="Q907" s="105" t="n">
        <v>0</v>
      </c>
      <c r="R907" s="105" t="n">
        <v>0</v>
      </c>
      <c r="S907" s="105" t="n">
        <v>0</v>
      </c>
      <c r="T907" s="105" t="n">
        <v>0</v>
      </c>
      <c r="U907" s="105" t="n">
        <v>0</v>
      </c>
      <c r="V907" s="105" t="n">
        <v>0</v>
      </c>
      <c r="W907" s="105" t="n">
        <v>0</v>
      </c>
    </row>
    <row r="908" customFormat="false" ht="13.5" hidden="false" customHeight="false" outlineLevel="0" collapsed="false">
      <c r="A908" s="99" t="s">
        <v>65</v>
      </c>
      <c r="B908" s="49"/>
      <c r="C908" s="107"/>
      <c r="D908" s="106" t="n">
        <v>0</v>
      </c>
      <c r="E908" s="106" t="n">
        <v>0</v>
      </c>
      <c r="F908" s="106" t="n">
        <v>0</v>
      </c>
      <c r="G908" s="106" t="n">
        <v>0</v>
      </c>
      <c r="H908" s="106" t="n">
        <v>0</v>
      </c>
      <c r="I908" s="106" t="n">
        <v>0</v>
      </c>
      <c r="J908" s="106" t="n">
        <v>0</v>
      </c>
      <c r="K908" s="106" t="n">
        <v>0</v>
      </c>
      <c r="L908" s="106" t="n">
        <v>0</v>
      </c>
      <c r="M908" s="106" t="n">
        <v>0</v>
      </c>
      <c r="N908" s="106" t="n">
        <v>0</v>
      </c>
      <c r="O908" s="106" t="n">
        <v>0</v>
      </c>
      <c r="P908" s="106" t="n">
        <v>0</v>
      </c>
      <c r="Q908" s="106" t="n">
        <v>0</v>
      </c>
      <c r="R908" s="106" t="n">
        <v>0</v>
      </c>
      <c r="S908" s="106" t="n">
        <v>0</v>
      </c>
      <c r="T908" s="106" t="n">
        <v>0</v>
      </c>
      <c r="U908" s="106" t="n">
        <v>0</v>
      </c>
      <c r="V908" s="106" t="n">
        <v>0</v>
      </c>
      <c r="W908" s="106" t="n">
        <v>0</v>
      </c>
    </row>
    <row r="909" customFormat="false" ht="13.5" hidden="false" customHeight="false" outlineLevel="0" collapsed="false">
      <c r="A909" s="99"/>
      <c r="B909" s="49"/>
      <c r="C909" s="107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</row>
    <row r="910" customFormat="false" ht="12.75" hidden="false" customHeight="false" outlineLevel="0" collapsed="false">
      <c r="A910" s="99" t="s">
        <v>66</v>
      </c>
      <c r="B910" s="49"/>
      <c r="C910" s="107"/>
      <c r="D910" s="102" t="n">
        <v>0</v>
      </c>
      <c r="E910" s="102" t="n">
        <v>0</v>
      </c>
      <c r="F910" s="102" t="n">
        <v>0</v>
      </c>
      <c r="G910" s="102" t="n">
        <v>0</v>
      </c>
      <c r="H910" s="102" t="n">
        <v>0</v>
      </c>
      <c r="I910" s="102" t="n">
        <v>0</v>
      </c>
      <c r="J910" s="102" t="n">
        <v>0</v>
      </c>
      <c r="K910" s="102" t="n">
        <v>0</v>
      </c>
      <c r="L910" s="102" t="n">
        <v>0</v>
      </c>
      <c r="M910" s="102" t="n">
        <v>0</v>
      </c>
      <c r="N910" s="102" t="n">
        <v>0</v>
      </c>
      <c r="O910" s="102" t="n">
        <v>0</v>
      </c>
      <c r="P910" s="102" t="n">
        <v>0</v>
      </c>
      <c r="Q910" s="102" t="n">
        <v>0</v>
      </c>
      <c r="R910" s="102" t="n">
        <v>0</v>
      </c>
      <c r="S910" s="102" t="n">
        <v>0</v>
      </c>
      <c r="T910" s="102" t="n">
        <v>0</v>
      </c>
      <c r="U910" s="102" t="n">
        <v>0</v>
      </c>
      <c r="V910" s="102" t="n">
        <v>0</v>
      </c>
      <c r="W910" s="102" t="n">
        <v>0</v>
      </c>
    </row>
    <row r="911" customFormat="false" ht="12.75" hidden="false" customHeight="false" outlineLevel="0" collapsed="false">
      <c r="A911" s="99"/>
      <c r="B911" s="49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</row>
    <row r="912" customFormat="false" ht="12.75" hidden="false" customHeight="false" outlineLevel="0" collapsed="false">
      <c r="A912" s="99" t="s">
        <v>67</v>
      </c>
      <c r="B912" s="49"/>
      <c r="C912" s="107"/>
      <c r="D912" s="102" t="n">
        <v>0</v>
      </c>
      <c r="E912" s="102" t="n">
        <v>0</v>
      </c>
      <c r="F912" s="102" t="n">
        <v>0</v>
      </c>
      <c r="G912" s="102" t="n">
        <v>0</v>
      </c>
      <c r="H912" s="102" t="n">
        <v>0</v>
      </c>
      <c r="I912" s="102" t="n">
        <v>0</v>
      </c>
      <c r="J912" s="102" t="n">
        <v>0</v>
      </c>
      <c r="K912" s="102" t="n">
        <v>0</v>
      </c>
      <c r="L912" s="102" t="n">
        <v>0</v>
      </c>
      <c r="M912" s="102" t="n">
        <v>0</v>
      </c>
      <c r="N912" s="102" t="n">
        <v>0</v>
      </c>
      <c r="O912" s="102" t="n">
        <v>0</v>
      </c>
      <c r="P912" s="102" t="n">
        <v>0</v>
      </c>
      <c r="Q912" s="102" t="n">
        <v>0</v>
      </c>
      <c r="R912" s="102" t="n">
        <v>0</v>
      </c>
      <c r="S912" s="102" t="n">
        <v>0</v>
      </c>
      <c r="T912" s="102" t="n">
        <v>0</v>
      </c>
      <c r="U912" s="102" t="n">
        <v>0</v>
      </c>
      <c r="V912" s="102" t="n">
        <v>0</v>
      </c>
      <c r="W912" s="102" t="n">
        <v>0</v>
      </c>
    </row>
    <row r="913" customFormat="false" ht="12.75" hidden="false" customHeight="false" outlineLevel="0" collapsed="false">
      <c r="A913" s="107"/>
      <c r="B913" s="49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</row>
    <row r="914" customFormat="false" ht="12.75" hidden="false" customHeight="false" outlineLevel="0" collapsed="false">
      <c r="A914" s="107"/>
      <c r="B914" s="49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</row>
    <row r="915" customFormat="false" ht="12.75" hidden="false" customHeight="false" outlineLevel="0" collapsed="false">
      <c r="A915" s="99" t="s">
        <v>68</v>
      </c>
      <c r="B915" s="148"/>
      <c r="C915" s="149"/>
      <c r="D915" s="79" t="n">
        <v>8285577.69602556</v>
      </c>
      <c r="E915" s="79" t="n">
        <v>2772537.09058751</v>
      </c>
      <c r="F915" s="79" t="n">
        <v>7283215.82779256</v>
      </c>
      <c r="G915" s="79" t="n">
        <v>6536494.89726416</v>
      </c>
      <c r="H915" s="79" t="n">
        <v>5425306.17976898</v>
      </c>
      <c r="I915" s="79" t="n">
        <v>5670204.39818617</v>
      </c>
      <c r="J915" s="79" t="n">
        <v>6326905.38504932</v>
      </c>
      <c r="K915" s="79" t="n">
        <v>6630309.78933959</v>
      </c>
      <c r="L915" s="79" t="n">
        <v>6682526.64803772</v>
      </c>
      <c r="M915" s="79" t="n">
        <v>6587172.9153735</v>
      </c>
      <c r="N915" s="79" t="n">
        <v>6720833.38545552</v>
      </c>
      <c r="O915" s="79" t="n">
        <v>6568622.48609549</v>
      </c>
      <c r="P915" s="79" t="n">
        <v>6599879.19946027</v>
      </c>
      <c r="Q915" s="79" t="n">
        <v>6919771.10318156</v>
      </c>
      <c r="R915" s="79" t="n">
        <v>8104723.93215038</v>
      </c>
      <c r="S915" s="79" t="n">
        <v>7504254.06573413</v>
      </c>
      <c r="T915" s="79" t="n">
        <v>7627927.72123107</v>
      </c>
      <c r="U915" s="79" t="n">
        <v>8524577.39238502</v>
      </c>
      <c r="V915" s="79" t="n">
        <v>9614701.04993958</v>
      </c>
      <c r="W915" s="79" t="n">
        <v>45944441.8104647</v>
      </c>
    </row>
    <row r="916" customFormat="false" ht="12.75" hidden="false" customHeight="false" outlineLevel="0" collapsed="false">
      <c r="A916" s="2"/>
      <c r="B916" s="3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customFormat="false" ht="12.75" hidden="false" customHeight="false" outlineLevel="0" collapsed="false">
      <c r="A917" s="51"/>
      <c r="B917" s="126"/>
      <c r="C917" s="157"/>
      <c r="E917" s="158"/>
      <c r="F917" s="128"/>
      <c r="G917" s="159"/>
    </row>
    <row r="918" customFormat="false" ht="12.75" hidden="false" customHeight="false" outlineLevel="0" collapsed="false">
      <c r="B918" s="126"/>
      <c r="C918" s="157"/>
      <c r="E918" s="160"/>
      <c r="F918" s="128"/>
      <c r="G918" s="159"/>
    </row>
    <row r="919" customFormat="false" ht="12.75" hidden="false" customHeight="false" outlineLevel="0" collapsed="false">
      <c r="B919" s="126"/>
      <c r="C919" s="157"/>
      <c r="D919" s="131"/>
      <c r="E919" s="160"/>
      <c r="F919" s="128"/>
      <c r="G919" s="159"/>
    </row>
    <row r="920" customFormat="false" ht="12.75" hidden="false" customHeight="false" outlineLevel="0" collapsed="false">
      <c r="B920" s="126"/>
      <c r="C920" s="138"/>
      <c r="D920" s="161"/>
      <c r="E920" s="160"/>
      <c r="F920" s="162"/>
      <c r="G920" s="79"/>
    </row>
    <row r="921" customFormat="false" ht="12.75" hidden="false" customHeight="false" outlineLevel="0" collapsed="false">
      <c r="B921" s="156"/>
      <c r="C921" s="134"/>
      <c r="E921" s="163"/>
      <c r="F921" s="128"/>
      <c r="G921" s="136"/>
    </row>
    <row r="922" customFormat="false" ht="12.75" hidden="false" customHeight="false" outlineLevel="0" collapsed="false">
      <c r="B922" s="156"/>
      <c r="C922" s="134"/>
      <c r="E922" s="163"/>
      <c r="F922" s="128"/>
      <c r="G922" s="136"/>
    </row>
    <row r="923" customFormat="false" ht="12.75" hidden="false" customHeight="false" outlineLevel="0" collapsed="false">
      <c r="B923" s="156"/>
      <c r="C923" s="134"/>
      <c r="E923" s="163"/>
      <c r="F923" s="128"/>
      <c r="G923" s="136"/>
    </row>
    <row r="924" customFormat="false" ht="15.75" hidden="false" customHeight="false" outlineLevel="0" collapsed="false">
      <c r="A924" s="48" t="s">
        <v>17</v>
      </c>
      <c r="B924" s="57" t="s">
        <v>83</v>
      </c>
      <c r="C924" s="58" t="n">
        <v>2000</v>
      </c>
      <c r="D924" s="58" t="n">
        <v>2001</v>
      </c>
      <c r="E924" s="58" t="n">
        <v>2002</v>
      </c>
      <c r="F924" s="58" t="n">
        <v>2003</v>
      </c>
      <c r="G924" s="58" t="n">
        <v>2004</v>
      </c>
      <c r="H924" s="58" t="n">
        <v>2005</v>
      </c>
      <c r="I924" s="58" t="n">
        <v>2006</v>
      </c>
      <c r="J924" s="58" t="n">
        <v>2007</v>
      </c>
      <c r="K924" s="58" t="n">
        <v>2008</v>
      </c>
      <c r="L924" s="58" t="n">
        <v>2009</v>
      </c>
      <c r="M924" s="58" t="n">
        <v>2010</v>
      </c>
      <c r="N924" s="58" t="n">
        <v>2011</v>
      </c>
      <c r="O924" s="58" t="n">
        <v>2012</v>
      </c>
      <c r="P924" s="58" t="n">
        <v>2013</v>
      </c>
      <c r="Q924" s="58" t="n">
        <v>2014</v>
      </c>
      <c r="R924" s="58" t="n">
        <v>2015</v>
      </c>
      <c r="S924" s="58" t="n">
        <v>2016</v>
      </c>
      <c r="T924" s="58" t="n">
        <v>2017</v>
      </c>
      <c r="U924" s="58" t="n">
        <v>2018</v>
      </c>
      <c r="V924" s="58" t="n">
        <v>2019</v>
      </c>
      <c r="W924" s="58" t="s">
        <v>19</v>
      </c>
    </row>
    <row r="925" customFormat="false" ht="12.75" hidden="false" customHeight="false" outlineLevel="0" collapsed="false">
      <c r="A925" s="48" t="s">
        <v>5</v>
      </c>
      <c r="B925" s="49" t="n">
        <v>128</v>
      </c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</row>
    <row r="926" customFormat="false" ht="12.75" hidden="false" customHeight="false" outlineLevel="0" collapsed="false">
      <c r="A926" s="2"/>
      <c r="B926" s="117" t="s">
        <v>20</v>
      </c>
      <c r="C926" s="118" t="n">
        <v>0</v>
      </c>
      <c r="D926" s="64" t="n">
        <v>39255828.8182405</v>
      </c>
      <c r="E926" s="64" t="n">
        <v>38711399.431591</v>
      </c>
      <c r="F926" s="64" t="n">
        <v>39456527.4431937</v>
      </c>
      <c r="G926" s="64" t="n">
        <v>38897278.0204191</v>
      </c>
      <c r="H926" s="64" t="n">
        <v>39190259.5400126</v>
      </c>
      <c r="I926" s="64" t="n">
        <v>41836458.6768341</v>
      </c>
      <c r="J926" s="64" t="n">
        <v>44859360.7282809</v>
      </c>
      <c r="K926" s="64" t="n">
        <v>46020220.4013226</v>
      </c>
      <c r="L926" s="64" t="n">
        <v>46983460.4832964</v>
      </c>
      <c r="M926" s="64" t="n">
        <v>47151188.841158</v>
      </c>
      <c r="N926" s="64" t="n">
        <v>48169887.1563648</v>
      </c>
      <c r="O926" s="64" t="n">
        <v>48710824.7335132</v>
      </c>
      <c r="P926" s="64" t="n">
        <v>49284055.9228889</v>
      </c>
      <c r="Q926" s="64" t="n">
        <v>51018914.8595526</v>
      </c>
      <c r="R926" s="64" t="n">
        <v>54638655.682165</v>
      </c>
      <c r="S926" s="64" t="n">
        <v>54323897.3449872</v>
      </c>
      <c r="T926" s="64" t="n">
        <v>55016245.5905525</v>
      </c>
      <c r="U926" s="64" t="n">
        <v>57660074.9949164</v>
      </c>
      <c r="V926" s="64" t="n">
        <v>59411417.5739612</v>
      </c>
      <c r="W926" s="65"/>
    </row>
    <row r="927" customFormat="false" ht="12.75" hidden="false" customHeight="false" outlineLevel="0" collapsed="false">
      <c r="A927" s="2"/>
      <c r="B927" s="117" t="s">
        <v>21</v>
      </c>
      <c r="C927" s="118" t="n">
        <v>0</v>
      </c>
      <c r="D927" s="64" t="n">
        <v>-12301003.3855007</v>
      </c>
      <c r="E927" s="64" t="n">
        <v>-12477988.9640967</v>
      </c>
      <c r="F927" s="64" t="n">
        <v>-12695428.3892289</v>
      </c>
      <c r="G927" s="64" t="n">
        <v>-13058501.6618914</v>
      </c>
      <c r="H927" s="64" t="n">
        <v>-13512596.0892605</v>
      </c>
      <c r="I927" s="64" t="n">
        <v>-14031416.6710875</v>
      </c>
      <c r="J927" s="64" t="n">
        <v>-14355047.4433772</v>
      </c>
      <c r="K927" s="64" t="n">
        <v>-14663508.0232159</v>
      </c>
      <c r="L927" s="64" t="n">
        <v>-14905219.7562698</v>
      </c>
      <c r="M927" s="64" t="n">
        <v>-15024558.6035517</v>
      </c>
      <c r="N927" s="64" t="n">
        <v>-15228850.5285596</v>
      </c>
      <c r="O927" s="64" t="n">
        <v>-15559560.7239931</v>
      </c>
      <c r="P927" s="64" t="n">
        <v>-15914543.2273485</v>
      </c>
      <c r="Q927" s="64" t="n">
        <v>-16252332.8459259</v>
      </c>
      <c r="R927" s="64" t="n">
        <v>-16482919.7711823</v>
      </c>
      <c r="S927" s="64" t="n">
        <v>-16820709.3897598</v>
      </c>
      <c r="T927" s="64" t="n">
        <v>-17205020.9318538</v>
      </c>
      <c r="U927" s="64" t="n">
        <v>-17626752.2819939</v>
      </c>
      <c r="V927" s="64" t="n">
        <v>-18062642.4784217</v>
      </c>
      <c r="W927" s="65"/>
    </row>
    <row r="928" customFormat="false" ht="12.75" hidden="false" customHeight="false" outlineLevel="0" collapsed="false">
      <c r="A928" s="2"/>
      <c r="B928" s="117" t="s">
        <v>22</v>
      </c>
      <c r="C928" s="118" t="n">
        <v>0</v>
      </c>
      <c r="D928" s="64" t="n">
        <v>-1041140.15948702</v>
      </c>
      <c r="E928" s="64" t="n">
        <v>-1062154.9027804</v>
      </c>
      <c r="F928" s="64" t="n">
        <v>-1083593.81512697</v>
      </c>
      <c r="G928" s="64" t="n">
        <v>-1105465.45810577</v>
      </c>
      <c r="H928" s="64" t="n">
        <v>-1127778.56610579</v>
      </c>
      <c r="I928" s="64" t="n">
        <v>-1150542.04981405</v>
      </c>
      <c r="J928" s="64" t="n">
        <v>-1173764.99977402</v>
      </c>
      <c r="K928" s="64" t="n">
        <v>-1197456.69001595</v>
      </c>
      <c r="L928" s="64" t="n">
        <v>-1221626.58176043</v>
      </c>
      <c r="M928" s="64" t="n">
        <v>-1246284.32719666</v>
      </c>
      <c r="N928" s="64" t="n">
        <v>-1271439.77333708</v>
      </c>
      <c r="O928" s="64" t="n">
        <v>-1297102.96594972</v>
      </c>
      <c r="P928" s="64" t="n">
        <v>-1323284.15356998</v>
      </c>
      <c r="Q928" s="64" t="n">
        <v>-1349993.79159333</v>
      </c>
      <c r="R928" s="64" t="n">
        <v>-1377242.54645067</v>
      </c>
      <c r="S928" s="64" t="n">
        <v>-1405041.29986793</v>
      </c>
      <c r="T928" s="64" t="n">
        <v>-1433401.15321166</v>
      </c>
      <c r="U928" s="64" t="n">
        <v>-1462333.43192236</v>
      </c>
      <c r="V928" s="64" t="n">
        <v>-1491849.69003723</v>
      </c>
      <c r="W928" s="65"/>
    </row>
    <row r="929" customFormat="false" ht="12.75" hidden="false" customHeight="false" outlineLevel="0" collapsed="false">
      <c r="A929" s="2"/>
      <c r="B929" s="117" t="s">
        <v>23</v>
      </c>
      <c r="C929" s="118" t="n">
        <v>0</v>
      </c>
      <c r="D929" s="64" t="n">
        <v>0</v>
      </c>
      <c r="E929" s="64" t="n">
        <v>0</v>
      </c>
      <c r="F929" s="64" t="n">
        <v>0</v>
      </c>
      <c r="G929" s="64" t="n">
        <v>0</v>
      </c>
      <c r="H929" s="64" t="n">
        <v>0</v>
      </c>
      <c r="I929" s="64" t="n">
        <v>-1080871.89615657</v>
      </c>
      <c r="J929" s="64" t="n">
        <v>-1198060.15256694</v>
      </c>
      <c r="K929" s="64" t="n">
        <v>-1409405.82383345</v>
      </c>
      <c r="L929" s="64" t="n">
        <v>-1452018.60482803</v>
      </c>
      <c r="M929" s="64" t="n">
        <v>-1614867.93713568</v>
      </c>
      <c r="N929" s="64" t="n">
        <v>-1778899.15514179</v>
      </c>
      <c r="O929" s="64" t="n">
        <v>-1970966.93088769</v>
      </c>
      <c r="P929" s="64" t="n">
        <v>-2209972.4115498</v>
      </c>
      <c r="Q929" s="64" t="n">
        <v>-2460044.15366018</v>
      </c>
      <c r="R929" s="64" t="n">
        <v>-2724977.42223852</v>
      </c>
      <c r="S929" s="64" t="n">
        <v>-2992021.85854809</v>
      </c>
      <c r="T929" s="64" t="n">
        <v>-2939515.60792637</v>
      </c>
      <c r="U929" s="64" t="n">
        <v>-2514914.59367945</v>
      </c>
      <c r="V929" s="64" t="n">
        <v>-2607502.44061149</v>
      </c>
      <c r="W929" s="65"/>
    </row>
    <row r="930" customFormat="false" ht="13.5" hidden="false" customHeight="false" outlineLevel="0" collapsed="false">
      <c r="A930" s="2"/>
      <c r="B930" s="119" t="s">
        <v>24</v>
      </c>
      <c r="C930" s="120" t="n">
        <v>0</v>
      </c>
      <c r="D930" s="68" t="n">
        <v>0</v>
      </c>
      <c r="E930" s="68" t="n">
        <v>0</v>
      </c>
      <c r="F930" s="68" t="n">
        <v>-2710142.87523416</v>
      </c>
      <c r="G930" s="68" t="n">
        <v>-2309211.60992109</v>
      </c>
      <c r="H930" s="68" t="n">
        <v>-2397277.13628701</v>
      </c>
      <c r="I930" s="68" t="n">
        <v>-2489783.37995014</v>
      </c>
      <c r="J930" s="68" t="n">
        <v>-3127711.70590224</v>
      </c>
      <c r="K930" s="68" t="n">
        <v>-2732021.12250172</v>
      </c>
      <c r="L930" s="68" t="n">
        <v>-2891651.32490634</v>
      </c>
      <c r="M930" s="68" t="n">
        <v>-2751516.98288679</v>
      </c>
      <c r="N930" s="68" t="n">
        <v>-2830322.69701649</v>
      </c>
      <c r="O930" s="68" t="n">
        <v>-2903715.43248692</v>
      </c>
      <c r="P930" s="68" t="n">
        <v>-2593627.10101264</v>
      </c>
      <c r="Q930" s="68" t="n">
        <v>-2686361.40423467</v>
      </c>
      <c r="R930" s="68" t="n">
        <v>-2741876.08669854</v>
      </c>
      <c r="S930" s="68" t="n">
        <v>-2911679.76466311</v>
      </c>
      <c r="T930" s="68" t="n">
        <v>-2737280.96835232</v>
      </c>
      <c r="U930" s="68" t="n">
        <v>-3014778.41394966</v>
      </c>
      <c r="V930" s="68" t="n">
        <v>-1641397.77883016</v>
      </c>
      <c r="W930" s="65"/>
    </row>
    <row r="931" customFormat="false" ht="13.5" hidden="false" customHeight="false" outlineLevel="0" collapsed="false">
      <c r="A931" s="2"/>
      <c r="B931" s="121" t="s">
        <v>25</v>
      </c>
      <c r="C931" s="122" t="n">
        <v>0</v>
      </c>
      <c r="D931" s="71" t="n">
        <v>25913685.2732527</v>
      </c>
      <c r="E931" s="71" t="n">
        <v>25171255.564714</v>
      </c>
      <c r="F931" s="71" t="n">
        <v>22967362.3636038</v>
      </c>
      <c r="G931" s="71" t="n">
        <v>22424099.2905009</v>
      </c>
      <c r="H931" s="71" t="n">
        <v>22152607.7483593</v>
      </c>
      <c r="I931" s="71" t="n">
        <v>23083844.6798258</v>
      </c>
      <c r="J931" s="71" t="n">
        <v>25004776.4266605</v>
      </c>
      <c r="K931" s="71" t="n">
        <v>26017828.7417555</v>
      </c>
      <c r="L931" s="71" t="n">
        <v>26512944.2155318</v>
      </c>
      <c r="M931" s="71" t="n">
        <v>26513960.9903872</v>
      </c>
      <c r="N931" s="71" t="n">
        <v>27060375.0023099</v>
      </c>
      <c r="O931" s="71" t="n">
        <v>26979478.6801957</v>
      </c>
      <c r="P931" s="71" t="n">
        <v>27242629.029408</v>
      </c>
      <c r="Q931" s="71" t="n">
        <v>28270182.6641385</v>
      </c>
      <c r="R931" s="71" t="n">
        <v>31311639.8555949</v>
      </c>
      <c r="S931" s="71" t="n">
        <v>30194445.0321483</v>
      </c>
      <c r="T931" s="71" t="n">
        <v>30701026.9292083</v>
      </c>
      <c r="U931" s="71" t="n">
        <v>33041296.273371</v>
      </c>
      <c r="V931" s="71" t="n">
        <v>35608025.1860606</v>
      </c>
      <c r="W931" s="65"/>
    </row>
    <row r="932" customFormat="false" ht="12.75" hidden="false" customHeight="false" outlineLevel="0" collapsed="false">
      <c r="A932" s="2"/>
      <c r="B932" s="117" t="s">
        <v>26</v>
      </c>
      <c r="C932" s="118" t="n">
        <v>0</v>
      </c>
      <c r="D932" s="64" t="n">
        <v>-2889131.17466168</v>
      </c>
      <c r="E932" s="64" t="n">
        <v>-2946913.79815491</v>
      </c>
      <c r="F932" s="64" t="n">
        <v>-3005852.07411801</v>
      </c>
      <c r="G932" s="64" t="n">
        <v>-3065969.11560037</v>
      </c>
      <c r="H932" s="64" t="n">
        <v>-3127288.49791238</v>
      </c>
      <c r="I932" s="64" t="n">
        <v>-3189834.26787062</v>
      </c>
      <c r="J932" s="64" t="n">
        <v>-3253630.95322804</v>
      </c>
      <c r="K932" s="64" t="n">
        <v>-3318703.5722926</v>
      </c>
      <c r="L932" s="64" t="n">
        <v>-3385077.64373845</v>
      </c>
      <c r="M932" s="64" t="n">
        <v>-3452779.19661322</v>
      </c>
      <c r="N932" s="64" t="n">
        <v>-3521834.78054548</v>
      </c>
      <c r="O932" s="64" t="n">
        <v>-3592271.47615639</v>
      </c>
      <c r="P932" s="64" t="n">
        <v>-3664116.90567952</v>
      </c>
      <c r="Q932" s="64" t="n">
        <v>-3737399.24379311</v>
      </c>
      <c r="R932" s="64" t="n">
        <v>-3812147.22866897</v>
      </c>
      <c r="S932" s="64" t="n">
        <v>-3888390.17324235</v>
      </c>
      <c r="T932" s="64" t="n">
        <v>-3966157.9767072</v>
      </c>
      <c r="U932" s="64" t="n">
        <v>-4045481.13624134</v>
      </c>
      <c r="V932" s="64" t="n">
        <v>-4126390.75896617</v>
      </c>
      <c r="W932" s="65"/>
    </row>
    <row r="933" customFormat="false" ht="12.75" hidden="false" customHeight="false" outlineLevel="0" collapsed="false">
      <c r="A933" s="2"/>
      <c r="B933" s="117" t="s">
        <v>27</v>
      </c>
      <c r="C933" s="118" t="n">
        <v>0</v>
      </c>
      <c r="D933" s="64" t="n">
        <v>-335704.197133036</v>
      </c>
      <c r="E933" s="64" t="n">
        <v>-343014.864077065</v>
      </c>
      <c r="F933" s="64" t="n">
        <v>-351211.640251735</v>
      </c>
      <c r="G933" s="64" t="n">
        <v>-366096.375099877</v>
      </c>
      <c r="H933" s="64" t="n">
        <v>-433641.925232508</v>
      </c>
      <c r="I933" s="64" t="n">
        <v>-540363.491302833</v>
      </c>
      <c r="J933" s="64" t="n">
        <v>-603486.29148456</v>
      </c>
      <c r="K933" s="64" t="n">
        <v>-667736.499177445</v>
      </c>
      <c r="L933" s="64" t="n">
        <v>-717705.255586507</v>
      </c>
      <c r="M933" s="64" t="n">
        <v>-743736.794856863</v>
      </c>
      <c r="N933" s="64" t="n">
        <v>-752803.493465049</v>
      </c>
      <c r="O933" s="64" t="n">
        <v>-762550.102127383</v>
      </c>
      <c r="P933" s="64" t="n">
        <v>-772081.379097588</v>
      </c>
      <c r="Q933" s="64" t="n">
        <v>-781850.937992048</v>
      </c>
      <c r="R933" s="64" t="n">
        <v>-791865.71281476</v>
      </c>
      <c r="S933" s="64" t="n">
        <v>-802130.857008038</v>
      </c>
      <c r="T933" s="64" t="n">
        <v>-812650.576777311</v>
      </c>
      <c r="U933" s="64" t="n">
        <v>-823434.341512792</v>
      </c>
      <c r="V933" s="64" t="n">
        <v>-834488.778743133</v>
      </c>
      <c r="W933" s="65"/>
    </row>
    <row r="934" customFormat="false" ht="13.5" hidden="false" customHeight="false" outlineLevel="0" collapsed="false">
      <c r="A934" s="2"/>
      <c r="B934" s="119" t="s">
        <v>28</v>
      </c>
      <c r="C934" s="120" t="n">
        <v>0</v>
      </c>
      <c r="D934" s="68" t="n">
        <v>-418126.94064275</v>
      </c>
      <c r="E934" s="68" t="n">
        <v>-426949.419090314</v>
      </c>
      <c r="F934" s="68" t="n">
        <v>-436299.611368393</v>
      </c>
      <c r="G934" s="68" t="n">
        <v>-446159.982585315</v>
      </c>
      <c r="H934" s="68" t="n">
        <v>-456778.590170846</v>
      </c>
      <c r="I934" s="68" t="n">
        <v>-468225.507561301</v>
      </c>
      <c r="J934" s="68" t="n">
        <v>-479838.804564989</v>
      </c>
      <c r="K934" s="68" t="n">
        <v>-491984.516331025</v>
      </c>
      <c r="L934" s="68" t="n">
        <v>-504136.533884402</v>
      </c>
      <c r="M934" s="68" t="n">
        <v>-516992.015498452</v>
      </c>
      <c r="N934" s="68" t="n">
        <v>-529503.222273517</v>
      </c>
      <c r="O934" s="68" t="n">
        <v>-542846.703474808</v>
      </c>
      <c r="P934" s="68" t="n">
        <v>-556635.009743067</v>
      </c>
      <c r="Q934" s="68" t="n">
        <v>-570550.884986643</v>
      </c>
      <c r="R934" s="68" t="n">
        <v>-584871.712199808</v>
      </c>
      <c r="S934" s="68" t="n">
        <v>-599493.505004804</v>
      </c>
      <c r="T934" s="68" t="n">
        <v>-614360.943928923</v>
      </c>
      <c r="U934" s="68" t="n">
        <v>-629781.40362154</v>
      </c>
      <c r="V934" s="68" t="n">
        <v>-645588.91685244</v>
      </c>
      <c r="W934" s="65"/>
    </row>
    <row r="935" customFormat="false" ht="13.5" hidden="false" customHeight="false" outlineLevel="0" collapsed="false">
      <c r="A935" s="2"/>
      <c r="B935" s="121" t="s">
        <v>29</v>
      </c>
      <c r="C935" s="123" t="n">
        <v>0</v>
      </c>
      <c r="D935" s="73" t="n">
        <v>22270722.9608152</v>
      </c>
      <c r="E935" s="73" t="n">
        <v>21454377.4833917</v>
      </c>
      <c r="F935" s="73" t="n">
        <v>19173999.0378656</v>
      </c>
      <c r="G935" s="73" t="n">
        <v>18545873.8172153</v>
      </c>
      <c r="H935" s="73" t="n">
        <v>18134898.7350435</v>
      </c>
      <c r="I935" s="73" t="n">
        <v>18885421.4130911</v>
      </c>
      <c r="J935" s="73" t="n">
        <v>20667820.3773829</v>
      </c>
      <c r="K935" s="73" t="n">
        <v>21539404.1539545</v>
      </c>
      <c r="L935" s="73" t="n">
        <v>21906024.7823224</v>
      </c>
      <c r="M935" s="73" t="n">
        <v>21800452.9834187</v>
      </c>
      <c r="N935" s="73" t="n">
        <v>22256233.5060259</v>
      </c>
      <c r="O935" s="73" t="n">
        <v>22081810.3984371</v>
      </c>
      <c r="P935" s="73" t="n">
        <v>22249795.7348878</v>
      </c>
      <c r="Q935" s="73" t="n">
        <v>23180381.5973667</v>
      </c>
      <c r="R935" s="73" t="n">
        <v>26122755.2019114</v>
      </c>
      <c r="S935" s="73" t="n">
        <v>24904430.4968931</v>
      </c>
      <c r="T935" s="73" t="n">
        <v>25307857.4317948</v>
      </c>
      <c r="U935" s="73" t="n">
        <v>27542599.3919953</v>
      </c>
      <c r="V935" s="73" t="n">
        <v>30001556.7314989</v>
      </c>
      <c r="W935" s="65"/>
    </row>
    <row r="936" customFormat="false" ht="12.75" hidden="false" customHeight="false" outlineLevel="0" collapsed="false">
      <c r="A936" s="2"/>
      <c r="B936" s="117" t="s">
        <v>30</v>
      </c>
      <c r="C936" s="118" t="n">
        <v>0</v>
      </c>
      <c r="D936" s="64" t="n">
        <v>-964456.016534091</v>
      </c>
      <c r="E936" s="64" t="n">
        <v>-1335489.6346815</v>
      </c>
      <c r="F936" s="64" t="n">
        <v>-1670269.89086037</v>
      </c>
      <c r="G936" s="64" t="n">
        <v>-1670507.26132073</v>
      </c>
      <c r="H936" s="64" t="n">
        <v>-1748116.59080485</v>
      </c>
      <c r="I936" s="64" t="n">
        <v>-1884310.12947247</v>
      </c>
      <c r="J936" s="64" t="n">
        <v>-1934208.96105541</v>
      </c>
      <c r="K936" s="64" t="n">
        <v>-1891010.37206881</v>
      </c>
      <c r="L936" s="64" t="n">
        <v>-1860983.93047095</v>
      </c>
      <c r="M936" s="64" t="n">
        <v>-1944868.48772999</v>
      </c>
      <c r="N936" s="64" t="n">
        <v>-2054391.28875899</v>
      </c>
      <c r="O936" s="64" t="n">
        <v>-2125047.38518986</v>
      </c>
      <c r="P936" s="64" t="n">
        <v>-2244799.8289509</v>
      </c>
      <c r="Q936" s="64" t="n">
        <v>-2337274.95511567</v>
      </c>
      <c r="R936" s="64" t="n">
        <v>-2434552.81324721</v>
      </c>
      <c r="S936" s="64" t="n">
        <v>-2564173.52166815</v>
      </c>
      <c r="T936" s="64" t="n">
        <v>-2698944.1222508</v>
      </c>
      <c r="U936" s="64" t="n">
        <v>-2881443.62085094</v>
      </c>
      <c r="V936" s="64" t="n">
        <v>-3061151.48622726</v>
      </c>
      <c r="W936" s="65"/>
    </row>
    <row r="937" customFormat="false" ht="13.5" hidden="false" customHeight="false" outlineLevel="0" collapsed="false">
      <c r="A937" s="2"/>
      <c r="B937" s="119" t="s">
        <v>70</v>
      </c>
      <c r="C937" s="120" t="n">
        <v>0</v>
      </c>
      <c r="D937" s="68" t="n">
        <v>-8522506.77771246</v>
      </c>
      <c r="E937" s="68" t="n">
        <v>-8047555.13948407</v>
      </c>
      <c r="F937" s="68" t="n">
        <v>-7001491.6588021</v>
      </c>
      <c r="G937" s="68" t="n">
        <v>-6750146.62235783</v>
      </c>
      <c r="H937" s="68" t="n">
        <v>-6554712.85769548</v>
      </c>
      <c r="I937" s="68" t="n">
        <v>-6800444.51344743</v>
      </c>
      <c r="J937" s="68" t="n">
        <v>-7493444.56653098</v>
      </c>
      <c r="K937" s="68" t="n">
        <v>-7859357.51275427</v>
      </c>
      <c r="L937" s="68" t="n">
        <v>-8018016.34074059</v>
      </c>
      <c r="M937" s="68" t="n">
        <v>-7942233.79827547</v>
      </c>
      <c r="N937" s="68" t="n">
        <v>-8080736.88690676</v>
      </c>
      <c r="O937" s="68" t="n">
        <v>-7982705.20529891</v>
      </c>
      <c r="P937" s="68" t="n">
        <v>-8001998.36237477</v>
      </c>
      <c r="Q937" s="68" t="n">
        <v>-8337242.65690043</v>
      </c>
      <c r="R937" s="68" t="n">
        <v>-9475280.95546567</v>
      </c>
      <c r="S937" s="68" t="n">
        <v>-8936102.79009</v>
      </c>
      <c r="T937" s="68" t="n">
        <v>-9043565.32381762</v>
      </c>
      <c r="U937" s="68" t="n">
        <v>-9864462.30845774</v>
      </c>
      <c r="V937" s="68" t="n">
        <v>-10776162.0981087</v>
      </c>
      <c r="W937" s="65"/>
    </row>
    <row r="938" customFormat="false" ht="13.5" hidden="false" customHeight="false" outlineLevel="0" collapsed="false">
      <c r="A938" s="2"/>
      <c r="B938" s="121" t="s">
        <v>32</v>
      </c>
      <c r="C938" s="123" t="n">
        <v>0</v>
      </c>
      <c r="D938" s="73" t="n">
        <v>12783760.1665687</v>
      </c>
      <c r="E938" s="73" t="n">
        <v>12071332.7092261</v>
      </c>
      <c r="F938" s="73" t="n">
        <v>10502237.4882032</v>
      </c>
      <c r="G938" s="73" t="n">
        <v>10125219.9335367</v>
      </c>
      <c r="H938" s="73" t="n">
        <v>9832069.28654322</v>
      </c>
      <c r="I938" s="73" t="n">
        <v>10200666.7701711</v>
      </c>
      <c r="J938" s="73" t="n">
        <v>11240166.8497965</v>
      </c>
      <c r="K938" s="73" t="n">
        <v>11789036.2691314</v>
      </c>
      <c r="L938" s="73" t="n">
        <v>12027024.5111109</v>
      </c>
      <c r="M938" s="73" t="n">
        <v>11913350.6974132</v>
      </c>
      <c r="N938" s="73" t="n">
        <v>12121105.3303601</v>
      </c>
      <c r="O938" s="73" t="n">
        <v>11974057.8079484</v>
      </c>
      <c r="P938" s="73" t="n">
        <v>12002997.5435622</v>
      </c>
      <c r="Q938" s="73" t="n">
        <v>12505863.9853506</v>
      </c>
      <c r="R938" s="73" t="n">
        <v>14212921.4331985</v>
      </c>
      <c r="S938" s="73" t="n">
        <v>13404154.185135</v>
      </c>
      <c r="T938" s="73" t="n">
        <v>13565347.9857264</v>
      </c>
      <c r="U938" s="73" t="n">
        <v>14796693.4626866</v>
      </c>
      <c r="V938" s="73" t="n">
        <v>16164243.147163</v>
      </c>
      <c r="W938" s="65"/>
    </row>
    <row r="939" customFormat="false" ht="12.75" hidden="false" customHeight="false" outlineLevel="0" collapsed="false">
      <c r="A939" s="2"/>
      <c r="B939" s="117" t="s">
        <v>30</v>
      </c>
      <c r="C939" s="118" t="n">
        <v>0</v>
      </c>
      <c r="D939" s="64" t="n">
        <v>964456.016534091</v>
      </c>
      <c r="E939" s="64" t="n">
        <v>1335489.6346815</v>
      </c>
      <c r="F939" s="64" t="n">
        <v>1670269.89086037</v>
      </c>
      <c r="G939" s="64" t="n">
        <v>1670507.26132073</v>
      </c>
      <c r="H939" s="64" t="n">
        <v>1748116.59080485</v>
      </c>
      <c r="I939" s="64" t="n">
        <v>1884310.12947247</v>
      </c>
      <c r="J939" s="64" t="n">
        <v>1934208.96105541</v>
      </c>
      <c r="K939" s="64" t="n">
        <v>1891010.37206881</v>
      </c>
      <c r="L939" s="64" t="n">
        <v>1860983.93047095</v>
      </c>
      <c r="M939" s="64" t="n">
        <v>1944868.48772999</v>
      </c>
      <c r="N939" s="64" t="n">
        <v>2054391.28875899</v>
      </c>
      <c r="O939" s="64" t="n">
        <v>2125047.38518986</v>
      </c>
      <c r="P939" s="64" t="n">
        <v>2244799.8289509</v>
      </c>
      <c r="Q939" s="64" t="n">
        <v>2337274.95511567</v>
      </c>
      <c r="R939" s="64" t="n">
        <v>2434552.81324721</v>
      </c>
      <c r="S939" s="64" t="n">
        <v>2564173.52166815</v>
      </c>
      <c r="T939" s="64" t="n">
        <v>2698944.1222508</v>
      </c>
      <c r="U939" s="64" t="n">
        <v>2881443.62085094</v>
      </c>
      <c r="V939" s="64" t="n">
        <v>3061151.48622726</v>
      </c>
      <c r="W939" s="65"/>
    </row>
    <row r="940" customFormat="false" ht="12.75" hidden="false" customHeight="false" outlineLevel="0" collapsed="false">
      <c r="A940" s="2"/>
      <c r="B940" s="117" t="s">
        <v>33</v>
      </c>
      <c r="C940" s="118" t="n">
        <v>0</v>
      </c>
      <c r="D940" s="64" t="n">
        <v>-804291.35</v>
      </c>
      <c r="E940" s="64" t="n">
        <v>-9620475.79</v>
      </c>
      <c r="F940" s="64" t="n">
        <v>-604210.52</v>
      </c>
      <c r="G940" s="64" t="n">
        <v>-1057868.9</v>
      </c>
      <c r="H940" s="64" t="n">
        <v>-2649788.426</v>
      </c>
      <c r="I940" s="64" t="n">
        <v>-2729282.07878</v>
      </c>
      <c r="J940" s="64" t="n">
        <v>-2811160.5411434</v>
      </c>
      <c r="K940" s="64" t="n">
        <v>-2895495.3573777</v>
      </c>
      <c r="L940" s="64" t="n">
        <v>-2982360.21809903</v>
      </c>
      <c r="M940" s="64" t="n">
        <v>-3071831.024642</v>
      </c>
      <c r="N940" s="64" t="n">
        <v>-3163985.95538127</v>
      </c>
      <c r="O940" s="64" t="n">
        <v>-3258905.5340427</v>
      </c>
      <c r="P940" s="64" t="n">
        <v>-3356672.70006398</v>
      </c>
      <c r="Q940" s="64" t="n">
        <v>-3457372.8810659</v>
      </c>
      <c r="R940" s="64" t="n">
        <v>-3561094.06749788</v>
      </c>
      <c r="S940" s="64" t="n">
        <v>-3667926.88952282</v>
      </c>
      <c r="T940" s="64" t="n">
        <v>-3777964.6962085</v>
      </c>
      <c r="U940" s="64" t="n">
        <v>-3891303.63709476</v>
      </c>
      <c r="V940" s="64" t="n">
        <v>-4008042.7462076</v>
      </c>
      <c r="W940" s="65"/>
    </row>
    <row r="941" customFormat="false" ht="13.5" hidden="false" customHeight="false" outlineLevel="0" collapsed="false">
      <c r="A941" s="2"/>
      <c r="B941" s="119" t="s">
        <v>34</v>
      </c>
      <c r="C941" s="120" t="n">
        <v>0</v>
      </c>
      <c r="D941" s="68" t="n">
        <v>0</v>
      </c>
      <c r="E941" s="68" t="n">
        <v>0</v>
      </c>
      <c r="F941" s="68" t="n">
        <v>0</v>
      </c>
      <c r="G941" s="68" t="n">
        <v>0</v>
      </c>
      <c r="H941" s="68" t="n">
        <v>0</v>
      </c>
      <c r="I941" s="68" t="n">
        <v>0</v>
      </c>
      <c r="J941" s="68" t="n">
        <v>0</v>
      </c>
      <c r="K941" s="68" t="n">
        <v>0</v>
      </c>
      <c r="L941" s="68" t="n">
        <v>0</v>
      </c>
      <c r="M941" s="68" t="n">
        <v>0</v>
      </c>
      <c r="N941" s="68" t="n">
        <v>0</v>
      </c>
      <c r="O941" s="68" t="n">
        <v>0</v>
      </c>
      <c r="P941" s="68" t="n">
        <v>0</v>
      </c>
      <c r="Q941" s="68" t="n">
        <v>0</v>
      </c>
      <c r="R941" s="68" t="n">
        <v>0</v>
      </c>
      <c r="S941" s="68" t="n">
        <v>0</v>
      </c>
      <c r="T941" s="68" t="n">
        <v>0</v>
      </c>
      <c r="U941" s="68" t="n">
        <v>0</v>
      </c>
      <c r="V941" s="68" t="n">
        <v>0</v>
      </c>
      <c r="W941" s="65"/>
    </row>
    <row r="942" customFormat="false" ht="13.5" hidden="false" customHeight="false" outlineLevel="0" collapsed="false">
      <c r="A942" s="2"/>
      <c r="B942" s="117"/>
      <c r="C942" s="124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</row>
    <row r="943" customFormat="false" ht="12.75" hidden="false" customHeight="false" outlineLevel="0" collapsed="false">
      <c r="A943" s="2"/>
      <c r="B943" s="121" t="s">
        <v>35</v>
      </c>
      <c r="C943" s="123" t="n">
        <v>0</v>
      </c>
      <c r="D943" s="73" t="n">
        <v>12943924.8331028</v>
      </c>
      <c r="E943" s="73" t="n">
        <v>3786346.5539076</v>
      </c>
      <c r="F943" s="73" t="n">
        <v>11568296.8590635</v>
      </c>
      <c r="G943" s="73" t="n">
        <v>10737858.2948575</v>
      </c>
      <c r="H943" s="73" t="n">
        <v>8930397.45134807</v>
      </c>
      <c r="I943" s="73" t="n">
        <v>9355694.82086362</v>
      </c>
      <c r="J943" s="73" t="n">
        <v>10363215.2697085</v>
      </c>
      <c r="K943" s="73" t="n">
        <v>10784551.2838225</v>
      </c>
      <c r="L943" s="73" t="n">
        <v>10905648.2234828</v>
      </c>
      <c r="M943" s="73" t="n">
        <v>10786388.1605012</v>
      </c>
      <c r="N943" s="73" t="n">
        <v>11011510.6637379</v>
      </c>
      <c r="O943" s="73" t="n">
        <v>10840199.6590955</v>
      </c>
      <c r="P943" s="73" t="n">
        <v>10891124.6724491</v>
      </c>
      <c r="Q943" s="73" t="n">
        <v>11385766.0594004</v>
      </c>
      <c r="R943" s="73" t="n">
        <v>13086380.1789478</v>
      </c>
      <c r="S943" s="73" t="n">
        <v>12300400.8172803</v>
      </c>
      <c r="T943" s="73" t="n">
        <v>12486327.4117687</v>
      </c>
      <c r="U943" s="73" t="n">
        <v>13786833.4464428</v>
      </c>
      <c r="V943" s="73" t="n">
        <v>15217351.8871826</v>
      </c>
      <c r="W943" s="71" t="n">
        <v>74836085.5585069</v>
      </c>
    </row>
    <row r="944" customFormat="false" ht="12.75" hidden="false" customHeight="false" outlineLevel="0" collapsed="false">
      <c r="A944" s="2"/>
      <c r="B944" s="12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customFormat="false" ht="12.75" hidden="false" customHeight="false" outlineLevel="0" collapsed="false">
      <c r="A945" s="48" t="s">
        <v>36</v>
      </c>
      <c r="B945" s="126" t="s">
        <v>37</v>
      </c>
      <c r="C945" s="76" t="n">
        <v>36467024.9713165</v>
      </c>
      <c r="D945" s="2"/>
      <c r="E945" s="127" t="s">
        <v>38</v>
      </c>
      <c r="F945" s="128" t="s">
        <v>37</v>
      </c>
      <c r="G945" s="79" t="n">
        <v>36467024.9713165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customFormat="false" ht="12.75" hidden="false" customHeight="false" outlineLevel="0" collapsed="false">
      <c r="A946" s="2"/>
      <c r="B946" s="126" t="s">
        <v>39</v>
      </c>
      <c r="C946" s="76" t="n">
        <v>51128149.6666076</v>
      </c>
      <c r="D946" s="2"/>
      <c r="E946" s="129"/>
      <c r="F946" s="128" t="s">
        <v>39</v>
      </c>
      <c r="G946" s="79" t="n">
        <v>51128149.6666076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customFormat="false" ht="13.5" hidden="false" customHeight="false" outlineLevel="0" collapsed="false">
      <c r="A947" s="2"/>
      <c r="B947" s="130" t="s">
        <v>40</v>
      </c>
      <c r="C947" s="82" t="n">
        <v>11123907.2645417</v>
      </c>
      <c r="D947" s="131"/>
      <c r="E947" s="129"/>
      <c r="F947" s="128" t="s">
        <v>40</v>
      </c>
      <c r="G947" s="79" t="n">
        <v>11123907.2645417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customFormat="false" ht="14.25" hidden="false" customHeight="false" outlineLevel="0" collapsed="false">
      <c r="A948" s="2"/>
      <c r="B948" s="126" t="s">
        <v>41</v>
      </c>
      <c r="C948" s="76" t="n">
        <v>98719081.9024658</v>
      </c>
      <c r="D948" s="132"/>
      <c r="E948" s="129"/>
      <c r="F948" s="133" t="s">
        <v>42</v>
      </c>
      <c r="G948" s="85" t="n">
        <v>0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customFormat="false" ht="13.5" hidden="false" customHeight="false" outlineLevel="0" collapsed="false">
      <c r="A949" s="2"/>
      <c r="B949" s="125"/>
      <c r="C949" s="134"/>
      <c r="D949" s="2"/>
      <c r="E949" s="135"/>
      <c r="F949" s="128" t="s">
        <v>41</v>
      </c>
      <c r="G949" s="79" t="n">
        <v>98719081.9024658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customFormat="false" ht="12.75" hidden="false" customHeight="false" outlineLevel="0" collapsed="false">
      <c r="A950" s="2"/>
      <c r="B950" s="125"/>
      <c r="C950" s="134"/>
      <c r="D950" s="2"/>
      <c r="E950" s="135"/>
      <c r="F950" s="128"/>
      <c r="G950" s="13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customFormat="false" ht="12.75" hidden="false" customHeight="false" outlineLevel="0" collapsed="false">
      <c r="A951" s="2"/>
      <c r="B951" s="125"/>
      <c r="C951" s="134"/>
      <c r="D951" s="2"/>
      <c r="E951" s="135"/>
      <c r="F951" s="128"/>
      <c r="G951" s="13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customFormat="false" ht="12.75" hidden="false" customHeight="false" outlineLevel="0" collapsed="false">
      <c r="A952" s="2"/>
      <c r="B952" s="137" t="s">
        <v>43</v>
      </c>
      <c r="C952" s="134"/>
      <c r="D952" s="2"/>
      <c r="E952" s="135"/>
      <c r="F952" s="128"/>
      <c r="G952" s="13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customFormat="false" ht="12.75" hidden="false" customHeight="false" outlineLevel="0" collapsed="false">
      <c r="A953" s="87" t="s">
        <v>44</v>
      </c>
      <c r="B953" s="137" t="s">
        <v>45</v>
      </c>
      <c r="C953" s="138"/>
      <c r="D953" s="88" t="n">
        <v>12783760.1665687</v>
      </c>
      <c r="E953" s="88" t="n">
        <v>12071332.7092261</v>
      </c>
      <c r="F953" s="88" t="n">
        <v>10502237.4882032</v>
      </c>
      <c r="G953" s="88" t="n">
        <v>10125219.9335367</v>
      </c>
      <c r="H953" s="88" t="n">
        <v>9832069.28654322</v>
      </c>
      <c r="I953" s="88" t="n">
        <v>10200666.7701711</v>
      </c>
      <c r="J953" s="88" t="n">
        <v>11240166.8497965</v>
      </c>
      <c r="K953" s="88" t="n">
        <v>11789036.2691314</v>
      </c>
      <c r="L953" s="88" t="n">
        <v>12027024.5111109</v>
      </c>
      <c r="M953" s="88" t="n">
        <v>11913350.6974132</v>
      </c>
      <c r="N953" s="88" t="n">
        <v>12121105.3303601</v>
      </c>
      <c r="O953" s="88" t="n">
        <v>11974057.8079484</v>
      </c>
      <c r="P953" s="88" t="n">
        <v>12002997.5435622</v>
      </c>
      <c r="Q953" s="88" t="n">
        <v>12505863.9853506</v>
      </c>
      <c r="R953" s="88" t="n">
        <v>14212921.4331985</v>
      </c>
      <c r="S953" s="88" t="n">
        <v>13404154.185135</v>
      </c>
      <c r="T953" s="88" t="n">
        <v>13565347.9857264</v>
      </c>
      <c r="U953" s="88" t="n">
        <v>14796693.4626866</v>
      </c>
      <c r="V953" s="88" t="n">
        <v>16164243.147163</v>
      </c>
      <c r="W953" s="2"/>
    </row>
    <row r="954" customFormat="false" ht="12.75" hidden="false" customHeight="false" outlineLevel="0" collapsed="false">
      <c r="A954" s="2"/>
      <c r="B954" s="125" t="s">
        <v>46</v>
      </c>
      <c r="C954" s="134"/>
      <c r="D954" s="65" t="n">
        <v>8522506.77771246</v>
      </c>
      <c r="E954" s="65" t="n">
        <v>8047555.13948407</v>
      </c>
      <c r="F954" s="65" t="n">
        <v>7001491.6588021</v>
      </c>
      <c r="G954" s="65" t="n">
        <v>6750146.62235783</v>
      </c>
      <c r="H954" s="65" t="n">
        <v>6554712.85769548</v>
      </c>
      <c r="I954" s="65" t="n">
        <v>6800444.51344743</v>
      </c>
      <c r="J954" s="65" t="n">
        <v>7493444.56653098</v>
      </c>
      <c r="K954" s="65" t="n">
        <v>7859357.51275427</v>
      </c>
      <c r="L954" s="65" t="n">
        <v>8018016.34074059</v>
      </c>
      <c r="M954" s="65" t="n">
        <v>7942233.79827547</v>
      </c>
      <c r="N954" s="65" t="n">
        <v>8080736.88690676</v>
      </c>
      <c r="O954" s="65" t="n">
        <v>7982705.20529891</v>
      </c>
      <c r="P954" s="65" t="n">
        <v>8001998.36237477</v>
      </c>
      <c r="Q954" s="65" t="n">
        <v>8337242.65690043</v>
      </c>
      <c r="R954" s="65" t="n">
        <v>9475280.95546567</v>
      </c>
      <c r="S954" s="65" t="n">
        <v>8936102.79009</v>
      </c>
      <c r="T954" s="65" t="n">
        <v>9043565.32381762</v>
      </c>
      <c r="U954" s="65" t="n">
        <v>9864462.30845774</v>
      </c>
      <c r="V954" s="65" t="n">
        <v>10776162.0981087</v>
      </c>
      <c r="W954" s="2"/>
    </row>
    <row r="955" customFormat="false" ht="12.75" hidden="false" customHeight="false" outlineLevel="0" collapsed="false">
      <c r="A955" s="2"/>
      <c r="B955" s="139" t="s">
        <v>47</v>
      </c>
      <c r="C955" s="140"/>
      <c r="D955" s="65" t="n">
        <v>964456.016534091</v>
      </c>
      <c r="E955" s="65" t="n">
        <v>1335489.6346815</v>
      </c>
      <c r="F955" s="65" t="n">
        <v>1670269.89086037</v>
      </c>
      <c r="G955" s="65" t="n">
        <v>1670507.26132073</v>
      </c>
      <c r="H955" s="65" t="n">
        <v>1748116.59080485</v>
      </c>
      <c r="I955" s="65" t="n">
        <v>1884310.12947247</v>
      </c>
      <c r="J955" s="65" t="n">
        <v>1934208.96105541</v>
      </c>
      <c r="K955" s="65" t="n">
        <v>1891010.37206881</v>
      </c>
      <c r="L955" s="65" t="n">
        <v>1860983.93047095</v>
      </c>
      <c r="M955" s="65" t="n">
        <v>1944868.48772999</v>
      </c>
      <c r="N955" s="65" t="n">
        <v>2054391.28875899</v>
      </c>
      <c r="O955" s="65" t="n">
        <v>2125047.38518986</v>
      </c>
      <c r="P955" s="65" t="n">
        <v>2244799.8289509</v>
      </c>
      <c r="Q955" s="65" t="n">
        <v>2337274.95511567</v>
      </c>
      <c r="R955" s="65" t="n">
        <v>2434552.81324721</v>
      </c>
      <c r="S955" s="65" t="n">
        <v>2564173.52166815</v>
      </c>
      <c r="T955" s="65" t="n">
        <v>2698944.1222508</v>
      </c>
      <c r="U955" s="65" t="n">
        <v>2881443.62085094</v>
      </c>
      <c r="V955" s="65" t="n">
        <v>3061151.48622726</v>
      </c>
      <c r="W955" s="2"/>
    </row>
    <row r="956" customFormat="false" ht="13.5" hidden="false" customHeight="false" outlineLevel="0" collapsed="false">
      <c r="A956" s="2"/>
      <c r="B956" s="141" t="s">
        <v>48</v>
      </c>
      <c r="C956" s="142"/>
      <c r="D956" s="93" t="n">
        <v>22270722.9608152</v>
      </c>
      <c r="E956" s="93" t="n">
        <v>21454377.4833917</v>
      </c>
      <c r="F956" s="93" t="n">
        <v>19173999.0378656</v>
      </c>
      <c r="G956" s="93" t="n">
        <v>18545873.8172153</v>
      </c>
      <c r="H956" s="93" t="n">
        <v>18134898.7350435</v>
      </c>
      <c r="I956" s="93" t="n">
        <v>18885421.4130911</v>
      </c>
      <c r="J956" s="93" t="n">
        <v>20667820.3773829</v>
      </c>
      <c r="K956" s="93" t="n">
        <v>21539404.1539545</v>
      </c>
      <c r="L956" s="93" t="n">
        <v>21906024.7823224</v>
      </c>
      <c r="M956" s="93" t="n">
        <v>21800452.9834187</v>
      </c>
      <c r="N956" s="93" t="n">
        <v>22256233.5060259</v>
      </c>
      <c r="O956" s="93" t="n">
        <v>22081810.3984371</v>
      </c>
      <c r="P956" s="93" t="n">
        <v>22249795.7348878</v>
      </c>
      <c r="Q956" s="93" t="n">
        <v>23180381.5973667</v>
      </c>
      <c r="R956" s="93" t="n">
        <v>26122755.2019114</v>
      </c>
      <c r="S956" s="93" t="n">
        <v>24904430.4968931</v>
      </c>
      <c r="T956" s="93" t="n">
        <v>25307857.4317948</v>
      </c>
      <c r="U956" s="93" t="n">
        <v>27542599.3919953</v>
      </c>
      <c r="V956" s="93" t="n">
        <v>30001556.7314989</v>
      </c>
      <c r="W956" s="2"/>
    </row>
    <row r="957" customFormat="false" ht="13.5" hidden="false" customHeight="false" outlineLevel="0" collapsed="false">
      <c r="A957" s="87" t="s">
        <v>49</v>
      </c>
      <c r="B957" s="125" t="s">
        <v>50</v>
      </c>
      <c r="C957" s="134"/>
      <c r="D957" s="65" t="n">
        <v>-1469520.43099215</v>
      </c>
      <c r="E957" s="65" t="n">
        <v>-1947943.63433418</v>
      </c>
      <c r="F957" s="65" t="n">
        <v>-1968749.22095533</v>
      </c>
      <c r="G957" s="65" t="n">
        <v>-1981272.34041852</v>
      </c>
      <c r="H957" s="65" t="n">
        <v>-1997857.23547692</v>
      </c>
      <c r="I957" s="65" t="n">
        <v>-2134321.33941592</v>
      </c>
      <c r="J957" s="65" t="n">
        <v>-1718435.4558214</v>
      </c>
      <c r="K957" s="65" t="n">
        <v>-1379677.52472867</v>
      </c>
      <c r="L957" s="65" t="n">
        <v>-1528309.03098672</v>
      </c>
      <c r="M957" s="65" t="n">
        <v>-1663447.35453475</v>
      </c>
      <c r="N957" s="65" t="n">
        <v>-1682658.88403806</v>
      </c>
      <c r="O957" s="65" t="n">
        <v>-1845604.1607402</v>
      </c>
      <c r="P957" s="65" t="n">
        <v>-2013437.7957434</v>
      </c>
      <c r="Q957" s="65" t="n">
        <v>-2186306.43979669</v>
      </c>
      <c r="R957" s="65" t="n">
        <v>-2364361.14317159</v>
      </c>
      <c r="S957" s="65" t="n">
        <v>-2546881.94671835</v>
      </c>
      <c r="T957" s="65" t="n">
        <v>-2733413.23220772</v>
      </c>
      <c r="U957" s="65" t="n">
        <v>-2927978.41406246</v>
      </c>
      <c r="V957" s="65" t="n">
        <v>-3128380.55137284</v>
      </c>
      <c r="W957" s="2"/>
    </row>
    <row r="958" customFormat="false" ht="12.75" hidden="false" customHeight="false" outlineLevel="0" collapsed="false">
      <c r="A958" s="2"/>
      <c r="B958" s="125" t="s">
        <v>51</v>
      </c>
      <c r="C958" s="134"/>
      <c r="D958" s="65" t="n">
        <v>0</v>
      </c>
      <c r="E958" s="65" t="n">
        <v>0</v>
      </c>
      <c r="F958" s="65" t="n">
        <v>0</v>
      </c>
      <c r="G958" s="65" t="n">
        <v>0</v>
      </c>
      <c r="H958" s="65" t="n">
        <v>0</v>
      </c>
      <c r="I958" s="65" t="n">
        <v>0</v>
      </c>
      <c r="J958" s="65" t="n">
        <v>0</v>
      </c>
      <c r="K958" s="65" t="n">
        <v>0</v>
      </c>
      <c r="L958" s="65" t="n">
        <v>0</v>
      </c>
      <c r="M958" s="65" t="n">
        <v>0</v>
      </c>
      <c r="N958" s="65" t="n">
        <v>0</v>
      </c>
      <c r="O958" s="65" t="n">
        <v>0</v>
      </c>
      <c r="P958" s="65" t="n">
        <v>0</v>
      </c>
      <c r="Q958" s="65" t="n">
        <v>0</v>
      </c>
      <c r="R958" s="65" t="n">
        <v>0</v>
      </c>
      <c r="S958" s="65" t="n">
        <v>0</v>
      </c>
      <c r="T958" s="65" t="n">
        <v>0</v>
      </c>
      <c r="U958" s="65" t="n">
        <v>0</v>
      </c>
      <c r="V958" s="65" t="n">
        <v>0</v>
      </c>
      <c r="W958" s="2"/>
    </row>
    <row r="959" customFormat="false" ht="12.75" hidden="false" customHeight="false" outlineLevel="0" collapsed="false">
      <c r="A959" s="2"/>
      <c r="B959" s="137" t="s">
        <v>52</v>
      </c>
      <c r="C959" s="138"/>
      <c r="D959" s="88" t="n">
        <v>20801202.5298231</v>
      </c>
      <c r="E959" s="88" t="n">
        <v>19506433.8490575</v>
      </c>
      <c r="F959" s="88" t="n">
        <v>17205249.8169103</v>
      </c>
      <c r="G959" s="88" t="n">
        <v>16564601.4767968</v>
      </c>
      <c r="H959" s="88" t="n">
        <v>16137041.4995666</v>
      </c>
      <c r="I959" s="88" t="n">
        <v>16751100.0736751</v>
      </c>
      <c r="J959" s="88" t="n">
        <v>18949384.9215615</v>
      </c>
      <c r="K959" s="88" t="n">
        <v>20159726.6292258</v>
      </c>
      <c r="L959" s="88" t="n">
        <v>20377715.7513357</v>
      </c>
      <c r="M959" s="88" t="n">
        <v>20137005.6288839</v>
      </c>
      <c r="N959" s="88" t="n">
        <v>20573574.6219878</v>
      </c>
      <c r="O959" s="88" t="n">
        <v>20236206.2376969</v>
      </c>
      <c r="P959" s="88" t="n">
        <v>20236357.9391444</v>
      </c>
      <c r="Q959" s="88" t="n">
        <v>20994075.15757</v>
      </c>
      <c r="R959" s="88" t="n">
        <v>23758394.0587398</v>
      </c>
      <c r="S959" s="88" t="n">
        <v>22357548.5501748</v>
      </c>
      <c r="T959" s="88" t="n">
        <v>22574444.1995871</v>
      </c>
      <c r="U959" s="88" t="n">
        <v>24614620.9779328</v>
      </c>
      <c r="V959" s="88" t="n">
        <v>26873176.180126</v>
      </c>
      <c r="W959" s="2"/>
    </row>
    <row r="960" customFormat="false" ht="13.5" hidden="false" customHeight="false" outlineLevel="0" collapsed="false">
      <c r="A960" s="2"/>
      <c r="B960" s="143" t="s">
        <v>53</v>
      </c>
      <c r="C960" s="144"/>
      <c r="D960" s="96" t="n">
        <v>-8320481.01192924</v>
      </c>
      <c r="E960" s="96" t="n">
        <v>-7802573.539623</v>
      </c>
      <c r="F960" s="96" t="n">
        <v>-6882099.92676412</v>
      </c>
      <c r="G960" s="96" t="n">
        <v>-6625840.59071871</v>
      </c>
      <c r="H960" s="96" t="n">
        <v>-6454816.59982665</v>
      </c>
      <c r="I960" s="96" t="n">
        <v>-6700440.02947005</v>
      </c>
      <c r="J960" s="96" t="n">
        <v>-7579753.96862459</v>
      </c>
      <c r="K960" s="96" t="n">
        <v>-8063890.65169032</v>
      </c>
      <c r="L960" s="96" t="n">
        <v>-8151086.30053429</v>
      </c>
      <c r="M960" s="96" t="n">
        <v>-8054802.25155357</v>
      </c>
      <c r="N960" s="96" t="n">
        <v>-8229429.84879513</v>
      </c>
      <c r="O960" s="96" t="n">
        <v>-8094482.49507877</v>
      </c>
      <c r="P960" s="96" t="n">
        <v>-8094543.17565777</v>
      </c>
      <c r="Q960" s="96" t="n">
        <v>-8397630.06302802</v>
      </c>
      <c r="R960" s="96" t="n">
        <v>-9503357.62349592</v>
      </c>
      <c r="S960" s="96" t="n">
        <v>-8943019.42006992</v>
      </c>
      <c r="T960" s="96" t="n">
        <v>-9029777.67983485</v>
      </c>
      <c r="U960" s="96" t="n">
        <v>-9845848.39117313</v>
      </c>
      <c r="V960" s="96" t="n">
        <v>-10749270.4720504</v>
      </c>
      <c r="W960" s="2"/>
    </row>
    <row r="961" customFormat="false" ht="13.5" hidden="false" customHeight="false" outlineLevel="0" collapsed="false">
      <c r="A961" s="2"/>
      <c r="B961" s="137" t="s">
        <v>54</v>
      </c>
      <c r="C961" s="138"/>
      <c r="D961" s="88" t="n">
        <v>12480721.5178939</v>
      </c>
      <c r="E961" s="88" t="n">
        <v>11703860.3094345</v>
      </c>
      <c r="F961" s="88" t="n">
        <v>10323149.8901462</v>
      </c>
      <c r="G961" s="88" t="n">
        <v>9938760.88607806</v>
      </c>
      <c r="H961" s="88" t="n">
        <v>9682224.89973997</v>
      </c>
      <c r="I961" s="88" t="n">
        <v>10050660.0442051</v>
      </c>
      <c r="J961" s="88" t="n">
        <v>11369630.9529369</v>
      </c>
      <c r="K961" s="88" t="n">
        <v>12095835.9775355</v>
      </c>
      <c r="L961" s="88" t="n">
        <v>12226629.4508014</v>
      </c>
      <c r="M961" s="88" t="n">
        <v>12082203.3773303</v>
      </c>
      <c r="N961" s="88" t="n">
        <v>12344144.7731927</v>
      </c>
      <c r="O961" s="88" t="n">
        <v>12141723.7426182</v>
      </c>
      <c r="P961" s="88" t="n">
        <v>12141814.7634867</v>
      </c>
      <c r="Q961" s="88" t="n">
        <v>12596445.094542</v>
      </c>
      <c r="R961" s="88" t="n">
        <v>14255036.4352439</v>
      </c>
      <c r="S961" s="88" t="n">
        <v>13414529.1301049</v>
      </c>
      <c r="T961" s="88" t="n">
        <v>13544666.5197523</v>
      </c>
      <c r="U961" s="88" t="n">
        <v>14768772.5867597</v>
      </c>
      <c r="V961" s="88" t="n">
        <v>16123905.7080756</v>
      </c>
      <c r="W961" s="2"/>
    </row>
    <row r="962" customFormat="false" ht="12.75" hidden="false" customHeight="false" outlineLevel="0" collapsed="false">
      <c r="A962" s="2"/>
      <c r="B962" s="2"/>
      <c r="C962" s="134"/>
      <c r="D962" s="2"/>
      <c r="E962" s="135"/>
      <c r="F962" s="128"/>
      <c r="G962" s="13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customFormat="false" ht="15.75" hidden="false" customHeight="false" outlineLevel="0" collapsed="false">
      <c r="A963" s="97" t="s">
        <v>55</v>
      </c>
      <c r="B963" s="14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customFormat="false" ht="12.75" hidden="false" customHeight="false" outlineLevel="0" collapsed="false">
      <c r="A964" s="99" t="s">
        <v>56</v>
      </c>
      <c r="B964" s="49"/>
      <c r="C964" s="101" t="n">
        <v>0</v>
      </c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</row>
    <row r="965" customFormat="false" ht="12.75" hidden="false" customHeight="false" outlineLevel="0" collapsed="false">
      <c r="A965" s="99" t="s">
        <v>57</v>
      </c>
      <c r="B965" s="49"/>
      <c r="C965" s="146" t="n">
        <v>0</v>
      </c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</row>
    <row r="966" customFormat="false" ht="12.75" hidden="false" customHeight="false" outlineLevel="0" collapsed="false">
      <c r="A966" s="99" t="s">
        <v>58</v>
      </c>
      <c r="B966" s="49"/>
      <c r="C966" s="99" t="n">
        <v>15</v>
      </c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</row>
    <row r="967" customFormat="false" ht="12.75" hidden="false" customHeight="false" outlineLevel="0" collapsed="false">
      <c r="A967" s="99" t="s">
        <v>59</v>
      </c>
      <c r="B967" s="49"/>
      <c r="C967" s="146" t="n">
        <v>0</v>
      </c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</row>
    <row r="968" customFormat="false" ht="12.75" hidden="false" customHeight="false" outlineLevel="0" collapsed="false">
      <c r="A968" s="99" t="s">
        <v>60</v>
      </c>
      <c r="B968" s="49"/>
      <c r="C968" s="147" t="n">
        <v>0.0875</v>
      </c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</row>
    <row r="969" customFormat="false" ht="12.75" hidden="false" customHeight="false" outlineLevel="0" collapsed="false">
      <c r="A969" s="99"/>
      <c r="B969" s="49"/>
      <c r="C969" s="107"/>
      <c r="D969" s="58" t="n">
        <v>2001</v>
      </c>
      <c r="E969" s="58" t="n">
        <v>2002</v>
      </c>
      <c r="F969" s="58" t="n">
        <v>2003</v>
      </c>
      <c r="G969" s="58" t="n">
        <v>2004</v>
      </c>
      <c r="H969" s="58" t="n">
        <v>2005</v>
      </c>
      <c r="I969" s="58" t="n">
        <v>2006</v>
      </c>
      <c r="J969" s="58" t="n">
        <v>2007</v>
      </c>
      <c r="K969" s="58" t="n">
        <v>2008</v>
      </c>
      <c r="L969" s="58" t="n">
        <v>2009</v>
      </c>
      <c r="M969" s="58" t="n">
        <v>2010</v>
      </c>
      <c r="N969" s="58" t="n">
        <v>2011</v>
      </c>
      <c r="O969" s="58" t="n">
        <v>2012</v>
      </c>
      <c r="P969" s="58" t="n">
        <v>2013</v>
      </c>
      <c r="Q969" s="58" t="n">
        <v>2014</v>
      </c>
      <c r="R969" s="58" t="n">
        <v>2015</v>
      </c>
      <c r="S969" s="58" t="n">
        <v>2016</v>
      </c>
      <c r="T969" s="58" t="n">
        <v>2017</v>
      </c>
      <c r="U969" s="58" t="n">
        <v>2018</v>
      </c>
      <c r="V969" s="58" t="n">
        <v>2019</v>
      </c>
      <c r="W969" s="58" t="s">
        <v>19</v>
      </c>
    </row>
    <row r="970" customFormat="false" ht="12.75" hidden="false" customHeight="false" outlineLevel="0" collapsed="false">
      <c r="A970" s="99" t="s">
        <v>61</v>
      </c>
      <c r="B970" s="49"/>
      <c r="C970" s="107"/>
      <c r="D970" s="102" t="n">
        <v>0</v>
      </c>
      <c r="E970" s="102" t="n">
        <v>0</v>
      </c>
      <c r="F970" s="102" t="n">
        <v>0</v>
      </c>
      <c r="G970" s="102" t="n">
        <v>0</v>
      </c>
      <c r="H970" s="102" t="n">
        <v>0</v>
      </c>
      <c r="I970" s="102" t="n">
        <v>0</v>
      </c>
      <c r="J970" s="102" t="n">
        <v>0</v>
      </c>
      <c r="K970" s="102" t="n">
        <v>0</v>
      </c>
      <c r="L970" s="102" t="n">
        <v>0</v>
      </c>
      <c r="M970" s="102" t="n">
        <v>0</v>
      </c>
      <c r="N970" s="102" t="n">
        <v>0</v>
      </c>
      <c r="O970" s="102" t="n">
        <v>0</v>
      </c>
      <c r="P970" s="102" t="n">
        <v>0</v>
      </c>
      <c r="Q970" s="102" t="n">
        <v>0</v>
      </c>
      <c r="R970" s="102" t="n">
        <v>0</v>
      </c>
      <c r="S970" s="102" t="n">
        <v>0</v>
      </c>
      <c r="T970" s="102" t="n">
        <v>0</v>
      </c>
      <c r="U970" s="102" t="n">
        <v>0</v>
      </c>
      <c r="V970" s="102" t="n">
        <v>0</v>
      </c>
      <c r="W970" s="102" t="n">
        <v>0</v>
      </c>
    </row>
    <row r="971" customFormat="false" ht="12.75" hidden="false" customHeight="false" outlineLevel="0" collapsed="false">
      <c r="A971" s="99" t="s">
        <v>62</v>
      </c>
      <c r="B971" s="49"/>
      <c r="C971" s="107"/>
      <c r="D971" s="102" t="n">
        <v>0</v>
      </c>
      <c r="E971" s="102" t="n">
        <v>0</v>
      </c>
      <c r="F971" s="102" t="n">
        <v>0</v>
      </c>
      <c r="G971" s="102" t="n">
        <v>0</v>
      </c>
      <c r="H971" s="102" t="n">
        <v>0</v>
      </c>
      <c r="I971" s="102" t="n">
        <v>0</v>
      </c>
      <c r="J971" s="102" t="n">
        <v>0</v>
      </c>
      <c r="K971" s="102" t="n">
        <v>0</v>
      </c>
      <c r="L971" s="102" t="n">
        <v>0</v>
      </c>
      <c r="M971" s="102" t="n">
        <v>0</v>
      </c>
      <c r="N971" s="102" t="n">
        <v>0</v>
      </c>
      <c r="O971" s="102" t="n">
        <v>0</v>
      </c>
      <c r="P971" s="102" t="n">
        <v>0</v>
      </c>
      <c r="Q971" s="102" t="n">
        <v>0</v>
      </c>
      <c r="R971" s="102" t="n">
        <v>0</v>
      </c>
      <c r="S971" s="102" t="n">
        <v>0</v>
      </c>
      <c r="T971" s="102" t="n">
        <v>0</v>
      </c>
      <c r="U971" s="102" t="n">
        <v>0</v>
      </c>
      <c r="V971" s="102" t="n">
        <v>0</v>
      </c>
      <c r="W971" s="102" t="n">
        <v>0</v>
      </c>
    </row>
    <row r="972" customFormat="false" ht="12.75" hidden="false" customHeight="false" outlineLevel="0" collapsed="false">
      <c r="A972" s="99" t="s">
        <v>63</v>
      </c>
      <c r="B972" s="49"/>
      <c r="C972" s="107"/>
      <c r="D972" s="102" t="n">
        <v>0</v>
      </c>
      <c r="E972" s="102" t="n">
        <v>0</v>
      </c>
      <c r="F972" s="102" t="n">
        <v>0</v>
      </c>
      <c r="G972" s="102" t="n">
        <v>0</v>
      </c>
      <c r="H972" s="102" t="n">
        <v>0</v>
      </c>
      <c r="I972" s="102" t="n">
        <v>0</v>
      </c>
      <c r="J972" s="102" t="n">
        <v>0</v>
      </c>
      <c r="K972" s="102" t="n">
        <v>0</v>
      </c>
      <c r="L972" s="102" t="n">
        <v>0</v>
      </c>
      <c r="M972" s="102" t="n">
        <v>0</v>
      </c>
      <c r="N972" s="102" t="n">
        <v>0</v>
      </c>
      <c r="O972" s="102" t="n">
        <v>0</v>
      </c>
      <c r="P972" s="102" t="n">
        <v>0</v>
      </c>
      <c r="Q972" s="102" t="n">
        <v>0</v>
      </c>
      <c r="R972" s="102" t="n">
        <v>0</v>
      </c>
      <c r="S972" s="102" t="n">
        <v>0</v>
      </c>
      <c r="T972" s="102" t="n">
        <v>0</v>
      </c>
      <c r="U972" s="102" t="n">
        <v>0</v>
      </c>
      <c r="V972" s="102" t="n">
        <v>0</v>
      </c>
      <c r="W972" s="102" t="n">
        <v>0</v>
      </c>
    </row>
    <row r="973" customFormat="false" ht="12.75" hidden="false" customHeight="false" outlineLevel="0" collapsed="false">
      <c r="A973" s="99" t="s">
        <v>64</v>
      </c>
      <c r="B973" s="49"/>
      <c r="C973" s="107"/>
      <c r="D973" s="105" t="n">
        <v>0</v>
      </c>
      <c r="E973" s="105" t="n">
        <v>0</v>
      </c>
      <c r="F973" s="105" t="n">
        <v>0</v>
      </c>
      <c r="G973" s="105" t="n">
        <v>0</v>
      </c>
      <c r="H973" s="105" t="n">
        <v>0</v>
      </c>
      <c r="I973" s="105" t="n">
        <v>0</v>
      </c>
      <c r="J973" s="105" t="n">
        <v>0</v>
      </c>
      <c r="K973" s="105" t="n">
        <v>0</v>
      </c>
      <c r="L973" s="105" t="n">
        <v>0</v>
      </c>
      <c r="M973" s="105" t="n">
        <v>0</v>
      </c>
      <c r="N973" s="105" t="n">
        <v>0</v>
      </c>
      <c r="O973" s="105" t="n">
        <v>0</v>
      </c>
      <c r="P973" s="105" t="n">
        <v>0</v>
      </c>
      <c r="Q973" s="105" t="n">
        <v>0</v>
      </c>
      <c r="R973" s="105" t="n">
        <v>0</v>
      </c>
      <c r="S973" s="105" t="n">
        <v>0</v>
      </c>
      <c r="T973" s="105" t="n">
        <v>0</v>
      </c>
      <c r="U973" s="105" t="n">
        <v>0</v>
      </c>
      <c r="V973" s="105" t="n">
        <v>0</v>
      </c>
      <c r="W973" s="105" t="n">
        <v>0</v>
      </c>
    </row>
    <row r="974" customFormat="false" ht="13.5" hidden="false" customHeight="false" outlineLevel="0" collapsed="false">
      <c r="A974" s="99" t="s">
        <v>65</v>
      </c>
      <c r="B974" s="49"/>
      <c r="C974" s="107"/>
      <c r="D974" s="106" t="n">
        <v>0</v>
      </c>
      <c r="E974" s="106" t="n">
        <v>0</v>
      </c>
      <c r="F974" s="106" t="n">
        <v>0</v>
      </c>
      <c r="G974" s="106" t="n">
        <v>0</v>
      </c>
      <c r="H974" s="106" t="n">
        <v>0</v>
      </c>
      <c r="I974" s="106" t="n">
        <v>0</v>
      </c>
      <c r="J974" s="106" t="n">
        <v>0</v>
      </c>
      <c r="K974" s="106" t="n">
        <v>0</v>
      </c>
      <c r="L974" s="106" t="n">
        <v>0</v>
      </c>
      <c r="M974" s="106" t="n">
        <v>0</v>
      </c>
      <c r="N974" s="106" t="n">
        <v>0</v>
      </c>
      <c r="O974" s="106" t="n">
        <v>0</v>
      </c>
      <c r="P974" s="106" t="n">
        <v>0</v>
      </c>
      <c r="Q974" s="106" t="n">
        <v>0</v>
      </c>
      <c r="R974" s="106" t="n">
        <v>0</v>
      </c>
      <c r="S974" s="106" t="n">
        <v>0</v>
      </c>
      <c r="T974" s="106" t="n">
        <v>0</v>
      </c>
      <c r="U974" s="106" t="n">
        <v>0</v>
      </c>
      <c r="V974" s="106" t="n">
        <v>0</v>
      </c>
      <c r="W974" s="106" t="n">
        <v>0</v>
      </c>
    </row>
    <row r="975" customFormat="false" ht="13.5" hidden="false" customHeight="false" outlineLevel="0" collapsed="false">
      <c r="A975" s="99"/>
      <c r="B975" s="49"/>
      <c r="C975" s="107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</row>
    <row r="976" customFormat="false" ht="12.75" hidden="false" customHeight="false" outlineLevel="0" collapsed="false">
      <c r="A976" s="99" t="s">
        <v>66</v>
      </c>
      <c r="B976" s="49"/>
      <c r="C976" s="107"/>
      <c r="D976" s="102" t="n">
        <v>0</v>
      </c>
      <c r="E976" s="102" t="n">
        <v>0</v>
      </c>
      <c r="F976" s="102" t="n">
        <v>0</v>
      </c>
      <c r="G976" s="102" t="n">
        <v>0</v>
      </c>
      <c r="H976" s="102" t="n">
        <v>0</v>
      </c>
      <c r="I976" s="102" t="n">
        <v>0</v>
      </c>
      <c r="J976" s="102" t="n">
        <v>0</v>
      </c>
      <c r="K976" s="102" t="n">
        <v>0</v>
      </c>
      <c r="L976" s="102" t="n">
        <v>0</v>
      </c>
      <c r="M976" s="102" t="n">
        <v>0</v>
      </c>
      <c r="N976" s="102" t="n">
        <v>0</v>
      </c>
      <c r="O976" s="102" t="n">
        <v>0</v>
      </c>
      <c r="P976" s="102" t="n">
        <v>0</v>
      </c>
      <c r="Q976" s="102" t="n">
        <v>0</v>
      </c>
      <c r="R976" s="102" t="n">
        <v>0</v>
      </c>
      <c r="S976" s="102" t="n">
        <v>0</v>
      </c>
      <c r="T976" s="102" t="n">
        <v>0</v>
      </c>
      <c r="U976" s="102" t="n">
        <v>0</v>
      </c>
      <c r="V976" s="102" t="n">
        <v>0</v>
      </c>
      <c r="W976" s="102" t="n">
        <v>0</v>
      </c>
    </row>
    <row r="977" customFormat="false" ht="12.75" hidden="false" customHeight="false" outlineLevel="0" collapsed="false">
      <c r="A977" s="99"/>
      <c r="B977" s="49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</row>
    <row r="978" customFormat="false" ht="12.75" hidden="false" customHeight="false" outlineLevel="0" collapsed="false">
      <c r="A978" s="99" t="s">
        <v>67</v>
      </c>
      <c r="B978" s="49"/>
      <c r="C978" s="107"/>
      <c r="D978" s="102" t="n">
        <v>0</v>
      </c>
      <c r="E978" s="102" t="n">
        <v>0</v>
      </c>
      <c r="F978" s="102" t="n">
        <v>0</v>
      </c>
      <c r="G978" s="102" t="n">
        <v>0</v>
      </c>
      <c r="H978" s="102" t="n">
        <v>0</v>
      </c>
      <c r="I978" s="102" t="n">
        <v>0</v>
      </c>
      <c r="J978" s="102" t="n">
        <v>0</v>
      </c>
      <c r="K978" s="102" t="n">
        <v>0</v>
      </c>
      <c r="L978" s="102" t="n">
        <v>0</v>
      </c>
      <c r="M978" s="102" t="n">
        <v>0</v>
      </c>
      <c r="N978" s="102" t="n">
        <v>0</v>
      </c>
      <c r="O978" s="102" t="n">
        <v>0</v>
      </c>
      <c r="P978" s="102" t="n">
        <v>0</v>
      </c>
      <c r="Q978" s="102" t="n">
        <v>0</v>
      </c>
      <c r="R978" s="102" t="n">
        <v>0</v>
      </c>
      <c r="S978" s="102" t="n">
        <v>0</v>
      </c>
      <c r="T978" s="102" t="n">
        <v>0</v>
      </c>
      <c r="U978" s="102" t="n">
        <v>0</v>
      </c>
      <c r="V978" s="102" t="n">
        <v>0</v>
      </c>
      <c r="W978" s="102" t="n">
        <v>0</v>
      </c>
    </row>
    <row r="979" customFormat="false" ht="12.75" hidden="false" customHeight="false" outlineLevel="0" collapsed="false">
      <c r="A979" s="107"/>
      <c r="B979" s="49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</row>
    <row r="980" customFormat="false" ht="12.75" hidden="false" customHeight="false" outlineLevel="0" collapsed="false">
      <c r="A980" s="107"/>
      <c r="B980" s="49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</row>
    <row r="981" customFormat="false" ht="12.75" hidden="false" customHeight="false" outlineLevel="0" collapsed="false">
      <c r="A981" s="99" t="s">
        <v>68</v>
      </c>
      <c r="B981" s="148"/>
      <c r="C981" s="149"/>
      <c r="D981" s="79" t="n">
        <v>12943924.8331028</v>
      </c>
      <c r="E981" s="79" t="n">
        <v>3786346.5539076</v>
      </c>
      <c r="F981" s="79" t="n">
        <v>11568296.8590635</v>
      </c>
      <c r="G981" s="79" t="n">
        <v>10737858.2948575</v>
      </c>
      <c r="H981" s="79" t="n">
        <v>8930397.45134807</v>
      </c>
      <c r="I981" s="79" t="n">
        <v>9355694.82086362</v>
      </c>
      <c r="J981" s="79" t="n">
        <v>10363215.2697085</v>
      </c>
      <c r="K981" s="79" t="n">
        <v>10784551.2838225</v>
      </c>
      <c r="L981" s="79" t="n">
        <v>10905648.2234828</v>
      </c>
      <c r="M981" s="79" t="n">
        <v>10786388.1605012</v>
      </c>
      <c r="N981" s="79" t="n">
        <v>11011510.6637379</v>
      </c>
      <c r="O981" s="79" t="n">
        <v>10840199.6590955</v>
      </c>
      <c r="P981" s="79" t="n">
        <v>10891124.6724491</v>
      </c>
      <c r="Q981" s="79" t="n">
        <v>11385766.0594004</v>
      </c>
      <c r="R981" s="79" t="n">
        <v>13086380.1789478</v>
      </c>
      <c r="S981" s="79" t="n">
        <v>12300400.8172803</v>
      </c>
      <c r="T981" s="79" t="n">
        <v>12486327.4117687</v>
      </c>
      <c r="U981" s="79" t="n">
        <v>13786833.4464428</v>
      </c>
      <c r="V981" s="79" t="n">
        <v>15217351.8871826</v>
      </c>
      <c r="W981" s="79" t="n">
        <v>74836085.5585069</v>
      </c>
    </row>
    <row r="982" customFormat="false" ht="12.75" hidden="false" customHeight="false" outlineLevel="0" collapsed="false">
      <c r="A982" s="2"/>
      <c r="B982" s="3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customFormat="false" ht="12.75" hidden="false" customHeight="false" outlineLevel="0" collapsed="false">
      <c r="B983" s="126"/>
      <c r="C983" s="157"/>
      <c r="D983" s="131"/>
      <c r="E983" s="160"/>
      <c r="F983" s="128"/>
      <c r="G983" s="159"/>
    </row>
    <row r="984" customFormat="false" ht="12.75" hidden="false" customHeight="false" outlineLevel="0" collapsed="false">
      <c r="B984" s="126"/>
      <c r="C984" s="138"/>
      <c r="D984" s="161"/>
      <c r="E984" s="160"/>
      <c r="F984" s="162"/>
      <c r="G984" s="79"/>
    </row>
    <row r="985" customFormat="false" ht="12.75" hidden="false" customHeight="false" outlineLevel="0" collapsed="false">
      <c r="B985" s="156"/>
      <c r="C985" s="134"/>
      <c r="E985" s="163"/>
      <c r="F985" s="128"/>
      <c r="G985" s="136"/>
    </row>
    <row r="986" customFormat="false" ht="12.75" hidden="false" customHeight="false" outlineLevel="0" collapsed="false">
      <c r="B986" s="156"/>
      <c r="C986" s="134"/>
      <c r="E986" s="163"/>
      <c r="F986" s="128"/>
      <c r="G986" s="136"/>
    </row>
    <row r="987" customFormat="false" ht="12.75" hidden="false" customHeight="false" outlineLevel="0" collapsed="false">
      <c r="B987" s="156"/>
      <c r="C987" s="134"/>
      <c r="E987" s="163"/>
      <c r="F987" s="128"/>
      <c r="G987" s="136"/>
    </row>
    <row r="988" customFormat="false" ht="12.75" hidden="false" customHeight="false" outlineLevel="0" collapsed="false">
      <c r="B988" s="126"/>
      <c r="C988" s="134"/>
      <c r="E988" s="163"/>
      <c r="F988" s="128"/>
      <c r="G988" s="136"/>
    </row>
    <row r="989" customFormat="false" ht="12.75" hidden="false" customHeight="false" outlineLevel="0" collapsed="false">
      <c r="A989" s="164"/>
      <c r="B989" s="126"/>
      <c r="C989" s="138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</row>
    <row r="990" customFormat="false" ht="15.75" hidden="false" customHeight="false" outlineLevel="0" collapsed="false">
      <c r="A990" s="48" t="s">
        <v>17</v>
      </c>
      <c r="B990" s="57" t="s">
        <v>84</v>
      </c>
      <c r="C990" s="58" t="n">
        <v>2000</v>
      </c>
      <c r="D990" s="58" t="n">
        <v>2001</v>
      </c>
      <c r="E990" s="58" t="n">
        <v>2002</v>
      </c>
      <c r="F990" s="58" t="n">
        <v>2003</v>
      </c>
      <c r="G990" s="58" t="n">
        <v>2004</v>
      </c>
      <c r="H990" s="58" t="n">
        <v>2005</v>
      </c>
      <c r="I990" s="58" t="n">
        <v>2006</v>
      </c>
      <c r="J990" s="58" t="n">
        <v>2007</v>
      </c>
      <c r="K990" s="58" t="n">
        <v>2008</v>
      </c>
      <c r="L990" s="58" t="n">
        <v>2009</v>
      </c>
      <c r="M990" s="58" t="n">
        <v>2010</v>
      </c>
      <c r="N990" s="58" t="n">
        <v>2011</v>
      </c>
      <c r="O990" s="58" t="n">
        <v>2012</v>
      </c>
      <c r="P990" s="58" t="n">
        <v>2013</v>
      </c>
      <c r="Q990" s="58" t="n">
        <v>2014</v>
      </c>
      <c r="R990" s="58" t="n">
        <v>2015</v>
      </c>
      <c r="S990" s="58" t="n">
        <v>2016</v>
      </c>
      <c r="T990" s="58" t="n">
        <v>2017</v>
      </c>
      <c r="U990" s="58" t="n">
        <v>2018</v>
      </c>
      <c r="V990" s="58" t="n">
        <v>2019</v>
      </c>
      <c r="W990" s="58" t="s">
        <v>19</v>
      </c>
    </row>
    <row r="991" customFormat="false" ht="12.75" hidden="false" customHeight="false" outlineLevel="0" collapsed="false">
      <c r="A991" s="48" t="s">
        <v>5</v>
      </c>
      <c r="B991" s="49" t="n">
        <v>150</v>
      </c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</row>
    <row r="992" customFormat="false" ht="12.75" hidden="false" customHeight="false" outlineLevel="0" collapsed="false">
      <c r="A992" s="2"/>
      <c r="B992" s="117" t="s">
        <v>20</v>
      </c>
      <c r="C992" s="118" t="n">
        <v>0</v>
      </c>
      <c r="D992" s="64" t="n">
        <v>43908062.3233855</v>
      </c>
      <c r="E992" s="64" t="n">
        <v>43299112.2601893</v>
      </c>
      <c r="F992" s="64" t="n">
        <v>44132545.8713821</v>
      </c>
      <c r="G992" s="64" t="n">
        <v>43507019.4400539</v>
      </c>
      <c r="H992" s="64" t="n">
        <v>43834722.3878498</v>
      </c>
      <c r="I992" s="64" t="n">
        <v>46794524.2852348</v>
      </c>
      <c r="J992" s="64" t="n">
        <v>50175672.4017851</v>
      </c>
      <c r="K992" s="64" t="n">
        <v>51474106.3008277</v>
      </c>
      <c r="L992" s="64" t="n">
        <v>52551500.584044</v>
      </c>
      <c r="M992" s="64" t="n">
        <v>52739106.5374041</v>
      </c>
      <c r="N992" s="64" t="n">
        <v>53878531.44472</v>
      </c>
      <c r="O992" s="64" t="n">
        <v>54483575.8818267</v>
      </c>
      <c r="P992" s="64" t="n">
        <v>55124741.0679027</v>
      </c>
      <c r="Q992" s="64" t="n">
        <v>57065199.2522404</v>
      </c>
      <c r="R992" s="64" t="n">
        <v>61113917.8863485</v>
      </c>
      <c r="S992" s="64" t="n">
        <v>60761857.3363192</v>
      </c>
      <c r="T992" s="64" t="n">
        <v>61536256.217477</v>
      </c>
      <c r="U992" s="64" t="n">
        <v>64493407.5438875</v>
      </c>
      <c r="V992" s="64" t="n">
        <v>66452302.8576598</v>
      </c>
      <c r="W992" s="65"/>
    </row>
    <row r="993" customFormat="false" ht="12.75" hidden="false" customHeight="false" outlineLevel="0" collapsed="false">
      <c r="A993" s="2"/>
      <c r="B993" s="117" t="s">
        <v>21</v>
      </c>
      <c r="C993" s="118" t="n">
        <v>0</v>
      </c>
      <c r="D993" s="64" t="n">
        <v>-13439585.9838299</v>
      </c>
      <c r="E993" s="64" t="n">
        <v>-13632953.3723993</v>
      </c>
      <c r="F993" s="64" t="n">
        <v>-13870519.0212132</v>
      </c>
      <c r="G993" s="64" t="n">
        <v>-14267198.4069071</v>
      </c>
      <c r="H993" s="64" t="n">
        <v>-14763323.878151</v>
      </c>
      <c r="I993" s="64" t="n">
        <v>-15330166.565786</v>
      </c>
      <c r="J993" s="64" t="n">
        <v>-15683752.6477416</v>
      </c>
      <c r="K993" s="64" t="n">
        <v>-16020764.3821055</v>
      </c>
      <c r="L993" s="64" t="n">
        <v>-16284848.9870661</v>
      </c>
      <c r="M993" s="64" t="n">
        <v>-16415233.8547872</v>
      </c>
      <c r="N993" s="64" t="n">
        <v>-16638435.0690217</v>
      </c>
      <c r="O993" s="64" t="n">
        <v>-16999755.84652</v>
      </c>
      <c r="P993" s="64" t="n">
        <v>-17387595.580165</v>
      </c>
      <c r="Q993" s="64" t="n">
        <v>-17756651.0532061</v>
      </c>
      <c r="R993" s="64" t="n">
        <v>-18008581.1365995</v>
      </c>
      <c r="S993" s="64" t="n">
        <v>-18377636.6096406</v>
      </c>
      <c r="T993" s="64" t="n">
        <v>-18797520.0819628</v>
      </c>
      <c r="U993" s="64" t="n">
        <v>-19258286.9450112</v>
      </c>
      <c r="V993" s="64" t="n">
        <v>-19734523.1991451</v>
      </c>
      <c r="W993" s="65"/>
    </row>
    <row r="994" customFormat="false" ht="12.75" hidden="false" customHeight="false" outlineLevel="0" collapsed="false">
      <c r="A994" s="2"/>
      <c r="B994" s="117" t="s">
        <v>22</v>
      </c>
      <c r="C994" s="118" t="n">
        <v>0</v>
      </c>
      <c r="D994" s="64" t="n">
        <v>-1164526.34898627</v>
      </c>
      <c r="E994" s="64" t="n">
        <v>-1188031.56301469</v>
      </c>
      <c r="F994" s="64" t="n">
        <v>-1212011.21464343</v>
      </c>
      <c r="G994" s="64" t="n">
        <v>-1236474.88008976</v>
      </c>
      <c r="H994" s="64" t="n">
        <v>-1261432.32886073</v>
      </c>
      <c r="I994" s="64" t="n">
        <v>-1286893.5276546</v>
      </c>
      <c r="J994" s="64" t="n">
        <v>-1312868.64434101</v>
      </c>
      <c r="K994" s="64" t="n">
        <v>-1339368.05202148</v>
      </c>
      <c r="L994" s="64" t="n">
        <v>-1366402.33317192</v>
      </c>
      <c r="M994" s="64" t="n">
        <v>-1393982.2838687</v>
      </c>
      <c r="N994" s="64" t="n">
        <v>-1422118.91810001</v>
      </c>
      <c r="O994" s="64" t="n">
        <v>-1450823.47216434</v>
      </c>
      <c r="P994" s="64" t="n">
        <v>-1480107.40915757</v>
      </c>
      <c r="Q994" s="64" t="n">
        <v>-1509982.42355084</v>
      </c>
      <c r="R994" s="64" t="n">
        <v>-1540460.4458606</v>
      </c>
      <c r="S994" s="64" t="n">
        <v>-1571553.64741314</v>
      </c>
      <c r="T994" s="64" t="n">
        <v>-1603274.44520509</v>
      </c>
      <c r="U994" s="64" t="n">
        <v>-1635635.50686217</v>
      </c>
      <c r="V994" s="64" t="n">
        <v>-1668649.75569797</v>
      </c>
      <c r="W994" s="65"/>
    </row>
    <row r="995" customFormat="false" ht="12.75" hidden="false" customHeight="false" outlineLevel="0" collapsed="false">
      <c r="A995" s="2"/>
      <c r="B995" s="117" t="s">
        <v>23</v>
      </c>
      <c r="C995" s="118" t="n">
        <v>0</v>
      </c>
      <c r="D995" s="64" t="n">
        <v>0</v>
      </c>
      <c r="E995" s="64" t="n">
        <v>0</v>
      </c>
      <c r="F995" s="64" t="n">
        <v>0</v>
      </c>
      <c r="G995" s="64" t="n">
        <v>0</v>
      </c>
      <c r="H995" s="64" t="n">
        <v>0</v>
      </c>
      <c r="I995" s="64" t="n">
        <v>-1023944.59478861</v>
      </c>
      <c r="J995" s="64" t="n">
        <v>-1134960.78657857</v>
      </c>
      <c r="K995" s="64" t="n">
        <v>-1347867.70295184</v>
      </c>
      <c r="L995" s="64" t="n">
        <v>-1375543.76909323</v>
      </c>
      <c r="M995" s="64" t="n">
        <v>-1529816.16175538</v>
      </c>
      <c r="N995" s="64" t="n">
        <v>-1685208.19262526</v>
      </c>
      <c r="O995" s="64" t="n">
        <v>-1867160.15335937</v>
      </c>
      <c r="P995" s="64" t="n">
        <v>-2093577.70655789</v>
      </c>
      <c r="Q995" s="64" t="n">
        <v>-2330478.68395754</v>
      </c>
      <c r="R995" s="64" t="n">
        <v>-2581458.46176941</v>
      </c>
      <c r="S995" s="64" t="n">
        <v>-2834438.21644697</v>
      </c>
      <c r="T995" s="64" t="n">
        <v>-2784697.3621349</v>
      </c>
      <c r="U995" s="64" t="n">
        <v>-2382459.21067045</v>
      </c>
      <c r="V995" s="64" t="n">
        <v>-2470170.64599067</v>
      </c>
      <c r="W995" s="65"/>
    </row>
    <row r="996" customFormat="false" ht="13.5" hidden="false" customHeight="false" outlineLevel="0" collapsed="false">
      <c r="A996" s="2"/>
      <c r="B996" s="119" t="s">
        <v>24</v>
      </c>
      <c r="C996" s="120" t="n">
        <v>0</v>
      </c>
      <c r="D996" s="68" t="n">
        <v>0</v>
      </c>
      <c r="E996" s="68" t="n">
        <v>0</v>
      </c>
      <c r="F996" s="68" t="n">
        <v>-1710796.57944498</v>
      </c>
      <c r="G996" s="68" t="n">
        <v>-1457705.92376105</v>
      </c>
      <c r="H996" s="68" t="n">
        <v>-1513297.90108838</v>
      </c>
      <c r="I996" s="68" t="n">
        <v>-1571693.11216097</v>
      </c>
      <c r="J996" s="68" t="n">
        <v>-1974389.81422161</v>
      </c>
      <c r="K996" s="68" t="n">
        <v>-1724607.37552205</v>
      </c>
      <c r="L996" s="68" t="n">
        <v>-1825375.0533982</v>
      </c>
      <c r="M996" s="68" t="n">
        <v>-1736914.27327453</v>
      </c>
      <c r="N996" s="68" t="n">
        <v>-1786660.92958768</v>
      </c>
      <c r="O996" s="68" t="n">
        <v>-1832990.60539419</v>
      </c>
      <c r="P996" s="68" t="n">
        <v>-1637245.18486312</v>
      </c>
      <c r="Q996" s="68" t="n">
        <v>-1695784.36012183</v>
      </c>
      <c r="R996" s="68" t="n">
        <v>-1730828.39035952</v>
      </c>
      <c r="S996" s="68" t="n">
        <v>-1838018.1455911</v>
      </c>
      <c r="T996" s="68" t="n">
        <v>-1727927.6898759</v>
      </c>
      <c r="U996" s="68" t="n">
        <v>-1903099.8865416</v>
      </c>
      <c r="V996" s="68" t="n">
        <v>-1036143.78828223</v>
      </c>
      <c r="W996" s="65"/>
    </row>
    <row r="997" customFormat="false" ht="13.5" hidden="false" customHeight="false" outlineLevel="0" collapsed="false">
      <c r="A997" s="2"/>
      <c r="B997" s="121" t="s">
        <v>25</v>
      </c>
      <c r="C997" s="122" t="n">
        <v>0</v>
      </c>
      <c r="D997" s="71" t="n">
        <v>29303949.9905693</v>
      </c>
      <c r="E997" s="71" t="n">
        <v>28478127.3247753</v>
      </c>
      <c r="F997" s="71" t="n">
        <v>27339219.0560804</v>
      </c>
      <c r="G997" s="71" t="n">
        <v>26545640.2292959</v>
      </c>
      <c r="H997" s="71" t="n">
        <v>26296668.2797496</v>
      </c>
      <c r="I997" s="71" t="n">
        <v>27581826.4848445</v>
      </c>
      <c r="J997" s="71" t="n">
        <v>30069700.5089023</v>
      </c>
      <c r="K997" s="71" t="n">
        <v>31041498.7882268</v>
      </c>
      <c r="L997" s="71" t="n">
        <v>31699330.4413146</v>
      </c>
      <c r="M997" s="71" t="n">
        <v>31663159.9637183</v>
      </c>
      <c r="N997" s="71" t="n">
        <v>32346108.3353854</v>
      </c>
      <c r="O997" s="71" t="n">
        <v>32332845.8043888</v>
      </c>
      <c r="P997" s="71" t="n">
        <v>32526215.1871591</v>
      </c>
      <c r="Q997" s="71" t="n">
        <v>33772302.7314041</v>
      </c>
      <c r="R997" s="71" t="n">
        <v>37252589.4517595</v>
      </c>
      <c r="S997" s="71" t="n">
        <v>36140210.7172274</v>
      </c>
      <c r="T997" s="71" t="n">
        <v>36622836.6382982</v>
      </c>
      <c r="U997" s="71" t="n">
        <v>39313925.9948021</v>
      </c>
      <c r="V997" s="71" t="n">
        <v>41542815.4685439</v>
      </c>
      <c r="W997" s="65"/>
    </row>
    <row r="998" customFormat="false" ht="12.75" hidden="false" customHeight="false" outlineLevel="0" collapsed="false">
      <c r="A998" s="2"/>
      <c r="B998" s="117" t="s">
        <v>26</v>
      </c>
      <c r="C998" s="118" t="n">
        <v>0</v>
      </c>
      <c r="D998" s="64" t="n">
        <v>-3664228.16325901</v>
      </c>
      <c r="E998" s="64" t="n">
        <v>-3737512.72652419</v>
      </c>
      <c r="F998" s="64" t="n">
        <v>-3812262.98105467</v>
      </c>
      <c r="G998" s="64" t="n">
        <v>-3888508.24067577</v>
      </c>
      <c r="H998" s="64" t="n">
        <v>-3966278.40548928</v>
      </c>
      <c r="I998" s="64" t="n">
        <v>-4045603.97359907</v>
      </c>
      <c r="J998" s="64" t="n">
        <v>-4126516.05307105</v>
      </c>
      <c r="K998" s="64" t="n">
        <v>-4209046.37413247</v>
      </c>
      <c r="L998" s="64" t="n">
        <v>-4293227.30161512</v>
      </c>
      <c r="M998" s="64" t="n">
        <v>-4379091.84764742</v>
      </c>
      <c r="N998" s="64" t="n">
        <v>-4466673.68460037</v>
      </c>
      <c r="O998" s="64" t="n">
        <v>-4556007.15829238</v>
      </c>
      <c r="P998" s="64" t="n">
        <v>-4647127.30145823</v>
      </c>
      <c r="Q998" s="64" t="n">
        <v>-4740069.84748739</v>
      </c>
      <c r="R998" s="64" t="n">
        <v>-4834871.24443714</v>
      </c>
      <c r="S998" s="64" t="n">
        <v>-4931568.66932588</v>
      </c>
      <c r="T998" s="64" t="n">
        <v>-5030200.0427124</v>
      </c>
      <c r="U998" s="64" t="n">
        <v>-5130804.04356665</v>
      </c>
      <c r="V998" s="64" t="n">
        <v>-5233420.12443798</v>
      </c>
      <c r="W998" s="65"/>
    </row>
    <row r="999" customFormat="false" ht="12.75" hidden="false" customHeight="false" outlineLevel="0" collapsed="false">
      <c r="A999" s="2"/>
      <c r="B999" s="117" t="s">
        <v>27</v>
      </c>
      <c r="C999" s="118" t="n">
        <v>0</v>
      </c>
      <c r="D999" s="64" t="n">
        <v>-393146.927687224</v>
      </c>
      <c r="E999" s="64" t="n">
        <v>-401581.919468632</v>
      </c>
      <c r="F999" s="64" t="n">
        <v>-410201.637570052</v>
      </c>
      <c r="G999" s="64" t="n">
        <v>-427506.542023541</v>
      </c>
      <c r="H999" s="64" t="n">
        <v>-480416.526074962</v>
      </c>
      <c r="I999" s="64" t="n">
        <v>-605335.884984211</v>
      </c>
      <c r="J999" s="64" t="n">
        <v>-670008.325491283</v>
      </c>
      <c r="K999" s="64" t="n">
        <v>-735803.343833018</v>
      </c>
      <c r="L999" s="64" t="n">
        <v>-803302.707793162</v>
      </c>
      <c r="M999" s="64" t="n">
        <v>-842959.574966711</v>
      </c>
      <c r="N999" s="64" t="n">
        <v>-854544.488889062</v>
      </c>
      <c r="O999" s="64" t="n">
        <v>-865269.196026808</v>
      </c>
      <c r="P999" s="64" t="n">
        <v>-876266.310725852</v>
      </c>
      <c r="Q999" s="64" t="n">
        <v>-887538.353292373</v>
      </c>
      <c r="R999" s="64" t="n">
        <v>-899093.324127314</v>
      </c>
      <c r="S999" s="64" t="n">
        <v>-910937.169233128</v>
      </c>
      <c r="T999" s="64" t="n">
        <v>-923074.741697566</v>
      </c>
      <c r="U999" s="64" t="n">
        <v>-935516.967230861</v>
      </c>
      <c r="V999" s="64" t="n">
        <v>-948271.492625042</v>
      </c>
      <c r="W999" s="65"/>
    </row>
    <row r="1000" customFormat="false" ht="13.5" hidden="false" customHeight="false" outlineLevel="0" collapsed="false">
      <c r="A1000" s="2"/>
      <c r="B1000" s="119" t="s">
        <v>28</v>
      </c>
      <c r="C1000" s="120" t="n">
        <v>0</v>
      </c>
      <c r="D1000" s="68" t="n">
        <v>-489992.508565722</v>
      </c>
      <c r="E1000" s="68" t="n">
        <v>-500331.350496462</v>
      </c>
      <c r="F1000" s="68" t="n">
        <v>-511288.607072335</v>
      </c>
      <c r="G1000" s="68" t="n">
        <v>-522843.729592166</v>
      </c>
      <c r="H1000" s="68" t="n">
        <v>-535287.410356461</v>
      </c>
      <c r="I1000" s="68" t="n">
        <v>-548701.766673399</v>
      </c>
      <c r="J1000" s="68" t="n">
        <v>-562311.099099596</v>
      </c>
      <c r="K1000" s="68" t="n">
        <v>-576544.35507542</v>
      </c>
      <c r="L1000" s="68" t="n">
        <v>-590785.000645783</v>
      </c>
      <c r="M1000" s="68" t="n">
        <v>-605850.018162248</v>
      </c>
      <c r="N1000" s="68" t="n">
        <v>-620511.588601778</v>
      </c>
      <c r="O1000" s="68" t="n">
        <v>-636148.480634541</v>
      </c>
      <c r="P1000" s="68" t="n">
        <v>-652306.652042657</v>
      </c>
      <c r="Q1000" s="68" t="n">
        <v>-668614.318343723</v>
      </c>
      <c r="R1000" s="68" t="n">
        <v>-685396.53773415</v>
      </c>
      <c r="S1000" s="68" t="n">
        <v>-702531.451177505</v>
      </c>
      <c r="T1000" s="68" t="n">
        <v>-719954.231166706</v>
      </c>
      <c r="U1000" s="68" t="n">
        <v>-738025.082368992</v>
      </c>
      <c r="V1000" s="68" t="n">
        <v>-756549.511936453</v>
      </c>
      <c r="W1000" s="65"/>
    </row>
    <row r="1001" customFormat="false" ht="13.5" hidden="false" customHeight="false" outlineLevel="0" collapsed="false">
      <c r="A1001" s="2"/>
      <c r="B1001" s="121" t="s">
        <v>29</v>
      </c>
      <c r="C1001" s="123" t="n">
        <v>0</v>
      </c>
      <c r="D1001" s="73" t="n">
        <v>24756582.3910574</v>
      </c>
      <c r="E1001" s="73" t="n">
        <v>23838701.328286</v>
      </c>
      <c r="F1001" s="73" t="n">
        <v>22605465.8303834</v>
      </c>
      <c r="G1001" s="73" t="n">
        <v>21706781.7170045</v>
      </c>
      <c r="H1001" s="73" t="n">
        <v>21314685.9378289</v>
      </c>
      <c r="I1001" s="73" t="n">
        <v>22382184.8595879</v>
      </c>
      <c r="J1001" s="73" t="n">
        <v>24710865.0312403</v>
      </c>
      <c r="K1001" s="73" t="n">
        <v>25520104.7151859</v>
      </c>
      <c r="L1001" s="73" t="n">
        <v>26012015.4312605</v>
      </c>
      <c r="M1001" s="73" t="n">
        <v>25835258.5229419</v>
      </c>
      <c r="N1001" s="73" t="n">
        <v>26404378.5732942</v>
      </c>
      <c r="O1001" s="73" t="n">
        <v>26275420.9694351</v>
      </c>
      <c r="P1001" s="73" t="n">
        <v>26350514.9229324</v>
      </c>
      <c r="Q1001" s="73" t="n">
        <v>27476080.2122806</v>
      </c>
      <c r="R1001" s="73" t="n">
        <v>30833228.3454609</v>
      </c>
      <c r="S1001" s="73" t="n">
        <v>29595173.4274909</v>
      </c>
      <c r="T1001" s="73" t="n">
        <v>29949607.6227216</v>
      </c>
      <c r="U1001" s="73" t="n">
        <v>32509579.9016356</v>
      </c>
      <c r="V1001" s="73" t="n">
        <v>34604574.3395444</v>
      </c>
      <c r="W1001" s="65"/>
    </row>
    <row r="1002" customFormat="false" ht="12.75" hidden="false" customHeight="false" outlineLevel="0" collapsed="false">
      <c r="A1002" s="2"/>
      <c r="B1002" s="117" t="s">
        <v>30</v>
      </c>
      <c r="C1002" s="118" t="n">
        <v>0</v>
      </c>
      <c r="D1002" s="64" t="n">
        <v>-1157067.61353409</v>
      </c>
      <c r="E1002" s="64" t="n">
        <v>-1248571.8319963</v>
      </c>
      <c r="F1002" s="64" t="n">
        <v>-1533828.35693627</v>
      </c>
      <c r="G1002" s="64" t="n">
        <v>-1803208.43999283</v>
      </c>
      <c r="H1002" s="64" t="n">
        <v>-1882871.17562375</v>
      </c>
      <c r="I1002" s="64" t="n">
        <v>-2008606.39915951</v>
      </c>
      <c r="J1002" s="64" t="n">
        <v>-2034408.52012453</v>
      </c>
      <c r="K1002" s="64" t="n">
        <v>-1951994.43159058</v>
      </c>
      <c r="L1002" s="64" t="n">
        <v>-1888031.79431135</v>
      </c>
      <c r="M1002" s="64" t="n">
        <v>-1931327.30539437</v>
      </c>
      <c r="N1002" s="64" t="n">
        <v>-2019159.35921739</v>
      </c>
      <c r="O1002" s="64" t="n">
        <v>-2066503.65519281</v>
      </c>
      <c r="P1002" s="64" t="n">
        <v>-2170696.22031106</v>
      </c>
      <c r="Q1002" s="64" t="n">
        <v>-2241838.90897376</v>
      </c>
      <c r="R1002" s="64" t="n">
        <v>-2317493.00116567</v>
      </c>
      <c r="S1002" s="64" t="n">
        <v>-2429898.56910628</v>
      </c>
      <c r="T1002" s="64" t="n">
        <v>-2547154.35593171</v>
      </c>
      <c r="U1002" s="64" t="n">
        <v>-2719122.0897994</v>
      </c>
      <c r="V1002" s="64" t="n">
        <v>-2886561.4125013</v>
      </c>
      <c r="W1002" s="65"/>
    </row>
    <row r="1003" customFormat="false" ht="13.5" hidden="false" customHeight="false" outlineLevel="0" collapsed="false">
      <c r="A1003" s="2"/>
      <c r="B1003" s="119" t="s">
        <v>70</v>
      </c>
      <c r="C1003" s="120" t="n">
        <v>0</v>
      </c>
      <c r="D1003" s="68" t="n">
        <v>-9439805.9110093</v>
      </c>
      <c r="E1003" s="68" t="n">
        <v>-9036051.79851588</v>
      </c>
      <c r="F1003" s="68" t="n">
        <v>-8428654.98937885</v>
      </c>
      <c r="G1003" s="68" t="n">
        <v>-7961429.31080465</v>
      </c>
      <c r="H1003" s="68" t="n">
        <v>-7772725.90488207</v>
      </c>
      <c r="I1003" s="68" t="n">
        <v>-8149431.38417134</v>
      </c>
      <c r="J1003" s="68" t="n">
        <v>-9070582.60444632</v>
      </c>
      <c r="K1003" s="68" t="n">
        <v>-9427244.11343813</v>
      </c>
      <c r="L1003" s="68" t="n">
        <v>-9649593.45477967</v>
      </c>
      <c r="M1003" s="68" t="n">
        <v>-9561572.487019</v>
      </c>
      <c r="N1003" s="68" t="n">
        <v>-9754087.68563071</v>
      </c>
      <c r="O1003" s="68" t="n">
        <v>-9683566.9256969</v>
      </c>
      <c r="P1003" s="68" t="n">
        <v>-9671927.48104854</v>
      </c>
      <c r="Q1003" s="68" t="n">
        <v>-10093696.5213227</v>
      </c>
      <c r="R1003" s="68" t="n">
        <v>-11406294.1377181</v>
      </c>
      <c r="S1003" s="68" t="n">
        <v>-10866109.9433538</v>
      </c>
      <c r="T1003" s="68" t="n">
        <v>-10960981.3067159</v>
      </c>
      <c r="U1003" s="68" t="n">
        <v>-11916183.1247345</v>
      </c>
      <c r="V1003" s="68" t="n">
        <v>-12687205.1708172</v>
      </c>
      <c r="W1003" s="65"/>
    </row>
    <row r="1004" customFormat="false" ht="13.5" hidden="false" customHeight="false" outlineLevel="0" collapsed="false">
      <c r="A1004" s="2"/>
      <c r="B1004" s="121" t="s">
        <v>32</v>
      </c>
      <c r="C1004" s="123" t="n">
        <v>0</v>
      </c>
      <c r="D1004" s="73" t="n">
        <v>14159708.866514</v>
      </c>
      <c r="E1004" s="73" t="n">
        <v>13554077.6977738</v>
      </c>
      <c r="F1004" s="73" t="n">
        <v>12642982.4840683</v>
      </c>
      <c r="G1004" s="73" t="n">
        <v>11942143.966207</v>
      </c>
      <c r="H1004" s="73" t="n">
        <v>11659088.8573231</v>
      </c>
      <c r="I1004" s="73" t="n">
        <v>12224147.076257</v>
      </c>
      <c r="J1004" s="73" t="n">
        <v>13605873.9066695</v>
      </c>
      <c r="K1004" s="73" t="n">
        <v>14140866.1701572</v>
      </c>
      <c r="L1004" s="73" t="n">
        <v>14474390.1821695</v>
      </c>
      <c r="M1004" s="73" t="n">
        <v>14342358.7305285</v>
      </c>
      <c r="N1004" s="73" t="n">
        <v>14631131.5284461</v>
      </c>
      <c r="O1004" s="73" t="n">
        <v>14525350.3885454</v>
      </c>
      <c r="P1004" s="73" t="n">
        <v>14507891.2215728</v>
      </c>
      <c r="Q1004" s="73" t="n">
        <v>15140544.7819841</v>
      </c>
      <c r="R1004" s="73" t="n">
        <v>17109441.2065771</v>
      </c>
      <c r="S1004" s="73" t="n">
        <v>16299164.9150307</v>
      </c>
      <c r="T1004" s="73" t="n">
        <v>16441471.9600739</v>
      </c>
      <c r="U1004" s="73" t="n">
        <v>17874274.6871017</v>
      </c>
      <c r="V1004" s="73" t="n">
        <v>19030807.7562259</v>
      </c>
      <c r="W1004" s="65"/>
    </row>
    <row r="1005" customFormat="false" ht="12.75" hidden="false" customHeight="false" outlineLevel="0" collapsed="false">
      <c r="A1005" s="2"/>
      <c r="B1005" s="117" t="s">
        <v>30</v>
      </c>
      <c r="C1005" s="118" t="n">
        <v>0</v>
      </c>
      <c r="D1005" s="64" t="n">
        <v>1157067.61353409</v>
      </c>
      <c r="E1005" s="64" t="n">
        <v>1248571.8319963</v>
      </c>
      <c r="F1005" s="64" t="n">
        <v>1533828.35693627</v>
      </c>
      <c r="G1005" s="64" t="n">
        <v>1803208.43999283</v>
      </c>
      <c r="H1005" s="64" t="n">
        <v>1882871.17562375</v>
      </c>
      <c r="I1005" s="64" t="n">
        <v>2008606.39915951</v>
      </c>
      <c r="J1005" s="64" t="n">
        <v>2034408.52012453</v>
      </c>
      <c r="K1005" s="64" t="n">
        <v>1951994.43159058</v>
      </c>
      <c r="L1005" s="64" t="n">
        <v>1888031.79431135</v>
      </c>
      <c r="M1005" s="64" t="n">
        <v>1931327.30539437</v>
      </c>
      <c r="N1005" s="64" t="n">
        <v>2019159.35921739</v>
      </c>
      <c r="O1005" s="64" t="n">
        <v>2066503.65519281</v>
      </c>
      <c r="P1005" s="64" t="n">
        <v>2170696.22031106</v>
      </c>
      <c r="Q1005" s="64" t="n">
        <v>2241838.90897376</v>
      </c>
      <c r="R1005" s="64" t="n">
        <v>2317493.00116567</v>
      </c>
      <c r="S1005" s="64" t="n">
        <v>2429898.56910628</v>
      </c>
      <c r="T1005" s="64" t="n">
        <v>2547154.35593171</v>
      </c>
      <c r="U1005" s="64" t="n">
        <v>2719122.0897994</v>
      </c>
      <c r="V1005" s="64" t="n">
        <v>2886561.4125013</v>
      </c>
      <c r="W1005" s="65"/>
    </row>
    <row r="1006" customFormat="false" ht="12.75" hidden="false" customHeight="false" outlineLevel="0" collapsed="false">
      <c r="A1006" s="2"/>
      <c r="B1006" s="117" t="s">
        <v>33</v>
      </c>
      <c r="C1006" s="118" t="n">
        <v>0</v>
      </c>
      <c r="D1006" s="64" t="n">
        <v>-1658414.77</v>
      </c>
      <c r="E1006" s="64" t="n">
        <v>-1457064.86</v>
      </c>
      <c r="F1006" s="64" t="n">
        <v>-7037610.23</v>
      </c>
      <c r="G1006" s="64" t="n">
        <v>-1239680.15</v>
      </c>
      <c r="H1006" s="64" t="n">
        <v>-2496885.342</v>
      </c>
      <c r="I1006" s="64" t="n">
        <v>-2571791.90226</v>
      </c>
      <c r="J1006" s="64" t="n">
        <v>-2648945.6593278</v>
      </c>
      <c r="K1006" s="64" t="n">
        <v>-2728414.02910763</v>
      </c>
      <c r="L1006" s="64" t="n">
        <v>-2810266.44998086</v>
      </c>
      <c r="M1006" s="64" t="n">
        <v>-2894574.44348029</v>
      </c>
      <c r="N1006" s="64" t="n">
        <v>-2981411.6767847</v>
      </c>
      <c r="O1006" s="64" t="n">
        <v>-3070854.02708824</v>
      </c>
      <c r="P1006" s="64" t="n">
        <v>-3162979.64790089</v>
      </c>
      <c r="Q1006" s="64" t="n">
        <v>-3257869.03733791</v>
      </c>
      <c r="R1006" s="64" t="n">
        <v>-3355605.10845805</v>
      </c>
      <c r="S1006" s="64" t="n">
        <v>-3456273.26171179</v>
      </c>
      <c r="T1006" s="64" t="n">
        <v>-3559961.45956315</v>
      </c>
      <c r="U1006" s="64" t="n">
        <v>-3666760.30335004</v>
      </c>
      <c r="V1006" s="64" t="n">
        <v>-3776763.11245054</v>
      </c>
      <c r="W1006" s="65"/>
    </row>
    <row r="1007" customFormat="false" ht="13.5" hidden="false" customHeight="false" outlineLevel="0" collapsed="false">
      <c r="A1007" s="2"/>
      <c r="B1007" s="119" t="s">
        <v>34</v>
      </c>
      <c r="C1007" s="120" t="n">
        <v>0</v>
      </c>
      <c r="D1007" s="68" t="n">
        <v>0</v>
      </c>
      <c r="E1007" s="68" t="n">
        <v>0</v>
      </c>
      <c r="F1007" s="68" t="n">
        <v>0</v>
      </c>
      <c r="G1007" s="68" t="n">
        <v>0</v>
      </c>
      <c r="H1007" s="68" t="n">
        <v>0</v>
      </c>
      <c r="I1007" s="68" t="n">
        <v>0</v>
      </c>
      <c r="J1007" s="68" t="n">
        <v>0</v>
      </c>
      <c r="K1007" s="68" t="n">
        <v>0</v>
      </c>
      <c r="L1007" s="68" t="n">
        <v>0</v>
      </c>
      <c r="M1007" s="68" t="n">
        <v>0</v>
      </c>
      <c r="N1007" s="68" t="n">
        <v>0</v>
      </c>
      <c r="O1007" s="68" t="n">
        <v>0</v>
      </c>
      <c r="P1007" s="68" t="n">
        <v>0</v>
      </c>
      <c r="Q1007" s="68" t="n">
        <v>0</v>
      </c>
      <c r="R1007" s="68" t="n">
        <v>0</v>
      </c>
      <c r="S1007" s="68" t="n">
        <v>0</v>
      </c>
      <c r="T1007" s="68" t="n">
        <v>0</v>
      </c>
      <c r="U1007" s="68" t="n">
        <v>0</v>
      </c>
      <c r="V1007" s="68" t="n">
        <v>0</v>
      </c>
      <c r="W1007" s="65"/>
    </row>
    <row r="1008" customFormat="false" ht="13.5" hidden="false" customHeight="false" outlineLevel="0" collapsed="false">
      <c r="A1008" s="2"/>
      <c r="B1008" s="117"/>
      <c r="C1008" s="124"/>
      <c r="D1008" s="65"/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</row>
    <row r="1009" customFormat="false" ht="12.75" hidden="false" customHeight="false" outlineLevel="0" collapsed="false">
      <c r="A1009" s="2"/>
      <c r="B1009" s="121" t="s">
        <v>35</v>
      </c>
      <c r="C1009" s="123" t="n">
        <v>0</v>
      </c>
      <c r="D1009" s="73" t="n">
        <v>13658361.710048</v>
      </c>
      <c r="E1009" s="73" t="n">
        <v>13345584.6697701</v>
      </c>
      <c r="F1009" s="73" t="n">
        <v>7139200.61100454</v>
      </c>
      <c r="G1009" s="73" t="n">
        <v>12505672.2561998</v>
      </c>
      <c r="H1009" s="73" t="n">
        <v>11045074.6909468</v>
      </c>
      <c r="I1009" s="73" t="n">
        <v>11660961.5731565</v>
      </c>
      <c r="J1009" s="73" t="n">
        <v>12991336.7674662</v>
      </c>
      <c r="K1009" s="73" t="n">
        <v>13364446.5726401</v>
      </c>
      <c r="L1009" s="73" t="n">
        <v>13552155.5265</v>
      </c>
      <c r="M1009" s="73" t="n">
        <v>13379111.5924426</v>
      </c>
      <c r="N1009" s="73" t="n">
        <v>13668879.2108788</v>
      </c>
      <c r="O1009" s="73" t="n">
        <v>13521000.0166499</v>
      </c>
      <c r="P1009" s="73" t="n">
        <v>13515607.793983</v>
      </c>
      <c r="Q1009" s="73" t="n">
        <v>14124514.6536199</v>
      </c>
      <c r="R1009" s="73" t="n">
        <v>16071329.0992847</v>
      </c>
      <c r="S1009" s="73" t="n">
        <v>15272790.2224252</v>
      </c>
      <c r="T1009" s="73" t="n">
        <v>15428664.8564425</v>
      </c>
      <c r="U1009" s="73" t="n">
        <v>16926636.4735511</v>
      </c>
      <c r="V1009" s="73" t="n">
        <v>18140606.0562766</v>
      </c>
      <c r="W1009" s="71" t="n">
        <v>92198700.9733069</v>
      </c>
    </row>
    <row r="1010" customFormat="false" ht="12.75" hidden="false" customHeight="false" outlineLevel="0" collapsed="false">
      <c r="A1010" s="2"/>
      <c r="B1010" s="125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customFormat="false" ht="12.75" hidden="false" customHeight="false" outlineLevel="0" collapsed="false">
      <c r="A1011" s="48" t="s">
        <v>36</v>
      </c>
      <c r="B1011" s="126" t="s">
        <v>37</v>
      </c>
      <c r="C1011" s="76" t="n">
        <v>44209553.1770852</v>
      </c>
      <c r="D1011" s="2"/>
      <c r="E1011" s="127" t="s">
        <v>38</v>
      </c>
      <c r="F1011" s="128" t="s">
        <v>37</v>
      </c>
      <c r="G1011" s="79" t="n">
        <v>44209553.1770852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customFormat="false" ht="12.75" hidden="false" customHeight="false" outlineLevel="0" collapsed="false">
      <c r="A1012" s="2"/>
      <c r="B1012" s="126" t="s">
        <v>39</v>
      </c>
      <c r="C1012" s="76" t="n">
        <v>63356847.6852639</v>
      </c>
      <c r="D1012" s="2"/>
      <c r="E1012" s="129"/>
      <c r="F1012" s="128" t="s">
        <v>39</v>
      </c>
      <c r="G1012" s="79" t="n">
        <v>63356847.6852639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customFormat="false" ht="13.5" hidden="false" customHeight="false" outlineLevel="0" collapsed="false">
      <c r="A1013" s="2"/>
      <c r="B1013" s="130" t="s">
        <v>40</v>
      </c>
      <c r="C1013" s="82" t="n">
        <v>13704749.4117855</v>
      </c>
      <c r="D1013" s="131"/>
      <c r="E1013" s="129"/>
      <c r="F1013" s="128" t="s">
        <v>40</v>
      </c>
      <c r="G1013" s="79" t="n">
        <v>13704749.4117855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customFormat="false" ht="14.25" hidden="false" customHeight="false" outlineLevel="0" collapsed="false">
      <c r="A1014" s="2"/>
      <c r="B1014" s="126" t="s">
        <v>41</v>
      </c>
      <c r="C1014" s="76" t="n">
        <v>121271150.274135</v>
      </c>
      <c r="D1014" s="132"/>
      <c r="E1014" s="129"/>
      <c r="F1014" s="133" t="s">
        <v>42</v>
      </c>
      <c r="G1014" s="85" t="n">
        <v>0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customFormat="false" ht="13.5" hidden="false" customHeight="false" outlineLevel="0" collapsed="false">
      <c r="A1015" s="2"/>
      <c r="B1015" s="125"/>
      <c r="C1015" s="134"/>
      <c r="D1015" s="2"/>
      <c r="E1015" s="135"/>
      <c r="F1015" s="128" t="s">
        <v>41</v>
      </c>
      <c r="G1015" s="79" t="n">
        <v>121271150.274135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customFormat="false" ht="12.75" hidden="false" customHeight="false" outlineLevel="0" collapsed="false">
      <c r="A1016" s="2"/>
      <c r="B1016" s="125"/>
      <c r="C1016" s="134"/>
      <c r="D1016" s="2"/>
      <c r="E1016" s="135"/>
      <c r="F1016" s="128"/>
      <c r="G1016" s="136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customFormat="false" ht="12.75" hidden="false" customHeight="false" outlineLevel="0" collapsed="false">
      <c r="A1017" s="2"/>
      <c r="B1017" s="125"/>
      <c r="C1017" s="134"/>
      <c r="D1017" s="2"/>
      <c r="E1017" s="135"/>
      <c r="F1017" s="128"/>
      <c r="G1017" s="136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customFormat="false" ht="12.75" hidden="false" customHeight="false" outlineLevel="0" collapsed="false">
      <c r="A1018" s="2"/>
      <c r="B1018" s="137" t="s">
        <v>43</v>
      </c>
      <c r="C1018" s="134"/>
      <c r="D1018" s="2"/>
      <c r="E1018" s="135"/>
      <c r="F1018" s="128"/>
      <c r="G1018" s="136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customFormat="false" ht="12.75" hidden="false" customHeight="false" outlineLevel="0" collapsed="false">
      <c r="A1019" s="87" t="s">
        <v>44</v>
      </c>
      <c r="B1019" s="137" t="s">
        <v>45</v>
      </c>
      <c r="C1019" s="138"/>
      <c r="D1019" s="88" t="n">
        <v>14159708.866514</v>
      </c>
      <c r="E1019" s="88" t="n">
        <v>13554077.6977738</v>
      </c>
      <c r="F1019" s="88" t="n">
        <v>12642982.4840683</v>
      </c>
      <c r="G1019" s="88" t="n">
        <v>11942143.966207</v>
      </c>
      <c r="H1019" s="88" t="n">
        <v>11659088.8573231</v>
      </c>
      <c r="I1019" s="88" t="n">
        <v>12224147.076257</v>
      </c>
      <c r="J1019" s="88" t="n">
        <v>13605873.9066695</v>
      </c>
      <c r="K1019" s="88" t="n">
        <v>14140866.1701572</v>
      </c>
      <c r="L1019" s="88" t="n">
        <v>14474390.1821695</v>
      </c>
      <c r="M1019" s="88" t="n">
        <v>14342358.7305285</v>
      </c>
      <c r="N1019" s="88" t="n">
        <v>14631131.5284461</v>
      </c>
      <c r="O1019" s="88" t="n">
        <v>14525350.3885454</v>
      </c>
      <c r="P1019" s="88" t="n">
        <v>14507891.2215728</v>
      </c>
      <c r="Q1019" s="88" t="n">
        <v>15140544.7819841</v>
      </c>
      <c r="R1019" s="88" t="n">
        <v>17109441.2065771</v>
      </c>
      <c r="S1019" s="88" t="n">
        <v>16299164.9150307</v>
      </c>
      <c r="T1019" s="88" t="n">
        <v>16441471.9600739</v>
      </c>
      <c r="U1019" s="88" t="n">
        <v>17874274.6871017</v>
      </c>
      <c r="V1019" s="88" t="n">
        <v>19030807.7562259</v>
      </c>
      <c r="W1019" s="2"/>
    </row>
    <row r="1020" customFormat="false" ht="12.75" hidden="false" customHeight="false" outlineLevel="0" collapsed="false">
      <c r="A1020" s="2"/>
      <c r="B1020" s="125" t="s">
        <v>46</v>
      </c>
      <c r="C1020" s="134"/>
      <c r="D1020" s="65" t="n">
        <v>9439805.9110093</v>
      </c>
      <c r="E1020" s="65" t="n">
        <v>9036051.79851588</v>
      </c>
      <c r="F1020" s="65" t="n">
        <v>8428654.98937885</v>
      </c>
      <c r="G1020" s="65" t="n">
        <v>7961429.31080465</v>
      </c>
      <c r="H1020" s="65" t="n">
        <v>7772725.90488207</v>
      </c>
      <c r="I1020" s="65" t="n">
        <v>8149431.38417134</v>
      </c>
      <c r="J1020" s="65" t="n">
        <v>9070582.60444632</v>
      </c>
      <c r="K1020" s="65" t="n">
        <v>9427244.11343813</v>
      </c>
      <c r="L1020" s="65" t="n">
        <v>9649593.45477967</v>
      </c>
      <c r="M1020" s="65" t="n">
        <v>9561572.487019</v>
      </c>
      <c r="N1020" s="65" t="n">
        <v>9754087.68563071</v>
      </c>
      <c r="O1020" s="65" t="n">
        <v>9683566.9256969</v>
      </c>
      <c r="P1020" s="65" t="n">
        <v>9671927.48104854</v>
      </c>
      <c r="Q1020" s="65" t="n">
        <v>10093696.5213227</v>
      </c>
      <c r="R1020" s="65" t="n">
        <v>11406294.1377181</v>
      </c>
      <c r="S1020" s="65" t="n">
        <v>10866109.9433538</v>
      </c>
      <c r="T1020" s="65" t="n">
        <v>10960981.3067159</v>
      </c>
      <c r="U1020" s="65" t="n">
        <v>11916183.1247345</v>
      </c>
      <c r="V1020" s="65" t="n">
        <v>12687205.1708172</v>
      </c>
      <c r="W1020" s="2"/>
    </row>
    <row r="1021" customFormat="false" ht="12.75" hidden="false" customHeight="false" outlineLevel="0" collapsed="false">
      <c r="A1021" s="2"/>
      <c r="B1021" s="139" t="s">
        <v>47</v>
      </c>
      <c r="C1021" s="140"/>
      <c r="D1021" s="65" t="n">
        <v>1157067.61353409</v>
      </c>
      <c r="E1021" s="65" t="n">
        <v>1248571.8319963</v>
      </c>
      <c r="F1021" s="65" t="n">
        <v>1533828.35693627</v>
      </c>
      <c r="G1021" s="65" t="n">
        <v>1803208.43999283</v>
      </c>
      <c r="H1021" s="65" t="n">
        <v>1882871.17562375</v>
      </c>
      <c r="I1021" s="65" t="n">
        <v>2008606.39915951</v>
      </c>
      <c r="J1021" s="65" t="n">
        <v>2034408.52012453</v>
      </c>
      <c r="K1021" s="65" t="n">
        <v>1951994.43159058</v>
      </c>
      <c r="L1021" s="65" t="n">
        <v>1888031.79431135</v>
      </c>
      <c r="M1021" s="65" t="n">
        <v>1931327.30539437</v>
      </c>
      <c r="N1021" s="65" t="n">
        <v>2019159.35921739</v>
      </c>
      <c r="O1021" s="65" t="n">
        <v>2066503.65519281</v>
      </c>
      <c r="P1021" s="65" t="n">
        <v>2170696.22031106</v>
      </c>
      <c r="Q1021" s="65" t="n">
        <v>2241838.90897376</v>
      </c>
      <c r="R1021" s="65" t="n">
        <v>2317493.00116567</v>
      </c>
      <c r="S1021" s="65" t="n">
        <v>2429898.56910628</v>
      </c>
      <c r="T1021" s="65" t="n">
        <v>2547154.35593171</v>
      </c>
      <c r="U1021" s="65" t="n">
        <v>2719122.0897994</v>
      </c>
      <c r="V1021" s="65" t="n">
        <v>2886561.4125013</v>
      </c>
      <c r="W1021" s="2"/>
    </row>
    <row r="1022" customFormat="false" ht="13.5" hidden="false" customHeight="false" outlineLevel="0" collapsed="false">
      <c r="A1022" s="2"/>
      <c r="B1022" s="141" t="s">
        <v>48</v>
      </c>
      <c r="C1022" s="142"/>
      <c r="D1022" s="93" t="n">
        <v>24756582.3910574</v>
      </c>
      <c r="E1022" s="93" t="n">
        <v>23838701.328286</v>
      </c>
      <c r="F1022" s="93" t="n">
        <v>22605465.8303834</v>
      </c>
      <c r="G1022" s="93" t="n">
        <v>21706781.7170045</v>
      </c>
      <c r="H1022" s="93" t="n">
        <v>21314685.9378289</v>
      </c>
      <c r="I1022" s="93" t="n">
        <v>22382184.8595879</v>
      </c>
      <c r="J1022" s="93" t="n">
        <v>24710865.0312403</v>
      </c>
      <c r="K1022" s="93" t="n">
        <v>25520104.7151859</v>
      </c>
      <c r="L1022" s="93" t="n">
        <v>26012015.4312605</v>
      </c>
      <c r="M1022" s="93" t="n">
        <v>25835258.5229419</v>
      </c>
      <c r="N1022" s="93" t="n">
        <v>26404378.5732942</v>
      </c>
      <c r="O1022" s="93" t="n">
        <v>26275420.9694351</v>
      </c>
      <c r="P1022" s="93" t="n">
        <v>26350514.9229324</v>
      </c>
      <c r="Q1022" s="93" t="n">
        <v>27476080.2122806</v>
      </c>
      <c r="R1022" s="93" t="n">
        <v>30833228.3454609</v>
      </c>
      <c r="S1022" s="93" t="n">
        <v>29595173.4274909</v>
      </c>
      <c r="T1022" s="93" t="n">
        <v>29949607.6227216</v>
      </c>
      <c r="U1022" s="93" t="n">
        <v>32509579.9016356</v>
      </c>
      <c r="V1022" s="93" t="n">
        <v>34604574.3395444</v>
      </c>
      <c r="W1022" s="2"/>
    </row>
    <row r="1023" customFormat="false" ht="13.5" hidden="false" customHeight="false" outlineLevel="0" collapsed="false">
      <c r="A1023" s="87" t="s">
        <v>49</v>
      </c>
      <c r="B1023" s="125" t="s">
        <v>50</v>
      </c>
      <c r="C1023" s="134"/>
      <c r="D1023" s="65" t="n">
        <v>-1757888.54727986</v>
      </c>
      <c r="E1023" s="65" t="n">
        <v>-1827694.22837599</v>
      </c>
      <c r="F1023" s="65" t="n">
        <v>-2168553.32654141</v>
      </c>
      <c r="G1023" s="65" t="n">
        <v>-2183228.35880295</v>
      </c>
      <c r="H1023" s="65" t="n">
        <v>-2172247.00921358</v>
      </c>
      <c r="I1023" s="65" t="n">
        <v>-2300836.60432658</v>
      </c>
      <c r="J1023" s="65" t="n">
        <v>-1781201.17949801</v>
      </c>
      <c r="K1023" s="65" t="n">
        <v>-1350981.99935776</v>
      </c>
      <c r="L1023" s="65" t="n">
        <v>-1490925.19922371</v>
      </c>
      <c r="M1023" s="65" t="n">
        <v>-1614029.04520546</v>
      </c>
      <c r="N1023" s="65" t="n">
        <v>-1600223.33810827</v>
      </c>
      <c r="O1023" s="65" t="n">
        <v>-1753766.03946268</v>
      </c>
      <c r="P1023" s="65" t="n">
        <v>-1911915.02185772</v>
      </c>
      <c r="Q1023" s="65" t="n">
        <v>-2074808.47372462</v>
      </c>
      <c r="R1023" s="65" t="n">
        <v>-2242588.72914752</v>
      </c>
      <c r="S1023" s="65" t="n">
        <v>-2414376.36770649</v>
      </c>
      <c r="T1023" s="65" t="n">
        <v>-2589600.67194904</v>
      </c>
      <c r="U1023" s="65" t="n">
        <v>-2772938.68711654</v>
      </c>
      <c r="V1023" s="65" t="n">
        <v>-2961776.84273907</v>
      </c>
      <c r="W1023" s="2"/>
    </row>
    <row r="1024" customFormat="false" ht="12.75" hidden="false" customHeight="false" outlineLevel="0" collapsed="false">
      <c r="A1024" s="2"/>
      <c r="B1024" s="125" t="s">
        <v>51</v>
      </c>
      <c r="C1024" s="134"/>
      <c r="D1024" s="65" t="n">
        <v>0</v>
      </c>
      <c r="E1024" s="65" t="n">
        <v>0</v>
      </c>
      <c r="F1024" s="65" t="n">
        <v>0</v>
      </c>
      <c r="G1024" s="65" t="n">
        <v>0</v>
      </c>
      <c r="H1024" s="65" t="n">
        <v>0</v>
      </c>
      <c r="I1024" s="65" t="n">
        <v>0</v>
      </c>
      <c r="J1024" s="65" t="n">
        <v>0</v>
      </c>
      <c r="K1024" s="65" t="n">
        <v>0</v>
      </c>
      <c r="L1024" s="65" t="n">
        <v>0</v>
      </c>
      <c r="M1024" s="65" t="n">
        <v>0</v>
      </c>
      <c r="N1024" s="65" t="n">
        <v>0</v>
      </c>
      <c r="O1024" s="65" t="n">
        <v>0</v>
      </c>
      <c r="P1024" s="65" t="n">
        <v>0</v>
      </c>
      <c r="Q1024" s="65" t="n">
        <v>0</v>
      </c>
      <c r="R1024" s="65" t="n">
        <v>0</v>
      </c>
      <c r="S1024" s="65" t="n">
        <v>0</v>
      </c>
      <c r="T1024" s="65" t="n">
        <v>0</v>
      </c>
      <c r="U1024" s="65" t="n">
        <v>0</v>
      </c>
      <c r="V1024" s="65" t="n">
        <v>0</v>
      </c>
      <c r="W1024" s="2"/>
    </row>
    <row r="1025" customFormat="false" ht="12.75" hidden="false" customHeight="false" outlineLevel="0" collapsed="false">
      <c r="A1025" s="2"/>
      <c r="B1025" s="137" t="s">
        <v>52</v>
      </c>
      <c r="C1025" s="138"/>
      <c r="D1025" s="88" t="n">
        <v>22998693.8437775</v>
      </c>
      <c r="E1025" s="88" t="n">
        <v>22011007.09991</v>
      </c>
      <c r="F1025" s="88" t="n">
        <v>20436912.503842</v>
      </c>
      <c r="G1025" s="88" t="n">
        <v>19523553.3582015</v>
      </c>
      <c r="H1025" s="88" t="n">
        <v>19142438.9286153</v>
      </c>
      <c r="I1025" s="88" t="n">
        <v>20081348.2552613</v>
      </c>
      <c r="J1025" s="88" t="n">
        <v>22929663.8517423</v>
      </c>
      <c r="K1025" s="88" t="n">
        <v>24169122.7158282</v>
      </c>
      <c r="L1025" s="88" t="n">
        <v>24521090.2320368</v>
      </c>
      <c r="M1025" s="88" t="n">
        <v>24221229.4777364</v>
      </c>
      <c r="N1025" s="88" t="n">
        <v>24804155.2351859</v>
      </c>
      <c r="O1025" s="88" t="n">
        <v>24521654.9299724</v>
      </c>
      <c r="P1025" s="88" t="n">
        <v>24438599.9010747</v>
      </c>
      <c r="Q1025" s="88" t="n">
        <v>25401271.738556</v>
      </c>
      <c r="R1025" s="88" t="n">
        <v>28590639.6163133</v>
      </c>
      <c r="S1025" s="88" t="n">
        <v>27180797.0597844</v>
      </c>
      <c r="T1025" s="88" t="n">
        <v>27360006.9507725</v>
      </c>
      <c r="U1025" s="88" t="n">
        <v>29736641.2145191</v>
      </c>
      <c r="V1025" s="88" t="n">
        <v>31642797.4968053</v>
      </c>
      <c r="W1025" s="2"/>
    </row>
    <row r="1026" customFormat="false" ht="13.5" hidden="false" customHeight="false" outlineLevel="0" collapsed="false">
      <c r="A1026" s="2"/>
      <c r="B1026" s="143" t="s">
        <v>53</v>
      </c>
      <c r="C1026" s="144"/>
      <c r="D1026" s="96" t="n">
        <v>-9199477.537511</v>
      </c>
      <c r="E1026" s="96" t="n">
        <v>-8804402.839964</v>
      </c>
      <c r="F1026" s="96" t="n">
        <v>-8174765.00153679</v>
      </c>
      <c r="G1026" s="96" t="n">
        <v>-7809421.3432806</v>
      </c>
      <c r="H1026" s="96" t="n">
        <v>-7656975.57144613</v>
      </c>
      <c r="I1026" s="96" t="n">
        <v>-8032539.30210451</v>
      </c>
      <c r="J1026" s="96" t="n">
        <v>-9171865.54069693</v>
      </c>
      <c r="K1026" s="96" t="n">
        <v>-9667649.08633126</v>
      </c>
      <c r="L1026" s="96" t="n">
        <v>-9808436.09281472</v>
      </c>
      <c r="M1026" s="96" t="n">
        <v>-9688491.79109457</v>
      </c>
      <c r="N1026" s="96" t="n">
        <v>-9921662.09407436</v>
      </c>
      <c r="O1026" s="96" t="n">
        <v>-9808661.97198895</v>
      </c>
      <c r="P1026" s="96" t="n">
        <v>-9775439.96042987</v>
      </c>
      <c r="Q1026" s="96" t="n">
        <v>-10160508.6954224</v>
      </c>
      <c r="R1026" s="96" t="n">
        <v>-11436255.8465253</v>
      </c>
      <c r="S1026" s="96" t="n">
        <v>-10872318.8239137</v>
      </c>
      <c r="T1026" s="96" t="n">
        <v>-10944002.780309</v>
      </c>
      <c r="U1026" s="96" t="n">
        <v>-11894656.4858076</v>
      </c>
      <c r="V1026" s="96" t="n">
        <v>-12657118.9987221</v>
      </c>
      <c r="W1026" s="2"/>
    </row>
    <row r="1027" customFormat="false" ht="13.5" hidden="false" customHeight="false" outlineLevel="0" collapsed="false">
      <c r="A1027" s="2"/>
      <c r="B1027" s="137" t="s">
        <v>54</v>
      </c>
      <c r="C1027" s="138"/>
      <c r="D1027" s="88" t="n">
        <v>13799216.3062665</v>
      </c>
      <c r="E1027" s="88" t="n">
        <v>13206604.259946</v>
      </c>
      <c r="F1027" s="88" t="n">
        <v>12262147.5023052</v>
      </c>
      <c r="G1027" s="88" t="n">
        <v>11714132.0149209</v>
      </c>
      <c r="H1027" s="88" t="n">
        <v>11485463.3571692</v>
      </c>
      <c r="I1027" s="88" t="n">
        <v>12048808.9531568</v>
      </c>
      <c r="J1027" s="88" t="n">
        <v>13757798.3110454</v>
      </c>
      <c r="K1027" s="88" t="n">
        <v>14501473.6294969</v>
      </c>
      <c r="L1027" s="88" t="n">
        <v>14712654.1392221</v>
      </c>
      <c r="M1027" s="88" t="n">
        <v>14532737.6866419</v>
      </c>
      <c r="N1027" s="88" t="n">
        <v>14882493.1411115</v>
      </c>
      <c r="O1027" s="88" t="n">
        <v>14712992.9579834</v>
      </c>
      <c r="P1027" s="88" t="n">
        <v>14663159.9406448</v>
      </c>
      <c r="Q1027" s="88" t="n">
        <v>15240763.0431336</v>
      </c>
      <c r="R1027" s="88" t="n">
        <v>17154383.769788</v>
      </c>
      <c r="S1027" s="88" t="n">
        <v>16308478.2358706</v>
      </c>
      <c r="T1027" s="88" t="n">
        <v>16416004.1704635</v>
      </c>
      <c r="U1027" s="88" t="n">
        <v>17841984.7287115</v>
      </c>
      <c r="V1027" s="88" t="n">
        <v>18985678.4980832</v>
      </c>
      <c r="W1027" s="2"/>
    </row>
    <row r="1028" customFormat="false" ht="12.75" hidden="false" customHeight="false" outlineLevel="0" collapsed="false">
      <c r="A1028" s="2"/>
      <c r="B1028" s="2"/>
      <c r="C1028" s="134"/>
      <c r="D1028" s="2"/>
      <c r="E1028" s="135"/>
      <c r="F1028" s="128"/>
      <c r="G1028" s="136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customFormat="false" ht="15.75" hidden="false" customHeight="false" outlineLevel="0" collapsed="false">
      <c r="A1029" s="97" t="s">
        <v>55</v>
      </c>
      <c r="B1029" s="145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customFormat="false" ht="12.75" hidden="false" customHeight="false" outlineLevel="0" collapsed="false">
      <c r="A1030" s="99" t="s">
        <v>56</v>
      </c>
      <c r="B1030" s="49"/>
      <c r="C1030" s="101" t="n">
        <v>0</v>
      </c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</row>
    <row r="1031" customFormat="false" ht="12.75" hidden="false" customHeight="false" outlineLevel="0" collapsed="false">
      <c r="A1031" s="99" t="s">
        <v>57</v>
      </c>
      <c r="B1031" s="49"/>
      <c r="C1031" s="146" t="n">
        <v>0</v>
      </c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</row>
    <row r="1032" customFormat="false" ht="12.75" hidden="false" customHeight="false" outlineLevel="0" collapsed="false">
      <c r="A1032" s="99" t="s">
        <v>58</v>
      </c>
      <c r="B1032" s="49"/>
      <c r="C1032" s="99" t="n">
        <v>15</v>
      </c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</row>
    <row r="1033" customFormat="false" ht="12.75" hidden="false" customHeight="false" outlineLevel="0" collapsed="false">
      <c r="A1033" s="99" t="s">
        <v>59</v>
      </c>
      <c r="B1033" s="49"/>
      <c r="C1033" s="146" t="n">
        <v>0</v>
      </c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</row>
    <row r="1034" customFormat="false" ht="12.75" hidden="false" customHeight="false" outlineLevel="0" collapsed="false">
      <c r="A1034" s="99" t="s">
        <v>60</v>
      </c>
      <c r="B1034" s="49"/>
      <c r="C1034" s="147" t="n">
        <v>0.0875</v>
      </c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</row>
    <row r="1035" customFormat="false" ht="12.75" hidden="false" customHeight="false" outlineLevel="0" collapsed="false">
      <c r="A1035" s="99"/>
      <c r="B1035" s="49"/>
      <c r="C1035" s="107"/>
      <c r="D1035" s="58" t="n">
        <v>2001</v>
      </c>
      <c r="E1035" s="58" t="n">
        <v>2002</v>
      </c>
      <c r="F1035" s="58" t="n">
        <v>2003</v>
      </c>
      <c r="G1035" s="58" t="n">
        <v>2004</v>
      </c>
      <c r="H1035" s="58" t="n">
        <v>2005</v>
      </c>
      <c r="I1035" s="58" t="n">
        <v>2006</v>
      </c>
      <c r="J1035" s="58" t="n">
        <v>2007</v>
      </c>
      <c r="K1035" s="58" t="n">
        <v>2008</v>
      </c>
      <c r="L1035" s="58" t="n">
        <v>2009</v>
      </c>
      <c r="M1035" s="58" t="n">
        <v>2010</v>
      </c>
      <c r="N1035" s="58" t="n">
        <v>2011</v>
      </c>
      <c r="O1035" s="58" t="n">
        <v>2012</v>
      </c>
      <c r="P1035" s="58" t="n">
        <v>2013</v>
      </c>
      <c r="Q1035" s="58" t="n">
        <v>2014</v>
      </c>
      <c r="R1035" s="58" t="n">
        <v>2015</v>
      </c>
      <c r="S1035" s="58" t="n">
        <v>2016</v>
      </c>
      <c r="T1035" s="58" t="n">
        <v>2017</v>
      </c>
      <c r="U1035" s="58" t="n">
        <v>2018</v>
      </c>
      <c r="V1035" s="58" t="n">
        <v>2019</v>
      </c>
      <c r="W1035" s="58" t="s">
        <v>19</v>
      </c>
    </row>
    <row r="1036" customFormat="false" ht="12.75" hidden="false" customHeight="false" outlineLevel="0" collapsed="false">
      <c r="A1036" s="99" t="s">
        <v>61</v>
      </c>
      <c r="B1036" s="49"/>
      <c r="C1036" s="107"/>
      <c r="D1036" s="102" t="n">
        <v>0</v>
      </c>
      <c r="E1036" s="102" t="n">
        <v>0</v>
      </c>
      <c r="F1036" s="102" t="n">
        <v>0</v>
      </c>
      <c r="G1036" s="102" t="n">
        <v>0</v>
      </c>
      <c r="H1036" s="102" t="n">
        <v>0</v>
      </c>
      <c r="I1036" s="102" t="n">
        <v>0</v>
      </c>
      <c r="J1036" s="102" t="n">
        <v>0</v>
      </c>
      <c r="K1036" s="102" t="n">
        <v>0</v>
      </c>
      <c r="L1036" s="102" t="n">
        <v>0</v>
      </c>
      <c r="M1036" s="102" t="n">
        <v>0</v>
      </c>
      <c r="N1036" s="102" t="n">
        <v>0</v>
      </c>
      <c r="O1036" s="102" t="n">
        <v>0</v>
      </c>
      <c r="P1036" s="102" t="n">
        <v>0</v>
      </c>
      <c r="Q1036" s="102" t="n">
        <v>0</v>
      </c>
      <c r="R1036" s="102" t="n">
        <v>0</v>
      </c>
      <c r="S1036" s="102" t="n">
        <v>0</v>
      </c>
      <c r="T1036" s="102" t="n">
        <v>0</v>
      </c>
      <c r="U1036" s="102" t="n">
        <v>0</v>
      </c>
      <c r="V1036" s="102" t="n">
        <v>0</v>
      </c>
      <c r="W1036" s="102" t="n">
        <v>0</v>
      </c>
    </row>
    <row r="1037" customFormat="false" ht="12.75" hidden="false" customHeight="false" outlineLevel="0" collapsed="false">
      <c r="A1037" s="99" t="s">
        <v>62</v>
      </c>
      <c r="B1037" s="49"/>
      <c r="C1037" s="107"/>
      <c r="D1037" s="102" t="n">
        <v>0</v>
      </c>
      <c r="E1037" s="102" t="n">
        <v>0</v>
      </c>
      <c r="F1037" s="102" t="n">
        <v>0</v>
      </c>
      <c r="G1037" s="102" t="n">
        <v>0</v>
      </c>
      <c r="H1037" s="102" t="n">
        <v>0</v>
      </c>
      <c r="I1037" s="102" t="n">
        <v>0</v>
      </c>
      <c r="J1037" s="102" t="n">
        <v>0</v>
      </c>
      <c r="K1037" s="102" t="n">
        <v>0</v>
      </c>
      <c r="L1037" s="102" t="n">
        <v>0</v>
      </c>
      <c r="M1037" s="102" t="n">
        <v>0</v>
      </c>
      <c r="N1037" s="102" t="n">
        <v>0</v>
      </c>
      <c r="O1037" s="102" t="n">
        <v>0</v>
      </c>
      <c r="P1037" s="102" t="n">
        <v>0</v>
      </c>
      <c r="Q1037" s="102" t="n">
        <v>0</v>
      </c>
      <c r="R1037" s="102" t="n">
        <v>0</v>
      </c>
      <c r="S1037" s="102" t="n">
        <v>0</v>
      </c>
      <c r="T1037" s="102" t="n">
        <v>0</v>
      </c>
      <c r="U1037" s="102" t="n">
        <v>0</v>
      </c>
      <c r="V1037" s="102" t="n">
        <v>0</v>
      </c>
      <c r="W1037" s="102" t="n">
        <v>0</v>
      </c>
    </row>
    <row r="1038" customFormat="false" ht="12.75" hidden="false" customHeight="false" outlineLevel="0" collapsed="false">
      <c r="A1038" s="99" t="s">
        <v>63</v>
      </c>
      <c r="B1038" s="49"/>
      <c r="C1038" s="107"/>
      <c r="D1038" s="102" t="n">
        <v>0</v>
      </c>
      <c r="E1038" s="102" t="n">
        <v>0</v>
      </c>
      <c r="F1038" s="102" t="n">
        <v>0</v>
      </c>
      <c r="G1038" s="102" t="n">
        <v>0</v>
      </c>
      <c r="H1038" s="102" t="n">
        <v>0</v>
      </c>
      <c r="I1038" s="102" t="n">
        <v>0</v>
      </c>
      <c r="J1038" s="102" t="n">
        <v>0</v>
      </c>
      <c r="K1038" s="102" t="n">
        <v>0</v>
      </c>
      <c r="L1038" s="102" t="n">
        <v>0</v>
      </c>
      <c r="M1038" s="102" t="n">
        <v>0</v>
      </c>
      <c r="N1038" s="102" t="n">
        <v>0</v>
      </c>
      <c r="O1038" s="102" t="n">
        <v>0</v>
      </c>
      <c r="P1038" s="102" t="n">
        <v>0</v>
      </c>
      <c r="Q1038" s="102" t="n">
        <v>0</v>
      </c>
      <c r="R1038" s="102" t="n">
        <v>0</v>
      </c>
      <c r="S1038" s="102" t="n">
        <v>0</v>
      </c>
      <c r="T1038" s="102" t="n">
        <v>0</v>
      </c>
      <c r="U1038" s="102" t="n">
        <v>0</v>
      </c>
      <c r="V1038" s="102" t="n">
        <v>0</v>
      </c>
      <c r="W1038" s="102" t="n">
        <v>0</v>
      </c>
    </row>
    <row r="1039" customFormat="false" ht="12.75" hidden="false" customHeight="false" outlineLevel="0" collapsed="false">
      <c r="A1039" s="99" t="s">
        <v>64</v>
      </c>
      <c r="B1039" s="49"/>
      <c r="C1039" s="107"/>
      <c r="D1039" s="105" t="n">
        <v>0</v>
      </c>
      <c r="E1039" s="105" t="n">
        <v>0</v>
      </c>
      <c r="F1039" s="105" t="n">
        <v>0</v>
      </c>
      <c r="G1039" s="105" t="n">
        <v>0</v>
      </c>
      <c r="H1039" s="105" t="n">
        <v>0</v>
      </c>
      <c r="I1039" s="105" t="n">
        <v>0</v>
      </c>
      <c r="J1039" s="105" t="n">
        <v>0</v>
      </c>
      <c r="K1039" s="105" t="n">
        <v>0</v>
      </c>
      <c r="L1039" s="105" t="n">
        <v>0</v>
      </c>
      <c r="M1039" s="105" t="n">
        <v>0</v>
      </c>
      <c r="N1039" s="105" t="n">
        <v>0</v>
      </c>
      <c r="O1039" s="105" t="n">
        <v>0</v>
      </c>
      <c r="P1039" s="105" t="n">
        <v>0</v>
      </c>
      <c r="Q1039" s="105" t="n">
        <v>0</v>
      </c>
      <c r="R1039" s="105" t="n">
        <v>0</v>
      </c>
      <c r="S1039" s="105" t="n">
        <v>0</v>
      </c>
      <c r="T1039" s="105" t="n">
        <v>0</v>
      </c>
      <c r="U1039" s="105" t="n">
        <v>0</v>
      </c>
      <c r="V1039" s="105" t="n">
        <v>0</v>
      </c>
      <c r="W1039" s="105" t="n">
        <v>0</v>
      </c>
    </row>
    <row r="1040" customFormat="false" ht="13.5" hidden="false" customHeight="false" outlineLevel="0" collapsed="false">
      <c r="A1040" s="99" t="s">
        <v>65</v>
      </c>
      <c r="B1040" s="49"/>
      <c r="C1040" s="107"/>
      <c r="D1040" s="106" t="n">
        <v>0</v>
      </c>
      <c r="E1040" s="106" t="n">
        <v>0</v>
      </c>
      <c r="F1040" s="106" t="n">
        <v>0</v>
      </c>
      <c r="G1040" s="106" t="n">
        <v>0</v>
      </c>
      <c r="H1040" s="106" t="n">
        <v>0</v>
      </c>
      <c r="I1040" s="106" t="n">
        <v>0</v>
      </c>
      <c r="J1040" s="106" t="n">
        <v>0</v>
      </c>
      <c r="K1040" s="106" t="n">
        <v>0</v>
      </c>
      <c r="L1040" s="106" t="n">
        <v>0</v>
      </c>
      <c r="M1040" s="106" t="n">
        <v>0</v>
      </c>
      <c r="N1040" s="106" t="n">
        <v>0</v>
      </c>
      <c r="O1040" s="106" t="n">
        <v>0</v>
      </c>
      <c r="P1040" s="106" t="n">
        <v>0</v>
      </c>
      <c r="Q1040" s="106" t="n">
        <v>0</v>
      </c>
      <c r="R1040" s="106" t="n">
        <v>0</v>
      </c>
      <c r="S1040" s="106" t="n">
        <v>0</v>
      </c>
      <c r="T1040" s="106" t="n">
        <v>0</v>
      </c>
      <c r="U1040" s="106" t="n">
        <v>0</v>
      </c>
      <c r="V1040" s="106" t="n">
        <v>0</v>
      </c>
      <c r="W1040" s="106" t="n">
        <v>0</v>
      </c>
    </row>
    <row r="1041" customFormat="false" ht="13.5" hidden="false" customHeight="false" outlineLevel="0" collapsed="false">
      <c r="A1041" s="99"/>
      <c r="B1041" s="49"/>
      <c r="C1041" s="107"/>
      <c r="D1041" s="102"/>
      <c r="E1041" s="102"/>
      <c r="F1041" s="102"/>
      <c r="G1041" s="102"/>
      <c r="H1041" s="102"/>
      <c r="I1041" s="102"/>
      <c r="J1041" s="102"/>
      <c r="K1041" s="102"/>
      <c r="L1041" s="102"/>
      <c r="M1041" s="102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</row>
    <row r="1042" customFormat="false" ht="12.75" hidden="false" customHeight="false" outlineLevel="0" collapsed="false">
      <c r="A1042" s="99" t="s">
        <v>66</v>
      </c>
      <c r="B1042" s="49"/>
      <c r="C1042" s="107"/>
      <c r="D1042" s="102" t="n">
        <v>0</v>
      </c>
      <c r="E1042" s="102" t="n">
        <v>0</v>
      </c>
      <c r="F1042" s="102" t="n">
        <v>0</v>
      </c>
      <c r="G1042" s="102" t="n">
        <v>0</v>
      </c>
      <c r="H1042" s="102" t="n">
        <v>0</v>
      </c>
      <c r="I1042" s="102" t="n">
        <v>0</v>
      </c>
      <c r="J1042" s="102" t="n">
        <v>0</v>
      </c>
      <c r="K1042" s="102" t="n">
        <v>0</v>
      </c>
      <c r="L1042" s="102" t="n">
        <v>0</v>
      </c>
      <c r="M1042" s="102" t="n">
        <v>0</v>
      </c>
      <c r="N1042" s="102" t="n">
        <v>0</v>
      </c>
      <c r="O1042" s="102" t="n">
        <v>0</v>
      </c>
      <c r="P1042" s="102" t="n">
        <v>0</v>
      </c>
      <c r="Q1042" s="102" t="n">
        <v>0</v>
      </c>
      <c r="R1042" s="102" t="n">
        <v>0</v>
      </c>
      <c r="S1042" s="102" t="n">
        <v>0</v>
      </c>
      <c r="T1042" s="102" t="n">
        <v>0</v>
      </c>
      <c r="U1042" s="102" t="n">
        <v>0</v>
      </c>
      <c r="V1042" s="102" t="n">
        <v>0</v>
      </c>
      <c r="W1042" s="102" t="n">
        <v>0</v>
      </c>
    </row>
    <row r="1043" customFormat="false" ht="12.75" hidden="false" customHeight="false" outlineLevel="0" collapsed="false">
      <c r="A1043" s="99"/>
      <c r="B1043" s="49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</row>
    <row r="1044" customFormat="false" ht="12.75" hidden="false" customHeight="false" outlineLevel="0" collapsed="false">
      <c r="A1044" s="99" t="s">
        <v>67</v>
      </c>
      <c r="B1044" s="49"/>
      <c r="C1044" s="107"/>
      <c r="D1044" s="102" t="n">
        <v>0</v>
      </c>
      <c r="E1044" s="102" t="n">
        <v>0</v>
      </c>
      <c r="F1044" s="102" t="n">
        <v>0</v>
      </c>
      <c r="G1044" s="102" t="n">
        <v>0</v>
      </c>
      <c r="H1044" s="102" t="n">
        <v>0</v>
      </c>
      <c r="I1044" s="102" t="n">
        <v>0</v>
      </c>
      <c r="J1044" s="102" t="n">
        <v>0</v>
      </c>
      <c r="K1044" s="102" t="n">
        <v>0</v>
      </c>
      <c r="L1044" s="102" t="n">
        <v>0</v>
      </c>
      <c r="M1044" s="102" t="n">
        <v>0</v>
      </c>
      <c r="N1044" s="102" t="n">
        <v>0</v>
      </c>
      <c r="O1044" s="102" t="n">
        <v>0</v>
      </c>
      <c r="P1044" s="102" t="n">
        <v>0</v>
      </c>
      <c r="Q1044" s="102" t="n">
        <v>0</v>
      </c>
      <c r="R1044" s="102" t="n">
        <v>0</v>
      </c>
      <c r="S1044" s="102" t="n">
        <v>0</v>
      </c>
      <c r="T1044" s="102" t="n">
        <v>0</v>
      </c>
      <c r="U1044" s="102" t="n">
        <v>0</v>
      </c>
      <c r="V1044" s="102" t="n">
        <v>0</v>
      </c>
      <c r="W1044" s="102" t="n">
        <v>0</v>
      </c>
    </row>
    <row r="1045" customFormat="false" ht="12.75" hidden="false" customHeight="false" outlineLevel="0" collapsed="false">
      <c r="A1045" s="107"/>
      <c r="B1045" s="49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</row>
    <row r="1046" customFormat="false" ht="12.75" hidden="false" customHeight="false" outlineLevel="0" collapsed="false">
      <c r="A1046" s="107"/>
      <c r="B1046" s="49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</row>
    <row r="1047" customFormat="false" ht="12.75" hidden="false" customHeight="false" outlineLevel="0" collapsed="false">
      <c r="A1047" s="99" t="s">
        <v>68</v>
      </c>
      <c r="B1047" s="148"/>
      <c r="C1047" s="149"/>
      <c r="D1047" s="79" t="n">
        <v>13658361.710048</v>
      </c>
      <c r="E1047" s="79" t="n">
        <v>13345584.6697701</v>
      </c>
      <c r="F1047" s="79" t="n">
        <v>7139200.61100454</v>
      </c>
      <c r="G1047" s="79" t="n">
        <v>12505672.2561998</v>
      </c>
      <c r="H1047" s="79" t="n">
        <v>11045074.6909468</v>
      </c>
      <c r="I1047" s="79" t="n">
        <v>11660961.5731565</v>
      </c>
      <c r="J1047" s="79" t="n">
        <v>12991336.7674662</v>
      </c>
      <c r="K1047" s="79" t="n">
        <v>13364446.5726401</v>
      </c>
      <c r="L1047" s="79" t="n">
        <v>13552155.5265</v>
      </c>
      <c r="M1047" s="79" t="n">
        <v>13379111.5924426</v>
      </c>
      <c r="N1047" s="79" t="n">
        <v>13668879.2108788</v>
      </c>
      <c r="O1047" s="79" t="n">
        <v>13521000.0166499</v>
      </c>
      <c r="P1047" s="79" t="n">
        <v>13515607.793983</v>
      </c>
      <c r="Q1047" s="79" t="n">
        <v>14124514.6536199</v>
      </c>
      <c r="R1047" s="79" t="n">
        <v>16071329.0992847</v>
      </c>
      <c r="S1047" s="79" t="n">
        <v>15272790.2224252</v>
      </c>
      <c r="T1047" s="79" t="n">
        <v>15428664.8564425</v>
      </c>
      <c r="U1047" s="79" t="n">
        <v>16926636.4735511</v>
      </c>
      <c r="V1047" s="79" t="n">
        <v>18140606.0562766</v>
      </c>
      <c r="W1047" s="79" t="n">
        <v>92198700.9733069</v>
      </c>
    </row>
    <row r="1048" customFormat="false" ht="12.75" hidden="false" customHeight="false" outlineLevel="0" collapsed="false">
      <c r="A1048" s="2"/>
      <c r="B1048" s="31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</row>
    <row r="1049" customFormat="false" ht="12.75" hidden="false" customHeight="false" outlineLevel="0" collapsed="false">
      <c r="B1049" s="156"/>
      <c r="C1049" s="134"/>
      <c r="E1049" s="163"/>
      <c r="F1049" s="128"/>
      <c r="G1049" s="136"/>
    </row>
    <row r="1050" customFormat="false" ht="12.75" hidden="false" customHeight="false" outlineLevel="0" collapsed="false">
      <c r="B1050" s="156"/>
      <c r="C1050" s="134"/>
      <c r="E1050" s="163"/>
      <c r="F1050" s="128"/>
      <c r="G1050" s="136"/>
    </row>
    <row r="1051" customFormat="false" ht="12.75" hidden="false" customHeight="false" outlineLevel="0" collapsed="false">
      <c r="B1051" s="156"/>
      <c r="C1051" s="134"/>
      <c r="E1051" s="163"/>
      <c r="F1051" s="128"/>
      <c r="G1051" s="136"/>
    </row>
    <row r="1052" customFormat="false" ht="12.75" hidden="false" customHeight="false" outlineLevel="0" collapsed="false">
      <c r="B1052" s="126"/>
      <c r="C1052" s="134"/>
      <c r="E1052" s="163"/>
      <c r="F1052" s="128"/>
      <c r="G1052" s="136"/>
    </row>
    <row r="1053" customFormat="false" ht="12.75" hidden="false" customHeight="false" outlineLevel="0" collapsed="false">
      <c r="A1053" s="164"/>
      <c r="B1053" s="126"/>
      <c r="C1053" s="138"/>
      <c r="D1053" s="165"/>
      <c r="E1053" s="165"/>
      <c r="F1053" s="165"/>
      <c r="G1053" s="165"/>
      <c r="H1053" s="165"/>
      <c r="I1053" s="165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</row>
    <row r="1054" customFormat="false" ht="12.75" hidden="false" customHeight="false" outlineLevel="0" collapsed="false">
      <c r="B1054" s="156"/>
      <c r="C1054" s="134"/>
      <c r="D1054" s="166"/>
      <c r="E1054" s="166"/>
      <c r="F1054" s="166"/>
      <c r="G1054" s="166"/>
      <c r="H1054" s="166"/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</row>
    <row r="1055" customFormat="false" ht="12.75" hidden="false" customHeight="false" outlineLevel="0" collapsed="false">
      <c r="B1055" s="156"/>
      <c r="C1055" s="134"/>
      <c r="D1055" s="166"/>
      <c r="E1055" s="166"/>
      <c r="F1055" s="166"/>
      <c r="G1055" s="166"/>
      <c r="H1055" s="166"/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</row>
    <row r="1056" customFormat="false" ht="15.75" hidden="false" customHeight="false" outlineLevel="0" collapsed="false">
      <c r="A1056" s="48" t="s">
        <v>17</v>
      </c>
      <c r="B1056" s="57" t="s">
        <v>85</v>
      </c>
      <c r="C1056" s="58" t="n">
        <v>2000</v>
      </c>
      <c r="D1056" s="58" t="n">
        <v>2001</v>
      </c>
      <c r="E1056" s="58" t="n">
        <v>2002</v>
      </c>
      <c r="F1056" s="58" t="n">
        <v>2003</v>
      </c>
      <c r="G1056" s="58" t="n">
        <v>2004</v>
      </c>
      <c r="H1056" s="58" t="n">
        <v>2005</v>
      </c>
      <c r="I1056" s="58" t="n">
        <v>2006</v>
      </c>
      <c r="J1056" s="58" t="n">
        <v>2007</v>
      </c>
      <c r="K1056" s="58" t="n">
        <v>2008</v>
      </c>
      <c r="L1056" s="58" t="n">
        <v>2009</v>
      </c>
      <c r="M1056" s="58" t="n">
        <v>2010</v>
      </c>
      <c r="N1056" s="58" t="n">
        <v>2011</v>
      </c>
      <c r="O1056" s="58" t="n">
        <v>2012</v>
      </c>
      <c r="P1056" s="58" t="n">
        <v>2013</v>
      </c>
      <c r="Q1056" s="58" t="n">
        <v>2014</v>
      </c>
      <c r="R1056" s="58" t="n">
        <v>2015</v>
      </c>
      <c r="S1056" s="58" t="n">
        <v>2016</v>
      </c>
      <c r="T1056" s="58" t="n">
        <v>2017</v>
      </c>
      <c r="U1056" s="58" t="n">
        <v>2018</v>
      </c>
      <c r="V1056" s="58" t="n">
        <v>2019</v>
      </c>
      <c r="W1056" s="58" t="s">
        <v>19</v>
      </c>
    </row>
    <row r="1057" customFormat="false" ht="12.75" hidden="false" customHeight="false" outlineLevel="0" collapsed="false">
      <c r="A1057" s="48" t="s">
        <v>5</v>
      </c>
      <c r="B1057" s="49" t="n">
        <v>238</v>
      </c>
      <c r="C1057" s="61"/>
      <c r="D1057" s="61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</row>
    <row r="1058" customFormat="false" ht="12.75" hidden="false" customHeight="false" outlineLevel="0" collapsed="false">
      <c r="A1058" s="2"/>
      <c r="B1058" s="117" t="s">
        <v>20</v>
      </c>
      <c r="C1058" s="118" t="n">
        <v>0</v>
      </c>
      <c r="D1058" s="64" t="n">
        <v>68993799.62957</v>
      </c>
      <c r="E1058" s="64" t="n">
        <v>68036941.676351</v>
      </c>
      <c r="F1058" s="64" t="n">
        <v>69346536.0545242</v>
      </c>
      <c r="G1058" s="64" t="n">
        <v>68363631.2533922</v>
      </c>
      <c r="H1058" s="64" t="n">
        <v>68878558.8161648</v>
      </c>
      <c r="I1058" s="64" t="n">
        <v>73529367.0788341</v>
      </c>
      <c r="J1058" s="64" t="n">
        <v>78842246.8400284</v>
      </c>
      <c r="K1058" s="64" t="n">
        <v>80882507.4100121</v>
      </c>
      <c r="L1058" s="64" t="n">
        <v>82575443.088904</v>
      </c>
      <c r="M1058" s="64" t="n">
        <v>82870232.8580381</v>
      </c>
      <c r="N1058" s="64" t="n">
        <v>84660638.7559186</v>
      </c>
      <c r="O1058" s="64" t="n">
        <v>85611359.7044605</v>
      </c>
      <c r="P1058" s="64" t="n">
        <v>86618838.0589319</v>
      </c>
      <c r="Q1058" s="64" t="n">
        <v>89667926.9067549</v>
      </c>
      <c r="R1058" s="64" t="n">
        <v>96029776.3580204</v>
      </c>
      <c r="S1058" s="64" t="n">
        <v>95476575.1061113</v>
      </c>
      <c r="T1058" s="64" t="n">
        <v>96693406.7860532</v>
      </c>
      <c r="U1058" s="64" t="n">
        <v>101340050.142484</v>
      </c>
      <c r="V1058" s="64" t="n">
        <v>104418109.697431</v>
      </c>
      <c r="W1058" s="65"/>
    </row>
    <row r="1059" customFormat="false" ht="12.75" hidden="false" customHeight="false" outlineLevel="0" collapsed="false">
      <c r="A1059" s="2"/>
      <c r="B1059" s="117" t="s">
        <v>21</v>
      </c>
      <c r="C1059" s="118" t="n">
        <v>0</v>
      </c>
      <c r="D1059" s="64" t="n">
        <v>-21428254.2914982</v>
      </c>
      <c r="E1059" s="64" t="n">
        <v>-21736561.8226181</v>
      </c>
      <c r="F1059" s="64" t="n">
        <v>-22115339.6465655</v>
      </c>
      <c r="G1059" s="64" t="n">
        <v>-22747810.5246916</v>
      </c>
      <c r="H1059" s="64" t="n">
        <v>-23538839.5616794</v>
      </c>
      <c r="I1059" s="64" t="n">
        <v>-24442621.0671911</v>
      </c>
      <c r="J1059" s="64" t="n">
        <v>-25006383.4098105</v>
      </c>
      <c r="K1059" s="64" t="n">
        <v>-25543719.3926196</v>
      </c>
      <c r="L1059" s="64" t="n">
        <v>-25964779.3922634</v>
      </c>
      <c r="M1059" s="64" t="n">
        <v>-26172666.7561043</v>
      </c>
      <c r="N1059" s="64" t="n">
        <v>-26528541.7348828</v>
      </c>
      <c r="O1059" s="64" t="n">
        <v>-27104636.3787469</v>
      </c>
      <c r="P1059" s="64" t="n">
        <v>-27723013.1983076</v>
      </c>
      <c r="Q1059" s="64" t="n">
        <v>-28311440.1434165</v>
      </c>
      <c r="R1059" s="64" t="n">
        <v>-28713120.8125328</v>
      </c>
      <c r="S1059" s="64" t="n">
        <v>-29301547.7576418</v>
      </c>
      <c r="T1059" s="64" t="n">
        <v>-29971015.5395023</v>
      </c>
      <c r="U1059" s="64" t="n">
        <v>-30705668.3422282</v>
      </c>
      <c r="V1059" s="64" t="n">
        <v>-31464985.7474436</v>
      </c>
      <c r="W1059" s="65"/>
    </row>
    <row r="1060" customFormat="false" ht="12.75" hidden="false" customHeight="false" outlineLevel="0" collapsed="false">
      <c r="A1060" s="2"/>
      <c r="B1060" s="117" t="s">
        <v>22</v>
      </c>
      <c r="C1060" s="118" t="n">
        <v>0</v>
      </c>
      <c r="D1060" s="64" t="n">
        <v>-1781268.35388844</v>
      </c>
      <c r="E1060" s="64" t="n">
        <v>-1817222.10790753</v>
      </c>
      <c r="F1060" s="64" t="n">
        <v>-1853901.56528582</v>
      </c>
      <c r="G1060" s="64" t="n">
        <v>-1891321.37387804</v>
      </c>
      <c r="H1060" s="64" t="n">
        <v>-1929496.47719642</v>
      </c>
      <c r="I1060" s="64" t="n">
        <v>-1968442.12037836</v>
      </c>
      <c r="J1060" s="64" t="n">
        <v>-2008173.85627453</v>
      </c>
      <c r="K1060" s="64" t="n">
        <v>-2048707.55165987</v>
      </c>
      <c r="L1060" s="64" t="n">
        <v>-2090059.39356995</v>
      </c>
      <c r="M1060" s="64" t="n">
        <v>-2132245.89576523</v>
      </c>
      <c r="N1060" s="64" t="n">
        <v>-2175283.90532578</v>
      </c>
      <c r="O1060" s="64" t="n">
        <v>-2219190.60937912</v>
      </c>
      <c r="P1060" s="64" t="n">
        <v>-2263983.54196388</v>
      </c>
      <c r="Q1060" s="64" t="n">
        <v>-2309680.59103194</v>
      </c>
      <c r="R1060" s="64" t="n">
        <v>-2356300.00559199</v>
      </c>
      <c r="S1060" s="64" t="n">
        <v>-2403860.40299718</v>
      </c>
      <c r="T1060" s="64" t="n">
        <v>-2452380.77637996</v>
      </c>
      <c r="U1060" s="64" t="n">
        <v>-2501880.50223689</v>
      </c>
      <c r="V1060" s="64" t="n">
        <v>-2552379.34816665</v>
      </c>
      <c r="W1060" s="65"/>
    </row>
    <row r="1061" customFormat="false" ht="12.75" hidden="false" customHeight="false" outlineLevel="0" collapsed="false">
      <c r="A1061" s="2"/>
      <c r="B1061" s="117" t="s">
        <v>23</v>
      </c>
      <c r="C1061" s="118" t="n">
        <v>0</v>
      </c>
      <c r="D1061" s="64" t="n">
        <v>0</v>
      </c>
      <c r="E1061" s="64" t="n">
        <v>0</v>
      </c>
      <c r="F1061" s="64" t="n">
        <v>0</v>
      </c>
      <c r="G1061" s="64" t="n">
        <v>0</v>
      </c>
      <c r="H1061" s="64" t="n">
        <v>0</v>
      </c>
      <c r="I1061" s="64" t="n">
        <v>-1669340.95227843</v>
      </c>
      <c r="J1061" s="64" t="n">
        <v>-1850331.09204204</v>
      </c>
      <c r="K1061" s="64" t="n">
        <v>-2194007.03868562</v>
      </c>
      <c r="L1061" s="64" t="n">
        <v>-2242554.48691812</v>
      </c>
      <c r="M1061" s="64" t="n">
        <v>-2494065.38329633</v>
      </c>
      <c r="N1061" s="64" t="n">
        <v>-2747401.63030525</v>
      </c>
      <c r="O1061" s="64" t="n">
        <v>-3044038.63678656</v>
      </c>
      <c r="P1061" s="64" t="n">
        <v>-3413168.07581348</v>
      </c>
      <c r="Q1061" s="64" t="n">
        <v>-3799388.68308145</v>
      </c>
      <c r="R1061" s="64" t="n">
        <v>-4208562.0147514</v>
      </c>
      <c r="S1061" s="64" t="n">
        <v>-4620995.9166734</v>
      </c>
      <c r="T1061" s="64" t="n">
        <v>-4539903.20372091</v>
      </c>
      <c r="U1061" s="64" t="n">
        <v>-3884132.74287189</v>
      </c>
      <c r="V1061" s="64" t="n">
        <v>-4027129.04531675</v>
      </c>
      <c r="W1061" s="65"/>
    </row>
    <row r="1062" customFormat="false" ht="13.5" hidden="false" customHeight="false" outlineLevel="0" collapsed="false">
      <c r="A1062" s="2"/>
      <c r="B1062" s="119" t="s">
        <v>24</v>
      </c>
      <c r="C1062" s="120" t="n">
        <v>0</v>
      </c>
      <c r="D1062" s="68" t="n">
        <v>0</v>
      </c>
      <c r="E1062" s="68" t="n">
        <v>0</v>
      </c>
      <c r="F1062" s="68" t="n">
        <v>-5901310.33185281</v>
      </c>
      <c r="G1062" s="68" t="n">
        <v>-5028286.3153052</v>
      </c>
      <c r="H1062" s="68" t="n">
        <v>-5220048.16128477</v>
      </c>
      <c r="I1062" s="68" t="n">
        <v>-5421479.62693875</v>
      </c>
      <c r="J1062" s="68" t="n">
        <v>-6810562.4887039</v>
      </c>
      <c r="K1062" s="68" t="n">
        <v>-5948950.0071713</v>
      </c>
      <c r="L1062" s="68" t="n">
        <v>-6296543.25449956</v>
      </c>
      <c r="M1062" s="68" t="n">
        <v>-5991402.05771452</v>
      </c>
      <c r="N1062" s="68" t="n">
        <v>-6163000.75062936</v>
      </c>
      <c r="O1062" s="68" t="n">
        <v>-6322812.73400207</v>
      </c>
      <c r="P1062" s="68" t="n">
        <v>-5647598.3417874</v>
      </c>
      <c r="Q1062" s="68" t="n">
        <v>-5849526.40496158</v>
      </c>
      <c r="R1062" s="68" t="n">
        <v>-5970409.09796914</v>
      </c>
      <c r="S1062" s="68" t="n">
        <v>-6340154.99155873</v>
      </c>
      <c r="T1062" s="68" t="n">
        <v>-5960403.27147917</v>
      </c>
      <c r="U1062" s="68" t="n">
        <v>-6564651.3197024</v>
      </c>
      <c r="V1062" s="68" t="n">
        <v>-3574128.05037216</v>
      </c>
      <c r="W1062" s="65"/>
    </row>
    <row r="1063" customFormat="false" ht="13.5" hidden="false" customHeight="false" outlineLevel="0" collapsed="false">
      <c r="A1063" s="2"/>
      <c r="B1063" s="121" t="s">
        <v>25</v>
      </c>
      <c r="C1063" s="122" t="n">
        <v>0</v>
      </c>
      <c r="D1063" s="71" t="n">
        <v>45784276.9841834</v>
      </c>
      <c r="E1063" s="71" t="n">
        <v>44483157.7458253</v>
      </c>
      <c r="F1063" s="71" t="n">
        <v>39475984.51082</v>
      </c>
      <c r="G1063" s="71" t="n">
        <v>38696213.0395173</v>
      </c>
      <c r="H1063" s="71" t="n">
        <v>38190174.6160042</v>
      </c>
      <c r="I1063" s="71" t="n">
        <v>40027483.3120475</v>
      </c>
      <c r="J1063" s="71" t="n">
        <v>43166795.9931974</v>
      </c>
      <c r="K1063" s="71" t="n">
        <v>45147123.4198758</v>
      </c>
      <c r="L1063" s="71" t="n">
        <v>45981506.561653</v>
      </c>
      <c r="M1063" s="71" t="n">
        <v>46079852.7651577</v>
      </c>
      <c r="N1063" s="71" t="n">
        <v>47046410.7347754</v>
      </c>
      <c r="O1063" s="71" t="n">
        <v>46920681.3455458</v>
      </c>
      <c r="P1063" s="71" t="n">
        <v>47571074.9010596</v>
      </c>
      <c r="Q1063" s="71" t="n">
        <v>49397891.0842634</v>
      </c>
      <c r="R1063" s="71" t="n">
        <v>54781384.427175</v>
      </c>
      <c r="S1063" s="71" t="n">
        <v>52810016.0372402</v>
      </c>
      <c r="T1063" s="71" t="n">
        <v>53769703.9949708</v>
      </c>
      <c r="U1063" s="71" t="n">
        <v>57683717.2354443</v>
      </c>
      <c r="V1063" s="71" t="n">
        <v>62799487.5061316</v>
      </c>
      <c r="W1063" s="65"/>
    </row>
    <row r="1064" customFormat="false" ht="12.75" hidden="false" customHeight="false" outlineLevel="0" collapsed="false">
      <c r="A1064" s="2"/>
      <c r="B1064" s="117" t="s">
        <v>26</v>
      </c>
      <c r="C1064" s="118" t="n">
        <v>0</v>
      </c>
      <c r="D1064" s="64" t="n">
        <v>-4760452.2375843</v>
      </c>
      <c r="E1064" s="64" t="n">
        <v>-4855661.28233599</v>
      </c>
      <c r="F1064" s="64" t="n">
        <v>-4952774.50798271</v>
      </c>
      <c r="G1064" s="64" t="n">
        <v>-5051829.99814236</v>
      </c>
      <c r="H1064" s="64" t="n">
        <v>-5152866.59810521</v>
      </c>
      <c r="I1064" s="64" t="n">
        <v>-5255923.93006731</v>
      </c>
      <c r="J1064" s="64" t="n">
        <v>-5361042.40866866</v>
      </c>
      <c r="K1064" s="64" t="n">
        <v>-5468263.25684203</v>
      </c>
      <c r="L1064" s="64" t="n">
        <v>-5577628.52197887</v>
      </c>
      <c r="M1064" s="64" t="n">
        <v>-5689181.09241845</v>
      </c>
      <c r="N1064" s="64" t="n">
        <v>-5802964.71426682</v>
      </c>
      <c r="O1064" s="64" t="n">
        <v>-5919024.00855215</v>
      </c>
      <c r="P1064" s="64" t="n">
        <v>-6037404.4887232</v>
      </c>
      <c r="Q1064" s="64" t="n">
        <v>-6158152.57849766</v>
      </c>
      <c r="R1064" s="64" t="n">
        <v>-6281315.63006762</v>
      </c>
      <c r="S1064" s="64" t="n">
        <v>-6406941.94266897</v>
      </c>
      <c r="T1064" s="64" t="n">
        <v>-6535080.78152235</v>
      </c>
      <c r="U1064" s="64" t="n">
        <v>-6665782.39715279</v>
      </c>
      <c r="V1064" s="64" t="n">
        <v>-6799098.04509585</v>
      </c>
      <c r="W1064" s="65"/>
    </row>
    <row r="1065" customFormat="false" ht="12.75" hidden="false" customHeight="false" outlineLevel="0" collapsed="false">
      <c r="A1065" s="2"/>
      <c r="B1065" s="117" t="s">
        <v>27</v>
      </c>
      <c r="C1065" s="118" t="n">
        <v>0</v>
      </c>
      <c r="D1065" s="64" t="n">
        <v>-622178.022545413</v>
      </c>
      <c r="E1065" s="64" t="n">
        <v>-634728.911783216</v>
      </c>
      <c r="F1065" s="64" t="n">
        <v>-647554.665495328</v>
      </c>
      <c r="G1065" s="64" t="n">
        <v>-674141.685321787</v>
      </c>
      <c r="H1065" s="64" t="n">
        <v>-757099.338647813</v>
      </c>
      <c r="I1065" s="64" t="n">
        <v>-954391.594318615</v>
      </c>
      <c r="J1065" s="64" t="n">
        <v>-1070440.81604669</v>
      </c>
      <c r="K1065" s="64" t="n">
        <v>-1188704.88294344</v>
      </c>
      <c r="L1065" s="64" t="n">
        <v>-1294820.71342437</v>
      </c>
      <c r="M1065" s="64" t="n">
        <v>-1356734.71174867</v>
      </c>
      <c r="N1065" s="64" t="n">
        <v>-1373610.24746427</v>
      </c>
      <c r="O1065" s="64" t="n">
        <v>-1389568.13039789</v>
      </c>
      <c r="P1065" s="64" t="n">
        <v>-1405931.34355802</v>
      </c>
      <c r="Q1065" s="64" t="n">
        <v>-1422703.63704715</v>
      </c>
      <c r="R1065" s="64" t="n">
        <v>-1439896.91510286</v>
      </c>
      <c r="S1065" s="64" t="n">
        <v>-1457520.02510997</v>
      </c>
      <c r="T1065" s="64" t="n">
        <v>-1475580.18824525</v>
      </c>
      <c r="U1065" s="64" t="n">
        <v>-1494093.66147522</v>
      </c>
      <c r="V1065" s="64" t="n">
        <v>-1513071.82288327</v>
      </c>
      <c r="W1065" s="65"/>
    </row>
    <row r="1066" customFormat="false" ht="13.5" hidden="false" customHeight="false" outlineLevel="0" collapsed="false">
      <c r="A1066" s="2"/>
      <c r="B1066" s="119" t="s">
        <v>28</v>
      </c>
      <c r="C1066" s="120" t="n">
        <v>0</v>
      </c>
      <c r="D1066" s="68" t="n">
        <v>-777454.780257613</v>
      </c>
      <c r="E1066" s="68" t="n">
        <v>-793859.076121053</v>
      </c>
      <c r="F1066" s="68" t="n">
        <v>-811244.589888105</v>
      </c>
      <c r="G1066" s="68" t="n">
        <v>-829578.71761957</v>
      </c>
      <c r="H1066" s="68" t="n">
        <v>-849322.691098917</v>
      </c>
      <c r="I1066" s="68" t="n">
        <v>-870606.803121793</v>
      </c>
      <c r="J1066" s="68" t="n">
        <v>-892200.277238025</v>
      </c>
      <c r="K1066" s="68" t="n">
        <v>-914783.710052999</v>
      </c>
      <c r="L1066" s="68" t="n">
        <v>-937378.867691309</v>
      </c>
      <c r="M1066" s="68" t="n">
        <v>-961282.028817434</v>
      </c>
      <c r="N1066" s="68" t="n">
        <v>-984545.053914821</v>
      </c>
      <c r="O1066" s="68" t="n">
        <v>-1009355.58927347</v>
      </c>
      <c r="P1066" s="68" t="n">
        <v>-1034993.22124101</v>
      </c>
      <c r="Q1066" s="68" t="n">
        <v>-1060868.05177204</v>
      </c>
      <c r="R1066" s="68" t="n">
        <v>-1087495.83987152</v>
      </c>
      <c r="S1066" s="68" t="n">
        <v>-1114683.23586831</v>
      </c>
      <c r="T1066" s="68" t="n">
        <v>-1142327.38011784</v>
      </c>
      <c r="U1066" s="68" t="n">
        <v>-1170999.7973588</v>
      </c>
      <c r="V1066" s="68" t="n">
        <v>-1200391.89227251</v>
      </c>
      <c r="W1066" s="65"/>
    </row>
    <row r="1067" customFormat="false" ht="13.5" hidden="false" customHeight="false" outlineLevel="0" collapsed="false">
      <c r="A1067" s="2"/>
      <c r="B1067" s="121" t="s">
        <v>29</v>
      </c>
      <c r="C1067" s="123" t="n">
        <v>0</v>
      </c>
      <c r="D1067" s="73" t="n">
        <v>39624191.9437961</v>
      </c>
      <c r="E1067" s="73" t="n">
        <v>38198908.4755851</v>
      </c>
      <c r="F1067" s="73" t="n">
        <v>33064410.7474539</v>
      </c>
      <c r="G1067" s="73" t="n">
        <v>32140662.6384336</v>
      </c>
      <c r="H1067" s="73" t="n">
        <v>31430885.9881522</v>
      </c>
      <c r="I1067" s="73" t="n">
        <v>32946560.9845397</v>
      </c>
      <c r="J1067" s="73" t="n">
        <v>35843112.4912441</v>
      </c>
      <c r="K1067" s="73" t="n">
        <v>37575371.5700373</v>
      </c>
      <c r="L1067" s="73" t="n">
        <v>38171678.4585584</v>
      </c>
      <c r="M1067" s="73" t="n">
        <v>38072654.9321731</v>
      </c>
      <c r="N1067" s="73" t="n">
        <v>38885290.7191295</v>
      </c>
      <c r="O1067" s="73" t="n">
        <v>38602733.6173223</v>
      </c>
      <c r="P1067" s="73" t="n">
        <v>39092745.8475374</v>
      </c>
      <c r="Q1067" s="73" t="n">
        <v>40756166.8169465</v>
      </c>
      <c r="R1067" s="73" t="n">
        <v>45972676.042133</v>
      </c>
      <c r="S1067" s="73" t="n">
        <v>43830870.8335929</v>
      </c>
      <c r="T1067" s="73" t="n">
        <v>44616715.6450854</v>
      </c>
      <c r="U1067" s="73" t="n">
        <v>48352841.3794574</v>
      </c>
      <c r="V1067" s="73" t="n">
        <v>53286925.74588</v>
      </c>
      <c r="W1067" s="65"/>
    </row>
    <row r="1068" customFormat="false" ht="12.75" hidden="false" customHeight="false" outlineLevel="0" collapsed="false">
      <c r="A1068" s="2"/>
      <c r="B1068" s="117" t="s">
        <v>30</v>
      </c>
      <c r="C1068" s="118" t="n">
        <v>0</v>
      </c>
      <c r="D1068" s="64" t="n">
        <v>-1861976.12078409</v>
      </c>
      <c r="E1068" s="64" t="n">
        <v>-2024526.6287447</v>
      </c>
      <c r="F1068" s="64" t="n">
        <v>-2173411.41842737</v>
      </c>
      <c r="G1068" s="64" t="n">
        <v>-2276338.56334713</v>
      </c>
      <c r="H1068" s="64" t="n">
        <v>-2332789.31112685</v>
      </c>
      <c r="I1068" s="64" t="n">
        <v>-2452482.82769161</v>
      </c>
      <c r="J1068" s="64" t="n">
        <v>-2415769.61536731</v>
      </c>
      <c r="K1068" s="64" t="n">
        <v>-2209238.86876158</v>
      </c>
      <c r="L1068" s="64" t="n">
        <v>-2035437.271529</v>
      </c>
      <c r="M1068" s="64" t="n">
        <v>-2032965.71766924</v>
      </c>
      <c r="N1068" s="64" t="n">
        <v>-2080312.68005179</v>
      </c>
      <c r="O1068" s="64" t="n">
        <v>-2057629.00292227</v>
      </c>
      <c r="P1068" s="64" t="n">
        <v>-2122403.05968543</v>
      </c>
      <c r="Q1068" s="64" t="n">
        <v>-2131721.6347424</v>
      </c>
      <c r="R1068" s="64" t="n">
        <v>-2145091.46867039</v>
      </c>
      <c r="S1068" s="64" t="n">
        <v>-2213573.60434918</v>
      </c>
      <c r="T1068" s="64" t="n">
        <v>-2286455.37969492</v>
      </c>
      <c r="U1068" s="64" t="n">
        <v>-2442751.85548853</v>
      </c>
      <c r="V1068" s="64" t="n">
        <v>-2588366.48237413</v>
      </c>
      <c r="W1068" s="65"/>
    </row>
    <row r="1069" customFormat="false" ht="13.5" hidden="false" customHeight="false" outlineLevel="0" collapsed="false">
      <c r="A1069" s="2"/>
      <c r="B1069" s="119" t="s">
        <v>70</v>
      </c>
      <c r="C1069" s="120" t="n">
        <v>0</v>
      </c>
      <c r="D1069" s="68" t="n">
        <v>-15104886.3292048</v>
      </c>
      <c r="E1069" s="68" t="n">
        <v>-14469752.7387361</v>
      </c>
      <c r="F1069" s="68" t="n">
        <v>-12356399.7316106</v>
      </c>
      <c r="G1069" s="68" t="n">
        <v>-11945729.6300346</v>
      </c>
      <c r="H1069" s="68" t="n">
        <v>-11639238.6708102</v>
      </c>
      <c r="I1069" s="68" t="n">
        <v>-12197631.2627393</v>
      </c>
      <c r="J1069" s="68" t="n">
        <v>-13370937.1503507</v>
      </c>
      <c r="K1069" s="68" t="n">
        <v>-14146453.0805103</v>
      </c>
      <c r="L1069" s="68" t="n">
        <v>-14454496.4748118</v>
      </c>
      <c r="M1069" s="68" t="n">
        <v>-14415875.6858016</v>
      </c>
      <c r="N1069" s="68" t="n">
        <v>-14721991.2156311</v>
      </c>
      <c r="O1069" s="68" t="n">
        <v>-14618041.84576</v>
      </c>
      <c r="P1069" s="68" t="n">
        <v>-14788137.1151408</v>
      </c>
      <c r="Q1069" s="68" t="n">
        <v>-15449778.0728816</v>
      </c>
      <c r="R1069" s="68" t="n">
        <v>-17531033.8293851</v>
      </c>
      <c r="S1069" s="68" t="n">
        <v>-16646918.8916975</v>
      </c>
      <c r="T1069" s="68" t="n">
        <v>-16932104.1061562</v>
      </c>
      <c r="U1069" s="68" t="n">
        <v>-18364035.8095876</v>
      </c>
      <c r="V1069" s="68" t="n">
        <v>-20279423.7054023</v>
      </c>
      <c r="W1069" s="65"/>
    </row>
    <row r="1070" customFormat="false" ht="13.5" hidden="false" customHeight="false" outlineLevel="0" collapsed="false">
      <c r="A1070" s="2"/>
      <c r="B1070" s="121" t="s">
        <v>32</v>
      </c>
      <c r="C1070" s="123" t="n">
        <v>0</v>
      </c>
      <c r="D1070" s="73" t="n">
        <v>22657329.4938072</v>
      </c>
      <c r="E1070" s="73" t="n">
        <v>21704629.1081042</v>
      </c>
      <c r="F1070" s="73" t="n">
        <v>18534599.5974159</v>
      </c>
      <c r="G1070" s="73" t="n">
        <v>17918594.4450519</v>
      </c>
      <c r="H1070" s="73" t="n">
        <v>17458858.0062152</v>
      </c>
      <c r="I1070" s="73" t="n">
        <v>18296446.8941089</v>
      </c>
      <c r="J1070" s="73" t="n">
        <v>20056405.7255261</v>
      </c>
      <c r="K1070" s="73" t="n">
        <v>21219679.6207655</v>
      </c>
      <c r="L1070" s="73" t="n">
        <v>21681744.7122177</v>
      </c>
      <c r="M1070" s="73" t="n">
        <v>21623813.5287023</v>
      </c>
      <c r="N1070" s="73" t="n">
        <v>22082986.8234466</v>
      </c>
      <c r="O1070" s="73" t="n">
        <v>21927062.76864</v>
      </c>
      <c r="P1070" s="73" t="n">
        <v>22182205.6727112</v>
      </c>
      <c r="Q1070" s="73" t="n">
        <v>23174667.1093225</v>
      </c>
      <c r="R1070" s="73" t="n">
        <v>26296550.7440776</v>
      </c>
      <c r="S1070" s="73" t="n">
        <v>24970378.3375462</v>
      </c>
      <c r="T1070" s="73" t="n">
        <v>25398156.1592343</v>
      </c>
      <c r="U1070" s="73" t="n">
        <v>27546053.7143814</v>
      </c>
      <c r="V1070" s="73" t="n">
        <v>30419135.5581035</v>
      </c>
      <c r="W1070" s="65"/>
    </row>
    <row r="1071" customFormat="false" ht="12.75" hidden="false" customHeight="false" outlineLevel="0" collapsed="false">
      <c r="A1071" s="2"/>
      <c r="B1071" s="117" t="s">
        <v>30</v>
      </c>
      <c r="C1071" s="118" t="n">
        <v>0</v>
      </c>
      <c r="D1071" s="64" t="n">
        <v>1861976.12078409</v>
      </c>
      <c r="E1071" s="64" t="n">
        <v>2024526.6287447</v>
      </c>
      <c r="F1071" s="64" t="n">
        <v>2173411.41842737</v>
      </c>
      <c r="G1071" s="64" t="n">
        <v>2276338.56334713</v>
      </c>
      <c r="H1071" s="64" t="n">
        <v>2332789.31112685</v>
      </c>
      <c r="I1071" s="64" t="n">
        <v>2452482.82769161</v>
      </c>
      <c r="J1071" s="64" t="n">
        <v>2415769.61536731</v>
      </c>
      <c r="K1071" s="64" t="n">
        <v>2209238.86876158</v>
      </c>
      <c r="L1071" s="64" t="n">
        <v>2035437.271529</v>
      </c>
      <c r="M1071" s="64" t="n">
        <v>2032965.71766924</v>
      </c>
      <c r="N1071" s="64" t="n">
        <v>2080312.68005179</v>
      </c>
      <c r="O1071" s="64" t="n">
        <v>2057629.00292227</v>
      </c>
      <c r="P1071" s="64" t="n">
        <v>2122403.05968543</v>
      </c>
      <c r="Q1071" s="64" t="n">
        <v>2131721.6347424</v>
      </c>
      <c r="R1071" s="64" t="n">
        <v>2145091.46867039</v>
      </c>
      <c r="S1071" s="64" t="n">
        <v>2213573.60434918</v>
      </c>
      <c r="T1071" s="64" t="n">
        <v>2286455.37969492</v>
      </c>
      <c r="U1071" s="64" t="n">
        <v>2442751.85548853</v>
      </c>
      <c r="V1071" s="64" t="n">
        <v>2588366.48237413</v>
      </c>
      <c r="W1071" s="65"/>
    </row>
    <row r="1072" customFormat="false" ht="12.75" hidden="false" customHeight="false" outlineLevel="0" collapsed="false">
      <c r="A1072" s="2"/>
      <c r="B1072" s="117" t="s">
        <v>33</v>
      </c>
      <c r="C1072" s="118" t="n">
        <v>0</v>
      </c>
      <c r="D1072" s="64" t="n">
        <v>-3327231.63</v>
      </c>
      <c r="E1072" s="64" t="n">
        <v>-2131175.73</v>
      </c>
      <c r="F1072" s="64" t="n">
        <v>-3334634.44</v>
      </c>
      <c r="G1072" s="64" t="n">
        <v>-625478.58</v>
      </c>
      <c r="H1072" s="64" t="n">
        <v>-2269388.462</v>
      </c>
      <c r="I1072" s="64" t="n">
        <v>-2337470.11586</v>
      </c>
      <c r="J1072" s="64" t="n">
        <v>-2407594.2193358</v>
      </c>
      <c r="K1072" s="64" t="n">
        <v>-2479822.04591587</v>
      </c>
      <c r="L1072" s="64" t="n">
        <v>-2554216.70729335</v>
      </c>
      <c r="M1072" s="64" t="n">
        <v>-2630843.20851215</v>
      </c>
      <c r="N1072" s="64" t="n">
        <v>-2709768.50476752</v>
      </c>
      <c r="O1072" s="64" t="n">
        <v>-2791061.55991054</v>
      </c>
      <c r="P1072" s="64" t="n">
        <v>-2874793.40670786</v>
      </c>
      <c r="Q1072" s="64" t="n">
        <v>-2961037.20890909</v>
      </c>
      <c r="R1072" s="64" t="n">
        <v>-3049868.32517637</v>
      </c>
      <c r="S1072" s="64" t="n">
        <v>-3141364.37493166</v>
      </c>
      <c r="T1072" s="64" t="n">
        <v>-3235605.30617961</v>
      </c>
      <c r="U1072" s="64" t="n">
        <v>-3332673.46536499</v>
      </c>
      <c r="V1072" s="64" t="n">
        <v>-3432653.66932594</v>
      </c>
      <c r="W1072" s="65"/>
    </row>
    <row r="1073" customFormat="false" ht="13.5" hidden="false" customHeight="false" outlineLevel="0" collapsed="false">
      <c r="A1073" s="2"/>
      <c r="B1073" s="119" t="s">
        <v>34</v>
      </c>
      <c r="C1073" s="120" t="n">
        <v>0</v>
      </c>
      <c r="D1073" s="68" t="n">
        <v>0</v>
      </c>
      <c r="E1073" s="68" t="n">
        <v>0</v>
      </c>
      <c r="F1073" s="68" t="n">
        <v>0</v>
      </c>
      <c r="G1073" s="68" t="n">
        <v>0</v>
      </c>
      <c r="H1073" s="68" t="n">
        <v>0</v>
      </c>
      <c r="I1073" s="68" t="n">
        <v>0</v>
      </c>
      <c r="J1073" s="68" t="n">
        <v>0</v>
      </c>
      <c r="K1073" s="68" t="n">
        <v>0</v>
      </c>
      <c r="L1073" s="68" t="n">
        <v>0</v>
      </c>
      <c r="M1073" s="68" t="n">
        <v>0</v>
      </c>
      <c r="N1073" s="68" t="n">
        <v>0</v>
      </c>
      <c r="O1073" s="68" t="n">
        <v>0</v>
      </c>
      <c r="P1073" s="68" t="n">
        <v>0</v>
      </c>
      <c r="Q1073" s="68" t="n">
        <v>0</v>
      </c>
      <c r="R1073" s="68" t="n">
        <v>0</v>
      </c>
      <c r="S1073" s="68" t="n">
        <v>0</v>
      </c>
      <c r="T1073" s="68" t="n">
        <v>0</v>
      </c>
      <c r="U1073" s="68" t="n">
        <v>0</v>
      </c>
      <c r="V1073" s="68" t="n">
        <v>0</v>
      </c>
      <c r="W1073" s="65"/>
    </row>
    <row r="1074" customFormat="false" ht="13.5" hidden="false" customHeight="false" outlineLevel="0" collapsed="false">
      <c r="A1074" s="2"/>
      <c r="B1074" s="117"/>
      <c r="C1074" s="124"/>
      <c r="D1074" s="65"/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  <c r="V1074" s="65"/>
      <c r="W1074" s="65"/>
    </row>
    <row r="1075" customFormat="false" ht="12.75" hidden="false" customHeight="false" outlineLevel="0" collapsed="false">
      <c r="A1075" s="2"/>
      <c r="B1075" s="121" t="s">
        <v>35</v>
      </c>
      <c r="C1075" s="123" t="n">
        <v>0</v>
      </c>
      <c r="D1075" s="73" t="n">
        <v>21192073.9845913</v>
      </c>
      <c r="E1075" s="73" t="n">
        <v>21597980.0068489</v>
      </c>
      <c r="F1075" s="73" t="n">
        <v>17373376.5758433</v>
      </c>
      <c r="G1075" s="73" t="n">
        <v>19569454.428399</v>
      </c>
      <c r="H1075" s="73" t="n">
        <v>17522258.8553421</v>
      </c>
      <c r="I1075" s="73" t="n">
        <v>18411459.6059405</v>
      </c>
      <c r="J1075" s="73" t="n">
        <v>20064581.1215576</v>
      </c>
      <c r="K1075" s="73" t="n">
        <v>20949096.4436112</v>
      </c>
      <c r="L1075" s="73" t="n">
        <v>21162965.2764533</v>
      </c>
      <c r="M1075" s="73" t="n">
        <v>21025936.0378594</v>
      </c>
      <c r="N1075" s="73" t="n">
        <v>21453530.9987309</v>
      </c>
      <c r="O1075" s="73" t="n">
        <v>21193630.2116518</v>
      </c>
      <c r="P1075" s="73" t="n">
        <v>21429815.3256887</v>
      </c>
      <c r="Q1075" s="73" t="n">
        <v>22345351.5351558</v>
      </c>
      <c r="R1075" s="73" t="n">
        <v>25391773.8875716</v>
      </c>
      <c r="S1075" s="73" t="n">
        <v>24042587.5669638</v>
      </c>
      <c r="T1075" s="73" t="n">
        <v>24449006.2327496</v>
      </c>
      <c r="U1075" s="73" t="n">
        <v>26656132.1045049</v>
      </c>
      <c r="V1075" s="73" t="n">
        <v>29574848.3711517</v>
      </c>
      <c r="W1075" s="71" t="n">
        <v>145971941.291198</v>
      </c>
    </row>
    <row r="1076" customFormat="false" ht="12.75" hidden="false" customHeight="false" outlineLevel="0" collapsed="false">
      <c r="A1076" s="2"/>
      <c r="B1076" s="125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</row>
    <row r="1077" customFormat="false" ht="12.75" hidden="false" customHeight="false" outlineLevel="0" collapsed="false">
      <c r="A1077" s="48" t="s">
        <v>36</v>
      </c>
      <c r="B1077" s="126" t="s">
        <v>37</v>
      </c>
      <c r="C1077" s="76" t="n">
        <v>74414111.86103</v>
      </c>
      <c r="D1077" s="2"/>
      <c r="E1077" s="127" t="s">
        <v>38</v>
      </c>
      <c r="F1077" s="128" t="s">
        <v>37</v>
      </c>
      <c r="G1077" s="79" t="n">
        <v>74414111.86103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</row>
    <row r="1078" customFormat="false" ht="12.75" hidden="false" customHeight="false" outlineLevel="0" collapsed="false">
      <c r="A1078" s="2"/>
      <c r="B1078" s="126" t="s">
        <v>39</v>
      </c>
      <c r="C1078" s="76" t="n">
        <v>99685656.1271527</v>
      </c>
      <c r="D1078" s="2"/>
      <c r="E1078" s="129"/>
      <c r="F1078" s="128" t="s">
        <v>39</v>
      </c>
      <c r="G1078" s="79" t="n">
        <v>99685656.1271527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</row>
    <row r="1079" customFormat="false" ht="13.5" hidden="false" customHeight="false" outlineLevel="0" collapsed="false">
      <c r="A1079" s="2"/>
      <c r="B1079" s="130" t="s">
        <v>40</v>
      </c>
      <c r="C1079" s="82" t="n">
        <v>21697798.943251</v>
      </c>
      <c r="D1079" s="131"/>
      <c r="E1079" s="129"/>
      <c r="F1079" s="128" t="s">
        <v>40</v>
      </c>
      <c r="G1079" s="79" t="n">
        <v>21697798.943251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customFormat="false" ht="14.25" hidden="false" customHeight="false" outlineLevel="0" collapsed="false">
      <c r="A1080" s="2"/>
      <c r="B1080" s="126" t="s">
        <v>41</v>
      </c>
      <c r="C1080" s="76" t="n">
        <v>195797566.931434</v>
      </c>
      <c r="D1080" s="132"/>
      <c r="E1080" s="129"/>
      <c r="F1080" s="133" t="s">
        <v>42</v>
      </c>
      <c r="G1080" s="85" t="n">
        <v>0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customFormat="false" ht="13.5" hidden="false" customHeight="false" outlineLevel="0" collapsed="false">
      <c r="A1081" s="2"/>
      <c r="B1081" s="125"/>
      <c r="C1081" s="134"/>
      <c r="D1081" s="2"/>
      <c r="E1081" s="135"/>
      <c r="F1081" s="128" t="s">
        <v>41</v>
      </c>
      <c r="G1081" s="79" t="n">
        <v>195797566.931434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</row>
    <row r="1082" customFormat="false" ht="12.75" hidden="false" customHeight="false" outlineLevel="0" collapsed="false">
      <c r="A1082" s="2"/>
      <c r="B1082" s="125"/>
      <c r="C1082" s="134"/>
      <c r="D1082" s="2"/>
      <c r="E1082" s="135"/>
      <c r="F1082" s="128"/>
      <c r="G1082" s="136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</row>
    <row r="1083" customFormat="false" ht="12.75" hidden="false" customHeight="false" outlineLevel="0" collapsed="false">
      <c r="A1083" s="2"/>
      <c r="B1083" s="125"/>
      <c r="C1083" s="134"/>
      <c r="D1083" s="2"/>
      <c r="E1083" s="135"/>
      <c r="F1083" s="128"/>
      <c r="G1083" s="136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</row>
    <row r="1084" customFormat="false" ht="12.75" hidden="false" customHeight="false" outlineLevel="0" collapsed="false">
      <c r="A1084" s="2"/>
      <c r="B1084" s="137" t="s">
        <v>43</v>
      </c>
      <c r="C1084" s="134"/>
      <c r="D1084" s="2"/>
      <c r="E1084" s="135"/>
      <c r="F1084" s="128"/>
      <c r="G1084" s="136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</row>
    <row r="1085" customFormat="false" ht="12.75" hidden="false" customHeight="false" outlineLevel="0" collapsed="false">
      <c r="A1085" s="87" t="s">
        <v>44</v>
      </c>
      <c r="B1085" s="137" t="s">
        <v>45</v>
      </c>
      <c r="C1085" s="138"/>
      <c r="D1085" s="88" t="n">
        <v>22657329.4938072</v>
      </c>
      <c r="E1085" s="88" t="n">
        <v>21704629.1081042</v>
      </c>
      <c r="F1085" s="88" t="n">
        <v>18534599.5974159</v>
      </c>
      <c r="G1085" s="88" t="n">
        <v>17918594.4450519</v>
      </c>
      <c r="H1085" s="88" t="n">
        <v>17458858.0062152</v>
      </c>
      <c r="I1085" s="88" t="n">
        <v>18296446.8941089</v>
      </c>
      <c r="J1085" s="88" t="n">
        <v>20056405.7255261</v>
      </c>
      <c r="K1085" s="88" t="n">
        <v>21219679.6207655</v>
      </c>
      <c r="L1085" s="88" t="n">
        <v>21681744.7122177</v>
      </c>
      <c r="M1085" s="88" t="n">
        <v>21623813.5287023</v>
      </c>
      <c r="N1085" s="88" t="n">
        <v>22082986.8234466</v>
      </c>
      <c r="O1085" s="88" t="n">
        <v>21927062.76864</v>
      </c>
      <c r="P1085" s="88" t="n">
        <v>22182205.6727112</v>
      </c>
      <c r="Q1085" s="88" t="n">
        <v>23174667.1093225</v>
      </c>
      <c r="R1085" s="88" t="n">
        <v>26296550.7440776</v>
      </c>
      <c r="S1085" s="88" t="n">
        <v>24970378.3375462</v>
      </c>
      <c r="T1085" s="88" t="n">
        <v>25398156.1592343</v>
      </c>
      <c r="U1085" s="88" t="n">
        <v>27546053.7143814</v>
      </c>
      <c r="V1085" s="88" t="n">
        <v>30419135.5581035</v>
      </c>
      <c r="W1085" s="2"/>
    </row>
    <row r="1086" customFormat="false" ht="12.75" hidden="false" customHeight="false" outlineLevel="0" collapsed="false">
      <c r="A1086" s="2"/>
      <c r="B1086" s="125" t="s">
        <v>46</v>
      </c>
      <c r="C1086" s="134"/>
      <c r="D1086" s="65" t="n">
        <v>15104886.3292048</v>
      </c>
      <c r="E1086" s="65" t="n">
        <v>14469752.7387361</v>
      </c>
      <c r="F1086" s="65" t="n">
        <v>12356399.7316106</v>
      </c>
      <c r="G1086" s="65" t="n">
        <v>11945729.6300346</v>
      </c>
      <c r="H1086" s="65" t="n">
        <v>11639238.6708102</v>
      </c>
      <c r="I1086" s="65" t="n">
        <v>12197631.2627393</v>
      </c>
      <c r="J1086" s="65" t="n">
        <v>13370937.1503507</v>
      </c>
      <c r="K1086" s="65" t="n">
        <v>14146453.0805103</v>
      </c>
      <c r="L1086" s="65" t="n">
        <v>14454496.4748118</v>
      </c>
      <c r="M1086" s="65" t="n">
        <v>14415875.6858016</v>
      </c>
      <c r="N1086" s="65" t="n">
        <v>14721991.2156311</v>
      </c>
      <c r="O1086" s="65" t="n">
        <v>14618041.84576</v>
      </c>
      <c r="P1086" s="65" t="n">
        <v>14788137.1151408</v>
      </c>
      <c r="Q1086" s="65" t="n">
        <v>15449778.0728816</v>
      </c>
      <c r="R1086" s="65" t="n">
        <v>17531033.8293851</v>
      </c>
      <c r="S1086" s="65" t="n">
        <v>16646918.8916975</v>
      </c>
      <c r="T1086" s="65" t="n">
        <v>16932104.1061562</v>
      </c>
      <c r="U1086" s="65" t="n">
        <v>18364035.8095876</v>
      </c>
      <c r="V1086" s="65" t="n">
        <v>20279423.7054023</v>
      </c>
      <c r="W1086" s="2"/>
    </row>
    <row r="1087" customFormat="false" ht="12.75" hidden="false" customHeight="false" outlineLevel="0" collapsed="false">
      <c r="A1087" s="2"/>
      <c r="B1087" s="139" t="s">
        <v>47</v>
      </c>
      <c r="C1087" s="140"/>
      <c r="D1087" s="65" t="n">
        <v>1861976.12078409</v>
      </c>
      <c r="E1087" s="65" t="n">
        <v>2024526.6287447</v>
      </c>
      <c r="F1087" s="65" t="n">
        <v>2173411.41842737</v>
      </c>
      <c r="G1087" s="65" t="n">
        <v>2276338.56334713</v>
      </c>
      <c r="H1087" s="65" t="n">
        <v>2332789.31112685</v>
      </c>
      <c r="I1087" s="65" t="n">
        <v>2452482.82769161</v>
      </c>
      <c r="J1087" s="65" t="n">
        <v>2415769.61536731</v>
      </c>
      <c r="K1087" s="65" t="n">
        <v>2209238.86876158</v>
      </c>
      <c r="L1087" s="65" t="n">
        <v>2035437.271529</v>
      </c>
      <c r="M1087" s="65" t="n">
        <v>2032965.71766924</v>
      </c>
      <c r="N1087" s="65" t="n">
        <v>2080312.68005179</v>
      </c>
      <c r="O1087" s="65" t="n">
        <v>2057629.00292227</v>
      </c>
      <c r="P1087" s="65" t="n">
        <v>2122403.05968543</v>
      </c>
      <c r="Q1087" s="65" t="n">
        <v>2131721.6347424</v>
      </c>
      <c r="R1087" s="65" t="n">
        <v>2145091.46867039</v>
      </c>
      <c r="S1087" s="65" t="n">
        <v>2213573.60434918</v>
      </c>
      <c r="T1087" s="65" t="n">
        <v>2286455.37969492</v>
      </c>
      <c r="U1087" s="65" t="n">
        <v>2442751.85548853</v>
      </c>
      <c r="V1087" s="65" t="n">
        <v>2588366.48237413</v>
      </c>
      <c r="W1087" s="2"/>
    </row>
    <row r="1088" customFormat="false" ht="13.5" hidden="false" customHeight="false" outlineLevel="0" collapsed="false">
      <c r="A1088" s="2"/>
      <c r="B1088" s="141" t="s">
        <v>48</v>
      </c>
      <c r="C1088" s="142"/>
      <c r="D1088" s="93" t="n">
        <v>39624191.9437961</v>
      </c>
      <c r="E1088" s="93" t="n">
        <v>38198908.4755851</v>
      </c>
      <c r="F1088" s="93" t="n">
        <v>33064410.7474539</v>
      </c>
      <c r="G1088" s="93" t="n">
        <v>32140662.6384336</v>
      </c>
      <c r="H1088" s="93" t="n">
        <v>31430885.9881522</v>
      </c>
      <c r="I1088" s="93" t="n">
        <v>32946560.9845397</v>
      </c>
      <c r="J1088" s="93" t="n">
        <v>35843112.4912441</v>
      </c>
      <c r="K1088" s="93" t="n">
        <v>37575371.5700373</v>
      </c>
      <c r="L1088" s="93" t="n">
        <v>38171678.4585584</v>
      </c>
      <c r="M1088" s="93" t="n">
        <v>38072654.9321731</v>
      </c>
      <c r="N1088" s="93" t="n">
        <v>38885290.7191295</v>
      </c>
      <c r="O1088" s="93" t="n">
        <v>38602733.6173223</v>
      </c>
      <c r="P1088" s="93" t="n">
        <v>39092745.8475374</v>
      </c>
      <c r="Q1088" s="93" t="n">
        <v>40756166.8169465</v>
      </c>
      <c r="R1088" s="93" t="n">
        <v>45972676.042133</v>
      </c>
      <c r="S1088" s="93" t="n">
        <v>43830870.8335929</v>
      </c>
      <c r="T1088" s="93" t="n">
        <v>44616715.6450854</v>
      </c>
      <c r="U1088" s="93" t="n">
        <v>48352841.3794574</v>
      </c>
      <c r="V1088" s="93" t="n">
        <v>53286925.74588</v>
      </c>
      <c r="W1088" s="2"/>
    </row>
    <row r="1089" customFormat="false" ht="13.5" hidden="false" customHeight="false" outlineLevel="0" collapsed="false">
      <c r="A1089" s="87" t="s">
        <v>49</v>
      </c>
      <c r="B1089" s="125" t="s">
        <v>50</v>
      </c>
      <c r="C1089" s="134"/>
      <c r="D1089" s="65" t="n">
        <v>-2823977.17143071</v>
      </c>
      <c r="E1089" s="65" t="n">
        <v>-2925700.49304324</v>
      </c>
      <c r="F1089" s="65" t="n">
        <v>-3074944.9058857</v>
      </c>
      <c r="G1089" s="65" t="n">
        <v>-3031155.26084069</v>
      </c>
      <c r="H1089" s="65" t="n">
        <v>-2929114.70546021</v>
      </c>
      <c r="I1089" s="65" t="n">
        <v>-3045988.21125321</v>
      </c>
      <c r="J1089" s="65" t="n">
        <v>-2131730.02585201</v>
      </c>
      <c r="K1089" s="65" t="n">
        <v>-1356652.51601605</v>
      </c>
      <c r="L1089" s="65" t="n">
        <v>-1483458.75680289</v>
      </c>
      <c r="M1089" s="65" t="n">
        <v>-1580689.44700343</v>
      </c>
      <c r="N1089" s="65" t="n">
        <v>-1457747.49062268</v>
      </c>
      <c r="O1089" s="65" t="n">
        <v>-1597300.5686182</v>
      </c>
      <c r="P1089" s="65" t="n">
        <v>-1741040.2389536</v>
      </c>
      <c r="Q1089" s="65" t="n">
        <v>-1889092.09939905</v>
      </c>
      <c r="R1089" s="65" t="n">
        <v>-2041585.51565787</v>
      </c>
      <c r="S1089" s="65" t="n">
        <v>-2197025.77548889</v>
      </c>
      <c r="T1089" s="65" t="n">
        <v>-2354404.99440403</v>
      </c>
      <c r="U1089" s="65" t="n">
        <v>-2521038.66767228</v>
      </c>
      <c r="V1089" s="65" t="n">
        <v>-2692671.35113858</v>
      </c>
      <c r="W1089" s="2"/>
    </row>
    <row r="1090" customFormat="false" ht="12.75" hidden="false" customHeight="false" outlineLevel="0" collapsed="false">
      <c r="A1090" s="2"/>
      <c r="B1090" s="125" t="s">
        <v>51</v>
      </c>
      <c r="C1090" s="134"/>
      <c r="D1090" s="65" t="n">
        <v>0</v>
      </c>
      <c r="E1090" s="65" t="n">
        <v>0</v>
      </c>
      <c r="F1090" s="65" t="n">
        <v>0</v>
      </c>
      <c r="G1090" s="65" t="n">
        <v>0</v>
      </c>
      <c r="H1090" s="65" t="n">
        <v>0</v>
      </c>
      <c r="I1090" s="65" t="n">
        <v>0</v>
      </c>
      <c r="J1090" s="65" t="n">
        <v>0</v>
      </c>
      <c r="K1090" s="65" t="n">
        <v>0</v>
      </c>
      <c r="L1090" s="65" t="n">
        <v>0</v>
      </c>
      <c r="M1090" s="65" t="n">
        <v>0</v>
      </c>
      <c r="N1090" s="65" t="n">
        <v>0</v>
      </c>
      <c r="O1090" s="65" t="n">
        <v>0</v>
      </c>
      <c r="P1090" s="65" t="n">
        <v>0</v>
      </c>
      <c r="Q1090" s="65" t="n">
        <v>0</v>
      </c>
      <c r="R1090" s="65" t="n">
        <v>0</v>
      </c>
      <c r="S1090" s="65" t="n">
        <v>0</v>
      </c>
      <c r="T1090" s="65" t="n">
        <v>0</v>
      </c>
      <c r="U1090" s="65" t="n">
        <v>0</v>
      </c>
      <c r="V1090" s="65" t="n">
        <v>0</v>
      </c>
      <c r="W1090" s="2"/>
    </row>
    <row r="1091" customFormat="false" ht="12.75" hidden="false" customHeight="false" outlineLevel="0" collapsed="false">
      <c r="A1091" s="2"/>
      <c r="B1091" s="137" t="s">
        <v>52</v>
      </c>
      <c r="C1091" s="138"/>
      <c r="D1091" s="88" t="n">
        <v>36800214.7723654</v>
      </c>
      <c r="E1091" s="88" t="n">
        <v>35273207.9825418</v>
      </c>
      <c r="F1091" s="88" t="n">
        <v>29989465.8415682</v>
      </c>
      <c r="G1091" s="88" t="n">
        <v>29109507.3775929</v>
      </c>
      <c r="H1091" s="88" t="n">
        <v>28501771.282692</v>
      </c>
      <c r="I1091" s="88" t="n">
        <v>29900572.7732865</v>
      </c>
      <c r="J1091" s="88" t="n">
        <v>33711382.4653921</v>
      </c>
      <c r="K1091" s="88" t="n">
        <v>36218719.0540213</v>
      </c>
      <c r="L1091" s="88" t="n">
        <v>36688219.7017556</v>
      </c>
      <c r="M1091" s="88" t="n">
        <v>36491965.4851697</v>
      </c>
      <c r="N1091" s="88" t="n">
        <v>37427543.2285069</v>
      </c>
      <c r="O1091" s="88" t="n">
        <v>37005433.0487041</v>
      </c>
      <c r="P1091" s="88" t="n">
        <v>37351705.6085838</v>
      </c>
      <c r="Q1091" s="88" t="n">
        <v>38867074.7175475</v>
      </c>
      <c r="R1091" s="88" t="n">
        <v>43931090.5264751</v>
      </c>
      <c r="S1091" s="88" t="n">
        <v>41633845.058104</v>
      </c>
      <c r="T1091" s="88" t="n">
        <v>42262310.6506814</v>
      </c>
      <c r="U1091" s="88" t="n">
        <v>45831802.7117852</v>
      </c>
      <c r="V1091" s="88" t="n">
        <v>50594254.3947414</v>
      </c>
      <c r="W1091" s="2"/>
    </row>
    <row r="1092" customFormat="false" ht="13.5" hidden="false" customHeight="false" outlineLevel="0" collapsed="false">
      <c r="A1092" s="2"/>
      <c r="B1092" s="143" t="s">
        <v>53</v>
      </c>
      <c r="C1092" s="144"/>
      <c r="D1092" s="96" t="n">
        <v>-14720085.9089462</v>
      </c>
      <c r="E1092" s="96" t="n">
        <v>-14109283.1930167</v>
      </c>
      <c r="F1092" s="96" t="n">
        <v>-11995786.3366273</v>
      </c>
      <c r="G1092" s="96" t="n">
        <v>-11643802.9510372</v>
      </c>
      <c r="H1092" s="96" t="n">
        <v>-11400708.5130768</v>
      </c>
      <c r="I1092" s="96" t="n">
        <v>-11960229.1093146</v>
      </c>
      <c r="J1092" s="96" t="n">
        <v>-13484552.9861568</v>
      </c>
      <c r="K1092" s="96" t="n">
        <v>-14487487.6216085</v>
      </c>
      <c r="L1092" s="96" t="n">
        <v>-14675287.8807022</v>
      </c>
      <c r="M1092" s="96" t="n">
        <v>-14596786.1940679</v>
      </c>
      <c r="N1092" s="96" t="n">
        <v>-14971017.2914027</v>
      </c>
      <c r="O1092" s="96" t="n">
        <v>-14802173.2194817</v>
      </c>
      <c r="P1092" s="96" t="n">
        <v>-14940682.2434335</v>
      </c>
      <c r="Q1092" s="96" t="n">
        <v>-15546829.887019</v>
      </c>
      <c r="R1092" s="96" t="n">
        <v>-17572436.2105901</v>
      </c>
      <c r="S1092" s="96" t="n">
        <v>-16653538.0232416</v>
      </c>
      <c r="T1092" s="96" t="n">
        <v>-16904924.2602725</v>
      </c>
      <c r="U1092" s="96" t="n">
        <v>-18332721.0847141</v>
      </c>
      <c r="V1092" s="96" t="n">
        <v>-20237701.7578966</v>
      </c>
      <c r="W1092" s="2"/>
    </row>
    <row r="1093" customFormat="false" ht="13.5" hidden="false" customHeight="false" outlineLevel="0" collapsed="false">
      <c r="A1093" s="2"/>
      <c r="B1093" s="137" t="s">
        <v>54</v>
      </c>
      <c r="C1093" s="138"/>
      <c r="D1093" s="88" t="n">
        <v>22080128.8634192</v>
      </c>
      <c r="E1093" s="88" t="n">
        <v>21163924.7895251</v>
      </c>
      <c r="F1093" s="88" t="n">
        <v>17993679.5049409</v>
      </c>
      <c r="G1093" s="88" t="n">
        <v>17465704.4265557</v>
      </c>
      <c r="H1093" s="88" t="n">
        <v>17101062.7696152</v>
      </c>
      <c r="I1093" s="88" t="n">
        <v>17940343.6639719</v>
      </c>
      <c r="J1093" s="88" t="n">
        <v>20226829.4792352</v>
      </c>
      <c r="K1093" s="88" t="n">
        <v>21731231.4324128</v>
      </c>
      <c r="L1093" s="88" t="n">
        <v>22012931.8210533</v>
      </c>
      <c r="M1093" s="88" t="n">
        <v>21895179.2911018</v>
      </c>
      <c r="N1093" s="88" t="n">
        <v>22456525.9371041</v>
      </c>
      <c r="O1093" s="88" t="n">
        <v>22203259.8292225</v>
      </c>
      <c r="P1093" s="88" t="n">
        <v>22411023.3651503</v>
      </c>
      <c r="Q1093" s="88" t="n">
        <v>23320244.8305285</v>
      </c>
      <c r="R1093" s="88" t="n">
        <v>26358654.3158851</v>
      </c>
      <c r="S1093" s="88" t="n">
        <v>24980307.0348624</v>
      </c>
      <c r="T1093" s="88" t="n">
        <v>25357386.3904088</v>
      </c>
      <c r="U1093" s="88" t="n">
        <v>27499081.6270711</v>
      </c>
      <c r="V1093" s="88" t="n">
        <v>30356552.6368448</v>
      </c>
      <c r="W1093" s="2"/>
    </row>
    <row r="1094" customFormat="false" ht="12.75" hidden="false" customHeight="false" outlineLevel="0" collapsed="false">
      <c r="A1094" s="2"/>
      <c r="B1094" s="2"/>
      <c r="C1094" s="134"/>
      <c r="D1094" s="2"/>
      <c r="E1094" s="135"/>
      <c r="F1094" s="128"/>
      <c r="G1094" s="136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</row>
    <row r="1095" customFormat="false" ht="15.75" hidden="false" customHeight="false" outlineLevel="0" collapsed="false">
      <c r="A1095" s="97" t="s">
        <v>55</v>
      </c>
      <c r="B1095" s="145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</row>
    <row r="1096" customFormat="false" ht="12.75" hidden="false" customHeight="false" outlineLevel="0" collapsed="false">
      <c r="A1096" s="99" t="s">
        <v>56</v>
      </c>
      <c r="B1096" s="49"/>
      <c r="C1096" s="101" t="n">
        <v>0</v>
      </c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</row>
    <row r="1097" customFormat="false" ht="12.75" hidden="false" customHeight="false" outlineLevel="0" collapsed="false">
      <c r="A1097" s="99" t="s">
        <v>57</v>
      </c>
      <c r="B1097" s="49"/>
      <c r="C1097" s="146" t="n">
        <v>0</v>
      </c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</row>
    <row r="1098" customFormat="false" ht="12.75" hidden="false" customHeight="false" outlineLevel="0" collapsed="false">
      <c r="A1098" s="99" t="s">
        <v>58</v>
      </c>
      <c r="B1098" s="49"/>
      <c r="C1098" s="99" t="n">
        <v>15</v>
      </c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</row>
    <row r="1099" customFormat="false" ht="12.75" hidden="false" customHeight="false" outlineLevel="0" collapsed="false">
      <c r="A1099" s="99" t="s">
        <v>59</v>
      </c>
      <c r="B1099" s="49"/>
      <c r="C1099" s="146" t="n">
        <v>0</v>
      </c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</row>
    <row r="1100" customFormat="false" ht="12.75" hidden="false" customHeight="false" outlineLevel="0" collapsed="false">
      <c r="A1100" s="99" t="s">
        <v>60</v>
      </c>
      <c r="B1100" s="49"/>
      <c r="C1100" s="147" t="n">
        <v>0.0875</v>
      </c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</row>
    <row r="1101" customFormat="false" ht="12.75" hidden="false" customHeight="false" outlineLevel="0" collapsed="false">
      <c r="A1101" s="99"/>
      <c r="B1101" s="49"/>
      <c r="C1101" s="107"/>
      <c r="D1101" s="58" t="n">
        <v>2001</v>
      </c>
      <c r="E1101" s="58" t="n">
        <v>2002</v>
      </c>
      <c r="F1101" s="58" t="n">
        <v>2003</v>
      </c>
      <c r="G1101" s="58" t="n">
        <v>2004</v>
      </c>
      <c r="H1101" s="58" t="n">
        <v>2005</v>
      </c>
      <c r="I1101" s="58" t="n">
        <v>2006</v>
      </c>
      <c r="J1101" s="58" t="n">
        <v>2007</v>
      </c>
      <c r="K1101" s="58" t="n">
        <v>2008</v>
      </c>
      <c r="L1101" s="58" t="n">
        <v>2009</v>
      </c>
      <c r="M1101" s="58" t="n">
        <v>2010</v>
      </c>
      <c r="N1101" s="58" t="n">
        <v>2011</v>
      </c>
      <c r="O1101" s="58" t="n">
        <v>2012</v>
      </c>
      <c r="P1101" s="58" t="n">
        <v>2013</v>
      </c>
      <c r="Q1101" s="58" t="n">
        <v>2014</v>
      </c>
      <c r="R1101" s="58" t="n">
        <v>2015</v>
      </c>
      <c r="S1101" s="58" t="n">
        <v>2016</v>
      </c>
      <c r="T1101" s="58" t="n">
        <v>2017</v>
      </c>
      <c r="U1101" s="58" t="n">
        <v>2018</v>
      </c>
      <c r="V1101" s="58" t="n">
        <v>2019</v>
      </c>
      <c r="W1101" s="58" t="s">
        <v>19</v>
      </c>
    </row>
    <row r="1102" customFormat="false" ht="12.75" hidden="false" customHeight="false" outlineLevel="0" collapsed="false">
      <c r="A1102" s="99" t="s">
        <v>61</v>
      </c>
      <c r="B1102" s="49"/>
      <c r="C1102" s="107"/>
      <c r="D1102" s="102" t="n">
        <v>0</v>
      </c>
      <c r="E1102" s="102" t="n">
        <v>0</v>
      </c>
      <c r="F1102" s="102" t="n">
        <v>0</v>
      </c>
      <c r="G1102" s="102" t="n">
        <v>0</v>
      </c>
      <c r="H1102" s="102" t="n">
        <v>0</v>
      </c>
      <c r="I1102" s="102" t="n">
        <v>0</v>
      </c>
      <c r="J1102" s="102" t="n">
        <v>0</v>
      </c>
      <c r="K1102" s="102" t="n">
        <v>0</v>
      </c>
      <c r="L1102" s="102" t="n">
        <v>0</v>
      </c>
      <c r="M1102" s="102" t="n">
        <v>0</v>
      </c>
      <c r="N1102" s="102" t="n">
        <v>0</v>
      </c>
      <c r="O1102" s="102" t="n">
        <v>0</v>
      </c>
      <c r="P1102" s="102" t="n">
        <v>0</v>
      </c>
      <c r="Q1102" s="102" t="n">
        <v>0</v>
      </c>
      <c r="R1102" s="102" t="n">
        <v>0</v>
      </c>
      <c r="S1102" s="102" t="n">
        <v>0</v>
      </c>
      <c r="T1102" s="102" t="n">
        <v>0</v>
      </c>
      <c r="U1102" s="102" t="n">
        <v>0</v>
      </c>
      <c r="V1102" s="102" t="n">
        <v>0</v>
      </c>
      <c r="W1102" s="102" t="n">
        <v>0</v>
      </c>
    </row>
    <row r="1103" customFormat="false" ht="12.75" hidden="false" customHeight="false" outlineLevel="0" collapsed="false">
      <c r="A1103" s="99" t="s">
        <v>62</v>
      </c>
      <c r="B1103" s="49"/>
      <c r="C1103" s="107"/>
      <c r="D1103" s="102" t="n">
        <v>0</v>
      </c>
      <c r="E1103" s="102" t="n">
        <v>0</v>
      </c>
      <c r="F1103" s="102" t="n">
        <v>0</v>
      </c>
      <c r="G1103" s="102" t="n">
        <v>0</v>
      </c>
      <c r="H1103" s="102" t="n">
        <v>0</v>
      </c>
      <c r="I1103" s="102" t="n">
        <v>0</v>
      </c>
      <c r="J1103" s="102" t="n">
        <v>0</v>
      </c>
      <c r="K1103" s="102" t="n">
        <v>0</v>
      </c>
      <c r="L1103" s="102" t="n">
        <v>0</v>
      </c>
      <c r="M1103" s="102" t="n">
        <v>0</v>
      </c>
      <c r="N1103" s="102" t="n">
        <v>0</v>
      </c>
      <c r="O1103" s="102" t="n">
        <v>0</v>
      </c>
      <c r="P1103" s="102" t="n">
        <v>0</v>
      </c>
      <c r="Q1103" s="102" t="n">
        <v>0</v>
      </c>
      <c r="R1103" s="102" t="n">
        <v>0</v>
      </c>
      <c r="S1103" s="102" t="n">
        <v>0</v>
      </c>
      <c r="T1103" s="102" t="n">
        <v>0</v>
      </c>
      <c r="U1103" s="102" t="n">
        <v>0</v>
      </c>
      <c r="V1103" s="102" t="n">
        <v>0</v>
      </c>
      <c r="W1103" s="102" t="n">
        <v>0</v>
      </c>
    </row>
    <row r="1104" customFormat="false" ht="12.75" hidden="false" customHeight="false" outlineLevel="0" collapsed="false">
      <c r="A1104" s="99" t="s">
        <v>63</v>
      </c>
      <c r="B1104" s="49"/>
      <c r="C1104" s="107"/>
      <c r="D1104" s="102" t="n">
        <v>0</v>
      </c>
      <c r="E1104" s="102" t="n">
        <v>0</v>
      </c>
      <c r="F1104" s="102" t="n">
        <v>0</v>
      </c>
      <c r="G1104" s="102" t="n">
        <v>0</v>
      </c>
      <c r="H1104" s="102" t="n">
        <v>0</v>
      </c>
      <c r="I1104" s="102" t="n">
        <v>0</v>
      </c>
      <c r="J1104" s="102" t="n">
        <v>0</v>
      </c>
      <c r="K1104" s="102" t="n">
        <v>0</v>
      </c>
      <c r="L1104" s="102" t="n">
        <v>0</v>
      </c>
      <c r="M1104" s="102" t="n">
        <v>0</v>
      </c>
      <c r="N1104" s="102" t="n">
        <v>0</v>
      </c>
      <c r="O1104" s="102" t="n">
        <v>0</v>
      </c>
      <c r="P1104" s="102" t="n">
        <v>0</v>
      </c>
      <c r="Q1104" s="102" t="n">
        <v>0</v>
      </c>
      <c r="R1104" s="102" t="n">
        <v>0</v>
      </c>
      <c r="S1104" s="102" t="n">
        <v>0</v>
      </c>
      <c r="T1104" s="102" t="n">
        <v>0</v>
      </c>
      <c r="U1104" s="102" t="n">
        <v>0</v>
      </c>
      <c r="V1104" s="102" t="n">
        <v>0</v>
      </c>
      <c r="W1104" s="102" t="n">
        <v>0</v>
      </c>
    </row>
    <row r="1105" customFormat="false" ht="12.75" hidden="false" customHeight="false" outlineLevel="0" collapsed="false">
      <c r="A1105" s="99" t="s">
        <v>64</v>
      </c>
      <c r="B1105" s="49"/>
      <c r="C1105" s="107"/>
      <c r="D1105" s="105" t="n">
        <v>0</v>
      </c>
      <c r="E1105" s="105" t="n">
        <v>0</v>
      </c>
      <c r="F1105" s="105" t="n">
        <v>0</v>
      </c>
      <c r="G1105" s="105" t="n">
        <v>0</v>
      </c>
      <c r="H1105" s="105" t="n">
        <v>0</v>
      </c>
      <c r="I1105" s="105" t="n">
        <v>0</v>
      </c>
      <c r="J1105" s="105" t="n">
        <v>0</v>
      </c>
      <c r="K1105" s="105" t="n">
        <v>0</v>
      </c>
      <c r="L1105" s="105" t="n">
        <v>0</v>
      </c>
      <c r="M1105" s="105" t="n">
        <v>0</v>
      </c>
      <c r="N1105" s="105" t="n">
        <v>0</v>
      </c>
      <c r="O1105" s="105" t="n">
        <v>0</v>
      </c>
      <c r="P1105" s="105" t="n">
        <v>0</v>
      </c>
      <c r="Q1105" s="105" t="n">
        <v>0</v>
      </c>
      <c r="R1105" s="105" t="n">
        <v>0</v>
      </c>
      <c r="S1105" s="105" t="n">
        <v>0</v>
      </c>
      <c r="T1105" s="105" t="n">
        <v>0</v>
      </c>
      <c r="U1105" s="105" t="n">
        <v>0</v>
      </c>
      <c r="V1105" s="105" t="n">
        <v>0</v>
      </c>
      <c r="W1105" s="105" t="n">
        <v>0</v>
      </c>
    </row>
    <row r="1106" customFormat="false" ht="13.5" hidden="false" customHeight="false" outlineLevel="0" collapsed="false">
      <c r="A1106" s="99" t="s">
        <v>65</v>
      </c>
      <c r="B1106" s="49"/>
      <c r="C1106" s="107"/>
      <c r="D1106" s="106" t="n">
        <v>0</v>
      </c>
      <c r="E1106" s="106" t="n">
        <v>0</v>
      </c>
      <c r="F1106" s="106" t="n">
        <v>0</v>
      </c>
      <c r="G1106" s="106" t="n">
        <v>0</v>
      </c>
      <c r="H1106" s="106" t="n">
        <v>0</v>
      </c>
      <c r="I1106" s="106" t="n">
        <v>0</v>
      </c>
      <c r="J1106" s="106" t="n">
        <v>0</v>
      </c>
      <c r="K1106" s="106" t="n">
        <v>0</v>
      </c>
      <c r="L1106" s="106" t="n">
        <v>0</v>
      </c>
      <c r="M1106" s="106" t="n">
        <v>0</v>
      </c>
      <c r="N1106" s="106" t="n">
        <v>0</v>
      </c>
      <c r="O1106" s="106" t="n">
        <v>0</v>
      </c>
      <c r="P1106" s="106" t="n">
        <v>0</v>
      </c>
      <c r="Q1106" s="106" t="n">
        <v>0</v>
      </c>
      <c r="R1106" s="106" t="n">
        <v>0</v>
      </c>
      <c r="S1106" s="106" t="n">
        <v>0</v>
      </c>
      <c r="T1106" s="106" t="n">
        <v>0</v>
      </c>
      <c r="U1106" s="106" t="n">
        <v>0</v>
      </c>
      <c r="V1106" s="106" t="n">
        <v>0</v>
      </c>
      <c r="W1106" s="106" t="n">
        <v>0</v>
      </c>
    </row>
    <row r="1107" customFormat="false" ht="13.5" hidden="false" customHeight="false" outlineLevel="0" collapsed="false">
      <c r="A1107" s="99"/>
      <c r="B1107" s="49"/>
      <c r="C1107" s="107"/>
      <c r="D1107" s="102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</row>
    <row r="1108" customFormat="false" ht="12.75" hidden="false" customHeight="false" outlineLevel="0" collapsed="false">
      <c r="A1108" s="99" t="s">
        <v>66</v>
      </c>
      <c r="B1108" s="49"/>
      <c r="C1108" s="107"/>
      <c r="D1108" s="102" t="n">
        <v>0</v>
      </c>
      <c r="E1108" s="102" t="n">
        <v>0</v>
      </c>
      <c r="F1108" s="102" t="n">
        <v>0</v>
      </c>
      <c r="G1108" s="102" t="n">
        <v>0</v>
      </c>
      <c r="H1108" s="102" t="n">
        <v>0</v>
      </c>
      <c r="I1108" s="102" t="n">
        <v>0</v>
      </c>
      <c r="J1108" s="102" t="n">
        <v>0</v>
      </c>
      <c r="K1108" s="102" t="n">
        <v>0</v>
      </c>
      <c r="L1108" s="102" t="n">
        <v>0</v>
      </c>
      <c r="M1108" s="102" t="n">
        <v>0</v>
      </c>
      <c r="N1108" s="102" t="n">
        <v>0</v>
      </c>
      <c r="O1108" s="102" t="n">
        <v>0</v>
      </c>
      <c r="P1108" s="102" t="n">
        <v>0</v>
      </c>
      <c r="Q1108" s="102" t="n">
        <v>0</v>
      </c>
      <c r="R1108" s="102" t="n">
        <v>0</v>
      </c>
      <c r="S1108" s="102" t="n">
        <v>0</v>
      </c>
      <c r="T1108" s="102" t="n">
        <v>0</v>
      </c>
      <c r="U1108" s="102" t="n">
        <v>0</v>
      </c>
      <c r="V1108" s="102" t="n">
        <v>0</v>
      </c>
      <c r="W1108" s="102" t="n">
        <v>0</v>
      </c>
    </row>
    <row r="1109" customFormat="false" ht="12.75" hidden="false" customHeight="false" outlineLevel="0" collapsed="false">
      <c r="A1109" s="99"/>
      <c r="B1109" s="49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</row>
    <row r="1110" customFormat="false" ht="12.75" hidden="false" customHeight="false" outlineLevel="0" collapsed="false">
      <c r="A1110" s="99" t="s">
        <v>67</v>
      </c>
      <c r="B1110" s="49"/>
      <c r="C1110" s="107"/>
      <c r="D1110" s="102" t="n">
        <v>0</v>
      </c>
      <c r="E1110" s="102" t="n">
        <v>0</v>
      </c>
      <c r="F1110" s="102" t="n">
        <v>0</v>
      </c>
      <c r="G1110" s="102" t="n">
        <v>0</v>
      </c>
      <c r="H1110" s="102" t="n">
        <v>0</v>
      </c>
      <c r="I1110" s="102" t="n">
        <v>0</v>
      </c>
      <c r="J1110" s="102" t="n">
        <v>0</v>
      </c>
      <c r="K1110" s="102" t="n">
        <v>0</v>
      </c>
      <c r="L1110" s="102" t="n">
        <v>0</v>
      </c>
      <c r="M1110" s="102" t="n">
        <v>0</v>
      </c>
      <c r="N1110" s="102" t="n">
        <v>0</v>
      </c>
      <c r="O1110" s="102" t="n">
        <v>0</v>
      </c>
      <c r="P1110" s="102" t="n">
        <v>0</v>
      </c>
      <c r="Q1110" s="102" t="n">
        <v>0</v>
      </c>
      <c r="R1110" s="102" t="n">
        <v>0</v>
      </c>
      <c r="S1110" s="102" t="n">
        <v>0</v>
      </c>
      <c r="T1110" s="102" t="n">
        <v>0</v>
      </c>
      <c r="U1110" s="102" t="n">
        <v>0</v>
      </c>
      <c r="V1110" s="102" t="n">
        <v>0</v>
      </c>
      <c r="W1110" s="102" t="n">
        <v>0</v>
      </c>
    </row>
    <row r="1111" customFormat="false" ht="12.75" hidden="false" customHeight="false" outlineLevel="0" collapsed="false">
      <c r="A1111" s="107"/>
      <c r="B1111" s="49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</row>
    <row r="1112" customFormat="false" ht="12.75" hidden="false" customHeight="false" outlineLevel="0" collapsed="false">
      <c r="A1112" s="107"/>
      <c r="B1112" s="49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</row>
    <row r="1113" customFormat="false" ht="12.75" hidden="false" customHeight="false" outlineLevel="0" collapsed="false">
      <c r="A1113" s="99" t="s">
        <v>68</v>
      </c>
      <c r="B1113" s="148"/>
      <c r="C1113" s="149"/>
      <c r="D1113" s="79" t="n">
        <v>21192073.9845913</v>
      </c>
      <c r="E1113" s="79" t="n">
        <v>21597980.0068489</v>
      </c>
      <c r="F1113" s="79" t="n">
        <v>17373376.5758433</v>
      </c>
      <c r="G1113" s="79" t="n">
        <v>19569454.428399</v>
      </c>
      <c r="H1113" s="79" t="n">
        <v>17522258.8553421</v>
      </c>
      <c r="I1113" s="79" t="n">
        <v>18411459.6059405</v>
      </c>
      <c r="J1113" s="79" t="n">
        <v>20064581.1215576</v>
      </c>
      <c r="K1113" s="79" t="n">
        <v>20949096.4436112</v>
      </c>
      <c r="L1113" s="79" t="n">
        <v>21162965.2764533</v>
      </c>
      <c r="M1113" s="79" t="n">
        <v>21025936.0378594</v>
      </c>
      <c r="N1113" s="79" t="n">
        <v>21453530.9987309</v>
      </c>
      <c r="O1113" s="79" t="n">
        <v>21193630.2116518</v>
      </c>
      <c r="P1113" s="79" t="n">
        <v>21429815.3256887</v>
      </c>
      <c r="Q1113" s="79" t="n">
        <v>22345351.5351558</v>
      </c>
      <c r="R1113" s="79" t="n">
        <v>25391773.8875716</v>
      </c>
      <c r="S1113" s="79" t="n">
        <v>24042587.5669638</v>
      </c>
      <c r="T1113" s="79" t="n">
        <v>24449006.2327496</v>
      </c>
      <c r="U1113" s="79" t="n">
        <v>26656132.1045049</v>
      </c>
      <c r="V1113" s="79" t="n">
        <v>29574848.3711517</v>
      </c>
      <c r="W1113" s="79" t="n">
        <v>145971941.291198</v>
      </c>
    </row>
    <row r="1114" customFormat="false" ht="12.75" hidden="false" customHeight="false" outlineLevel="0" collapsed="false">
      <c r="A1114" s="2"/>
      <c r="B1114" s="31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</row>
    <row r="1115" customFormat="false" ht="12.75" hidden="false" customHeight="false" outlineLevel="0" collapsed="false">
      <c r="B1115" s="156"/>
      <c r="C1115" s="134"/>
      <c r="E1115" s="163"/>
      <c r="F1115" s="128"/>
      <c r="G1115" s="136"/>
    </row>
    <row r="1116" customFormat="false" ht="12.75" hidden="false" customHeight="false" outlineLevel="0" collapsed="false">
      <c r="B1116" s="126"/>
      <c r="C1116" s="134"/>
      <c r="E1116" s="163"/>
      <c r="F1116" s="128"/>
      <c r="G1116" s="136"/>
    </row>
    <row r="1117" customFormat="false" ht="12.75" hidden="false" customHeight="false" outlineLevel="0" collapsed="false">
      <c r="A1117" s="164"/>
      <c r="B1117" s="126"/>
      <c r="C1117" s="138"/>
      <c r="D1117" s="165"/>
      <c r="E1117" s="165"/>
      <c r="F1117" s="165"/>
      <c r="G1117" s="165"/>
      <c r="H1117" s="165"/>
      <c r="I1117" s="165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</row>
    <row r="1118" customFormat="false" ht="12.75" hidden="false" customHeight="false" outlineLevel="0" collapsed="false">
      <c r="B1118" s="156"/>
      <c r="C1118" s="134"/>
      <c r="D1118" s="166"/>
      <c r="E1118" s="166"/>
      <c r="F1118" s="166"/>
      <c r="G1118" s="166"/>
      <c r="H1118" s="166"/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</row>
    <row r="1119" customFormat="false" ht="12.75" hidden="false" customHeight="false" outlineLevel="0" collapsed="false">
      <c r="B1119" s="156"/>
      <c r="C1119" s="134"/>
      <c r="D1119" s="166"/>
      <c r="E1119" s="166"/>
      <c r="F1119" s="166"/>
      <c r="G1119" s="166"/>
      <c r="H1119" s="166"/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</row>
    <row r="1120" customFormat="false" ht="12.75" hidden="false" customHeight="false" outlineLevel="0" collapsed="false">
      <c r="B1120" s="126"/>
      <c r="C1120" s="138"/>
      <c r="D1120" s="165"/>
      <c r="E1120" s="165"/>
      <c r="F1120" s="165"/>
      <c r="G1120" s="165"/>
      <c r="H1120" s="165"/>
      <c r="I1120" s="165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</row>
    <row r="1121" customFormat="false" ht="12.75" hidden="false" customHeight="false" outlineLevel="0" collapsed="false">
      <c r="A1121" s="164"/>
      <c r="B1121" s="156"/>
      <c r="C1121" s="134"/>
      <c r="D1121" s="166"/>
      <c r="E1121" s="166"/>
      <c r="F1121" s="166"/>
      <c r="G1121" s="166"/>
      <c r="H1121" s="166"/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</row>
    <row r="1122" customFormat="false" ht="15.75" hidden="false" customHeight="false" outlineLevel="0" collapsed="false">
      <c r="A1122" s="48" t="s">
        <v>17</v>
      </c>
      <c r="B1122" s="57" t="s">
        <v>86</v>
      </c>
      <c r="C1122" s="58" t="n">
        <v>2000</v>
      </c>
      <c r="D1122" s="58" t="n">
        <v>2001</v>
      </c>
      <c r="E1122" s="58" t="n">
        <v>2002</v>
      </c>
      <c r="F1122" s="58" t="n">
        <v>2003</v>
      </c>
      <c r="G1122" s="58" t="n">
        <v>2004</v>
      </c>
      <c r="H1122" s="58" t="n">
        <v>2005</v>
      </c>
      <c r="I1122" s="58" t="n">
        <v>2006</v>
      </c>
      <c r="J1122" s="58" t="n">
        <v>2007</v>
      </c>
      <c r="K1122" s="58" t="n">
        <v>2008</v>
      </c>
      <c r="L1122" s="58" t="n">
        <v>2009</v>
      </c>
      <c r="M1122" s="58" t="n">
        <v>2010</v>
      </c>
      <c r="N1122" s="58" t="n">
        <v>2011</v>
      </c>
      <c r="O1122" s="58" t="n">
        <v>2012</v>
      </c>
      <c r="P1122" s="58" t="n">
        <v>2013</v>
      </c>
      <c r="Q1122" s="58" t="n">
        <v>2014</v>
      </c>
      <c r="R1122" s="58" t="n">
        <v>2015</v>
      </c>
      <c r="S1122" s="58" t="n">
        <v>2016</v>
      </c>
      <c r="T1122" s="58" t="n">
        <v>2017</v>
      </c>
      <c r="U1122" s="58" t="n">
        <v>2018</v>
      </c>
      <c r="V1122" s="58" t="n">
        <v>2019</v>
      </c>
      <c r="W1122" s="58" t="s">
        <v>19</v>
      </c>
    </row>
    <row r="1123" customFormat="false" ht="12.75" hidden="false" customHeight="false" outlineLevel="0" collapsed="false">
      <c r="A1123" s="48" t="s">
        <v>5</v>
      </c>
      <c r="B1123" s="49" t="n">
        <v>155.25</v>
      </c>
      <c r="C1123" s="61"/>
      <c r="D1123" s="61"/>
      <c r="E1123" s="61"/>
      <c r="F1123" s="61"/>
      <c r="G1123" s="61"/>
      <c r="H1123" s="61"/>
      <c r="I1123" s="61"/>
      <c r="J1123" s="61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</row>
    <row r="1124" customFormat="false" ht="12.75" hidden="false" customHeight="false" outlineLevel="0" collapsed="false">
      <c r="A1124" s="2"/>
      <c r="B1124" s="117" t="s">
        <v>20</v>
      </c>
      <c r="C1124" s="118" t="n">
        <v>0</v>
      </c>
      <c r="D1124" s="64" t="n">
        <v>43639020.5631053</v>
      </c>
      <c r="E1124" s="64" t="n">
        <v>43041184.1543918</v>
      </c>
      <c r="F1124" s="64" t="n">
        <v>43867259.858433</v>
      </c>
      <c r="G1124" s="64" t="n">
        <v>43250085.9957984</v>
      </c>
      <c r="H1124" s="64" t="n">
        <v>43577282.0757433</v>
      </c>
      <c r="I1124" s="64" t="n">
        <v>46480501.5344105</v>
      </c>
      <c r="J1124" s="64" t="n">
        <v>49856831.1028013</v>
      </c>
      <c r="K1124" s="64" t="n">
        <v>51149511.6719982</v>
      </c>
      <c r="L1124" s="64" t="n">
        <v>52219770.2371202</v>
      </c>
      <c r="M1124" s="64" t="n">
        <v>52404296.4406808</v>
      </c>
      <c r="N1124" s="64" t="n">
        <v>53536843.692995</v>
      </c>
      <c r="O1124" s="64" t="n">
        <v>54138234.4446615</v>
      </c>
      <c r="P1124" s="64" t="n">
        <v>54776331.9483519</v>
      </c>
      <c r="Q1124" s="64" t="n">
        <v>56702391.0500735</v>
      </c>
      <c r="R1124" s="64" t="n">
        <v>60730659.6054134</v>
      </c>
      <c r="S1124" s="64" t="n">
        <v>60382588.2302753</v>
      </c>
      <c r="T1124" s="64" t="n">
        <v>61154141.6806261</v>
      </c>
      <c r="U1124" s="64" t="n">
        <v>64087785.3297664</v>
      </c>
      <c r="V1124" s="64" t="n">
        <v>66034465.8360612</v>
      </c>
      <c r="W1124" s="65"/>
    </row>
    <row r="1125" customFormat="false" ht="12.75" hidden="false" customHeight="false" outlineLevel="0" collapsed="false">
      <c r="A1125" s="2"/>
      <c r="B1125" s="117" t="s">
        <v>21</v>
      </c>
      <c r="C1125" s="118" t="n">
        <v>0</v>
      </c>
      <c r="D1125" s="64" t="n">
        <v>-13613732.5382613</v>
      </c>
      <c r="E1125" s="64" t="n">
        <v>-13809605.5296447</v>
      </c>
      <c r="F1125" s="64" t="n">
        <v>-14050249.4904871</v>
      </c>
      <c r="G1125" s="64" t="n">
        <v>-14452068.9413821</v>
      </c>
      <c r="H1125" s="64" t="n">
        <v>-14954623.0735599</v>
      </c>
      <c r="I1125" s="64" t="n">
        <v>-15528810.7568723</v>
      </c>
      <c r="J1125" s="64" t="n">
        <v>-15886978.5125447</v>
      </c>
      <c r="K1125" s="64" t="n">
        <v>-16228357.15467</v>
      </c>
      <c r="L1125" s="64" t="n">
        <v>-16495863.6971878</v>
      </c>
      <c r="M1125" s="64" t="n">
        <v>-16627938.057092</v>
      </c>
      <c r="N1125" s="64" t="n">
        <v>-16854031.4528602</v>
      </c>
      <c r="O1125" s="64" t="n">
        <v>-17220034.128188</v>
      </c>
      <c r="P1125" s="64" t="n">
        <v>-17612899.3851912</v>
      </c>
      <c r="Q1125" s="64" t="n">
        <v>-17986736.9801743</v>
      </c>
      <c r="R1125" s="64" t="n">
        <v>-18241931.5060909</v>
      </c>
      <c r="S1125" s="64" t="n">
        <v>-18615769.1010739</v>
      </c>
      <c r="T1125" s="64" t="n">
        <v>-19041093.3109349</v>
      </c>
      <c r="U1125" s="64" t="n">
        <v>-19507830.6675456</v>
      </c>
      <c r="V1125" s="64" t="n">
        <v>-19990237.8634668</v>
      </c>
      <c r="W1125" s="65"/>
    </row>
    <row r="1126" customFormat="false" ht="12.75" hidden="false" customHeight="false" outlineLevel="0" collapsed="false">
      <c r="A1126" s="2"/>
      <c r="B1126" s="117" t="s">
        <v>22</v>
      </c>
      <c r="C1126" s="118" t="n">
        <v>0</v>
      </c>
      <c r="D1126" s="64" t="n">
        <v>-1127083.23738606</v>
      </c>
      <c r="E1126" s="64" t="n">
        <v>-1149832.68633212</v>
      </c>
      <c r="F1126" s="64" t="n">
        <v>-1173041.31824727</v>
      </c>
      <c r="G1126" s="64" t="n">
        <v>-1196718.40144387</v>
      </c>
      <c r="H1126" s="64" t="n">
        <v>-1220873.39130921</v>
      </c>
      <c r="I1126" s="64" t="n">
        <v>-1245515.93408148</v>
      </c>
      <c r="J1126" s="64" t="n">
        <v>-1270655.87070195</v>
      </c>
      <c r="K1126" s="64" t="n">
        <v>-1296303.24074499</v>
      </c>
      <c r="L1126" s="64" t="n">
        <v>-1322468.28642727</v>
      </c>
      <c r="M1126" s="64" t="n">
        <v>-1349161.45669803</v>
      </c>
      <c r="N1126" s="64" t="n">
        <v>-1376393.41141179</v>
      </c>
      <c r="O1126" s="64" t="n">
        <v>-1404175.0255854</v>
      </c>
      <c r="P1126" s="64" t="n">
        <v>-1432517.3937409</v>
      </c>
      <c r="Q1126" s="64" t="n">
        <v>-1461431.83433611</v>
      </c>
      <c r="R1126" s="64" t="n">
        <v>-1490929.89428462</v>
      </c>
      <c r="S1126" s="64" t="n">
        <v>-1521023.35356704</v>
      </c>
      <c r="T1126" s="64" t="n">
        <v>-1551724.22993531</v>
      </c>
      <c r="U1126" s="64" t="n">
        <v>-1583044.78371193</v>
      </c>
      <c r="V1126" s="64" t="n">
        <v>-1614997.52268611</v>
      </c>
      <c r="W1126" s="65"/>
    </row>
    <row r="1127" customFormat="false" ht="12.75" hidden="false" customHeight="false" outlineLevel="0" collapsed="false">
      <c r="A1127" s="2"/>
      <c r="B1127" s="117" t="s">
        <v>23</v>
      </c>
      <c r="C1127" s="118" t="n">
        <v>0</v>
      </c>
      <c r="D1127" s="64" t="n">
        <v>0</v>
      </c>
      <c r="E1127" s="64" t="n">
        <v>0</v>
      </c>
      <c r="F1127" s="64" t="n">
        <v>0</v>
      </c>
      <c r="G1127" s="64" t="n">
        <v>0</v>
      </c>
      <c r="H1127" s="64" t="n">
        <v>0</v>
      </c>
      <c r="I1127" s="64" t="n">
        <v>-936131.682876685</v>
      </c>
      <c r="J1127" s="64" t="n">
        <v>-1037627.18856697</v>
      </c>
      <c r="K1127" s="64" t="n">
        <v>-1241670.89389343</v>
      </c>
      <c r="L1127" s="64" t="n">
        <v>-1257577.90996262</v>
      </c>
      <c r="M1127" s="64" t="n">
        <v>-1398619.98909391</v>
      </c>
      <c r="N1127" s="64" t="n">
        <v>-1540685.68689066</v>
      </c>
      <c r="O1127" s="64" t="n">
        <v>-1707033.54992118</v>
      </c>
      <c r="P1127" s="64" t="n">
        <v>-1914033.66124294</v>
      </c>
      <c r="Q1127" s="64" t="n">
        <v>-2130618.14420907</v>
      </c>
      <c r="R1127" s="64" t="n">
        <v>-2360074.03759122</v>
      </c>
      <c r="S1127" s="64" t="n">
        <v>-2591358.39094916</v>
      </c>
      <c r="T1127" s="64" t="n">
        <v>-2545883.28429605</v>
      </c>
      <c r="U1127" s="64" t="n">
        <v>-2178140.85021898</v>
      </c>
      <c r="V1127" s="64" t="n">
        <v>-2258330.2022325</v>
      </c>
      <c r="W1127" s="65"/>
    </row>
    <row r="1128" customFormat="false" ht="13.5" hidden="false" customHeight="false" outlineLevel="0" collapsed="false">
      <c r="A1128" s="2"/>
      <c r="B1128" s="119" t="s">
        <v>24</v>
      </c>
      <c r="C1128" s="120" t="n">
        <v>0</v>
      </c>
      <c r="D1128" s="68" t="n">
        <v>0</v>
      </c>
      <c r="E1128" s="68" t="n">
        <v>0</v>
      </c>
      <c r="F1128" s="68" t="n">
        <v>-3544045.75140868</v>
      </c>
      <c r="G1128" s="68" t="n">
        <v>-3019749.13205908</v>
      </c>
      <c r="H1128" s="68" t="n">
        <v>-3134912.15811754</v>
      </c>
      <c r="I1128" s="68" t="n">
        <v>-3255882.29693531</v>
      </c>
      <c r="J1128" s="68" t="n">
        <v>-4110522.31088469</v>
      </c>
      <c r="K1128" s="68" t="n">
        <v>-3590453.75525035</v>
      </c>
      <c r="L1128" s="68" t="n">
        <v>-3800285.44954978</v>
      </c>
      <c r="M1128" s="68" t="n">
        <v>-3616117.152227</v>
      </c>
      <c r="N1128" s="68" t="n">
        <v>-3719685.72779106</v>
      </c>
      <c r="O1128" s="68" t="n">
        <v>-3816140.42214118</v>
      </c>
      <c r="P1128" s="68" t="n">
        <v>-3408614.04991681</v>
      </c>
      <c r="Q1128" s="68" t="n">
        <v>-3530487.94950262</v>
      </c>
      <c r="R1128" s="68" t="n">
        <v>-3603446.82880687</v>
      </c>
      <c r="S1128" s="68" t="n">
        <v>-3826607.36033108</v>
      </c>
      <c r="T1128" s="68" t="n">
        <v>-3597407.80147336</v>
      </c>
      <c r="U1128" s="68" t="n">
        <v>-3962102.36049837</v>
      </c>
      <c r="V1128" s="68" t="n">
        <v>-2157168.82671309</v>
      </c>
      <c r="W1128" s="65"/>
    </row>
    <row r="1129" customFormat="false" ht="13.5" hidden="false" customHeight="false" outlineLevel="0" collapsed="false">
      <c r="A1129" s="2"/>
      <c r="B1129" s="121" t="s">
        <v>25</v>
      </c>
      <c r="C1129" s="122" t="n">
        <v>0</v>
      </c>
      <c r="D1129" s="71" t="n">
        <v>28898204.787458</v>
      </c>
      <c r="E1129" s="71" t="n">
        <v>28081745.938415</v>
      </c>
      <c r="F1129" s="71" t="n">
        <v>25099923.2982899</v>
      </c>
      <c r="G1129" s="71" t="n">
        <v>24581549.5209134</v>
      </c>
      <c r="H1129" s="71" t="n">
        <v>24266873.4527566</v>
      </c>
      <c r="I1129" s="71" t="n">
        <v>25514160.8636447</v>
      </c>
      <c r="J1129" s="71" t="n">
        <v>27551047.220103</v>
      </c>
      <c r="K1129" s="71" t="n">
        <v>28792726.6274394</v>
      </c>
      <c r="L1129" s="71" t="n">
        <v>29343574.8939927</v>
      </c>
      <c r="M1129" s="71" t="n">
        <v>29412459.7855698</v>
      </c>
      <c r="N1129" s="71" t="n">
        <v>30046047.4140413</v>
      </c>
      <c r="O1129" s="71" t="n">
        <v>29990851.3188258</v>
      </c>
      <c r="P1129" s="71" t="n">
        <v>30408267.4582601</v>
      </c>
      <c r="Q1129" s="71" t="n">
        <v>31593116.1418514</v>
      </c>
      <c r="R1129" s="71" t="n">
        <v>35034277.3386398</v>
      </c>
      <c r="S1129" s="71" t="n">
        <v>33827830.0243541</v>
      </c>
      <c r="T1129" s="71" t="n">
        <v>34418033.0539865</v>
      </c>
      <c r="U1129" s="71" t="n">
        <v>36856666.6677916</v>
      </c>
      <c r="V1129" s="71" t="n">
        <v>40013731.4209626</v>
      </c>
      <c r="W1129" s="65"/>
    </row>
    <row r="1130" customFormat="false" ht="12.75" hidden="false" customHeight="false" outlineLevel="0" collapsed="false">
      <c r="A1130" s="2"/>
      <c r="B1130" s="117" t="s">
        <v>26</v>
      </c>
      <c r="C1130" s="118" t="n">
        <v>0</v>
      </c>
      <c r="D1130" s="64" t="n">
        <v>-1835944.93018654</v>
      </c>
      <c r="E1130" s="64" t="n">
        <v>-1872663.82879027</v>
      </c>
      <c r="F1130" s="64" t="n">
        <v>-1910117.10536607</v>
      </c>
      <c r="G1130" s="64" t="n">
        <v>-1948319.44747339</v>
      </c>
      <c r="H1130" s="64" t="n">
        <v>-1987285.83642286</v>
      </c>
      <c r="I1130" s="64" t="n">
        <v>-2027031.55315132</v>
      </c>
      <c r="J1130" s="64" t="n">
        <v>-2067572.18421435</v>
      </c>
      <c r="K1130" s="64" t="n">
        <v>-2108923.62789863</v>
      </c>
      <c r="L1130" s="64" t="n">
        <v>-2151102.1004566</v>
      </c>
      <c r="M1130" s="64" t="n">
        <v>-2194124.14246574</v>
      </c>
      <c r="N1130" s="64" t="n">
        <v>-2238006.62531505</v>
      </c>
      <c r="O1130" s="64" t="n">
        <v>-2282766.75782135</v>
      </c>
      <c r="P1130" s="64" t="n">
        <v>-2328422.09297778</v>
      </c>
      <c r="Q1130" s="64" t="n">
        <v>-2374990.53483734</v>
      </c>
      <c r="R1130" s="64" t="n">
        <v>-2422490.34553408</v>
      </c>
      <c r="S1130" s="64" t="n">
        <v>-2470940.15244476</v>
      </c>
      <c r="T1130" s="64" t="n">
        <v>-2520358.95549366</v>
      </c>
      <c r="U1130" s="64" t="n">
        <v>-2570766.13460353</v>
      </c>
      <c r="V1130" s="64" t="n">
        <v>-2622181.4572956</v>
      </c>
      <c r="W1130" s="65"/>
    </row>
    <row r="1131" customFormat="false" ht="12.75" hidden="false" customHeight="false" outlineLevel="0" collapsed="false">
      <c r="A1131" s="2"/>
      <c r="B1131" s="117" t="s">
        <v>27</v>
      </c>
      <c r="C1131" s="118" t="n">
        <v>0</v>
      </c>
      <c r="D1131" s="64" t="n">
        <v>-261504.61651771</v>
      </c>
      <c r="E1131" s="64" t="n">
        <v>-268705.317222482</v>
      </c>
      <c r="F1131" s="64" t="n">
        <v>-276063.713272688</v>
      </c>
      <c r="G1131" s="64" t="n">
        <v>-283588.409073629</v>
      </c>
      <c r="H1131" s="64" t="n">
        <v>-291597.993554113</v>
      </c>
      <c r="I1131" s="64" t="n">
        <v>-299494.83470563</v>
      </c>
      <c r="J1131" s="64" t="n">
        <v>-307908.543174549</v>
      </c>
      <c r="K1131" s="64" t="n">
        <v>-316206.091069168</v>
      </c>
      <c r="L1131" s="64" t="n">
        <v>-325045.942457941</v>
      </c>
      <c r="M1131" s="64" t="n">
        <v>-334343.516536812</v>
      </c>
      <c r="N1131" s="64" t="n">
        <v>-343867.422647388</v>
      </c>
      <c r="O1131" s="64" t="n">
        <v>-354846.998607277</v>
      </c>
      <c r="P1131" s="64" t="n">
        <v>-364234.907169134</v>
      </c>
      <c r="Q1131" s="64" t="n">
        <v>-373857.513445037</v>
      </c>
      <c r="R1131" s="64" t="n">
        <v>-383721.647138465</v>
      </c>
      <c r="S1131" s="64" t="n">
        <v>-393832.384174229</v>
      </c>
      <c r="T1131" s="64" t="n">
        <v>-404193.86748848</v>
      </c>
      <c r="U1131" s="64" t="n">
        <v>-414815.424033918</v>
      </c>
      <c r="V1131" s="64" t="n">
        <v>-425703.581648647</v>
      </c>
      <c r="W1131" s="65"/>
    </row>
    <row r="1132" customFormat="false" ht="13.5" hidden="false" customHeight="false" outlineLevel="0" collapsed="false">
      <c r="A1132" s="2"/>
      <c r="B1132" s="119" t="s">
        <v>28</v>
      </c>
      <c r="C1132" s="120" t="n">
        <v>0</v>
      </c>
      <c r="D1132" s="68" t="n">
        <v>-358876.373490596</v>
      </c>
      <c r="E1132" s="68" t="n">
        <v>-366448.664971249</v>
      </c>
      <c r="F1132" s="68" t="n">
        <v>-374473.89073412</v>
      </c>
      <c r="G1132" s="68" t="n">
        <v>-382937.000664708</v>
      </c>
      <c r="H1132" s="68" t="n">
        <v>-392050.901280529</v>
      </c>
      <c r="I1132" s="68" t="n">
        <v>-401875.736280201</v>
      </c>
      <c r="J1132" s="68" t="n">
        <v>-411843.374114171</v>
      </c>
      <c r="K1132" s="68" t="n">
        <v>-422267.981017894</v>
      </c>
      <c r="L1132" s="68" t="n">
        <v>-432698.000149037</v>
      </c>
      <c r="M1132" s="68" t="n">
        <v>-443731.799152836</v>
      </c>
      <c r="N1132" s="68" t="n">
        <v>-454470.108692336</v>
      </c>
      <c r="O1132" s="68" t="n">
        <v>-465922.755431382</v>
      </c>
      <c r="P1132" s="68" t="n">
        <v>-477757.193419338</v>
      </c>
      <c r="Q1132" s="68" t="n">
        <v>-489701.123254821</v>
      </c>
      <c r="R1132" s="68" t="n">
        <v>-501992.621448517</v>
      </c>
      <c r="S1132" s="68" t="n">
        <v>-514542.436984731</v>
      </c>
      <c r="T1132" s="68" t="n">
        <v>-527303.089421952</v>
      </c>
      <c r="U1132" s="68" t="n">
        <v>-540538.396966444</v>
      </c>
      <c r="V1132" s="68" t="n">
        <v>-554105.910730301</v>
      </c>
      <c r="W1132" s="65"/>
    </row>
    <row r="1133" customFormat="false" ht="13.5" hidden="false" customHeight="false" outlineLevel="0" collapsed="false">
      <c r="A1133" s="2"/>
      <c r="B1133" s="121" t="s">
        <v>29</v>
      </c>
      <c r="C1133" s="123" t="n">
        <v>0</v>
      </c>
      <c r="D1133" s="73" t="n">
        <v>26441878.8672631</v>
      </c>
      <c r="E1133" s="73" t="n">
        <v>25573928.127431</v>
      </c>
      <c r="F1133" s="73" t="n">
        <v>22539268.5889171</v>
      </c>
      <c r="G1133" s="73" t="n">
        <v>21966704.6637017</v>
      </c>
      <c r="H1133" s="73" t="n">
        <v>21595938.7214991</v>
      </c>
      <c r="I1133" s="73" t="n">
        <v>22785758.7395076</v>
      </c>
      <c r="J1133" s="73" t="n">
        <v>24763723.1185999</v>
      </c>
      <c r="K1133" s="73" t="n">
        <v>25945328.9274537</v>
      </c>
      <c r="L1133" s="73" t="n">
        <v>26434728.8509291</v>
      </c>
      <c r="M1133" s="73" t="n">
        <v>26440260.3274144</v>
      </c>
      <c r="N1133" s="73" t="n">
        <v>27009703.2573865</v>
      </c>
      <c r="O1133" s="73" t="n">
        <v>26887314.8069657</v>
      </c>
      <c r="P1133" s="73" t="n">
        <v>27237853.2646938</v>
      </c>
      <c r="Q1133" s="73" t="n">
        <v>28354566.9703142</v>
      </c>
      <c r="R1133" s="73" t="n">
        <v>31726072.7245188</v>
      </c>
      <c r="S1133" s="73" t="n">
        <v>30448515.0507503</v>
      </c>
      <c r="T1133" s="73" t="n">
        <v>30966177.1415824</v>
      </c>
      <c r="U1133" s="73" t="n">
        <v>33330546.7121877</v>
      </c>
      <c r="V1133" s="73" t="n">
        <v>36411740.4712881</v>
      </c>
      <c r="W1133" s="65"/>
    </row>
    <row r="1134" customFormat="false" ht="12.75" hidden="false" customHeight="false" outlineLevel="0" collapsed="false">
      <c r="A1134" s="2"/>
      <c r="B1134" s="117" t="s">
        <v>30</v>
      </c>
      <c r="C1134" s="118" t="n">
        <v>0</v>
      </c>
      <c r="D1134" s="64" t="n">
        <v>-641088.66925</v>
      </c>
      <c r="E1134" s="64" t="n">
        <v>-871932.4461592</v>
      </c>
      <c r="F1134" s="64" t="n">
        <v>-942106.2492477</v>
      </c>
      <c r="G1134" s="64" t="n">
        <v>-1016154.0382083</v>
      </c>
      <c r="H1134" s="64" t="n">
        <v>-1153065.6329874</v>
      </c>
      <c r="I1134" s="64" t="n">
        <v>-1285472.58596742</v>
      </c>
      <c r="J1134" s="64" t="n">
        <v>-1414452.6987481</v>
      </c>
      <c r="K1134" s="64" t="n">
        <v>-1539643.82101781</v>
      </c>
      <c r="L1134" s="64" t="n">
        <v>-1557855.43054361</v>
      </c>
      <c r="M1134" s="64" t="n">
        <v>-1580559.0401869</v>
      </c>
      <c r="N1134" s="64" t="n">
        <v>-1717915.03439794</v>
      </c>
      <c r="O1134" s="64" t="n">
        <v>-1858373.371666</v>
      </c>
      <c r="P1134" s="64" t="n">
        <v>-2002947.28649299</v>
      </c>
      <c r="Q1134" s="64" t="n">
        <v>-2044074.76876479</v>
      </c>
      <c r="R1134" s="64" t="n">
        <v>-2089627.97550474</v>
      </c>
      <c r="S1134" s="64" t="n">
        <v>-2247653.96844689</v>
      </c>
      <c r="T1134" s="64" t="n">
        <v>-2410426.83117731</v>
      </c>
      <c r="U1134" s="64" t="n">
        <v>-2578076.78978964</v>
      </c>
      <c r="V1134" s="64" t="n">
        <v>-2743578.33716034</v>
      </c>
      <c r="W1134" s="65"/>
    </row>
    <row r="1135" customFormat="false" ht="13.5" hidden="false" customHeight="false" outlineLevel="0" collapsed="false">
      <c r="A1135" s="2"/>
      <c r="B1135" s="119" t="s">
        <v>70</v>
      </c>
      <c r="C1135" s="120" t="n">
        <v>0</v>
      </c>
      <c r="D1135" s="68" t="n">
        <v>-10320316.0792052</v>
      </c>
      <c r="E1135" s="68" t="n">
        <v>-9880798.27250873</v>
      </c>
      <c r="F1135" s="68" t="n">
        <v>-8638864.93586774</v>
      </c>
      <c r="G1135" s="68" t="n">
        <v>-8380220.25019735</v>
      </c>
      <c r="H1135" s="68" t="n">
        <v>-8177149.2354047</v>
      </c>
      <c r="I1135" s="68" t="n">
        <v>-8600114.46141606</v>
      </c>
      <c r="J1135" s="68" t="n">
        <v>-9339708.16794073</v>
      </c>
      <c r="K1135" s="68" t="n">
        <v>-9762274.04257437</v>
      </c>
      <c r="L1135" s="68" t="n">
        <v>-9950749.36815421</v>
      </c>
      <c r="M1135" s="68" t="n">
        <v>-9943880.514891</v>
      </c>
      <c r="N1135" s="68" t="n">
        <v>-10116715.2891954</v>
      </c>
      <c r="O1135" s="68" t="n">
        <v>-10011576.5741199</v>
      </c>
      <c r="P1135" s="68" t="n">
        <v>-10093962.3912803</v>
      </c>
      <c r="Q1135" s="68" t="n">
        <v>-10524196.8806198</v>
      </c>
      <c r="R1135" s="68" t="n">
        <v>-11854577.8996056</v>
      </c>
      <c r="S1135" s="68" t="n">
        <v>-11280344.4329214</v>
      </c>
      <c r="T1135" s="68" t="n">
        <v>-11422300.124162</v>
      </c>
      <c r="U1135" s="68" t="n">
        <v>-12300987.9689592</v>
      </c>
      <c r="V1135" s="68" t="n">
        <v>-13467264.8536511</v>
      </c>
      <c r="W1135" s="65"/>
    </row>
    <row r="1136" customFormat="false" ht="13.5" hidden="false" customHeight="false" outlineLevel="0" collapsed="false">
      <c r="A1136" s="2"/>
      <c r="B1136" s="121" t="s">
        <v>32</v>
      </c>
      <c r="C1136" s="123" t="n">
        <v>0</v>
      </c>
      <c r="D1136" s="73" t="n">
        <v>15480474.1188079</v>
      </c>
      <c r="E1136" s="73" t="n">
        <v>14821197.4087631</v>
      </c>
      <c r="F1136" s="73" t="n">
        <v>12958297.4038016</v>
      </c>
      <c r="G1136" s="73" t="n">
        <v>12570330.375296</v>
      </c>
      <c r="H1136" s="73" t="n">
        <v>12265723.853107</v>
      </c>
      <c r="I1136" s="73" t="n">
        <v>12900171.6921241</v>
      </c>
      <c r="J1136" s="73" t="n">
        <v>14009562.2519111</v>
      </c>
      <c r="K1136" s="73" t="n">
        <v>14643411.0638616</v>
      </c>
      <c r="L1136" s="73" t="n">
        <v>14926124.0522313</v>
      </c>
      <c r="M1136" s="73" t="n">
        <v>14915820.7723365</v>
      </c>
      <c r="N1136" s="73" t="n">
        <v>15175072.9337931</v>
      </c>
      <c r="O1136" s="73" t="n">
        <v>15017364.8611799</v>
      </c>
      <c r="P1136" s="73" t="n">
        <v>15140943.5869205</v>
      </c>
      <c r="Q1136" s="73" t="n">
        <v>15786295.3209297</v>
      </c>
      <c r="R1136" s="73" t="n">
        <v>17781866.8494084</v>
      </c>
      <c r="S1136" s="73" t="n">
        <v>16920516.6493821</v>
      </c>
      <c r="T1136" s="73" t="n">
        <v>17133450.186243</v>
      </c>
      <c r="U1136" s="73" t="n">
        <v>18451481.9534389</v>
      </c>
      <c r="V1136" s="73" t="n">
        <v>20200897.2804766</v>
      </c>
      <c r="W1136" s="65"/>
    </row>
    <row r="1137" customFormat="false" ht="12.75" hidden="false" customHeight="false" outlineLevel="0" collapsed="false">
      <c r="A1137" s="2"/>
      <c r="B1137" s="117" t="s">
        <v>30</v>
      </c>
      <c r="C1137" s="118" t="n">
        <v>0</v>
      </c>
      <c r="D1137" s="64" t="n">
        <v>641088.66925</v>
      </c>
      <c r="E1137" s="64" t="n">
        <v>871932.4461592</v>
      </c>
      <c r="F1137" s="64" t="n">
        <v>942106.2492477</v>
      </c>
      <c r="G1137" s="64" t="n">
        <v>1016154.0382083</v>
      </c>
      <c r="H1137" s="64" t="n">
        <v>1153065.6329874</v>
      </c>
      <c r="I1137" s="64" t="n">
        <v>1285472.58596742</v>
      </c>
      <c r="J1137" s="64" t="n">
        <v>1414452.6987481</v>
      </c>
      <c r="K1137" s="64" t="n">
        <v>1539643.82101781</v>
      </c>
      <c r="L1137" s="64" t="n">
        <v>1557855.43054361</v>
      </c>
      <c r="M1137" s="64" t="n">
        <v>1580559.0401869</v>
      </c>
      <c r="N1137" s="64" t="n">
        <v>1717915.03439794</v>
      </c>
      <c r="O1137" s="64" t="n">
        <v>1858373.371666</v>
      </c>
      <c r="P1137" s="64" t="n">
        <v>2002947.28649299</v>
      </c>
      <c r="Q1137" s="64" t="n">
        <v>2044074.76876479</v>
      </c>
      <c r="R1137" s="64" t="n">
        <v>2089627.97550474</v>
      </c>
      <c r="S1137" s="64" t="n">
        <v>2247653.96844689</v>
      </c>
      <c r="T1137" s="64" t="n">
        <v>2410426.83117731</v>
      </c>
      <c r="U1137" s="64" t="n">
        <v>2578076.78978964</v>
      </c>
      <c r="V1137" s="64" t="n">
        <v>2743578.33716034</v>
      </c>
      <c r="W1137" s="65"/>
    </row>
    <row r="1138" customFormat="false" ht="12.75" hidden="false" customHeight="false" outlineLevel="0" collapsed="false">
      <c r="A1138" s="2"/>
      <c r="B1138" s="117" t="s">
        <v>33</v>
      </c>
      <c r="C1138" s="118" t="n">
        <v>0</v>
      </c>
      <c r="D1138" s="64" t="n">
        <v>-4505591.18</v>
      </c>
      <c r="E1138" s="64" t="n">
        <v>-2109515.17</v>
      </c>
      <c r="F1138" s="64" t="n">
        <v>-609625.87</v>
      </c>
      <c r="G1138" s="64" t="n">
        <v>-2352594.68</v>
      </c>
      <c r="H1138" s="64" t="n">
        <v>-2434176.648</v>
      </c>
      <c r="I1138" s="64" t="n">
        <v>-2507201.94744</v>
      </c>
      <c r="J1138" s="64" t="n">
        <v>-2582418.0058632</v>
      </c>
      <c r="K1138" s="64" t="n">
        <v>-2659890.5460391</v>
      </c>
      <c r="L1138" s="64" t="n">
        <v>-2739687.26242027</v>
      </c>
      <c r="M1138" s="64" t="n">
        <v>-2821877.88029288</v>
      </c>
      <c r="N1138" s="64" t="n">
        <v>-2906534.21670166</v>
      </c>
      <c r="O1138" s="64" t="n">
        <v>-2993730.24320271</v>
      </c>
      <c r="P1138" s="64" t="n">
        <v>-3083542.1504988</v>
      </c>
      <c r="Q1138" s="64" t="n">
        <v>-3176048.41501376</v>
      </c>
      <c r="R1138" s="64" t="n">
        <v>-3271329.86746417</v>
      </c>
      <c r="S1138" s="64" t="n">
        <v>-3369469.7634881</v>
      </c>
      <c r="T1138" s="64" t="n">
        <v>-3470553.85639274</v>
      </c>
      <c r="U1138" s="64" t="n">
        <v>-3574670.47208452</v>
      </c>
      <c r="V1138" s="64" t="n">
        <v>-3681910.58624706</v>
      </c>
      <c r="W1138" s="65"/>
    </row>
    <row r="1139" customFormat="false" ht="13.5" hidden="false" customHeight="false" outlineLevel="0" collapsed="false">
      <c r="A1139" s="2"/>
      <c r="B1139" s="119" t="s">
        <v>34</v>
      </c>
      <c r="C1139" s="120" t="n">
        <v>0</v>
      </c>
      <c r="D1139" s="68" t="n">
        <v>0</v>
      </c>
      <c r="E1139" s="68" t="n">
        <v>0</v>
      </c>
      <c r="F1139" s="68" t="n">
        <v>0</v>
      </c>
      <c r="G1139" s="68" t="n">
        <v>0</v>
      </c>
      <c r="H1139" s="68" t="n">
        <v>0</v>
      </c>
      <c r="I1139" s="68" t="n">
        <v>0</v>
      </c>
      <c r="J1139" s="68" t="n">
        <v>0</v>
      </c>
      <c r="K1139" s="68" t="n">
        <v>0</v>
      </c>
      <c r="L1139" s="68" t="n">
        <v>0</v>
      </c>
      <c r="M1139" s="68" t="n">
        <v>0</v>
      </c>
      <c r="N1139" s="68" t="n">
        <v>0</v>
      </c>
      <c r="O1139" s="68" t="n">
        <v>0</v>
      </c>
      <c r="P1139" s="68" t="n">
        <v>0</v>
      </c>
      <c r="Q1139" s="68" t="n">
        <v>0</v>
      </c>
      <c r="R1139" s="68" t="n">
        <v>0</v>
      </c>
      <c r="S1139" s="68" t="n">
        <v>0</v>
      </c>
      <c r="T1139" s="68" t="n">
        <v>0</v>
      </c>
      <c r="U1139" s="68" t="n">
        <v>0</v>
      </c>
      <c r="V1139" s="68" t="n">
        <v>0</v>
      </c>
      <c r="W1139" s="65"/>
    </row>
    <row r="1140" customFormat="false" ht="13.5" hidden="false" customHeight="false" outlineLevel="0" collapsed="false">
      <c r="A1140" s="2"/>
      <c r="B1140" s="117"/>
      <c r="C1140" s="124"/>
      <c r="D1140" s="65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  <c r="V1140" s="65"/>
      <c r="W1140" s="65"/>
    </row>
    <row r="1141" customFormat="false" ht="12.75" hidden="false" customHeight="false" outlineLevel="0" collapsed="false">
      <c r="A1141" s="2"/>
      <c r="B1141" s="121" t="s">
        <v>35</v>
      </c>
      <c r="C1141" s="123" t="n">
        <v>0</v>
      </c>
      <c r="D1141" s="73" t="n">
        <v>11615971.6080579</v>
      </c>
      <c r="E1141" s="73" t="n">
        <v>13583614.6849223</v>
      </c>
      <c r="F1141" s="73" t="n">
        <v>13290777.7830493</v>
      </c>
      <c r="G1141" s="73" t="n">
        <v>11233889.7335043</v>
      </c>
      <c r="H1141" s="73" t="n">
        <v>10984612.8380944</v>
      </c>
      <c r="I1141" s="73" t="n">
        <v>11678442.3306515</v>
      </c>
      <c r="J1141" s="73" t="n">
        <v>12841596.944796</v>
      </c>
      <c r="K1141" s="73" t="n">
        <v>13523164.3388403</v>
      </c>
      <c r="L1141" s="73" t="n">
        <v>13744292.2203547</v>
      </c>
      <c r="M1141" s="73" t="n">
        <v>13674501.9322305</v>
      </c>
      <c r="N1141" s="73" t="n">
        <v>13986453.7514894</v>
      </c>
      <c r="O1141" s="73" t="n">
        <v>13882007.9896431</v>
      </c>
      <c r="P1141" s="73" t="n">
        <v>14060348.7229147</v>
      </c>
      <c r="Q1141" s="73" t="n">
        <v>14654321.6746807</v>
      </c>
      <c r="R1141" s="73" t="n">
        <v>16600164.957449</v>
      </c>
      <c r="S1141" s="73" t="n">
        <v>15798700.8543409</v>
      </c>
      <c r="T1141" s="73" t="n">
        <v>16073323.1610276</v>
      </c>
      <c r="U1141" s="73" t="n">
        <v>17454888.271144</v>
      </c>
      <c r="V1141" s="73" t="n">
        <v>19262565.0313899</v>
      </c>
      <c r="W1141" s="71" t="n">
        <v>95515622.0908921</v>
      </c>
    </row>
    <row r="1142" customFormat="false" ht="12.75" hidden="false" customHeight="false" outlineLevel="0" collapsed="false">
      <c r="A1142" s="2"/>
      <c r="B1142" s="125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</row>
    <row r="1143" customFormat="false" ht="12.75" hidden="false" customHeight="false" outlineLevel="0" collapsed="false">
      <c r="A1143" s="48" t="s">
        <v>36</v>
      </c>
      <c r="B1143" s="126" t="s">
        <v>37</v>
      </c>
      <c r="C1143" s="76" t="n">
        <v>46265138.2726142</v>
      </c>
      <c r="D1143" s="2"/>
      <c r="E1143" s="127" t="s">
        <v>38</v>
      </c>
      <c r="F1143" s="128" t="s">
        <v>37</v>
      </c>
      <c r="G1143" s="79" t="n">
        <v>46265138.2726142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</row>
    <row r="1144" customFormat="false" ht="12.75" hidden="false" customHeight="false" outlineLevel="0" collapsed="false">
      <c r="A1144" s="2"/>
      <c r="B1144" s="126" t="s">
        <v>39</v>
      </c>
      <c r="C1144" s="76" t="n">
        <v>64729986.1657094</v>
      </c>
      <c r="D1144" s="2"/>
      <c r="E1144" s="129"/>
      <c r="F1144" s="128" t="s">
        <v>39</v>
      </c>
      <c r="G1144" s="79" t="n">
        <v>64729986.1657094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</row>
    <row r="1145" customFormat="false" ht="13.5" hidden="false" customHeight="false" outlineLevel="0" collapsed="false">
      <c r="A1145" s="2"/>
      <c r="B1145" s="130" t="s">
        <v>40</v>
      </c>
      <c r="C1145" s="82" t="n">
        <v>14197788.6005732</v>
      </c>
      <c r="D1145" s="131"/>
      <c r="E1145" s="129"/>
      <c r="F1145" s="128" t="s">
        <v>40</v>
      </c>
      <c r="G1145" s="79" t="n">
        <v>14197788.6005732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</row>
    <row r="1146" customFormat="false" ht="14.25" hidden="false" customHeight="false" outlineLevel="0" collapsed="false">
      <c r="A1146" s="2"/>
      <c r="B1146" s="126" t="s">
        <v>41</v>
      </c>
      <c r="C1146" s="76" t="n">
        <v>125192913.038897</v>
      </c>
      <c r="D1146" s="132"/>
      <c r="E1146" s="129"/>
      <c r="F1146" s="133" t="s">
        <v>42</v>
      </c>
      <c r="G1146" s="85" t="n">
        <v>0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</row>
    <row r="1147" customFormat="false" ht="13.5" hidden="false" customHeight="false" outlineLevel="0" collapsed="false">
      <c r="A1147" s="2"/>
      <c r="B1147" s="125"/>
      <c r="C1147" s="134"/>
      <c r="D1147" s="2"/>
      <c r="E1147" s="135"/>
      <c r="F1147" s="128" t="s">
        <v>41</v>
      </c>
      <c r="G1147" s="79" t="n">
        <v>125192913.038897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</row>
    <row r="1148" customFormat="false" ht="12.75" hidden="false" customHeight="false" outlineLevel="0" collapsed="false">
      <c r="A1148" s="2"/>
      <c r="B1148" s="125"/>
      <c r="C1148" s="134"/>
      <c r="D1148" s="2"/>
      <c r="E1148" s="135"/>
      <c r="F1148" s="128"/>
      <c r="G1148" s="136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</row>
    <row r="1149" customFormat="false" ht="12.75" hidden="false" customHeight="false" outlineLevel="0" collapsed="false">
      <c r="A1149" s="2"/>
      <c r="B1149" s="125"/>
      <c r="C1149" s="134"/>
      <c r="D1149" s="2"/>
      <c r="E1149" s="135"/>
      <c r="F1149" s="128"/>
      <c r="G1149" s="136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</row>
    <row r="1150" customFormat="false" ht="12.75" hidden="false" customHeight="false" outlineLevel="0" collapsed="false">
      <c r="A1150" s="2"/>
      <c r="B1150" s="137" t="s">
        <v>43</v>
      </c>
      <c r="C1150" s="134"/>
      <c r="D1150" s="2"/>
      <c r="E1150" s="135"/>
      <c r="F1150" s="128"/>
      <c r="G1150" s="136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</row>
    <row r="1151" customFormat="false" ht="12.75" hidden="false" customHeight="false" outlineLevel="0" collapsed="false">
      <c r="A1151" s="87" t="s">
        <v>44</v>
      </c>
      <c r="B1151" s="137" t="s">
        <v>45</v>
      </c>
      <c r="C1151" s="138"/>
      <c r="D1151" s="88" t="n">
        <v>15480474.1188079</v>
      </c>
      <c r="E1151" s="88" t="n">
        <v>14821197.4087631</v>
      </c>
      <c r="F1151" s="88" t="n">
        <v>12958297.4038016</v>
      </c>
      <c r="G1151" s="88" t="n">
        <v>12570330.375296</v>
      </c>
      <c r="H1151" s="88" t="n">
        <v>12265723.853107</v>
      </c>
      <c r="I1151" s="88" t="n">
        <v>12900171.6921241</v>
      </c>
      <c r="J1151" s="88" t="n">
        <v>14009562.2519111</v>
      </c>
      <c r="K1151" s="88" t="n">
        <v>14643411.0638616</v>
      </c>
      <c r="L1151" s="88" t="n">
        <v>14926124.0522313</v>
      </c>
      <c r="M1151" s="88" t="n">
        <v>14915820.7723365</v>
      </c>
      <c r="N1151" s="88" t="n">
        <v>15175072.9337931</v>
      </c>
      <c r="O1151" s="88" t="n">
        <v>15017364.8611799</v>
      </c>
      <c r="P1151" s="88" t="n">
        <v>15140943.5869205</v>
      </c>
      <c r="Q1151" s="88" t="n">
        <v>15786295.3209297</v>
      </c>
      <c r="R1151" s="88" t="n">
        <v>17781866.8494084</v>
      </c>
      <c r="S1151" s="88" t="n">
        <v>16920516.6493821</v>
      </c>
      <c r="T1151" s="88" t="n">
        <v>17133450.186243</v>
      </c>
      <c r="U1151" s="88" t="n">
        <v>18451481.9534389</v>
      </c>
      <c r="V1151" s="88" t="n">
        <v>20200897.2804766</v>
      </c>
      <c r="W1151" s="2"/>
    </row>
    <row r="1152" customFormat="false" ht="12.75" hidden="false" customHeight="false" outlineLevel="0" collapsed="false">
      <c r="A1152" s="2"/>
      <c r="B1152" s="125" t="s">
        <v>46</v>
      </c>
      <c r="C1152" s="134"/>
      <c r="D1152" s="65" t="n">
        <v>10320316.0792052</v>
      </c>
      <c r="E1152" s="65" t="n">
        <v>9880798.27250873</v>
      </c>
      <c r="F1152" s="65" t="n">
        <v>8638864.93586774</v>
      </c>
      <c r="G1152" s="65" t="n">
        <v>8380220.25019735</v>
      </c>
      <c r="H1152" s="65" t="n">
        <v>8177149.2354047</v>
      </c>
      <c r="I1152" s="65" t="n">
        <v>8600114.46141606</v>
      </c>
      <c r="J1152" s="65" t="n">
        <v>9339708.16794073</v>
      </c>
      <c r="K1152" s="65" t="n">
        <v>9762274.04257437</v>
      </c>
      <c r="L1152" s="65" t="n">
        <v>9950749.36815421</v>
      </c>
      <c r="M1152" s="65" t="n">
        <v>9943880.514891</v>
      </c>
      <c r="N1152" s="65" t="n">
        <v>10116715.2891954</v>
      </c>
      <c r="O1152" s="65" t="n">
        <v>10011576.5741199</v>
      </c>
      <c r="P1152" s="65" t="n">
        <v>10093962.3912803</v>
      </c>
      <c r="Q1152" s="65" t="n">
        <v>10524196.8806198</v>
      </c>
      <c r="R1152" s="65" t="n">
        <v>11854577.8996056</v>
      </c>
      <c r="S1152" s="65" t="n">
        <v>11280344.4329214</v>
      </c>
      <c r="T1152" s="65" t="n">
        <v>11422300.124162</v>
      </c>
      <c r="U1152" s="65" t="n">
        <v>12300987.9689592</v>
      </c>
      <c r="V1152" s="65" t="n">
        <v>13467264.8536511</v>
      </c>
      <c r="W1152" s="2"/>
    </row>
    <row r="1153" customFormat="false" ht="12.75" hidden="false" customHeight="false" outlineLevel="0" collapsed="false">
      <c r="A1153" s="2"/>
      <c r="B1153" s="139" t="s">
        <v>47</v>
      </c>
      <c r="C1153" s="140"/>
      <c r="D1153" s="65" t="n">
        <v>641088.66925</v>
      </c>
      <c r="E1153" s="65" t="n">
        <v>871932.4461592</v>
      </c>
      <c r="F1153" s="65" t="n">
        <v>942106.2492477</v>
      </c>
      <c r="G1153" s="65" t="n">
        <v>1016154.0382083</v>
      </c>
      <c r="H1153" s="65" t="n">
        <v>1153065.6329874</v>
      </c>
      <c r="I1153" s="65" t="n">
        <v>1285472.58596742</v>
      </c>
      <c r="J1153" s="65" t="n">
        <v>1414452.6987481</v>
      </c>
      <c r="K1153" s="65" t="n">
        <v>1539643.82101781</v>
      </c>
      <c r="L1153" s="65" t="n">
        <v>1557855.43054361</v>
      </c>
      <c r="M1153" s="65" t="n">
        <v>1580559.0401869</v>
      </c>
      <c r="N1153" s="65" t="n">
        <v>1717915.03439794</v>
      </c>
      <c r="O1153" s="65" t="n">
        <v>1858373.371666</v>
      </c>
      <c r="P1153" s="65" t="n">
        <v>2002947.28649299</v>
      </c>
      <c r="Q1153" s="65" t="n">
        <v>2044074.76876479</v>
      </c>
      <c r="R1153" s="65" t="n">
        <v>2089627.97550474</v>
      </c>
      <c r="S1153" s="65" t="n">
        <v>2247653.96844689</v>
      </c>
      <c r="T1153" s="65" t="n">
        <v>2410426.83117731</v>
      </c>
      <c r="U1153" s="65" t="n">
        <v>2578076.78978964</v>
      </c>
      <c r="V1153" s="65" t="n">
        <v>2743578.33716034</v>
      </c>
      <c r="W1153" s="2"/>
    </row>
    <row r="1154" customFormat="false" ht="13.5" hidden="false" customHeight="false" outlineLevel="0" collapsed="false">
      <c r="A1154" s="2"/>
      <c r="B1154" s="141" t="s">
        <v>48</v>
      </c>
      <c r="C1154" s="142"/>
      <c r="D1154" s="93" t="n">
        <v>26441878.8672631</v>
      </c>
      <c r="E1154" s="93" t="n">
        <v>25573928.127431</v>
      </c>
      <c r="F1154" s="93" t="n">
        <v>22539268.5889171</v>
      </c>
      <c r="G1154" s="93" t="n">
        <v>21966704.6637017</v>
      </c>
      <c r="H1154" s="93" t="n">
        <v>21595938.7214991</v>
      </c>
      <c r="I1154" s="93" t="n">
        <v>22785758.7395076</v>
      </c>
      <c r="J1154" s="93" t="n">
        <v>24763723.1185999</v>
      </c>
      <c r="K1154" s="93" t="n">
        <v>25945328.9274537</v>
      </c>
      <c r="L1154" s="93" t="n">
        <v>26434728.8509291</v>
      </c>
      <c r="M1154" s="93" t="n">
        <v>26440260.3274144</v>
      </c>
      <c r="N1154" s="93" t="n">
        <v>27009703.2573865</v>
      </c>
      <c r="O1154" s="93" t="n">
        <v>26887314.8069657</v>
      </c>
      <c r="P1154" s="93" t="n">
        <v>27237853.2646938</v>
      </c>
      <c r="Q1154" s="93" t="n">
        <v>28354566.9703142</v>
      </c>
      <c r="R1154" s="93" t="n">
        <v>31726072.7245188</v>
      </c>
      <c r="S1154" s="93" t="n">
        <v>30448515.0507503</v>
      </c>
      <c r="T1154" s="93" t="n">
        <v>30966177.1415824</v>
      </c>
      <c r="U1154" s="93" t="n">
        <v>33330546.7121877</v>
      </c>
      <c r="V1154" s="93" t="n">
        <v>36411740.4712881</v>
      </c>
      <c r="W1154" s="2"/>
    </row>
    <row r="1155" customFormat="false" ht="13.5" hidden="false" customHeight="false" outlineLevel="0" collapsed="false">
      <c r="A1155" s="87" t="s">
        <v>49</v>
      </c>
      <c r="B1155" s="125" t="s">
        <v>50</v>
      </c>
      <c r="C1155" s="134"/>
      <c r="D1155" s="65" t="n">
        <v>-1958871.24108716</v>
      </c>
      <c r="E1155" s="65" t="n">
        <v>-2061192.77301665</v>
      </c>
      <c r="F1155" s="65" t="n">
        <v>-2080266.90371536</v>
      </c>
      <c r="G1155" s="65" t="n">
        <v>-2148931.84834356</v>
      </c>
      <c r="H1155" s="65" t="n">
        <v>-2130061.16747005</v>
      </c>
      <c r="I1155" s="65" t="n">
        <v>-2255421.26484205</v>
      </c>
      <c r="J1155" s="65" t="n">
        <v>-1709636.56256744</v>
      </c>
      <c r="K1155" s="65" t="n">
        <v>-1256158.8124179</v>
      </c>
      <c r="L1155" s="65" t="n">
        <v>-1392553.09861367</v>
      </c>
      <c r="M1155" s="65" t="n">
        <v>-1511265.24576932</v>
      </c>
      <c r="N1155" s="65" t="n">
        <v>-1488014.9954852</v>
      </c>
      <c r="O1155" s="65" t="n">
        <v>-1637701.50764534</v>
      </c>
      <c r="P1155" s="65" t="n">
        <v>-1791878.61517028</v>
      </c>
      <c r="Q1155" s="65" t="n">
        <v>-1950681.03592096</v>
      </c>
      <c r="R1155" s="65" t="n">
        <v>-2114247.52929417</v>
      </c>
      <c r="S1155" s="65" t="n">
        <v>-2281659.08208353</v>
      </c>
      <c r="T1155" s="65" t="n">
        <v>-2452315.92426181</v>
      </c>
      <c r="U1155" s="65" t="n">
        <v>-2631049.44786604</v>
      </c>
      <c r="V1155" s="65" t="n">
        <v>-2815144.97717839</v>
      </c>
      <c r="W1155" s="2"/>
    </row>
    <row r="1156" customFormat="false" ht="12.75" hidden="false" customHeight="false" outlineLevel="0" collapsed="false">
      <c r="A1156" s="2"/>
      <c r="B1156" s="125" t="s">
        <v>51</v>
      </c>
      <c r="C1156" s="134"/>
      <c r="D1156" s="65" t="n">
        <v>0</v>
      </c>
      <c r="E1156" s="65" t="n">
        <v>0</v>
      </c>
      <c r="F1156" s="65" t="n">
        <v>0</v>
      </c>
      <c r="G1156" s="65" t="n">
        <v>0</v>
      </c>
      <c r="H1156" s="65" t="n">
        <v>0</v>
      </c>
      <c r="I1156" s="65" t="n">
        <v>0</v>
      </c>
      <c r="J1156" s="65" t="n">
        <v>0</v>
      </c>
      <c r="K1156" s="65" t="n">
        <v>0</v>
      </c>
      <c r="L1156" s="65" t="n">
        <v>0</v>
      </c>
      <c r="M1156" s="65" t="n">
        <v>0</v>
      </c>
      <c r="N1156" s="65" t="n">
        <v>0</v>
      </c>
      <c r="O1156" s="65" t="n">
        <v>0</v>
      </c>
      <c r="P1156" s="65" t="n">
        <v>0</v>
      </c>
      <c r="Q1156" s="65" t="n">
        <v>0</v>
      </c>
      <c r="R1156" s="65" t="n">
        <v>0</v>
      </c>
      <c r="S1156" s="65" t="n">
        <v>0</v>
      </c>
      <c r="T1156" s="65" t="n">
        <v>0</v>
      </c>
      <c r="U1156" s="65" t="n">
        <v>0</v>
      </c>
      <c r="V1156" s="65" t="n">
        <v>0</v>
      </c>
      <c r="W1156" s="2"/>
    </row>
    <row r="1157" customFormat="false" ht="12.75" hidden="false" customHeight="false" outlineLevel="0" collapsed="false">
      <c r="A1157" s="2"/>
      <c r="B1157" s="137" t="s">
        <v>52</v>
      </c>
      <c r="C1157" s="138"/>
      <c r="D1157" s="88" t="n">
        <v>24483007.626176</v>
      </c>
      <c r="E1157" s="88" t="n">
        <v>23512735.3544144</v>
      </c>
      <c r="F1157" s="88" t="n">
        <v>20459001.6852017</v>
      </c>
      <c r="G1157" s="88" t="n">
        <v>19817772.8153581</v>
      </c>
      <c r="H1157" s="88" t="n">
        <v>19465877.5540291</v>
      </c>
      <c r="I1157" s="88" t="n">
        <v>20530337.4746655</v>
      </c>
      <c r="J1157" s="88" t="n">
        <v>23054086.5560325</v>
      </c>
      <c r="K1157" s="88" t="n">
        <v>24689170.1150358</v>
      </c>
      <c r="L1157" s="88" t="n">
        <v>25042175.7523155</v>
      </c>
      <c r="M1157" s="88" t="n">
        <v>24928995.0816451</v>
      </c>
      <c r="N1157" s="88" t="n">
        <v>25521688.2619013</v>
      </c>
      <c r="O1157" s="88" t="n">
        <v>25249613.2993204</v>
      </c>
      <c r="P1157" s="88" t="n">
        <v>25445974.6495235</v>
      </c>
      <c r="Q1157" s="88" t="n">
        <v>26403885.9343933</v>
      </c>
      <c r="R1157" s="88" t="n">
        <v>29611825.1952246</v>
      </c>
      <c r="S1157" s="88" t="n">
        <v>28166855.9686668</v>
      </c>
      <c r="T1157" s="88" t="n">
        <v>28513861.2173206</v>
      </c>
      <c r="U1157" s="88" t="n">
        <v>30699497.2643217</v>
      </c>
      <c r="V1157" s="88" t="n">
        <v>33596595.4941097</v>
      </c>
      <c r="W1157" s="2"/>
    </row>
    <row r="1158" customFormat="false" ht="13.5" hidden="false" customHeight="false" outlineLevel="0" collapsed="false">
      <c r="A1158" s="2"/>
      <c r="B1158" s="143" t="s">
        <v>53</v>
      </c>
      <c r="C1158" s="144"/>
      <c r="D1158" s="96" t="n">
        <v>-9793203.05047038</v>
      </c>
      <c r="E1158" s="96" t="n">
        <v>-9405094.14176575</v>
      </c>
      <c r="F1158" s="96" t="n">
        <v>-8183600.67408068</v>
      </c>
      <c r="G1158" s="96" t="n">
        <v>-7927109.12614325</v>
      </c>
      <c r="H1158" s="96" t="n">
        <v>-7786351.02161164</v>
      </c>
      <c r="I1158" s="96" t="n">
        <v>-8212134.9898662</v>
      </c>
      <c r="J1158" s="96" t="n">
        <v>-9221634.622413</v>
      </c>
      <c r="K1158" s="96" t="n">
        <v>-9875668.04601434</v>
      </c>
      <c r="L1158" s="96" t="n">
        <v>-10016870.3009262</v>
      </c>
      <c r="M1158" s="96" t="n">
        <v>-9971598.03265804</v>
      </c>
      <c r="N1158" s="96" t="n">
        <v>-10208675.3047605</v>
      </c>
      <c r="O1158" s="96" t="n">
        <v>-10099845.3197282</v>
      </c>
      <c r="P1158" s="96" t="n">
        <v>-10178389.8598094</v>
      </c>
      <c r="Q1158" s="96" t="n">
        <v>-10561554.3737573</v>
      </c>
      <c r="R1158" s="96" t="n">
        <v>-11844730.0780898</v>
      </c>
      <c r="S1158" s="96" t="n">
        <v>-11266742.3874667</v>
      </c>
      <c r="T1158" s="96" t="n">
        <v>-11405544.4869282</v>
      </c>
      <c r="U1158" s="96" t="n">
        <v>-12279798.9057287</v>
      </c>
      <c r="V1158" s="96" t="n">
        <v>-13438638.1976439</v>
      </c>
      <c r="W1158" s="2"/>
    </row>
    <row r="1159" customFormat="false" ht="13.5" hidden="false" customHeight="false" outlineLevel="0" collapsed="false">
      <c r="A1159" s="2"/>
      <c r="B1159" s="137" t="s">
        <v>54</v>
      </c>
      <c r="C1159" s="138"/>
      <c r="D1159" s="88" t="n">
        <v>14689804.5757056</v>
      </c>
      <c r="E1159" s="88" t="n">
        <v>14107641.2126486</v>
      </c>
      <c r="F1159" s="88" t="n">
        <v>12275401.011121</v>
      </c>
      <c r="G1159" s="88" t="n">
        <v>11890663.6892149</v>
      </c>
      <c r="H1159" s="88" t="n">
        <v>11679526.5324175</v>
      </c>
      <c r="I1159" s="88" t="n">
        <v>12318202.4847993</v>
      </c>
      <c r="J1159" s="88" t="n">
        <v>13832451.9336195</v>
      </c>
      <c r="K1159" s="88" t="n">
        <v>14813502.0690215</v>
      </c>
      <c r="L1159" s="88" t="n">
        <v>15025305.4513893</v>
      </c>
      <c r="M1159" s="88" t="n">
        <v>14957397.0489871</v>
      </c>
      <c r="N1159" s="88" t="n">
        <v>15313012.9571408</v>
      </c>
      <c r="O1159" s="88" t="n">
        <v>15149767.9795922</v>
      </c>
      <c r="P1159" s="88" t="n">
        <v>15267584.7897141</v>
      </c>
      <c r="Q1159" s="88" t="n">
        <v>15842331.560636</v>
      </c>
      <c r="R1159" s="88" t="n">
        <v>17767095.1171348</v>
      </c>
      <c r="S1159" s="88" t="n">
        <v>16900113.5812001</v>
      </c>
      <c r="T1159" s="88" t="n">
        <v>17108316.7303923</v>
      </c>
      <c r="U1159" s="88" t="n">
        <v>18419698.358593</v>
      </c>
      <c r="V1159" s="88" t="n">
        <v>20157957.2964658</v>
      </c>
      <c r="W1159" s="2"/>
    </row>
    <row r="1160" customFormat="false" ht="12.75" hidden="false" customHeight="false" outlineLevel="0" collapsed="false">
      <c r="A1160" s="2"/>
      <c r="B1160" s="2"/>
      <c r="C1160" s="134"/>
      <c r="D1160" s="2"/>
      <c r="E1160" s="135"/>
      <c r="F1160" s="128"/>
      <c r="G1160" s="136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customFormat="false" ht="15.75" hidden="false" customHeight="false" outlineLevel="0" collapsed="false">
      <c r="A1161" s="97" t="s">
        <v>55</v>
      </c>
      <c r="B1161" s="145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</row>
    <row r="1162" customFormat="false" ht="12.75" hidden="false" customHeight="false" outlineLevel="0" collapsed="false">
      <c r="A1162" s="99" t="s">
        <v>56</v>
      </c>
      <c r="B1162" s="49"/>
      <c r="C1162" s="101" t="n">
        <v>0</v>
      </c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</row>
    <row r="1163" customFormat="false" ht="12.75" hidden="false" customHeight="false" outlineLevel="0" collapsed="false">
      <c r="A1163" s="99" t="s">
        <v>57</v>
      </c>
      <c r="B1163" s="49"/>
      <c r="C1163" s="146" t="n">
        <v>0</v>
      </c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</row>
    <row r="1164" customFormat="false" ht="12.75" hidden="false" customHeight="false" outlineLevel="0" collapsed="false">
      <c r="A1164" s="99" t="s">
        <v>58</v>
      </c>
      <c r="B1164" s="49"/>
      <c r="C1164" s="99" t="n">
        <v>15</v>
      </c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</row>
    <row r="1165" customFormat="false" ht="12.75" hidden="false" customHeight="false" outlineLevel="0" collapsed="false">
      <c r="A1165" s="99" t="s">
        <v>59</v>
      </c>
      <c r="B1165" s="49"/>
      <c r="C1165" s="146" t="n">
        <v>0</v>
      </c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</row>
    <row r="1166" customFormat="false" ht="12.75" hidden="false" customHeight="false" outlineLevel="0" collapsed="false">
      <c r="A1166" s="99" t="s">
        <v>60</v>
      </c>
      <c r="B1166" s="49"/>
      <c r="C1166" s="147" t="n">
        <v>0.0875</v>
      </c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</row>
    <row r="1167" customFormat="false" ht="12.75" hidden="false" customHeight="false" outlineLevel="0" collapsed="false">
      <c r="A1167" s="99"/>
      <c r="B1167" s="49"/>
      <c r="C1167" s="107"/>
      <c r="D1167" s="58" t="n">
        <v>2001</v>
      </c>
      <c r="E1167" s="58" t="n">
        <v>2002</v>
      </c>
      <c r="F1167" s="58" t="n">
        <v>2003</v>
      </c>
      <c r="G1167" s="58" t="n">
        <v>2004</v>
      </c>
      <c r="H1167" s="58" t="n">
        <v>2005</v>
      </c>
      <c r="I1167" s="58" t="n">
        <v>2006</v>
      </c>
      <c r="J1167" s="58" t="n">
        <v>2007</v>
      </c>
      <c r="K1167" s="58" t="n">
        <v>2008</v>
      </c>
      <c r="L1167" s="58" t="n">
        <v>2009</v>
      </c>
      <c r="M1167" s="58" t="n">
        <v>2010</v>
      </c>
      <c r="N1167" s="58" t="n">
        <v>2011</v>
      </c>
      <c r="O1167" s="58" t="n">
        <v>2012</v>
      </c>
      <c r="P1167" s="58" t="n">
        <v>2013</v>
      </c>
      <c r="Q1167" s="58" t="n">
        <v>2014</v>
      </c>
      <c r="R1167" s="58" t="n">
        <v>2015</v>
      </c>
      <c r="S1167" s="58" t="n">
        <v>2016</v>
      </c>
      <c r="T1167" s="58" t="n">
        <v>2017</v>
      </c>
      <c r="U1167" s="58" t="n">
        <v>2018</v>
      </c>
      <c r="V1167" s="58" t="n">
        <v>2019</v>
      </c>
      <c r="W1167" s="58" t="s">
        <v>19</v>
      </c>
    </row>
    <row r="1168" customFormat="false" ht="12.75" hidden="false" customHeight="false" outlineLevel="0" collapsed="false">
      <c r="A1168" s="99" t="s">
        <v>61</v>
      </c>
      <c r="B1168" s="49"/>
      <c r="C1168" s="107"/>
      <c r="D1168" s="102" t="n">
        <v>0</v>
      </c>
      <c r="E1168" s="102" t="n">
        <v>0</v>
      </c>
      <c r="F1168" s="102" t="n">
        <v>0</v>
      </c>
      <c r="G1168" s="102" t="n">
        <v>0</v>
      </c>
      <c r="H1168" s="102" t="n">
        <v>0</v>
      </c>
      <c r="I1168" s="102" t="n">
        <v>0</v>
      </c>
      <c r="J1168" s="102" t="n">
        <v>0</v>
      </c>
      <c r="K1168" s="102" t="n">
        <v>0</v>
      </c>
      <c r="L1168" s="102" t="n">
        <v>0</v>
      </c>
      <c r="M1168" s="102" t="n">
        <v>0</v>
      </c>
      <c r="N1168" s="102" t="n">
        <v>0</v>
      </c>
      <c r="O1168" s="102" t="n">
        <v>0</v>
      </c>
      <c r="P1168" s="102" t="n">
        <v>0</v>
      </c>
      <c r="Q1168" s="102" t="n">
        <v>0</v>
      </c>
      <c r="R1168" s="102" t="n">
        <v>0</v>
      </c>
      <c r="S1168" s="102" t="n">
        <v>0</v>
      </c>
      <c r="T1168" s="102" t="n">
        <v>0</v>
      </c>
      <c r="U1168" s="102" t="n">
        <v>0</v>
      </c>
      <c r="V1168" s="102" t="n">
        <v>0</v>
      </c>
      <c r="W1168" s="102" t="n">
        <v>0</v>
      </c>
    </row>
    <row r="1169" customFormat="false" ht="12.75" hidden="false" customHeight="false" outlineLevel="0" collapsed="false">
      <c r="A1169" s="99" t="s">
        <v>62</v>
      </c>
      <c r="B1169" s="49"/>
      <c r="C1169" s="107"/>
      <c r="D1169" s="102" t="n">
        <v>0</v>
      </c>
      <c r="E1169" s="102" t="n">
        <v>0</v>
      </c>
      <c r="F1169" s="102" t="n">
        <v>0</v>
      </c>
      <c r="G1169" s="102" t="n">
        <v>0</v>
      </c>
      <c r="H1169" s="102" t="n">
        <v>0</v>
      </c>
      <c r="I1169" s="102" t="n">
        <v>0</v>
      </c>
      <c r="J1169" s="102" t="n">
        <v>0</v>
      </c>
      <c r="K1169" s="102" t="n">
        <v>0</v>
      </c>
      <c r="L1169" s="102" t="n">
        <v>0</v>
      </c>
      <c r="M1169" s="102" t="n">
        <v>0</v>
      </c>
      <c r="N1169" s="102" t="n">
        <v>0</v>
      </c>
      <c r="O1169" s="102" t="n">
        <v>0</v>
      </c>
      <c r="P1169" s="102" t="n">
        <v>0</v>
      </c>
      <c r="Q1169" s="102" t="n">
        <v>0</v>
      </c>
      <c r="R1169" s="102" t="n">
        <v>0</v>
      </c>
      <c r="S1169" s="102" t="n">
        <v>0</v>
      </c>
      <c r="T1169" s="102" t="n">
        <v>0</v>
      </c>
      <c r="U1169" s="102" t="n">
        <v>0</v>
      </c>
      <c r="V1169" s="102" t="n">
        <v>0</v>
      </c>
      <c r="W1169" s="102" t="n">
        <v>0</v>
      </c>
    </row>
    <row r="1170" customFormat="false" ht="12.75" hidden="false" customHeight="false" outlineLevel="0" collapsed="false">
      <c r="A1170" s="99" t="s">
        <v>63</v>
      </c>
      <c r="B1170" s="49"/>
      <c r="C1170" s="107"/>
      <c r="D1170" s="102" t="n">
        <v>0</v>
      </c>
      <c r="E1170" s="102" t="n">
        <v>0</v>
      </c>
      <c r="F1170" s="102" t="n">
        <v>0</v>
      </c>
      <c r="G1170" s="102" t="n">
        <v>0</v>
      </c>
      <c r="H1170" s="102" t="n">
        <v>0</v>
      </c>
      <c r="I1170" s="102" t="n">
        <v>0</v>
      </c>
      <c r="J1170" s="102" t="n">
        <v>0</v>
      </c>
      <c r="K1170" s="102" t="n">
        <v>0</v>
      </c>
      <c r="L1170" s="102" t="n">
        <v>0</v>
      </c>
      <c r="M1170" s="102" t="n">
        <v>0</v>
      </c>
      <c r="N1170" s="102" t="n">
        <v>0</v>
      </c>
      <c r="O1170" s="102" t="n">
        <v>0</v>
      </c>
      <c r="P1170" s="102" t="n">
        <v>0</v>
      </c>
      <c r="Q1170" s="102" t="n">
        <v>0</v>
      </c>
      <c r="R1170" s="102" t="n">
        <v>0</v>
      </c>
      <c r="S1170" s="102" t="n">
        <v>0</v>
      </c>
      <c r="T1170" s="102" t="n">
        <v>0</v>
      </c>
      <c r="U1170" s="102" t="n">
        <v>0</v>
      </c>
      <c r="V1170" s="102" t="n">
        <v>0</v>
      </c>
      <c r="W1170" s="102" t="n">
        <v>0</v>
      </c>
    </row>
    <row r="1171" customFormat="false" ht="12.75" hidden="false" customHeight="false" outlineLevel="0" collapsed="false">
      <c r="A1171" s="99" t="s">
        <v>64</v>
      </c>
      <c r="B1171" s="49"/>
      <c r="C1171" s="107"/>
      <c r="D1171" s="105" t="n">
        <v>0</v>
      </c>
      <c r="E1171" s="105" t="n">
        <v>0</v>
      </c>
      <c r="F1171" s="105" t="n">
        <v>0</v>
      </c>
      <c r="G1171" s="105" t="n">
        <v>0</v>
      </c>
      <c r="H1171" s="105" t="n">
        <v>0</v>
      </c>
      <c r="I1171" s="105" t="n">
        <v>0</v>
      </c>
      <c r="J1171" s="105" t="n">
        <v>0</v>
      </c>
      <c r="K1171" s="105" t="n">
        <v>0</v>
      </c>
      <c r="L1171" s="105" t="n">
        <v>0</v>
      </c>
      <c r="M1171" s="105" t="n">
        <v>0</v>
      </c>
      <c r="N1171" s="105" t="n">
        <v>0</v>
      </c>
      <c r="O1171" s="105" t="n">
        <v>0</v>
      </c>
      <c r="P1171" s="105" t="n">
        <v>0</v>
      </c>
      <c r="Q1171" s="105" t="n">
        <v>0</v>
      </c>
      <c r="R1171" s="105" t="n">
        <v>0</v>
      </c>
      <c r="S1171" s="105" t="n">
        <v>0</v>
      </c>
      <c r="T1171" s="105" t="n">
        <v>0</v>
      </c>
      <c r="U1171" s="105" t="n">
        <v>0</v>
      </c>
      <c r="V1171" s="105" t="n">
        <v>0</v>
      </c>
      <c r="W1171" s="105" t="n">
        <v>0</v>
      </c>
    </row>
    <row r="1172" customFormat="false" ht="13.5" hidden="false" customHeight="false" outlineLevel="0" collapsed="false">
      <c r="A1172" s="99" t="s">
        <v>65</v>
      </c>
      <c r="B1172" s="49"/>
      <c r="C1172" s="107"/>
      <c r="D1172" s="106" t="n">
        <v>0</v>
      </c>
      <c r="E1172" s="106" t="n">
        <v>0</v>
      </c>
      <c r="F1172" s="106" t="n">
        <v>0</v>
      </c>
      <c r="G1172" s="106" t="n">
        <v>0</v>
      </c>
      <c r="H1172" s="106" t="n">
        <v>0</v>
      </c>
      <c r="I1172" s="106" t="n">
        <v>0</v>
      </c>
      <c r="J1172" s="106" t="n">
        <v>0</v>
      </c>
      <c r="K1172" s="106" t="n">
        <v>0</v>
      </c>
      <c r="L1172" s="106" t="n">
        <v>0</v>
      </c>
      <c r="M1172" s="106" t="n">
        <v>0</v>
      </c>
      <c r="N1172" s="106" t="n">
        <v>0</v>
      </c>
      <c r="O1172" s="106" t="n">
        <v>0</v>
      </c>
      <c r="P1172" s="106" t="n">
        <v>0</v>
      </c>
      <c r="Q1172" s="106" t="n">
        <v>0</v>
      </c>
      <c r="R1172" s="106" t="n">
        <v>0</v>
      </c>
      <c r="S1172" s="106" t="n">
        <v>0</v>
      </c>
      <c r="T1172" s="106" t="n">
        <v>0</v>
      </c>
      <c r="U1172" s="106" t="n">
        <v>0</v>
      </c>
      <c r="V1172" s="106" t="n">
        <v>0</v>
      </c>
      <c r="W1172" s="106" t="n">
        <v>0</v>
      </c>
    </row>
    <row r="1173" customFormat="false" ht="13.5" hidden="false" customHeight="false" outlineLevel="0" collapsed="false">
      <c r="A1173" s="99"/>
      <c r="B1173" s="49"/>
      <c r="C1173" s="107"/>
      <c r="D1173" s="102"/>
      <c r="E1173" s="102"/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</row>
    <row r="1174" customFormat="false" ht="12.75" hidden="false" customHeight="false" outlineLevel="0" collapsed="false">
      <c r="A1174" s="99" t="s">
        <v>66</v>
      </c>
      <c r="B1174" s="49"/>
      <c r="C1174" s="107"/>
      <c r="D1174" s="102" t="n">
        <v>0</v>
      </c>
      <c r="E1174" s="102" t="n">
        <v>0</v>
      </c>
      <c r="F1174" s="102" t="n">
        <v>0</v>
      </c>
      <c r="G1174" s="102" t="n">
        <v>0</v>
      </c>
      <c r="H1174" s="102" t="n">
        <v>0</v>
      </c>
      <c r="I1174" s="102" t="n">
        <v>0</v>
      </c>
      <c r="J1174" s="102" t="n">
        <v>0</v>
      </c>
      <c r="K1174" s="102" t="n">
        <v>0</v>
      </c>
      <c r="L1174" s="102" t="n">
        <v>0</v>
      </c>
      <c r="M1174" s="102" t="n">
        <v>0</v>
      </c>
      <c r="N1174" s="102" t="n">
        <v>0</v>
      </c>
      <c r="O1174" s="102" t="n">
        <v>0</v>
      </c>
      <c r="P1174" s="102" t="n">
        <v>0</v>
      </c>
      <c r="Q1174" s="102" t="n">
        <v>0</v>
      </c>
      <c r="R1174" s="102" t="n">
        <v>0</v>
      </c>
      <c r="S1174" s="102" t="n">
        <v>0</v>
      </c>
      <c r="T1174" s="102" t="n">
        <v>0</v>
      </c>
      <c r="U1174" s="102" t="n">
        <v>0</v>
      </c>
      <c r="V1174" s="102" t="n">
        <v>0</v>
      </c>
      <c r="W1174" s="102" t="n">
        <v>0</v>
      </c>
    </row>
    <row r="1175" customFormat="false" ht="12.75" hidden="false" customHeight="false" outlineLevel="0" collapsed="false">
      <c r="A1175" s="99"/>
      <c r="B1175" s="49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</row>
    <row r="1176" customFormat="false" ht="12.75" hidden="false" customHeight="false" outlineLevel="0" collapsed="false">
      <c r="A1176" s="99" t="s">
        <v>67</v>
      </c>
      <c r="B1176" s="49"/>
      <c r="C1176" s="107"/>
      <c r="D1176" s="102" t="n">
        <v>0</v>
      </c>
      <c r="E1176" s="102" t="n">
        <v>0</v>
      </c>
      <c r="F1176" s="102" t="n">
        <v>0</v>
      </c>
      <c r="G1176" s="102" t="n">
        <v>0</v>
      </c>
      <c r="H1176" s="102" t="n">
        <v>0</v>
      </c>
      <c r="I1176" s="102" t="n">
        <v>0</v>
      </c>
      <c r="J1176" s="102" t="n">
        <v>0</v>
      </c>
      <c r="K1176" s="102" t="n">
        <v>0</v>
      </c>
      <c r="L1176" s="102" t="n">
        <v>0</v>
      </c>
      <c r="M1176" s="102" t="n">
        <v>0</v>
      </c>
      <c r="N1176" s="102" t="n">
        <v>0</v>
      </c>
      <c r="O1176" s="102" t="n">
        <v>0</v>
      </c>
      <c r="P1176" s="102" t="n">
        <v>0</v>
      </c>
      <c r="Q1176" s="102" t="n">
        <v>0</v>
      </c>
      <c r="R1176" s="102" t="n">
        <v>0</v>
      </c>
      <c r="S1176" s="102" t="n">
        <v>0</v>
      </c>
      <c r="T1176" s="102" t="n">
        <v>0</v>
      </c>
      <c r="U1176" s="102" t="n">
        <v>0</v>
      </c>
      <c r="V1176" s="102" t="n">
        <v>0</v>
      </c>
      <c r="W1176" s="102" t="n">
        <v>0</v>
      </c>
    </row>
    <row r="1177" customFormat="false" ht="12.75" hidden="false" customHeight="false" outlineLevel="0" collapsed="false">
      <c r="A1177" s="107"/>
      <c r="B1177" s="49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</row>
    <row r="1178" customFormat="false" ht="12.75" hidden="false" customHeight="false" outlineLevel="0" collapsed="false">
      <c r="A1178" s="107"/>
      <c r="B1178" s="49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</row>
    <row r="1179" customFormat="false" ht="12.75" hidden="false" customHeight="false" outlineLevel="0" collapsed="false">
      <c r="A1179" s="99" t="s">
        <v>68</v>
      </c>
      <c r="B1179" s="148"/>
      <c r="C1179" s="149"/>
      <c r="D1179" s="79" t="n">
        <v>11615971.6080579</v>
      </c>
      <c r="E1179" s="79" t="n">
        <v>13583614.6849223</v>
      </c>
      <c r="F1179" s="79" t="n">
        <v>13290777.7830493</v>
      </c>
      <c r="G1179" s="79" t="n">
        <v>11233889.7335043</v>
      </c>
      <c r="H1179" s="79" t="n">
        <v>10984612.8380944</v>
      </c>
      <c r="I1179" s="79" t="n">
        <v>11678442.3306515</v>
      </c>
      <c r="J1179" s="79" t="n">
        <v>12841596.944796</v>
      </c>
      <c r="K1179" s="79" t="n">
        <v>13523164.3388403</v>
      </c>
      <c r="L1179" s="79" t="n">
        <v>13744292.2203547</v>
      </c>
      <c r="M1179" s="79" t="n">
        <v>13674501.9322305</v>
      </c>
      <c r="N1179" s="79" t="n">
        <v>13986453.7514894</v>
      </c>
      <c r="O1179" s="79" t="n">
        <v>13882007.9896431</v>
      </c>
      <c r="P1179" s="79" t="n">
        <v>14060348.7229147</v>
      </c>
      <c r="Q1179" s="79" t="n">
        <v>14654321.6746807</v>
      </c>
      <c r="R1179" s="79" t="n">
        <v>16600164.957449</v>
      </c>
      <c r="S1179" s="79" t="n">
        <v>15798700.8543409</v>
      </c>
      <c r="T1179" s="79" t="n">
        <v>16073323.1610276</v>
      </c>
      <c r="U1179" s="79" t="n">
        <v>17454888.271144</v>
      </c>
      <c r="V1179" s="79" t="n">
        <v>19262565.0313899</v>
      </c>
      <c r="W1179" s="79" t="n">
        <v>95515622.0908921</v>
      </c>
    </row>
    <row r="1180" customFormat="false" ht="12.75" hidden="false" customHeight="false" outlineLevel="0" collapsed="false">
      <c r="A1180" s="2"/>
      <c r="B1180" s="31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customFormat="false" ht="12.75" hidden="false" customHeight="false" outlineLevel="0" collapsed="false">
      <c r="A1181" s="164"/>
      <c r="B1181" s="126"/>
      <c r="C1181" s="138"/>
      <c r="D1181" s="165"/>
      <c r="E1181" s="165"/>
      <c r="F1181" s="165"/>
      <c r="G1181" s="165"/>
      <c r="H1181" s="165"/>
      <c r="I1181" s="165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</row>
    <row r="1182" customFormat="false" ht="12.75" hidden="false" customHeight="false" outlineLevel="0" collapsed="false">
      <c r="B1182" s="156"/>
      <c r="C1182" s="134"/>
      <c r="D1182" s="166"/>
      <c r="E1182" s="166"/>
      <c r="F1182" s="166"/>
      <c r="G1182" s="166"/>
      <c r="H1182" s="166"/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</row>
    <row r="1183" customFormat="false" ht="12.75" hidden="false" customHeight="false" outlineLevel="0" collapsed="false">
      <c r="B1183" s="156"/>
      <c r="C1183" s="134"/>
      <c r="D1183" s="166"/>
      <c r="E1183" s="166"/>
      <c r="F1183" s="166"/>
      <c r="G1183" s="166"/>
      <c r="H1183" s="166"/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</row>
    <row r="1184" customFormat="false" ht="12.75" hidden="false" customHeight="false" outlineLevel="0" collapsed="false">
      <c r="B1184" s="126"/>
      <c r="C1184" s="138"/>
      <c r="D1184" s="165"/>
      <c r="E1184" s="165"/>
      <c r="F1184" s="165"/>
      <c r="G1184" s="165"/>
      <c r="H1184" s="165"/>
      <c r="I1184" s="165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</row>
    <row r="1185" customFormat="false" ht="12.75" hidden="false" customHeight="false" outlineLevel="0" collapsed="false">
      <c r="A1185" s="164"/>
      <c r="B1185" s="156"/>
      <c r="C1185" s="134"/>
      <c r="D1185" s="166"/>
      <c r="E1185" s="166"/>
      <c r="F1185" s="166"/>
      <c r="G1185" s="166"/>
      <c r="H1185" s="166"/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</row>
    <row r="1186" customFormat="false" ht="12.75" hidden="false" customHeight="false" outlineLevel="0" collapsed="false">
      <c r="B1186" s="156"/>
      <c r="C1186" s="134"/>
      <c r="D1186" s="166"/>
      <c r="E1186" s="166"/>
      <c r="F1186" s="166"/>
      <c r="G1186" s="166"/>
      <c r="H1186" s="166"/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</row>
    <row r="1187" customFormat="false" ht="12.75" hidden="false" customHeight="false" outlineLevel="0" collapsed="false">
      <c r="B1187" s="126"/>
      <c r="C1187" s="138"/>
      <c r="D1187" s="165"/>
      <c r="E1187" s="165"/>
      <c r="F1187" s="165"/>
      <c r="G1187" s="165"/>
      <c r="H1187" s="165"/>
      <c r="I1187" s="165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</row>
    <row r="1188" customFormat="false" ht="15.75" hidden="false" customHeight="false" outlineLevel="0" collapsed="false">
      <c r="A1188" s="48" t="s">
        <v>17</v>
      </c>
      <c r="B1188" s="57" t="s">
        <v>87</v>
      </c>
      <c r="C1188" s="58" t="n">
        <v>2000</v>
      </c>
      <c r="D1188" s="58" t="n">
        <v>2001</v>
      </c>
      <c r="E1188" s="58" t="n">
        <v>2002</v>
      </c>
      <c r="F1188" s="58" t="n">
        <v>2003</v>
      </c>
      <c r="G1188" s="58" t="n">
        <v>2004</v>
      </c>
      <c r="H1188" s="58" t="n">
        <v>2005</v>
      </c>
      <c r="I1188" s="58" t="n">
        <v>2006</v>
      </c>
      <c r="J1188" s="58" t="n">
        <v>2007</v>
      </c>
      <c r="K1188" s="58" t="n">
        <v>2008</v>
      </c>
      <c r="L1188" s="58" t="n">
        <v>2009</v>
      </c>
      <c r="M1188" s="58" t="n">
        <v>2010</v>
      </c>
      <c r="N1188" s="58" t="n">
        <v>2011</v>
      </c>
      <c r="O1188" s="58" t="n">
        <v>2012</v>
      </c>
      <c r="P1188" s="58" t="n">
        <v>2013</v>
      </c>
      <c r="Q1188" s="58" t="n">
        <v>2014</v>
      </c>
      <c r="R1188" s="58" t="n">
        <v>2015</v>
      </c>
      <c r="S1188" s="58" t="n">
        <v>2016</v>
      </c>
      <c r="T1188" s="58" t="n">
        <v>2017</v>
      </c>
      <c r="U1188" s="58" t="n">
        <v>2018</v>
      </c>
      <c r="V1188" s="58" t="n">
        <v>2019</v>
      </c>
      <c r="W1188" s="58" t="s">
        <v>19</v>
      </c>
    </row>
    <row r="1189" customFormat="false" ht="12.75" hidden="false" customHeight="false" outlineLevel="0" collapsed="false">
      <c r="A1189" s="48" t="s">
        <v>5</v>
      </c>
      <c r="B1189" s="49" t="n">
        <v>604.5</v>
      </c>
      <c r="C1189" s="61"/>
      <c r="D1189" s="61"/>
      <c r="E1189" s="61"/>
      <c r="F1189" s="61"/>
      <c r="G1189" s="61"/>
      <c r="H1189" s="61"/>
      <c r="I1189" s="61"/>
      <c r="J1189" s="61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</row>
    <row r="1190" customFormat="false" ht="12.75" hidden="false" customHeight="false" outlineLevel="0" collapsed="false">
      <c r="A1190" s="2"/>
      <c r="B1190" s="117" t="s">
        <v>20</v>
      </c>
      <c r="C1190" s="118" t="n">
        <v>0</v>
      </c>
      <c r="D1190" s="64" t="n">
        <v>178134374.5533</v>
      </c>
      <c r="E1190" s="64" t="n">
        <v>175663872.943761</v>
      </c>
      <c r="F1190" s="64" t="n">
        <v>179045101.064649</v>
      </c>
      <c r="G1190" s="64" t="n">
        <v>176507349.36906</v>
      </c>
      <c r="H1190" s="64" t="n">
        <v>177836835.494295</v>
      </c>
      <c r="I1190" s="64" t="n">
        <v>189844709.034902</v>
      </c>
      <c r="J1190" s="64" t="n">
        <v>203561978.099927</v>
      </c>
      <c r="K1190" s="64" t="n">
        <v>208829705.671262</v>
      </c>
      <c r="L1190" s="64" t="n">
        <v>213200678.714311</v>
      </c>
      <c r="M1190" s="64" t="n">
        <v>213961793.356951</v>
      </c>
      <c r="N1190" s="64" t="n">
        <v>218584423.745882</v>
      </c>
      <c r="O1190" s="64" t="n">
        <v>221039080.286796</v>
      </c>
      <c r="P1190" s="64" t="n">
        <v>223640278.184481</v>
      </c>
      <c r="Q1190" s="64" t="n">
        <v>231512689.006621</v>
      </c>
      <c r="R1190" s="64" t="n">
        <v>247938282.017702</v>
      </c>
      <c r="S1190" s="64" t="n">
        <v>246509977.452074</v>
      </c>
      <c r="T1190" s="64" t="n">
        <v>249651702.526022</v>
      </c>
      <c r="U1190" s="64" t="n">
        <v>261648822.738476</v>
      </c>
      <c r="V1190" s="64" t="n">
        <v>269596032.728392</v>
      </c>
      <c r="W1190" s="65"/>
    </row>
    <row r="1191" customFormat="false" ht="12.75" hidden="false" customHeight="false" outlineLevel="0" collapsed="false">
      <c r="A1191" s="2"/>
      <c r="B1191" s="117" t="s">
        <v>21</v>
      </c>
      <c r="C1191" s="118" t="n">
        <v>0</v>
      </c>
      <c r="D1191" s="64" t="n">
        <v>-39150931.9221893</v>
      </c>
      <c r="E1191" s="64" t="n">
        <v>-38995690.8659938</v>
      </c>
      <c r="F1191" s="64" t="n">
        <v>-39068999.1425306</v>
      </c>
      <c r="G1191" s="64" t="n">
        <v>-39534722.311117</v>
      </c>
      <c r="H1191" s="64" t="n">
        <v>-40276429.5796066</v>
      </c>
      <c r="I1191" s="64" t="n">
        <v>-41660662.330683</v>
      </c>
      <c r="J1191" s="64" t="n">
        <v>-43333815.9363454</v>
      </c>
      <c r="K1191" s="64" t="n">
        <v>-44683550.674934</v>
      </c>
      <c r="L1191" s="64" t="n">
        <v>-46041909.9166445</v>
      </c>
      <c r="M1191" s="64" t="n">
        <v>-47667628.7551361</v>
      </c>
      <c r="N1191" s="64" t="n">
        <v>-49250225.0780178</v>
      </c>
      <c r="O1191" s="64" t="n">
        <v>-50250667.4401665</v>
      </c>
      <c r="P1191" s="64" t="n">
        <v>-50927690.9352413</v>
      </c>
      <c r="Q1191" s="64" t="n">
        <v>-51932445.548951</v>
      </c>
      <c r="R1191" s="64" t="n">
        <v>-52932887.9110996</v>
      </c>
      <c r="S1191" s="64" t="n">
        <v>-53967828.2857362</v>
      </c>
      <c r="T1191" s="64" t="n">
        <v>-55015705.4150558</v>
      </c>
      <c r="U1191" s="64" t="n">
        <v>-56085143.8021802</v>
      </c>
      <c r="V1191" s="64" t="n">
        <v>-57171831.1955486</v>
      </c>
      <c r="W1191" s="65"/>
    </row>
    <row r="1192" customFormat="false" ht="12.75" hidden="false" customHeight="false" outlineLevel="0" collapsed="false">
      <c r="A1192" s="2"/>
      <c r="B1192" s="117" t="s">
        <v>22</v>
      </c>
      <c r="C1192" s="118" t="n">
        <v>0</v>
      </c>
      <c r="D1192" s="64" t="n">
        <v>-4348181.62670913</v>
      </c>
      <c r="E1192" s="64" t="n">
        <v>-4435946.8712304</v>
      </c>
      <c r="F1192" s="64" t="n">
        <v>-6906741.57711079</v>
      </c>
      <c r="G1192" s="64" t="n">
        <v>-7057616.99714857</v>
      </c>
      <c r="H1192" s="64" t="n">
        <v>-7211824.42261411</v>
      </c>
      <c r="I1192" s="64" t="n">
        <v>-7369438.27494726</v>
      </c>
      <c r="J1192" s="64" t="n">
        <v>-7530534.6569131</v>
      </c>
      <c r="K1192" s="64" t="n">
        <v>-7695191.39101783</v>
      </c>
      <c r="L1192" s="64" t="n">
        <v>-7863488.05881203</v>
      </c>
      <c r="M1192" s="64" t="n">
        <v>-8035506.04110201</v>
      </c>
      <c r="N1192" s="64" t="n">
        <v>-8211328.55909049</v>
      </c>
      <c r="O1192" s="64" t="n">
        <v>-8391040.71646821</v>
      </c>
      <c r="P1192" s="64" t="n">
        <v>-8574729.54247882</v>
      </c>
      <c r="Q1192" s="64" t="n">
        <v>-8762484.03597963</v>
      </c>
      <c r="R1192" s="64" t="n">
        <v>-8954395.21052164</v>
      </c>
      <c r="S1192" s="64" t="n">
        <v>-9150556.14047251</v>
      </c>
      <c r="T1192" s="64" t="n">
        <v>-9351062.00820704</v>
      </c>
      <c r="U1192" s="64" t="n">
        <v>-9556010.15238996</v>
      </c>
      <c r="V1192" s="64" t="n">
        <v>-9765500.11737656</v>
      </c>
      <c r="W1192" s="65"/>
    </row>
    <row r="1193" customFormat="false" ht="12.75" hidden="false" customHeight="false" outlineLevel="0" collapsed="false">
      <c r="A1193" s="2"/>
      <c r="B1193" s="117" t="s">
        <v>23</v>
      </c>
      <c r="C1193" s="118" t="n">
        <v>0</v>
      </c>
      <c r="D1193" s="64" t="n">
        <v>0</v>
      </c>
      <c r="E1193" s="64" t="n">
        <v>0</v>
      </c>
      <c r="F1193" s="64" t="n">
        <v>0</v>
      </c>
      <c r="G1193" s="64" t="n">
        <v>0</v>
      </c>
      <c r="H1193" s="64" t="n">
        <v>0</v>
      </c>
      <c r="I1193" s="64" t="n">
        <v>313405.521799655</v>
      </c>
      <c r="J1193" s="64" t="n">
        <v>347384.984842113</v>
      </c>
      <c r="K1193" s="64" t="n">
        <v>287501.52852424</v>
      </c>
      <c r="L1193" s="64" t="n">
        <v>421021.81593129</v>
      </c>
      <c r="M1193" s="64" t="n">
        <v>468240.991624623</v>
      </c>
      <c r="N1193" s="64" t="n">
        <v>515802.862419339</v>
      </c>
      <c r="O1193" s="64" t="n">
        <v>571494.107323187</v>
      </c>
      <c r="P1193" s="64" t="n">
        <v>640795.231393707</v>
      </c>
      <c r="Q1193" s="64" t="n">
        <v>713305.08672637</v>
      </c>
      <c r="R1193" s="64" t="n">
        <v>790124.133993797</v>
      </c>
      <c r="S1193" s="64" t="n">
        <v>867555.32746168</v>
      </c>
      <c r="T1193" s="64" t="n">
        <v>852330.813870049</v>
      </c>
      <c r="U1193" s="64" t="n">
        <v>729215.111722638</v>
      </c>
      <c r="V1193" s="64" t="n">
        <v>756061.533193329</v>
      </c>
      <c r="W1193" s="65"/>
    </row>
    <row r="1194" customFormat="false" ht="13.5" hidden="false" customHeight="false" outlineLevel="0" collapsed="false">
      <c r="A1194" s="2"/>
      <c r="B1194" s="119" t="s">
        <v>24</v>
      </c>
      <c r="C1194" s="120" t="n">
        <v>0</v>
      </c>
      <c r="D1194" s="68" t="n">
        <v>0</v>
      </c>
      <c r="E1194" s="68" t="n">
        <v>0</v>
      </c>
      <c r="F1194" s="68" t="n">
        <v>-2587996.41613219</v>
      </c>
      <c r="G1194" s="68" t="n">
        <v>-2205135.17024459</v>
      </c>
      <c r="H1194" s="68" t="n">
        <v>-2289231.57294812</v>
      </c>
      <c r="I1194" s="68" t="n">
        <v>-2377568.54929641</v>
      </c>
      <c r="J1194" s="68" t="n">
        <v>-2986745.37034154</v>
      </c>
      <c r="K1194" s="68" t="n">
        <v>-2608888.60821443</v>
      </c>
      <c r="L1194" s="68" t="n">
        <v>-2761324.25856513</v>
      </c>
      <c r="M1194" s="68" t="n">
        <v>-2627505.78787202</v>
      </c>
      <c r="N1194" s="68" t="n">
        <v>-2702759.7191692</v>
      </c>
      <c r="O1194" s="68" t="n">
        <v>-2772844.63539385</v>
      </c>
      <c r="P1194" s="68" t="n">
        <v>-2476732.02160019</v>
      </c>
      <c r="Q1194" s="68" t="n">
        <v>-2565286.77883616</v>
      </c>
      <c r="R1194" s="68" t="n">
        <v>-2618299.40801231</v>
      </c>
      <c r="S1194" s="68" t="n">
        <v>-2780450.0141793</v>
      </c>
      <c r="T1194" s="68" t="n">
        <v>-2613911.39219205</v>
      </c>
      <c r="U1194" s="68" t="n">
        <v>-2878901.99517998</v>
      </c>
      <c r="V1194" s="68" t="n">
        <v>-1567419.78730283</v>
      </c>
      <c r="W1194" s="65"/>
    </row>
    <row r="1195" customFormat="false" ht="13.5" hidden="false" customHeight="false" outlineLevel="0" collapsed="false">
      <c r="A1195" s="2"/>
      <c r="B1195" s="121" t="s">
        <v>25</v>
      </c>
      <c r="C1195" s="122" t="n">
        <v>0</v>
      </c>
      <c r="D1195" s="71" t="n">
        <v>134635261.004401</v>
      </c>
      <c r="E1195" s="71" t="n">
        <v>132232235.206537</v>
      </c>
      <c r="F1195" s="71" t="n">
        <v>130481363.928875</v>
      </c>
      <c r="G1195" s="71" t="n">
        <v>127709874.890549</v>
      </c>
      <c r="H1195" s="71" t="n">
        <v>128059349.919126</v>
      </c>
      <c r="I1195" s="71" t="n">
        <v>138750445.401776</v>
      </c>
      <c r="J1195" s="71" t="n">
        <v>150058267.121169</v>
      </c>
      <c r="K1195" s="71" t="n">
        <v>154129576.52562</v>
      </c>
      <c r="L1195" s="71" t="n">
        <v>156954978.29622</v>
      </c>
      <c r="M1195" s="71" t="n">
        <v>156099393.764465</v>
      </c>
      <c r="N1195" s="71" t="n">
        <v>158935913.252024</v>
      </c>
      <c r="O1195" s="71" t="n">
        <v>160196021.60209</v>
      </c>
      <c r="P1195" s="71" t="n">
        <v>162301920.916554</v>
      </c>
      <c r="Q1195" s="71" t="n">
        <v>168965777.72958</v>
      </c>
      <c r="R1195" s="71" t="n">
        <v>184222823.622063</v>
      </c>
      <c r="S1195" s="71" t="n">
        <v>181478698.339148</v>
      </c>
      <c r="T1195" s="71" t="n">
        <v>183523354.524437</v>
      </c>
      <c r="U1195" s="71" t="n">
        <v>193857981.900449</v>
      </c>
      <c r="V1195" s="71" t="n">
        <v>201847343.161357</v>
      </c>
      <c r="W1195" s="65"/>
    </row>
    <row r="1196" customFormat="false" ht="12.75" hidden="false" customHeight="false" outlineLevel="0" collapsed="false">
      <c r="A1196" s="2"/>
      <c r="B1196" s="117" t="s">
        <v>26</v>
      </c>
      <c r="C1196" s="118" t="n">
        <v>0</v>
      </c>
      <c r="D1196" s="64" t="n">
        <v>-10912034.3783039</v>
      </c>
      <c r="E1196" s="64" t="n">
        <v>-11130275.06587</v>
      </c>
      <c r="F1196" s="64" t="n">
        <v>-11405648.5671874</v>
      </c>
      <c r="G1196" s="64" t="n">
        <v>-11634025.3785312</v>
      </c>
      <c r="H1196" s="64" t="n">
        <v>-11866976.3221018</v>
      </c>
      <c r="I1196" s="64" t="n">
        <v>-12104593.0454438</v>
      </c>
      <c r="J1196" s="64" t="n">
        <v>-12346969.0331752</v>
      </c>
      <c r="K1196" s="64" t="n">
        <v>-12594199.6438318</v>
      </c>
      <c r="L1196" s="64" t="n">
        <v>-12846382.1474513</v>
      </c>
      <c r="M1196" s="64" t="n">
        <v>-13103615.7639118</v>
      </c>
      <c r="N1196" s="64" t="n">
        <v>-13366001.7020393</v>
      </c>
      <c r="O1196" s="64" t="n">
        <v>-13633643.1995005</v>
      </c>
      <c r="P1196" s="64" t="n">
        <v>-13906645.5634965</v>
      </c>
      <c r="Q1196" s="64" t="n">
        <v>-14185116.2122726</v>
      </c>
      <c r="R1196" s="64" t="n">
        <v>-14469164.7174618</v>
      </c>
      <c r="S1196" s="64" t="n">
        <v>-14758902.8472785</v>
      </c>
      <c r="T1196" s="64" t="n">
        <v>-15054444.6105781</v>
      </c>
      <c r="U1196" s="64" t="n">
        <v>-15355906.3018026</v>
      </c>
      <c r="V1196" s="64" t="n">
        <v>-15663406.5468269</v>
      </c>
      <c r="W1196" s="65"/>
    </row>
    <row r="1197" customFormat="false" ht="12.75" hidden="false" customHeight="false" outlineLevel="0" collapsed="false">
      <c r="A1197" s="2"/>
      <c r="B1197" s="117" t="s">
        <v>27</v>
      </c>
      <c r="C1197" s="118" t="n">
        <v>0</v>
      </c>
      <c r="D1197" s="64" t="n">
        <v>-3795503.96303936</v>
      </c>
      <c r="E1197" s="64" t="n">
        <v>-3803753.91741711</v>
      </c>
      <c r="F1197" s="64" t="n">
        <v>-3812184.54579574</v>
      </c>
      <c r="G1197" s="64" t="n">
        <v>-3820805.70637572</v>
      </c>
      <c r="H1197" s="64" t="n">
        <v>-3829632.05057751</v>
      </c>
      <c r="I1197" s="64" t="n">
        <v>-3838679.58385232</v>
      </c>
      <c r="J1197" s="64" t="n">
        <v>-3847951.52115761</v>
      </c>
      <c r="K1197" s="64" t="n">
        <v>-3857458.15035725</v>
      </c>
      <c r="L1197" s="64" t="n">
        <v>-3867199.59329811</v>
      </c>
      <c r="M1197" s="64" t="n">
        <v>-3877189.44303397</v>
      </c>
      <c r="N1197" s="64" t="n">
        <v>-3887421.04713344</v>
      </c>
      <c r="O1197" s="64" t="n">
        <v>-3897910.48765621</v>
      </c>
      <c r="P1197" s="64" t="n">
        <v>-3908666.35996827</v>
      </c>
      <c r="Q1197" s="64" t="n">
        <v>-3919691.12908812</v>
      </c>
      <c r="R1197" s="64" t="n">
        <v>-3930992.61991288</v>
      </c>
      <c r="S1197" s="64" t="n">
        <v>-3942576.64800827</v>
      </c>
      <c r="T1197" s="64" t="n">
        <v>-3954447.96000041</v>
      </c>
      <c r="U1197" s="64" t="n">
        <v>-3966617.24192356</v>
      </c>
      <c r="V1197" s="64" t="n">
        <v>-3979091.97282298</v>
      </c>
      <c r="W1197" s="65"/>
    </row>
    <row r="1198" customFormat="false" ht="13.5" hidden="false" customHeight="false" outlineLevel="0" collapsed="false">
      <c r="A1198" s="2"/>
      <c r="B1198" s="119" t="s">
        <v>28</v>
      </c>
      <c r="C1198" s="120" t="n">
        <v>0</v>
      </c>
      <c r="D1198" s="68" t="n">
        <v>-1314527.41905882</v>
      </c>
      <c r="E1198" s="68" t="n">
        <v>-1342263.94760097</v>
      </c>
      <c r="F1198" s="68" t="n">
        <v>-1371659.52805344</v>
      </c>
      <c r="G1198" s="68" t="n">
        <v>-1402659.03338743</v>
      </c>
      <c r="H1198" s="68" t="n">
        <v>-1436042.31838206</v>
      </c>
      <c r="I1198" s="68" t="n">
        <v>-1472029.68324863</v>
      </c>
      <c r="J1198" s="68" t="n">
        <v>-1508540.12027896</v>
      </c>
      <c r="K1198" s="68" t="n">
        <v>-1546724.38823332</v>
      </c>
      <c r="L1198" s="68" t="n">
        <v>-1584928.48062268</v>
      </c>
      <c r="M1198" s="68" t="n">
        <v>-1625344.15687855</v>
      </c>
      <c r="N1198" s="68" t="n">
        <v>-1664677.48547502</v>
      </c>
      <c r="O1198" s="68" t="n">
        <v>-1706627.35810899</v>
      </c>
      <c r="P1198" s="68" t="n">
        <v>-1749975.69300495</v>
      </c>
      <c r="Q1198" s="68" t="n">
        <v>-1793725.08533008</v>
      </c>
      <c r="R1198" s="68" t="n">
        <v>-1838747.58497186</v>
      </c>
      <c r="S1198" s="68" t="n">
        <v>-1884716.27459616</v>
      </c>
      <c r="T1198" s="68" t="n">
        <v>-1931457.23820614</v>
      </c>
      <c r="U1198" s="68" t="n">
        <v>-1979936.81488512</v>
      </c>
      <c r="V1198" s="68" t="n">
        <v>-2029633.22893874</v>
      </c>
      <c r="W1198" s="65"/>
    </row>
    <row r="1199" customFormat="false" ht="13.5" hidden="false" customHeight="false" outlineLevel="0" collapsed="false">
      <c r="A1199" s="2"/>
      <c r="B1199" s="121" t="s">
        <v>29</v>
      </c>
      <c r="C1199" s="123" t="n">
        <v>0</v>
      </c>
      <c r="D1199" s="73" t="n">
        <v>118613195.243999</v>
      </c>
      <c r="E1199" s="73" t="n">
        <v>115955942.275649</v>
      </c>
      <c r="F1199" s="73" t="n">
        <v>113891871.287839</v>
      </c>
      <c r="G1199" s="73" t="n">
        <v>110852384.772255</v>
      </c>
      <c r="H1199" s="73" t="n">
        <v>110926699.228064</v>
      </c>
      <c r="I1199" s="73" t="n">
        <v>121335143.089231</v>
      </c>
      <c r="J1199" s="73" t="n">
        <v>132354806.446558</v>
      </c>
      <c r="K1199" s="73" t="n">
        <v>136131194.343197</v>
      </c>
      <c r="L1199" s="73" t="n">
        <v>138656468.074848</v>
      </c>
      <c r="M1199" s="73" t="n">
        <v>137493244.400641</v>
      </c>
      <c r="N1199" s="73" t="n">
        <v>140017813.017376</v>
      </c>
      <c r="O1199" s="73" t="n">
        <v>140957840.556825</v>
      </c>
      <c r="P1199" s="73" t="n">
        <v>142736633.300085</v>
      </c>
      <c r="Q1199" s="73" t="n">
        <v>149067245.30289</v>
      </c>
      <c r="R1199" s="73" t="n">
        <v>163983918.699716</v>
      </c>
      <c r="S1199" s="73" t="n">
        <v>160892502.569265</v>
      </c>
      <c r="T1199" s="73" t="n">
        <v>162583004.715652</v>
      </c>
      <c r="U1199" s="73" t="n">
        <v>172555521.541838</v>
      </c>
      <c r="V1199" s="73" t="n">
        <v>180175211.412768</v>
      </c>
      <c r="W1199" s="65"/>
    </row>
    <row r="1200" customFormat="false" ht="12.75" hidden="false" customHeight="false" outlineLevel="0" collapsed="false">
      <c r="A1200" s="2"/>
      <c r="B1200" s="117" t="s">
        <v>30</v>
      </c>
      <c r="C1200" s="118" t="n">
        <v>0</v>
      </c>
      <c r="D1200" s="64" t="n">
        <v>-44637673.787173</v>
      </c>
      <c r="E1200" s="64" t="n">
        <v>-47669468.5797089</v>
      </c>
      <c r="F1200" s="64" t="n">
        <v>-50850855.7807751</v>
      </c>
      <c r="G1200" s="64" t="n">
        <v>-51374016.8585807</v>
      </c>
      <c r="H1200" s="64" t="n">
        <v>-9696845.073951</v>
      </c>
      <c r="I1200" s="64" t="n">
        <v>-8370228.74619152</v>
      </c>
      <c r="J1200" s="64" t="n">
        <v>-6466648.00145</v>
      </c>
      <c r="K1200" s="64" t="n">
        <v>-4426034.88199964</v>
      </c>
      <c r="L1200" s="64" t="n">
        <v>-4401674.10678013</v>
      </c>
      <c r="M1200" s="64" t="n">
        <v>-4733687.05628218</v>
      </c>
      <c r="N1200" s="64" t="n">
        <v>-5084603.23836035</v>
      </c>
      <c r="O1200" s="64" t="n">
        <v>-5443621.05762649</v>
      </c>
      <c r="P1200" s="64" t="n">
        <v>-5652728.4291883</v>
      </c>
      <c r="Q1200" s="64" t="n">
        <v>-5872889.29189696</v>
      </c>
      <c r="R1200" s="64" t="n">
        <v>-6264780.12048688</v>
      </c>
      <c r="S1200" s="64" t="n">
        <v>-6525309.36393451</v>
      </c>
      <c r="T1200" s="64" t="n">
        <v>-6797966.74468556</v>
      </c>
      <c r="U1200" s="64" t="n">
        <v>-7226180.56685914</v>
      </c>
      <c r="V1200" s="64" t="n">
        <v>-7574706.03369793</v>
      </c>
      <c r="W1200" s="65"/>
    </row>
    <row r="1201" customFormat="false" ht="13.5" hidden="false" customHeight="false" outlineLevel="0" collapsed="false">
      <c r="A1201" s="2"/>
      <c r="B1201" s="119" t="s">
        <v>70</v>
      </c>
      <c r="C1201" s="120" t="n">
        <v>0</v>
      </c>
      <c r="D1201" s="68" t="n">
        <v>-29590208.5827304</v>
      </c>
      <c r="E1201" s="68" t="n">
        <v>-27314589.478376</v>
      </c>
      <c r="F1201" s="68" t="n">
        <v>-25216406.2028254</v>
      </c>
      <c r="G1201" s="68" t="n">
        <v>-23791347.1654698</v>
      </c>
      <c r="H1201" s="68" t="n">
        <v>-40491941.6616454</v>
      </c>
      <c r="I1201" s="68" t="n">
        <v>-45185965.7372157</v>
      </c>
      <c r="J1201" s="68" t="n">
        <v>-50355263.3780431</v>
      </c>
      <c r="K1201" s="68" t="n">
        <v>-52682063.7844791</v>
      </c>
      <c r="L1201" s="68" t="n">
        <v>-53701917.5872272</v>
      </c>
      <c r="M1201" s="68" t="n">
        <v>-53103822.9377435</v>
      </c>
      <c r="N1201" s="68" t="n">
        <v>-53973283.9116062</v>
      </c>
      <c r="O1201" s="68" t="n">
        <v>-54205687.7996793</v>
      </c>
      <c r="P1201" s="68" t="n">
        <v>-54833561.9483586</v>
      </c>
      <c r="Q1201" s="68" t="n">
        <v>-57277742.404397</v>
      </c>
      <c r="R1201" s="68" t="n">
        <v>-63087655.4316917</v>
      </c>
      <c r="S1201" s="68" t="n">
        <v>-61746877.2821322</v>
      </c>
      <c r="T1201" s="68" t="n">
        <v>-62314015.1883866</v>
      </c>
      <c r="U1201" s="68" t="n">
        <v>-66131736.3899914</v>
      </c>
      <c r="V1201" s="68" t="n">
        <v>-69040202.1516282</v>
      </c>
      <c r="W1201" s="65"/>
    </row>
    <row r="1202" customFormat="false" ht="13.5" hidden="false" customHeight="false" outlineLevel="0" collapsed="false">
      <c r="A1202" s="2"/>
      <c r="B1202" s="121" t="s">
        <v>32</v>
      </c>
      <c r="C1202" s="123" t="n">
        <v>0</v>
      </c>
      <c r="D1202" s="73" t="n">
        <v>44385312.8740956</v>
      </c>
      <c r="E1202" s="73" t="n">
        <v>40971884.2175639</v>
      </c>
      <c r="F1202" s="73" t="n">
        <v>37824609.3042382</v>
      </c>
      <c r="G1202" s="73" t="n">
        <v>35687020.7482047</v>
      </c>
      <c r="H1202" s="73" t="n">
        <v>60737912.4924681</v>
      </c>
      <c r="I1202" s="73" t="n">
        <v>67778948.6058235</v>
      </c>
      <c r="J1202" s="73" t="n">
        <v>75532895.0670646</v>
      </c>
      <c r="K1202" s="73" t="n">
        <v>79023095.6767186</v>
      </c>
      <c r="L1202" s="73" t="n">
        <v>80552876.3808408</v>
      </c>
      <c r="M1202" s="73" t="n">
        <v>79655734.4066152</v>
      </c>
      <c r="N1202" s="73" t="n">
        <v>80959925.8674092</v>
      </c>
      <c r="O1202" s="73" t="n">
        <v>81308531.6995189</v>
      </c>
      <c r="P1202" s="73" t="n">
        <v>82250342.9225378</v>
      </c>
      <c r="Q1202" s="73" t="n">
        <v>85916613.6065956</v>
      </c>
      <c r="R1202" s="73" t="n">
        <v>94631483.1475375</v>
      </c>
      <c r="S1202" s="73" t="n">
        <v>92620315.9231983</v>
      </c>
      <c r="T1202" s="73" t="n">
        <v>93471022.7825799</v>
      </c>
      <c r="U1202" s="73" t="n">
        <v>99197604.584987</v>
      </c>
      <c r="V1202" s="73" t="n">
        <v>103560303.227442</v>
      </c>
      <c r="W1202" s="65"/>
    </row>
    <row r="1203" customFormat="false" ht="12.75" hidden="false" customHeight="false" outlineLevel="0" collapsed="false">
      <c r="A1203" s="2"/>
      <c r="B1203" s="117" t="s">
        <v>30</v>
      </c>
      <c r="C1203" s="118" t="n">
        <v>0</v>
      </c>
      <c r="D1203" s="64" t="n">
        <v>44637673.787173</v>
      </c>
      <c r="E1203" s="64" t="n">
        <v>47669468.5797089</v>
      </c>
      <c r="F1203" s="64" t="n">
        <v>50850855.7807751</v>
      </c>
      <c r="G1203" s="64" t="n">
        <v>51374016.8585807</v>
      </c>
      <c r="H1203" s="64" t="n">
        <v>9696845.073951</v>
      </c>
      <c r="I1203" s="64" t="n">
        <v>8370228.74619152</v>
      </c>
      <c r="J1203" s="64" t="n">
        <v>6466648.00145</v>
      </c>
      <c r="K1203" s="64" t="n">
        <v>4426034.88199964</v>
      </c>
      <c r="L1203" s="64" t="n">
        <v>4401674.10678013</v>
      </c>
      <c r="M1203" s="64" t="n">
        <v>4733687.05628218</v>
      </c>
      <c r="N1203" s="64" t="n">
        <v>5084603.23836035</v>
      </c>
      <c r="O1203" s="64" t="n">
        <v>5443621.05762649</v>
      </c>
      <c r="P1203" s="64" t="n">
        <v>5652728.4291883</v>
      </c>
      <c r="Q1203" s="64" t="n">
        <v>5872889.29189696</v>
      </c>
      <c r="R1203" s="64" t="n">
        <v>6264780.12048688</v>
      </c>
      <c r="S1203" s="64" t="n">
        <v>6525309.36393451</v>
      </c>
      <c r="T1203" s="64" t="n">
        <v>6797966.74468556</v>
      </c>
      <c r="U1203" s="64" t="n">
        <v>7226180.56685914</v>
      </c>
      <c r="V1203" s="64" t="n">
        <v>7574706.03369793</v>
      </c>
      <c r="W1203" s="65"/>
    </row>
    <row r="1204" customFormat="false" ht="12.75" hidden="false" customHeight="false" outlineLevel="0" collapsed="false">
      <c r="A1204" s="2"/>
      <c r="B1204" s="117" t="s">
        <v>33</v>
      </c>
      <c r="C1204" s="118" t="n">
        <v>0</v>
      </c>
      <c r="D1204" s="64" t="n">
        <v>-2047591.71</v>
      </c>
      <c r="E1204" s="64" t="n">
        <v>-7775098.57000001</v>
      </c>
      <c r="F1204" s="64" t="n">
        <v>-3053459.57</v>
      </c>
      <c r="G1204" s="64" t="n">
        <v>-5375258.97</v>
      </c>
      <c r="H1204" s="64" t="n">
        <v>-6217891.388</v>
      </c>
      <c r="I1204" s="64" t="n">
        <v>-6404428.12964</v>
      </c>
      <c r="J1204" s="64" t="n">
        <v>-6596560.9735292</v>
      </c>
      <c r="K1204" s="64" t="n">
        <v>-6794457.80273508</v>
      </c>
      <c r="L1204" s="64" t="n">
        <v>-6998291.53681713</v>
      </c>
      <c r="M1204" s="64" t="n">
        <v>-7208240.28292165</v>
      </c>
      <c r="N1204" s="64" t="n">
        <v>-7424487.49140929</v>
      </c>
      <c r="O1204" s="64" t="n">
        <v>-7647222.11615157</v>
      </c>
      <c r="P1204" s="64" t="n">
        <v>-7876638.77963612</v>
      </c>
      <c r="Q1204" s="64" t="n">
        <v>-8112937.9430252</v>
      </c>
      <c r="R1204" s="64" t="n">
        <v>-8356326.08131596</v>
      </c>
      <c r="S1204" s="64" t="n">
        <v>-8607015.86375544</v>
      </c>
      <c r="T1204" s="64" t="n">
        <v>-8865226.3396681</v>
      </c>
      <c r="U1204" s="64" t="n">
        <v>-9131183.12985815</v>
      </c>
      <c r="V1204" s="64" t="n">
        <v>-9405118.62375389</v>
      </c>
      <c r="W1204" s="65"/>
    </row>
    <row r="1205" customFormat="false" ht="13.5" hidden="false" customHeight="false" outlineLevel="0" collapsed="false">
      <c r="A1205" s="2"/>
      <c r="B1205" s="119" t="s">
        <v>34</v>
      </c>
      <c r="C1205" s="120" t="n">
        <v>0</v>
      </c>
      <c r="D1205" s="68" t="n">
        <v>-2705818.05</v>
      </c>
      <c r="E1205" s="68" t="n">
        <v>-33595797.91</v>
      </c>
      <c r="F1205" s="68" t="n">
        <v>-5038796.01</v>
      </c>
      <c r="G1205" s="68" t="n">
        <v>0</v>
      </c>
      <c r="H1205" s="68" t="n">
        <v>0</v>
      </c>
      <c r="I1205" s="68" t="n">
        <v>0</v>
      </c>
      <c r="J1205" s="68" t="n">
        <v>0</v>
      </c>
      <c r="K1205" s="68" t="n">
        <v>0</v>
      </c>
      <c r="L1205" s="68" t="n">
        <v>0</v>
      </c>
      <c r="M1205" s="68" t="n">
        <v>0</v>
      </c>
      <c r="N1205" s="68" t="n">
        <v>0</v>
      </c>
      <c r="O1205" s="68" t="n">
        <v>0</v>
      </c>
      <c r="P1205" s="68" t="n">
        <v>0</v>
      </c>
      <c r="Q1205" s="68" t="n">
        <v>0</v>
      </c>
      <c r="R1205" s="68" t="n">
        <v>0</v>
      </c>
      <c r="S1205" s="68" t="n">
        <v>0</v>
      </c>
      <c r="T1205" s="68" t="n">
        <v>0</v>
      </c>
      <c r="U1205" s="68" t="n">
        <v>0</v>
      </c>
      <c r="V1205" s="68" t="n">
        <v>0</v>
      </c>
      <c r="W1205" s="65"/>
    </row>
    <row r="1206" customFormat="false" ht="13.5" hidden="false" customHeight="false" outlineLevel="0" collapsed="false">
      <c r="A1206" s="2"/>
      <c r="B1206" s="117"/>
      <c r="C1206" s="124"/>
      <c r="D1206" s="65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5"/>
      <c r="P1206" s="65"/>
      <c r="Q1206" s="65"/>
      <c r="R1206" s="65"/>
      <c r="S1206" s="65"/>
      <c r="T1206" s="65"/>
      <c r="U1206" s="65"/>
      <c r="V1206" s="65"/>
      <c r="W1206" s="65"/>
    </row>
    <row r="1207" customFormat="false" ht="12.75" hidden="false" customHeight="false" outlineLevel="0" collapsed="false">
      <c r="A1207" s="2"/>
      <c r="B1207" s="121" t="s">
        <v>35</v>
      </c>
      <c r="C1207" s="123" t="n">
        <v>0</v>
      </c>
      <c r="D1207" s="73" t="n">
        <v>84269576.9012686</v>
      </c>
      <c r="E1207" s="73" t="n">
        <v>47270456.3172728</v>
      </c>
      <c r="F1207" s="73" t="n">
        <v>80583209.5050132</v>
      </c>
      <c r="G1207" s="73" t="n">
        <v>81685778.6367854</v>
      </c>
      <c r="H1207" s="73" t="n">
        <v>64216866.178419</v>
      </c>
      <c r="I1207" s="73" t="n">
        <v>69744749.2223751</v>
      </c>
      <c r="J1207" s="73" t="n">
        <v>75402982.0949854</v>
      </c>
      <c r="K1207" s="73" t="n">
        <v>76654672.7559832</v>
      </c>
      <c r="L1207" s="73" t="n">
        <v>77956258.9508038</v>
      </c>
      <c r="M1207" s="73" t="n">
        <v>77181181.1799757</v>
      </c>
      <c r="N1207" s="73" t="n">
        <v>78620041.6143603</v>
      </c>
      <c r="O1207" s="73" t="n">
        <v>79104930.6409938</v>
      </c>
      <c r="P1207" s="73" t="n">
        <v>80026432.57209</v>
      </c>
      <c r="Q1207" s="73" t="n">
        <v>83676564.9554673</v>
      </c>
      <c r="R1207" s="73" t="n">
        <v>92539937.1867085</v>
      </c>
      <c r="S1207" s="73" t="n">
        <v>90538609.4233774</v>
      </c>
      <c r="T1207" s="73" t="n">
        <v>91403763.1875974</v>
      </c>
      <c r="U1207" s="73" t="n">
        <v>97292602.021988</v>
      </c>
      <c r="V1207" s="73" t="n">
        <v>101729890.637386</v>
      </c>
      <c r="W1207" s="71" t="n">
        <v>535876271.061026</v>
      </c>
    </row>
    <row r="1208" customFormat="false" ht="12.75" hidden="false" customHeight="false" outlineLevel="0" collapsed="false">
      <c r="A1208" s="2"/>
      <c r="B1208" s="125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</row>
    <row r="1209" customFormat="false" ht="12.75" hidden="false" customHeight="false" outlineLevel="0" collapsed="false">
      <c r="A1209" s="48" t="s">
        <v>36</v>
      </c>
      <c r="B1209" s="126" t="s">
        <v>37</v>
      </c>
      <c r="C1209" s="76" t="n">
        <v>271884664.534456</v>
      </c>
      <c r="D1209" s="2"/>
      <c r="E1209" s="127" t="s">
        <v>38</v>
      </c>
      <c r="F1209" s="128" t="s">
        <v>37</v>
      </c>
      <c r="G1209" s="79" t="n">
        <v>271884664.534456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</row>
    <row r="1210" customFormat="false" ht="12.75" hidden="false" customHeight="false" outlineLevel="0" collapsed="false">
      <c r="A1210" s="2"/>
      <c r="B1210" s="126" t="s">
        <v>39</v>
      </c>
      <c r="C1210" s="76" t="n">
        <v>368690532.844907</v>
      </c>
      <c r="D1210" s="2"/>
      <c r="E1210" s="129"/>
      <c r="F1210" s="128" t="s">
        <v>39</v>
      </c>
      <c r="G1210" s="79" t="n">
        <v>368690532.844907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</row>
    <row r="1211" customFormat="false" ht="13.5" hidden="false" customHeight="false" outlineLevel="0" collapsed="false">
      <c r="A1211" s="2"/>
      <c r="B1211" s="130" t="s">
        <v>40</v>
      </c>
      <c r="C1211" s="82" t="n">
        <v>79654593.1025603</v>
      </c>
      <c r="D1211" s="131"/>
      <c r="E1211" s="129"/>
      <c r="F1211" s="128" t="s">
        <v>40</v>
      </c>
      <c r="G1211" s="79" t="n">
        <v>79654593.1025603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</row>
    <row r="1212" customFormat="false" ht="14.25" hidden="false" customHeight="false" outlineLevel="0" collapsed="false">
      <c r="A1212" s="2"/>
      <c r="B1212" s="126" t="s">
        <v>41</v>
      </c>
      <c r="C1212" s="76" t="n">
        <v>720229790.481924</v>
      </c>
      <c r="D1212" s="132"/>
      <c r="E1212" s="129"/>
      <c r="F1212" s="133" t="s">
        <v>42</v>
      </c>
      <c r="G1212" s="85" t="n">
        <v>0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</row>
    <row r="1213" customFormat="false" ht="13.5" hidden="false" customHeight="false" outlineLevel="0" collapsed="false">
      <c r="A1213" s="2"/>
      <c r="B1213" s="125"/>
      <c r="C1213" s="134"/>
      <c r="D1213" s="2"/>
      <c r="E1213" s="135"/>
      <c r="F1213" s="128" t="s">
        <v>41</v>
      </c>
      <c r="G1213" s="79" t="n">
        <v>720229790.481924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</row>
    <row r="1214" customFormat="false" ht="12.75" hidden="false" customHeight="false" outlineLevel="0" collapsed="false">
      <c r="A1214" s="2"/>
      <c r="B1214" s="125"/>
      <c r="C1214" s="134"/>
      <c r="D1214" s="2"/>
      <c r="E1214" s="135"/>
      <c r="F1214" s="128"/>
      <c r="G1214" s="136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</row>
    <row r="1215" customFormat="false" ht="12.75" hidden="false" customHeight="false" outlineLevel="0" collapsed="false">
      <c r="A1215" s="2"/>
      <c r="B1215" s="125"/>
      <c r="C1215" s="134"/>
      <c r="D1215" s="2"/>
      <c r="E1215" s="135"/>
      <c r="F1215" s="128"/>
      <c r="G1215" s="136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</row>
    <row r="1216" customFormat="false" ht="12.75" hidden="false" customHeight="false" outlineLevel="0" collapsed="false">
      <c r="A1216" s="2"/>
      <c r="B1216" s="137" t="s">
        <v>43</v>
      </c>
      <c r="C1216" s="134"/>
      <c r="D1216" s="2"/>
      <c r="E1216" s="135"/>
      <c r="F1216" s="128"/>
      <c r="G1216" s="136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</row>
    <row r="1217" customFormat="false" ht="12.75" hidden="false" customHeight="false" outlineLevel="0" collapsed="false">
      <c r="A1217" s="87" t="s">
        <v>44</v>
      </c>
      <c r="B1217" s="137" t="s">
        <v>45</v>
      </c>
      <c r="C1217" s="138"/>
      <c r="D1217" s="88" t="n">
        <v>44385312.8740956</v>
      </c>
      <c r="E1217" s="88" t="n">
        <v>40971884.2175639</v>
      </c>
      <c r="F1217" s="88" t="n">
        <v>37824609.3042382</v>
      </c>
      <c r="G1217" s="88" t="n">
        <v>35687020.7482047</v>
      </c>
      <c r="H1217" s="88" t="n">
        <v>60737912.4924681</v>
      </c>
      <c r="I1217" s="88" t="n">
        <v>67778948.6058235</v>
      </c>
      <c r="J1217" s="88" t="n">
        <v>75532895.0670646</v>
      </c>
      <c r="K1217" s="88" t="n">
        <v>79023095.6767186</v>
      </c>
      <c r="L1217" s="88" t="n">
        <v>80552876.3808408</v>
      </c>
      <c r="M1217" s="88" t="n">
        <v>79655734.4066152</v>
      </c>
      <c r="N1217" s="88" t="n">
        <v>80959925.8674092</v>
      </c>
      <c r="O1217" s="88" t="n">
        <v>81308531.6995189</v>
      </c>
      <c r="P1217" s="88" t="n">
        <v>82250342.9225378</v>
      </c>
      <c r="Q1217" s="88" t="n">
        <v>85916613.6065956</v>
      </c>
      <c r="R1217" s="88" t="n">
        <v>94631483.1475375</v>
      </c>
      <c r="S1217" s="88" t="n">
        <v>92620315.9231983</v>
      </c>
      <c r="T1217" s="88" t="n">
        <v>93471022.7825799</v>
      </c>
      <c r="U1217" s="88" t="n">
        <v>99197604.584987</v>
      </c>
      <c r="V1217" s="88" t="n">
        <v>103560303.227442</v>
      </c>
      <c r="W1217" s="2"/>
    </row>
    <row r="1218" customFormat="false" ht="12.75" hidden="false" customHeight="false" outlineLevel="0" collapsed="false">
      <c r="A1218" s="2"/>
      <c r="B1218" s="125" t="s">
        <v>46</v>
      </c>
      <c r="C1218" s="134"/>
      <c r="D1218" s="65" t="n">
        <v>29590208.5827304</v>
      </c>
      <c r="E1218" s="65" t="n">
        <v>27314589.478376</v>
      </c>
      <c r="F1218" s="65" t="n">
        <v>25216406.2028254</v>
      </c>
      <c r="G1218" s="65" t="n">
        <v>23791347.1654698</v>
      </c>
      <c r="H1218" s="65" t="n">
        <v>40491941.6616454</v>
      </c>
      <c r="I1218" s="65" t="n">
        <v>45185965.7372157</v>
      </c>
      <c r="J1218" s="65" t="n">
        <v>50355263.3780431</v>
      </c>
      <c r="K1218" s="65" t="n">
        <v>52682063.7844791</v>
      </c>
      <c r="L1218" s="65" t="n">
        <v>53701917.5872272</v>
      </c>
      <c r="M1218" s="65" t="n">
        <v>53103822.9377435</v>
      </c>
      <c r="N1218" s="65" t="n">
        <v>53973283.9116062</v>
      </c>
      <c r="O1218" s="65" t="n">
        <v>54205687.7996793</v>
      </c>
      <c r="P1218" s="65" t="n">
        <v>54833561.9483586</v>
      </c>
      <c r="Q1218" s="65" t="n">
        <v>57277742.404397</v>
      </c>
      <c r="R1218" s="65" t="n">
        <v>63087655.4316917</v>
      </c>
      <c r="S1218" s="65" t="n">
        <v>61746877.2821322</v>
      </c>
      <c r="T1218" s="65" t="n">
        <v>62314015.1883866</v>
      </c>
      <c r="U1218" s="65" t="n">
        <v>66131736.3899914</v>
      </c>
      <c r="V1218" s="65" t="n">
        <v>69040202.1516282</v>
      </c>
      <c r="W1218" s="2"/>
    </row>
    <row r="1219" customFormat="false" ht="12.75" hidden="false" customHeight="false" outlineLevel="0" collapsed="false">
      <c r="A1219" s="2"/>
      <c r="B1219" s="139" t="s">
        <v>47</v>
      </c>
      <c r="C1219" s="140"/>
      <c r="D1219" s="65" t="n">
        <v>44637673.787173</v>
      </c>
      <c r="E1219" s="65" t="n">
        <v>47669468.5797089</v>
      </c>
      <c r="F1219" s="65" t="n">
        <v>50850855.7807751</v>
      </c>
      <c r="G1219" s="65" t="n">
        <v>51374016.8585807</v>
      </c>
      <c r="H1219" s="65" t="n">
        <v>9696845.073951</v>
      </c>
      <c r="I1219" s="65" t="n">
        <v>8370228.74619152</v>
      </c>
      <c r="J1219" s="65" t="n">
        <v>6466648.00145</v>
      </c>
      <c r="K1219" s="65" t="n">
        <v>4426034.88199964</v>
      </c>
      <c r="L1219" s="65" t="n">
        <v>4401674.10678013</v>
      </c>
      <c r="M1219" s="65" t="n">
        <v>4733687.05628218</v>
      </c>
      <c r="N1219" s="65" t="n">
        <v>5084603.23836035</v>
      </c>
      <c r="O1219" s="65" t="n">
        <v>5443621.05762649</v>
      </c>
      <c r="P1219" s="65" t="n">
        <v>5652728.4291883</v>
      </c>
      <c r="Q1219" s="65" t="n">
        <v>5872889.29189696</v>
      </c>
      <c r="R1219" s="65" t="n">
        <v>6264780.12048688</v>
      </c>
      <c r="S1219" s="65" t="n">
        <v>6525309.36393451</v>
      </c>
      <c r="T1219" s="65" t="n">
        <v>6797966.74468556</v>
      </c>
      <c r="U1219" s="65" t="n">
        <v>7226180.56685914</v>
      </c>
      <c r="V1219" s="65" t="n">
        <v>7574706.03369793</v>
      </c>
      <c r="W1219" s="2"/>
    </row>
    <row r="1220" customFormat="false" ht="13.5" hidden="false" customHeight="false" outlineLevel="0" collapsed="false">
      <c r="A1220" s="2"/>
      <c r="B1220" s="141" t="s">
        <v>48</v>
      </c>
      <c r="C1220" s="142"/>
      <c r="D1220" s="93" t="n">
        <v>118613195.243999</v>
      </c>
      <c r="E1220" s="93" t="n">
        <v>115955942.275649</v>
      </c>
      <c r="F1220" s="93" t="n">
        <v>113891871.287839</v>
      </c>
      <c r="G1220" s="93" t="n">
        <v>110852384.772255</v>
      </c>
      <c r="H1220" s="93" t="n">
        <v>110926699.228064</v>
      </c>
      <c r="I1220" s="93" t="n">
        <v>121335143.089231</v>
      </c>
      <c r="J1220" s="93" t="n">
        <v>132354806.446558</v>
      </c>
      <c r="K1220" s="93" t="n">
        <v>136131194.343197</v>
      </c>
      <c r="L1220" s="93" t="n">
        <v>138656468.074848</v>
      </c>
      <c r="M1220" s="93" t="n">
        <v>137493244.400641</v>
      </c>
      <c r="N1220" s="93" t="n">
        <v>140017813.017376</v>
      </c>
      <c r="O1220" s="93" t="n">
        <v>140957840.556825</v>
      </c>
      <c r="P1220" s="93" t="n">
        <v>142736633.300085</v>
      </c>
      <c r="Q1220" s="93" t="n">
        <v>149067245.30289</v>
      </c>
      <c r="R1220" s="93" t="n">
        <v>163983918.699716</v>
      </c>
      <c r="S1220" s="93" t="n">
        <v>160892502.569265</v>
      </c>
      <c r="T1220" s="93" t="n">
        <v>162583004.715652</v>
      </c>
      <c r="U1220" s="93" t="n">
        <v>172555521.541838</v>
      </c>
      <c r="V1220" s="93" t="n">
        <v>180175211.412768</v>
      </c>
      <c r="W1220" s="2"/>
    </row>
    <row r="1221" customFormat="false" ht="13.5" hidden="false" customHeight="false" outlineLevel="0" collapsed="false">
      <c r="A1221" s="87" t="s">
        <v>49</v>
      </c>
      <c r="B1221" s="125" t="s">
        <v>50</v>
      </c>
      <c r="C1221" s="134"/>
      <c r="D1221" s="65" t="n">
        <v>-38013885.5861728</v>
      </c>
      <c r="E1221" s="65" t="n">
        <v>-40082430.4101728</v>
      </c>
      <c r="F1221" s="65" t="n">
        <v>-40235103.3886728</v>
      </c>
      <c r="G1221" s="65" t="n">
        <v>-40503866.3371728</v>
      </c>
      <c r="H1221" s="65" t="n">
        <v>-40814760.9065728</v>
      </c>
      <c r="I1221" s="65" t="n">
        <v>-41134982.3130548</v>
      </c>
      <c r="J1221" s="65" t="n">
        <v>-41464810.3617313</v>
      </c>
      <c r="K1221" s="65" t="n">
        <v>-41804533.251868</v>
      </c>
      <c r="L1221" s="65" t="n">
        <v>-42154447.8287089</v>
      </c>
      <c r="M1221" s="65" t="n">
        <v>-42514859.842855</v>
      </c>
      <c r="N1221" s="65" t="n">
        <v>-42886084.2174254</v>
      </c>
      <c r="O1221" s="65" t="n">
        <v>-43268445.323233</v>
      </c>
      <c r="P1221" s="65" t="n">
        <v>-43662277.2622148</v>
      </c>
      <c r="Q1221" s="65" t="n">
        <v>-44067924.1593661</v>
      </c>
      <c r="R1221" s="65" t="n">
        <v>-44485740.4634319</v>
      </c>
      <c r="S1221" s="65" t="n">
        <v>-44916091.2566196</v>
      </c>
      <c r="T1221" s="65" t="n">
        <v>-45359352.573603</v>
      </c>
      <c r="U1221" s="65" t="n">
        <v>-45815911.730096</v>
      </c>
      <c r="V1221" s="65" t="n">
        <v>-46286167.6612837</v>
      </c>
      <c r="W1221" s="2"/>
    </row>
    <row r="1222" customFormat="false" ht="12.75" hidden="false" customHeight="false" outlineLevel="0" collapsed="false">
      <c r="A1222" s="2"/>
      <c r="B1222" s="125" t="s">
        <v>51</v>
      </c>
      <c r="C1222" s="134"/>
      <c r="D1222" s="65" t="n">
        <v>0</v>
      </c>
      <c r="E1222" s="65" t="n">
        <v>0</v>
      </c>
      <c r="F1222" s="65" t="n">
        <v>0</v>
      </c>
      <c r="G1222" s="65" t="n">
        <v>0</v>
      </c>
      <c r="H1222" s="65" t="n">
        <v>0</v>
      </c>
      <c r="I1222" s="65" t="n">
        <v>0</v>
      </c>
      <c r="J1222" s="65" t="n">
        <v>0</v>
      </c>
      <c r="K1222" s="65" t="n">
        <v>0</v>
      </c>
      <c r="L1222" s="65" t="n">
        <v>0</v>
      </c>
      <c r="M1222" s="65" t="n">
        <v>0</v>
      </c>
      <c r="N1222" s="65" t="n">
        <v>0</v>
      </c>
      <c r="O1222" s="65" t="n">
        <v>0</v>
      </c>
      <c r="P1222" s="65" t="n">
        <v>0</v>
      </c>
      <c r="Q1222" s="65" t="n">
        <v>0</v>
      </c>
      <c r="R1222" s="65" t="n">
        <v>0</v>
      </c>
      <c r="S1222" s="65" t="n">
        <v>0</v>
      </c>
      <c r="T1222" s="65" t="n">
        <v>0</v>
      </c>
      <c r="U1222" s="65" t="n">
        <v>0</v>
      </c>
      <c r="V1222" s="65" t="n">
        <v>0</v>
      </c>
      <c r="W1222" s="2"/>
    </row>
    <row r="1223" customFormat="false" ht="12.75" hidden="false" customHeight="false" outlineLevel="0" collapsed="false">
      <c r="A1223" s="2"/>
      <c r="B1223" s="137" t="s">
        <v>52</v>
      </c>
      <c r="C1223" s="138"/>
      <c r="D1223" s="88" t="n">
        <v>80599309.6578262</v>
      </c>
      <c r="E1223" s="88" t="n">
        <v>75873511.865476</v>
      </c>
      <c r="F1223" s="88" t="n">
        <v>73656767.8991659</v>
      </c>
      <c r="G1223" s="88" t="n">
        <v>70348518.4350823</v>
      </c>
      <c r="H1223" s="88" t="n">
        <v>70111938.3214916</v>
      </c>
      <c r="I1223" s="88" t="n">
        <v>80200160.776176</v>
      </c>
      <c r="J1223" s="88" t="n">
        <v>90889996.0848264</v>
      </c>
      <c r="K1223" s="88" t="n">
        <v>94326661.0913293</v>
      </c>
      <c r="L1223" s="88" t="n">
        <v>96502020.2461393</v>
      </c>
      <c r="M1223" s="88" t="n">
        <v>94978384.5577859</v>
      </c>
      <c r="N1223" s="88" t="n">
        <v>97131728.7999503</v>
      </c>
      <c r="O1223" s="88" t="n">
        <v>97689395.2335917</v>
      </c>
      <c r="P1223" s="88" t="n">
        <v>99074356.0378699</v>
      </c>
      <c r="Q1223" s="88" t="n">
        <v>104999321.143523</v>
      </c>
      <c r="R1223" s="88" t="n">
        <v>119498178.236284</v>
      </c>
      <c r="S1223" s="88" t="n">
        <v>115976411.312645</v>
      </c>
      <c r="T1223" s="88" t="n">
        <v>117223652.142049</v>
      </c>
      <c r="U1223" s="88" t="n">
        <v>126739609.811742</v>
      </c>
      <c r="V1223" s="88" t="n">
        <v>133889043.751485</v>
      </c>
      <c r="W1223" s="2"/>
    </row>
    <row r="1224" customFormat="false" ht="13.5" hidden="false" customHeight="false" outlineLevel="0" collapsed="false">
      <c r="A1224" s="2"/>
      <c r="B1224" s="143" t="s">
        <v>53</v>
      </c>
      <c r="C1224" s="144"/>
      <c r="D1224" s="96" t="n">
        <v>-32239723.8631305</v>
      </c>
      <c r="E1224" s="96" t="n">
        <v>-30349404.7461904</v>
      </c>
      <c r="F1224" s="96" t="n">
        <v>-29462707.1596664</v>
      </c>
      <c r="G1224" s="96" t="n">
        <v>-28139407.3740329</v>
      </c>
      <c r="H1224" s="96" t="n">
        <v>-28044775.3285967</v>
      </c>
      <c r="I1224" s="96" t="n">
        <v>-32080064.3104704</v>
      </c>
      <c r="J1224" s="96" t="n">
        <v>-36355998.4339305</v>
      </c>
      <c r="K1224" s="96" t="n">
        <v>-37730664.4365317</v>
      </c>
      <c r="L1224" s="96" t="n">
        <v>-38600808.0984557</v>
      </c>
      <c r="M1224" s="96" t="n">
        <v>-37991353.8231143</v>
      </c>
      <c r="N1224" s="96" t="n">
        <v>-38852691.5199801</v>
      </c>
      <c r="O1224" s="96" t="n">
        <v>-39075758.0934367</v>
      </c>
      <c r="P1224" s="96" t="n">
        <v>-39629742.415148</v>
      </c>
      <c r="Q1224" s="96" t="n">
        <v>-41999728.4574094</v>
      </c>
      <c r="R1224" s="96" t="n">
        <v>-47799271.2945137</v>
      </c>
      <c r="S1224" s="96" t="n">
        <v>-46390564.5250582</v>
      </c>
      <c r="T1224" s="96" t="n">
        <v>-46889460.8568196</v>
      </c>
      <c r="U1224" s="96" t="n">
        <v>-50695843.9246966</v>
      </c>
      <c r="V1224" s="96" t="n">
        <v>-53555617.5005939</v>
      </c>
      <c r="W1224" s="2"/>
    </row>
    <row r="1225" customFormat="false" ht="13.5" hidden="false" customHeight="false" outlineLevel="0" collapsed="false">
      <c r="A1225" s="2"/>
      <c r="B1225" s="137" t="s">
        <v>54</v>
      </c>
      <c r="C1225" s="138"/>
      <c r="D1225" s="88" t="n">
        <v>48359585.7946957</v>
      </c>
      <c r="E1225" s="88" t="n">
        <v>45524107.1192856</v>
      </c>
      <c r="F1225" s="88" t="n">
        <v>44194060.7394995</v>
      </c>
      <c r="G1225" s="88" t="n">
        <v>42209111.0610494</v>
      </c>
      <c r="H1225" s="88" t="n">
        <v>42067162.992895</v>
      </c>
      <c r="I1225" s="88" t="n">
        <v>48120096.4657056</v>
      </c>
      <c r="J1225" s="88" t="n">
        <v>54533997.6508958</v>
      </c>
      <c r="K1225" s="88" t="n">
        <v>56595996.6547976</v>
      </c>
      <c r="L1225" s="88" t="n">
        <v>57901212.1476836</v>
      </c>
      <c r="M1225" s="88" t="n">
        <v>56987030.7346715</v>
      </c>
      <c r="N1225" s="88" t="n">
        <v>58279037.2799702</v>
      </c>
      <c r="O1225" s="88" t="n">
        <v>58613637.140155</v>
      </c>
      <c r="P1225" s="88" t="n">
        <v>59444613.6227219</v>
      </c>
      <c r="Q1225" s="88" t="n">
        <v>62999592.6861141</v>
      </c>
      <c r="R1225" s="88" t="n">
        <v>71698906.9417705</v>
      </c>
      <c r="S1225" s="88" t="n">
        <v>69585846.7875872</v>
      </c>
      <c r="T1225" s="88" t="n">
        <v>70334191.2852294</v>
      </c>
      <c r="U1225" s="88" t="n">
        <v>76043765.887045</v>
      </c>
      <c r="V1225" s="88" t="n">
        <v>80333426.2508908</v>
      </c>
      <c r="W1225" s="2"/>
    </row>
    <row r="1226" customFormat="false" ht="12.75" hidden="false" customHeight="false" outlineLevel="0" collapsed="false">
      <c r="A1226" s="2"/>
      <c r="B1226" s="2"/>
      <c r="C1226" s="134"/>
      <c r="D1226" s="2"/>
      <c r="E1226" s="135"/>
      <c r="F1226" s="128"/>
      <c r="G1226" s="136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</row>
    <row r="1227" customFormat="false" ht="15.75" hidden="false" customHeight="false" outlineLevel="0" collapsed="false">
      <c r="A1227" s="97" t="s">
        <v>55</v>
      </c>
      <c r="B1227" s="145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</row>
    <row r="1228" customFormat="false" ht="12.75" hidden="false" customHeight="false" outlineLevel="0" collapsed="false">
      <c r="A1228" s="99" t="s">
        <v>56</v>
      </c>
      <c r="B1228" s="49"/>
      <c r="C1228" s="101" t="n">
        <v>0</v>
      </c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</row>
    <row r="1229" customFormat="false" ht="12.75" hidden="false" customHeight="false" outlineLevel="0" collapsed="false">
      <c r="A1229" s="99" t="s">
        <v>57</v>
      </c>
      <c r="B1229" s="49"/>
      <c r="C1229" s="146" t="n">
        <v>0</v>
      </c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</row>
    <row r="1230" customFormat="false" ht="12.75" hidden="false" customHeight="false" outlineLevel="0" collapsed="false">
      <c r="A1230" s="99" t="s">
        <v>58</v>
      </c>
      <c r="B1230" s="49"/>
      <c r="C1230" s="99" t="n">
        <v>15</v>
      </c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</row>
    <row r="1231" customFormat="false" ht="12.75" hidden="false" customHeight="false" outlineLevel="0" collapsed="false">
      <c r="A1231" s="99" t="s">
        <v>59</v>
      </c>
      <c r="B1231" s="49"/>
      <c r="C1231" s="146" t="n">
        <v>0</v>
      </c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</row>
    <row r="1232" customFormat="false" ht="12.75" hidden="false" customHeight="false" outlineLevel="0" collapsed="false">
      <c r="A1232" s="99" t="s">
        <v>60</v>
      </c>
      <c r="B1232" s="49"/>
      <c r="C1232" s="147" t="n">
        <v>0.0875</v>
      </c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</row>
    <row r="1233" customFormat="false" ht="12.75" hidden="false" customHeight="false" outlineLevel="0" collapsed="false">
      <c r="A1233" s="99"/>
      <c r="B1233" s="49"/>
      <c r="C1233" s="107"/>
      <c r="D1233" s="58" t="n">
        <v>2001</v>
      </c>
      <c r="E1233" s="58" t="n">
        <v>2002</v>
      </c>
      <c r="F1233" s="58" t="n">
        <v>2003</v>
      </c>
      <c r="G1233" s="58" t="n">
        <v>2004</v>
      </c>
      <c r="H1233" s="58" t="n">
        <v>2005</v>
      </c>
      <c r="I1233" s="58" t="n">
        <v>2006</v>
      </c>
      <c r="J1233" s="58" t="n">
        <v>2007</v>
      </c>
      <c r="K1233" s="58" t="n">
        <v>2008</v>
      </c>
      <c r="L1233" s="58" t="n">
        <v>2009</v>
      </c>
      <c r="M1233" s="58" t="n">
        <v>2010</v>
      </c>
      <c r="N1233" s="58" t="n">
        <v>2011</v>
      </c>
      <c r="O1233" s="58" t="n">
        <v>2012</v>
      </c>
      <c r="P1233" s="58" t="n">
        <v>2013</v>
      </c>
      <c r="Q1233" s="58" t="n">
        <v>2014</v>
      </c>
      <c r="R1233" s="58" t="n">
        <v>2015</v>
      </c>
      <c r="S1233" s="58" t="n">
        <v>2016</v>
      </c>
      <c r="T1233" s="58" t="n">
        <v>2017</v>
      </c>
      <c r="U1233" s="58" t="n">
        <v>2018</v>
      </c>
      <c r="V1233" s="58" t="n">
        <v>2019</v>
      </c>
      <c r="W1233" s="58" t="s">
        <v>19</v>
      </c>
    </row>
    <row r="1234" customFormat="false" ht="12.75" hidden="false" customHeight="false" outlineLevel="0" collapsed="false">
      <c r="A1234" s="99" t="s">
        <v>61</v>
      </c>
      <c r="B1234" s="49"/>
      <c r="C1234" s="107"/>
      <c r="D1234" s="102" t="n">
        <v>0</v>
      </c>
      <c r="E1234" s="102" t="n">
        <v>0</v>
      </c>
      <c r="F1234" s="102" t="n">
        <v>0</v>
      </c>
      <c r="G1234" s="102" t="n">
        <v>0</v>
      </c>
      <c r="H1234" s="102" t="n">
        <v>0</v>
      </c>
      <c r="I1234" s="102" t="n">
        <v>0</v>
      </c>
      <c r="J1234" s="102" t="n">
        <v>0</v>
      </c>
      <c r="K1234" s="102" t="n">
        <v>0</v>
      </c>
      <c r="L1234" s="102" t="n">
        <v>0</v>
      </c>
      <c r="M1234" s="102" t="n">
        <v>0</v>
      </c>
      <c r="N1234" s="102" t="n">
        <v>0</v>
      </c>
      <c r="O1234" s="102" t="n">
        <v>0</v>
      </c>
      <c r="P1234" s="102" t="n">
        <v>0</v>
      </c>
      <c r="Q1234" s="102" t="n">
        <v>0</v>
      </c>
      <c r="R1234" s="102" t="n">
        <v>0</v>
      </c>
      <c r="S1234" s="102" t="n">
        <v>0</v>
      </c>
      <c r="T1234" s="102" t="n">
        <v>0</v>
      </c>
      <c r="U1234" s="102" t="n">
        <v>0</v>
      </c>
      <c r="V1234" s="102" t="n">
        <v>0</v>
      </c>
      <c r="W1234" s="102" t="n">
        <v>0</v>
      </c>
    </row>
    <row r="1235" customFormat="false" ht="12.75" hidden="false" customHeight="false" outlineLevel="0" collapsed="false">
      <c r="A1235" s="99" t="s">
        <v>62</v>
      </c>
      <c r="B1235" s="49"/>
      <c r="C1235" s="107"/>
      <c r="D1235" s="102" t="n">
        <v>0</v>
      </c>
      <c r="E1235" s="102" t="n">
        <v>0</v>
      </c>
      <c r="F1235" s="102" t="n">
        <v>0</v>
      </c>
      <c r="G1235" s="102" t="n">
        <v>0</v>
      </c>
      <c r="H1235" s="102" t="n">
        <v>0</v>
      </c>
      <c r="I1235" s="102" t="n">
        <v>0</v>
      </c>
      <c r="J1235" s="102" t="n">
        <v>0</v>
      </c>
      <c r="K1235" s="102" t="n">
        <v>0</v>
      </c>
      <c r="L1235" s="102" t="n">
        <v>0</v>
      </c>
      <c r="M1235" s="102" t="n">
        <v>0</v>
      </c>
      <c r="N1235" s="102" t="n">
        <v>0</v>
      </c>
      <c r="O1235" s="102" t="n">
        <v>0</v>
      </c>
      <c r="P1235" s="102" t="n">
        <v>0</v>
      </c>
      <c r="Q1235" s="102" t="n">
        <v>0</v>
      </c>
      <c r="R1235" s="102" t="n">
        <v>0</v>
      </c>
      <c r="S1235" s="102" t="n">
        <v>0</v>
      </c>
      <c r="T1235" s="102" t="n">
        <v>0</v>
      </c>
      <c r="U1235" s="102" t="n">
        <v>0</v>
      </c>
      <c r="V1235" s="102" t="n">
        <v>0</v>
      </c>
      <c r="W1235" s="102" t="n">
        <v>0</v>
      </c>
    </row>
    <row r="1236" customFormat="false" ht="12.75" hidden="false" customHeight="false" outlineLevel="0" collapsed="false">
      <c r="A1236" s="99" t="s">
        <v>63</v>
      </c>
      <c r="B1236" s="49"/>
      <c r="C1236" s="107"/>
      <c r="D1236" s="102" t="n">
        <v>0</v>
      </c>
      <c r="E1236" s="102" t="n">
        <v>0</v>
      </c>
      <c r="F1236" s="102" t="n">
        <v>0</v>
      </c>
      <c r="G1236" s="102" t="n">
        <v>0</v>
      </c>
      <c r="H1236" s="102" t="n">
        <v>0</v>
      </c>
      <c r="I1236" s="102" t="n">
        <v>0</v>
      </c>
      <c r="J1236" s="102" t="n">
        <v>0</v>
      </c>
      <c r="K1236" s="102" t="n">
        <v>0</v>
      </c>
      <c r="L1236" s="102" t="n">
        <v>0</v>
      </c>
      <c r="M1236" s="102" t="n">
        <v>0</v>
      </c>
      <c r="N1236" s="102" t="n">
        <v>0</v>
      </c>
      <c r="O1236" s="102" t="n">
        <v>0</v>
      </c>
      <c r="P1236" s="102" t="n">
        <v>0</v>
      </c>
      <c r="Q1236" s="102" t="n">
        <v>0</v>
      </c>
      <c r="R1236" s="102" t="n">
        <v>0</v>
      </c>
      <c r="S1236" s="102" t="n">
        <v>0</v>
      </c>
      <c r="T1236" s="102" t="n">
        <v>0</v>
      </c>
      <c r="U1236" s="102" t="n">
        <v>0</v>
      </c>
      <c r="V1236" s="102" t="n">
        <v>0</v>
      </c>
      <c r="W1236" s="102" t="n">
        <v>0</v>
      </c>
    </row>
    <row r="1237" customFormat="false" ht="12.75" hidden="false" customHeight="false" outlineLevel="0" collapsed="false">
      <c r="A1237" s="99" t="s">
        <v>64</v>
      </c>
      <c r="B1237" s="49"/>
      <c r="C1237" s="107"/>
      <c r="D1237" s="105" t="n">
        <v>0</v>
      </c>
      <c r="E1237" s="105" t="n">
        <v>0</v>
      </c>
      <c r="F1237" s="105" t="n">
        <v>0</v>
      </c>
      <c r="G1237" s="105" t="n">
        <v>0</v>
      </c>
      <c r="H1237" s="105" t="n">
        <v>0</v>
      </c>
      <c r="I1237" s="105" t="n">
        <v>0</v>
      </c>
      <c r="J1237" s="105" t="n">
        <v>0</v>
      </c>
      <c r="K1237" s="105" t="n">
        <v>0</v>
      </c>
      <c r="L1237" s="105" t="n">
        <v>0</v>
      </c>
      <c r="M1237" s="105" t="n">
        <v>0</v>
      </c>
      <c r="N1237" s="105" t="n">
        <v>0</v>
      </c>
      <c r="O1237" s="105" t="n">
        <v>0</v>
      </c>
      <c r="P1237" s="105" t="n">
        <v>0</v>
      </c>
      <c r="Q1237" s="105" t="n">
        <v>0</v>
      </c>
      <c r="R1237" s="105" t="n">
        <v>0</v>
      </c>
      <c r="S1237" s="105" t="n">
        <v>0</v>
      </c>
      <c r="T1237" s="105" t="n">
        <v>0</v>
      </c>
      <c r="U1237" s="105" t="n">
        <v>0</v>
      </c>
      <c r="V1237" s="105" t="n">
        <v>0</v>
      </c>
      <c r="W1237" s="105" t="n">
        <v>0</v>
      </c>
    </row>
    <row r="1238" customFormat="false" ht="13.5" hidden="false" customHeight="false" outlineLevel="0" collapsed="false">
      <c r="A1238" s="99" t="s">
        <v>65</v>
      </c>
      <c r="B1238" s="49"/>
      <c r="C1238" s="107"/>
      <c r="D1238" s="106" t="n">
        <v>0</v>
      </c>
      <c r="E1238" s="106" t="n">
        <v>0</v>
      </c>
      <c r="F1238" s="106" t="n">
        <v>0</v>
      </c>
      <c r="G1238" s="106" t="n">
        <v>0</v>
      </c>
      <c r="H1238" s="106" t="n">
        <v>0</v>
      </c>
      <c r="I1238" s="106" t="n">
        <v>0</v>
      </c>
      <c r="J1238" s="106" t="n">
        <v>0</v>
      </c>
      <c r="K1238" s="106" t="n">
        <v>0</v>
      </c>
      <c r="L1238" s="106" t="n">
        <v>0</v>
      </c>
      <c r="M1238" s="106" t="n">
        <v>0</v>
      </c>
      <c r="N1238" s="106" t="n">
        <v>0</v>
      </c>
      <c r="O1238" s="106" t="n">
        <v>0</v>
      </c>
      <c r="P1238" s="106" t="n">
        <v>0</v>
      </c>
      <c r="Q1238" s="106" t="n">
        <v>0</v>
      </c>
      <c r="R1238" s="106" t="n">
        <v>0</v>
      </c>
      <c r="S1238" s="106" t="n">
        <v>0</v>
      </c>
      <c r="T1238" s="106" t="n">
        <v>0</v>
      </c>
      <c r="U1238" s="106" t="n">
        <v>0</v>
      </c>
      <c r="V1238" s="106" t="n">
        <v>0</v>
      </c>
      <c r="W1238" s="106" t="n">
        <v>0</v>
      </c>
    </row>
    <row r="1239" customFormat="false" ht="13.5" hidden="false" customHeight="false" outlineLevel="0" collapsed="false">
      <c r="A1239" s="99"/>
      <c r="B1239" s="49"/>
      <c r="C1239" s="107"/>
      <c r="D1239" s="102"/>
      <c r="E1239" s="102"/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</row>
    <row r="1240" customFormat="false" ht="12.75" hidden="false" customHeight="false" outlineLevel="0" collapsed="false">
      <c r="A1240" s="99" t="s">
        <v>66</v>
      </c>
      <c r="B1240" s="49"/>
      <c r="C1240" s="107"/>
      <c r="D1240" s="102" t="n">
        <v>0</v>
      </c>
      <c r="E1240" s="102" t="n">
        <v>0</v>
      </c>
      <c r="F1240" s="102" t="n">
        <v>0</v>
      </c>
      <c r="G1240" s="102" t="n">
        <v>0</v>
      </c>
      <c r="H1240" s="102" t="n">
        <v>0</v>
      </c>
      <c r="I1240" s="102" t="n">
        <v>0</v>
      </c>
      <c r="J1240" s="102" t="n">
        <v>0</v>
      </c>
      <c r="K1240" s="102" t="n">
        <v>0</v>
      </c>
      <c r="L1240" s="102" t="n">
        <v>0</v>
      </c>
      <c r="M1240" s="102" t="n">
        <v>0</v>
      </c>
      <c r="N1240" s="102" t="n">
        <v>0</v>
      </c>
      <c r="O1240" s="102" t="n">
        <v>0</v>
      </c>
      <c r="P1240" s="102" t="n">
        <v>0</v>
      </c>
      <c r="Q1240" s="102" t="n">
        <v>0</v>
      </c>
      <c r="R1240" s="102" t="n">
        <v>0</v>
      </c>
      <c r="S1240" s="102" t="n">
        <v>0</v>
      </c>
      <c r="T1240" s="102" t="n">
        <v>0</v>
      </c>
      <c r="U1240" s="102" t="n">
        <v>0</v>
      </c>
      <c r="V1240" s="102" t="n">
        <v>0</v>
      </c>
      <c r="W1240" s="102" t="n">
        <v>0</v>
      </c>
    </row>
    <row r="1241" customFormat="false" ht="12.75" hidden="false" customHeight="false" outlineLevel="0" collapsed="false">
      <c r="A1241" s="99"/>
      <c r="B1241" s="49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</row>
    <row r="1242" customFormat="false" ht="12.75" hidden="false" customHeight="false" outlineLevel="0" collapsed="false">
      <c r="A1242" s="99" t="s">
        <v>67</v>
      </c>
      <c r="B1242" s="49"/>
      <c r="C1242" s="107"/>
      <c r="D1242" s="102" t="n">
        <v>0</v>
      </c>
      <c r="E1242" s="102" t="n">
        <v>0</v>
      </c>
      <c r="F1242" s="102" t="n">
        <v>0</v>
      </c>
      <c r="G1242" s="102" t="n">
        <v>0</v>
      </c>
      <c r="H1242" s="102" t="n">
        <v>0</v>
      </c>
      <c r="I1242" s="102" t="n">
        <v>0</v>
      </c>
      <c r="J1242" s="102" t="n">
        <v>0</v>
      </c>
      <c r="K1242" s="102" t="n">
        <v>0</v>
      </c>
      <c r="L1242" s="102" t="n">
        <v>0</v>
      </c>
      <c r="M1242" s="102" t="n">
        <v>0</v>
      </c>
      <c r="N1242" s="102" t="n">
        <v>0</v>
      </c>
      <c r="O1242" s="102" t="n">
        <v>0</v>
      </c>
      <c r="P1242" s="102" t="n">
        <v>0</v>
      </c>
      <c r="Q1242" s="102" t="n">
        <v>0</v>
      </c>
      <c r="R1242" s="102" t="n">
        <v>0</v>
      </c>
      <c r="S1242" s="102" t="n">
        <v>0</v>
      </c>
      <c r="T1242" s="102" t="n">
        <v>0</v>
      </c>
      <c r="U1242" s="102" t="n">
        <v>0</v>
      </c>
      <c r="V1242" s="102" t="n">
        <v>0</v>
      </c>
      <c r="W1242" s="102" t="n">
        <v>0</v>
      </c>
    </row>
    <row r="1243" customFormat="false" ht="12.75" hidden="false" customHeight="false" outlineLevel="0" collapsed="false">
      <c r="A1243" s="107"/>
      <c r="B1243" s="49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</row>
    <row r="1244" customFormat="false" ht="12.75" hidden="false" customHeight="false" outlineLevel="0" collapsed="false">
      <c r="A1244" s="107"/>
      <c r="B1244" s="49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</row>
    <row r="1245" customFormat="false" ht="12.75" hidden="false" customHeight="false" outlineLevel="0" collapsed="false">
      <c r="A1245" s="99" t="s">
        <v>68</v>
      </c>
      <c r="B1245" s="148"/>
      <c r="C1245" s="149"/>
      <c r="D1245" s="79" t="n">
        <v>84269576.9012686</v>
      </c>
      <c r="E1245" s="79" t="n">
        <v>47270456.3172728</v>
      </c>
      <c r="F1245" s="79" t="n">
        <v>80583209.5050132</v>
      </c>
      <c r="G1245" s="79" t="n">
        <v>81685778.6367854</v>
      </c>
      <c r="H1245" s="79" t="n">
        <v>64216866.178419</v>
      </c>
      <c r="I1245" s="79" t="n">
        <v>69744749.2223751</v>
      </c>
      <c r="J1245" s="79" t="n">
        <v>75402982.0949854</v>
      </c>
      <c r="K1245" s="79" t="n">
        <v>76654672.7559832</v>
      </c>
      <c r="L1245" s="79" t="n">
        <v>77956258.9508038</v>
      </c>
      <c r="M1245" s="79" t="n">
        <v>77181181.1799757</v>
      </c>
      <c r="N1245" s="79" t="n">
        <v>78620041.6143603</v>
      </c>
      <c r="O1245" s="79" t="n">
        <v>79104930.6409938</v>
      </c>
      <c r="P1245" s="79" t="n">
        <v>80026432.57209</v>
      </c>
      <c r="Q1245" s="79" t="n">
        <v>83676564.9554673</v>
      </c>
      <c r="R1245" s="79" t="n">
        <v>92539937.1867085</v>
      </c>
      <c r="S1245" s="79" t="n">
        <v>90538609.4233774</v>
      </c>
      <c r="T1245" s="79" t="n">
        <v>91403763.1875974</v>
      </c>
      <c r="U1245" s="79" t="n">
        <v>97292602.021988</v>
      </c>
      <c r="V1245" s="79" t="n">
        <v>101729890.637386</v>
      </c>
      <c r="W1245" s="79" t="n">
        <v>535876271.061026</v>
      </c>
    </row>
    <row r="1246" customFormat="false" ht="12.75" hidden="false" customHeight="false" outlineLevel="0" collapsed="false">
      <c r="A1246" s="2"/>
      <c r="B1246" s="31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</row>
    <row r="1247" customFormat="false" ht="12.75" hidden="false" customHeight="false" outlineLevel="0" collapsed="false">
      <c r="B1247" s="156"/>
      <c r="C1247" s="134"/>
      <c r="D1247" s="166"/>
      <c r="E1247" s="166"/>
      <c r="F1247" s="166"/>
      <c r="G1247" s="166"/>
      <c r="H1247" s="166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</row>
    <row r="1248" customFormat="false" ht="12.75" hidden="false" customHeight="false" outlineLevel="0" collapsed="false">
      <c r="B1248" s="126"/>
      <c r="C1248" s="138"/>
      <c r="D1248" s="165"/>
      <c r="E1248" s="165"/>
      <c r="F1248" s="165"/>
      <c r="G1248" s="165"/>
      <c r="H1248" s="165"/>
      <c r="I1248" s="165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</row>
    <row r="1249" customFormat="false" ht="12.75" hidden="false" customHeight="false" outlineLevel="0" collapsed="false">
      <c r="A1249" s="164"/>
      <c r="B1249" s="156"/>
      <c r="C1249" s="134"/>
      <c r="D1249" s="166"/>
      <c r="E1249" s="166"/>
      <c r="F1249" s="166"/>
      <c r="G1249" s="166"/>
      <c r="H1249" s="166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</row>
    <row r="1250" customFormat="false" ht="12.75" hidden="false" customHeight="false" outlineLevel="0" collapsed="false">
      <c r="B1250" s="156"/>
      <c r="C1250" s="134"/>
      <c r="D1250" s="166"/>
      <c r="E1250" s="166"/>
      <c r="F1250" s="166"/>
      <c r="G1250" s="166"/>
      <c r="H1250" s="166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</row>
    <row r="1251" customFormat="false" ht="12.75" hidden="false" customHeight="false" outlineLevel="0" collapsed="false">
      <c r="B1251" s="126"/>
      <c r="C1251" s="138"/>
      <c r="D1251" s="165"/>
      <c r="E1251" s="165"/>
      <c r="F1251" s="165"/>
      <c r="G1251" s="165"/>
      <c r="H1251" s="165"/>
      <c r="I1251" s="165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</row>
    <row r="1252" customFormat="false" ht="12.75" hidden="false" customHeight="false" outlineLevel="0" collapsed="false">
      <c r="B1252" s="156"/>
      <c r="C1252" s="134"/>
      <c r="D1252" s="166"/>
      <c r="E1252" s="166"/>
      <c r="F1252" s="166"/>
      <c r="G1252" s="166"/>
      <c r="H1252" s="166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</row>
    <row r="1253" customFormat="false" ht="12.75" hidden="false" customHeight="false" outlineLevel="0" collapsed="false">
      <c r="B1253" s="126"/>
      <c r="C1253" s="138"/>
      <c r="D1253" s="165"/>
      <c r="E1253" s="165"/>
      <c r="F1253" s="165"/>
      <c r="G1253" s="165"/>
      <c r="H1253" s="165"/>
      <c r="I1253" s="165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</row>
    <row r="1254" customFormat="false" ht="15.75" hidden="false" customHeight="false" outlineLevel="0" collapsed="false">
      <c r="A1254" s="48" t="s">
        <v>17</v>
      </c>
      <c r="B1254" s="57" t="s">
        <v>88</v>
      </c>
      <c r="C1254" s="58" t="n">
        <v>2000</v>
      </c>
      <c r="D1254" s="58" t="n">
        <v>2001</v>
      </c>
      <c r="E1254" s="58" t="n">
        <v>2002</v>
      </c>
      <c r="F1254" s="58" t="n">
        <v>2003</v>
      </c>
      <c r="G1254" s="58" t="n">
        <v>2004</v>
      </c>
      <c r="H1254" s="58" t="n">
        <v>2005</v>
      </c>
      <c r="I1254" s="58" t="n">
        <v>2006</v>
      </c>
      <c r="J1254" s="58" t="n">
        <v>2007</v>
      </c>
      <c r="K1254" s="58" t="n">
        <v>2008</v>
      </c>
      <c r="L1254" s="58" t="n">
        <v>2009</v>
      </c>
      <c r="M1254" s="58" t="n">
        <v>2010</v>
      </c>
      <c r="N1254" s="58" t="n">
        <v>2011</v>
      </c>
      <c r="O1254" s="58" t="n">
        <v>2012</v>
      </c>
      <c r="P1254" s="58" t="n">
        <v>2013</v>
      </c>
      <c r="Q1254" s="58" t="n">
        <v>2014</v>
      </c>
      <c r="R1254" s="58" t="n">
        <v>2015</v>
      </c>
      <c r="S1254" s="58" t="n">
        <v>2016</v>
      </c>
      <c r="T1254" s="58" t="n">
        <v>2017</v>
      </c>
      <c r="U1254" s="58" t="n">
        <v>2018</v>
      </c>
      <c r="V1254" s="58" t="n">
        <v>2019</v>
      </c>
      <c r="W1254" s="58" t="s">
        <v>19</v>
      </c>
    </row>
    <row r="1255" customFormat="false" ht="12.75" hidden="false" customHeight="false" outlineLevel="0" collapsed="false">
      <c r="A1255" s="48" t="s">
        <v>5</v>
      </c>
      <c r="B1255" s="49" t="n">
        <v>92</v>
      </c>
      <c r="C1255" s="61"/>
      <c r="D1255" s="61"/>
      <c r="E1255" s="61"/>
      <c r="F1255" s="61"/>
      <c r="G1255" s="61"/>
      <c r="H1255" s="61"/>
      <c r="I1255" s="61"/>
      <c r="J1255" s="61"/>
      <c r="K1255" s="61"/>
      <c r="L1255" s="61"/>
      <c r="M1255" s="61"/>
      <c r="N1255" s="61"/>
      <c r="O1255" s="61"/>
      <c r="P1255" s="61"/>
      <c r="Q1255" s="61"/>
      <c r="R1255" s="61"/>
      <c r="S1255" s="61"/>
      <c r="T1255" s="61"/>
      <c r="U1255" s="61"/>
      <c r="V1255" s="61"/>
      <c r="W1255" s="61"/>
    </row>
    <row r="1256" customFormat="false" ht="12.75" hidden="false" customHeight="false" outlineLevel="0" collapsed="false">
      <c r="A1256" s="2"/>
      <c r="B1256" s="117" t="s">
        <v>20</v>
      </c>
      <c r="C1256" s="118" t="n">
        <v>0</v>
      </c>
      <c r="D1256" s="64" t="n">
        <v>6115476.71089423</v>
      </c>
      <c r="E1256" s="64" t="n">
        <v>4570871.61254822</v>
      </c>
      <c r="F1256" s="64" t="n">
        <v>3589988.60633214</v>
      </c>
      <c r="G1256" s="64" t="n">
        <v>3086926.35012513</v>
      </c>
      <c r="H1256" s="64" t="n">
        <v>3189473.21577492</v>
      </c>
      <c r="I1256" s="64" t="n">
        <v>2417121.44260014</v>
      </c>
      <c r="J1256" s="64" t="n">
        <v>2731142.59356512</v>
      </c>
      <c r="K1256" s="64" t="n">
        <v>4467837.53778097</v>
      </c>
      <c r="L1256" s="64" t="n">
        <v>4487183.60432178</v>
      </c>
      <c r="M1256" s="64" t="n">
        <v>4859896.12476776</v>
      </c>
      <c r="N1256" s="64" t="n">
        <v>4125407.75116854</v>
      </c>
      <c r="O1256" s="64" t="n">
        <v>4452042.66849524</v>
      </c>
      <c r="P1256" s="64" t="n">
        <v>5102274.3011085</v>
      </c>
      <c r="Q1256" s="64" t="n">
        <v>6152071.20477869</v>
      </c>
      <c r="R1256" s="64" t="n">
        <v>4901017.82673692</v>
      </c>
      <c r="S1256" s="64" t="n">
        <v>4008478.04171772</v>
      </c>
      <c r="T1256" s="64" t="n">
        <v>4973332.71868927</v>
      </c>
      <c r="U1256" s="64" t="n">
        <v>5976625.26285561</v>
      </c>
      <c r="V1256" s="64" t="n">
        <v>4729271.26504209</v>
      </c>
      <c r="W1256" s="65"/>
    </row>
    <row r="1257" customFormat="false" ht="12.75" hidden="false" customHeight="false" outlineLevel="0" collapsed="false">
      <c r="A1257" s="2"/>
      <c r="B1257" s="117" t="s">
        <v>21</v>
      </c>
      <c r="C1257" s="118" t="n">
        <v>0</v>
      </c>
      <c r="D1257" s="64" t="n">
        <v>-884933.134514334</v>
      </c>
      <c r="E1257" s="64" t="n">
        <v>-982523.749128508</v>
      </c>
      <c r="F1257" s="64" t="n">
        <v>-851195.145799131</v>
      </c>
      <c r="G1257" s="64" t="n">
        <v>-821723.865176699</v>
      </c>
      <c r="H1257" s="64" t="n">
        <v>-1148249.79720578</v>
      </c>
      <c r="I1257" s="64" t="n">
        <v>-1084244.17319709</v>
      </c>
      <c r="J1257" s="64" t="n">
        <v>-1258821.96600014</v>
      </c>
      <c r="K1257" s="64" t="n">
        <v>-2228063.82586357</v>
      </c>
      <c r="L1257" s="64" t="n">
        <v>-2200393.52258719</v>
      </c>
      <c r="M1257" s="64" t="n">
        <v>-2224415.17098175</v>
      </c>
      <c r="N1257" s="64" t="n">
        <v>-2343869.6144679</v>
      </c>
      <c r="O1257" s="64" t="n">
        <v>-2352548.15527472</v>
      </c>
      <c r="P1257" s="64" t="n">
        <v>-2850908.99742226</v>
      </c>
      <c r="Q1257" s="64" t="n">
        <v>-3347090.03796366</v>
      </c>
      <c r="R1257" s="64" t="n">
        <v>-2735855.65647387</v>
      </c>
      <c r="S1257" s="64" t="n">
        <v>-2452274.73422541</v>
      </c>
      <c r="T1257" s="64" t="n">
        <v>-2981091.68922168</v>
      </c>
      <c r="U1257" s="64" t="n">
        <v>-3717678.5963007</v>
      </c>
      <c r="V1257" s="64" t="n">
        <v>-3149185.77739667</v>
      </c>
      <c r="W1257" s="65"/>
    </row>
    <row r="1258" customFormat="false" ht="12.75" hidden="false" customHeight="false" outlineLevel="0" collapsed="false">
      <c r="A1258" s="2"/>
      <c r="B1258" s="117" t="s">
        <v>22</v>
      </c>
      <c r="C1258" s="118" t="n">
        <v>0</v>
      </c>
      <c r="D1258" s="64" t="n">
        <v>-37487.01455343</v>
      </c>
      <c r="E1258" s="64" t="n">
        <v>-46184.4854971216</v>
      </c>
      <c r="F1258" s="64" t="n">
        <v>-42036.9709844613</v>
      </c>
      <c r="G1258" s="64" t="n">
        <v>-41087.4678033918</v>
      </c>
      <c r="H1258" s="64" t="n">
        <v>-58207.4774444626</v>
      </c>
      <c r="I1258" s="64" t="n">
        <v>-55121.825755254</v>
      </c>
      <c r="J1258" s="64" t="n">
        <v>-64396.5300251598</v>
      </c>
      <c r="K1258" s="64" t="n">
        <v>-125438.287496839</v>
      </c>
      <c r="L1258" s="64" t="n">
        <v>-123567.158821501</v>
      </c>
      <c r="M1258" s="64" t="n">
        <v>-123169.490829719</v>
      </c>
      <c r="N1258" s="64" t="n">
        <v>-128037.401863136</v>
      </c>
      <c r="O1258" s="64" t="n">
        <v>-133496.939070048</v>
      </c>
      <c r="P1258" s="64" t="n">
        <v>-155414.034898251</v>
      </c>
      <c r="Q1258" s="64" t="n">
        <v>-187808.250615495</v>
      </c>
      <c r="R1258" s="64" t="n">
        <v>-143168.106593322</v>
      </c>
      <c r="S1258" s="64" t="n">
        <v>-124996.82233637</v>
      </c>
      <c r="T1258" s="64" t="n">
        <v>-151467.643070954</v>
      </c>
      <c r="U1258" s="64" t="n">
        <v>-180251.848709705</v>
      </c>
      <c r="V1258" s="64" t="n">
        <v>-153739.992359377</v>
      </c>
      <c r="W1258" s="65"/>
    </row>
    <row r="1259" customFormat="false" ht="12.75" hidden="false" customHeight="false" outlineLevel="0" collapsed="false">
      <c r="A1259" s="2"/>
      <c r="B1259" s="117" t="s">
        <v>23</v>
      </c>
      <c r="C1259" s="118" t="n">
        <v>0</v>
      </c>
      <c r="D1259" s="64" t="n">
        <v>0</v>
      </c>
      <c r="E1259" s="64" t="n">
        <v>0</v>
      </c>
      <c r="F1259" s="64" t="n">
        <v>0</v>
      </c>
      <c r="G1259" s="64" t="n">
        <v>0</v>
      </c>
      <c r="H1259" s="64" t="n">
        <v>0</v>
      </c>
      <c r="I1259" s="64" t="n">
        <v>-15463.4352843929</v>
      </c>
      <c r="J1259" s="64" t="n">
        <v>-19643.6637868274</v>
      </c>
      <c r="K1259" s="64" t="n">
        <v>-43181.2451849335</v>
      </c>
      <c r="L1259" s="64" t="n">
        <v>-43898.4814906576</v>
      </c>
      <c r="M1259" s="64" t="n">
        <v>-47642.6594444866</v>
      </c>
      <c r="N1259" s="64" t="n">
        <v>-53637.9451531341</v>
      </c>
      <c r="O1259" s="64" t="n">
        <v>-60593.1835463728</v>
      </c>
      <c r="P1259" s="64" t="n">
        <v>-77482.7346349446</v>
      </c>
      <c r="Q1259" s="64" t="n">
        <v>-102306.121323538</v>
      </c>
      <c r="R1259" s="64" t="n">
        <v>-84729.3927771659</v>
      </c>
      <c r="S1259" s="64" t="n">
        <v>-79559.7982625069</v>
      </c>
      <c r="T1259" s="64" t="n">
        <v>-92785.6821991553</v>
      </c>
      <c r="U1259" s="64" t="n">
        <v>-92576.531775872</v>
      </c>
      <c r="V1259" s="64" t="n">
        <v>-80375.9323038395</v>
      </c>
      <c r="W1259" s="65"/>
    </row>
    <row r="1260" customFormat="false" ht="13.5" hidden="false" customHeight="false" outlineLevel="0" collapsed="false">
      <c r="A1260" s="2"/>
      <c r="B1260" s="119" t="s">
        <v>24</v>
      </c>
      <c r="C1260" s="120" t="n">
        <v>0</v>
      </c>
      <c r="D1260" s="68" t="n">
        <v>0</v>
      </c>
      <c r="E1260" s="68" t="n">
        <v>0</v>
      </c>
      <c r="F1260" s="68" t="n">
        <v>0</v>
      </c>
      <c r="G1260" s="68" t="n">
        <v>0</v>
      </c>
      <c r="H1260" s="68" t="n">
        <v>0</v>
      </c>
      <c r="I1260" s="68" t="n">
        <v>-15463.4352843929</v>
      </c>
      <c r="J1260" s="68" t="n">
        <v>-19643.6637868274</v>
      </c>
      <c r="K1260" s="68" t="n">
        <v>-43181.2451849335</v>
      </c>
      <c r="L1260" s="68" t="n">
        <v>-43898.4814906576</v>
      </c>
      <c r="M1260" s="68" t="n">
        <v>-47642.6594444866</v>
      </c>
      <c r="N1260" s="68" t="n">
        <v>-53637.9451531341</v>
      </c>
      <c r="O1260" s="68" t="n">
        <v>-60593.1835463728</v>
      </c>
      <c r="P1260" s="68" t="n">
        <v>-77482.7346349446</v>
      </c>
      <c r="Q1260" s="68" t="n">
        <v>-102306.121323538</v>
      </c>
      <c r="R1260" s="68" t="n">
        <v>-84729.3927771659</v>
      </c>
      <c r="S1260" s="68" t="n">
        <v>-79559.7982625069</v>
      </c>
      <c r="T1260" s="68" t="n">
        <v>-92785.6821991553</v>
      </c>
      <c r="U1260" s="68" t="n">
        <v>-92576.531775872</v>
      </c>
      <c r="V1260" s="68" t="n">
        <v>-80375.9323038395</v>
      </c>
      <c r="W1260" s="65"/>
    </row>
    <row r="1261" customFormat="false" ht="13.5" hidden="false" customHeight="false" outlineLevel="0" collapsed="false">
      <c r="A1261" s="2"/>
      <c r="B1261" s="121" t="s">
        <v>25</v>
      </c>
      <c r="C1261" s="122" t="n">
        <v>0</v>
      </c>
      <c r="D1261" s="71" t="n">
        <v>5193056.56182647</v>
      </c>
      <c r="E1261" s="71" t="n">
        <v>3542163.37792259</v>
      </c>
      <c r="F1261" s="71" t="n">
        <v>2696756.48954855</v>
      </c>
      <c r="G1261" s="71" t="n">
        <v>2224115.01714504</v>
      </c>
      <c r="H1261" s="71" t="n">
        <v>1983015.94112468</v>
      </c>
      <c r="I1261" s="71" t="n">
        <v>1246828.573079</v>
      </c>
      <c r="J1261" s="71" t="n">
        <v>1368636.76996617</v>
      </c>
      <c r="K1261" s="71" t="n">
        <v>2027972.93405069</v>
      </c>
      <c r="L1261" s="71" t="n">
        <v>2075425.95993178</v>
      </c>
      <c r="M1261" s="71" t="n">
        <v>2417026.14406732</v>
      </c>
      <c r="N1261" s="71" t="n">
        <v>1546224.84453123</v>
      </c>
      <c r="O1261" s="71" t="n">
        <v>1844811.20705772</v>
      </c>
      <c r="P1261" s="71" t="n">
        <v>1940985.79951809</v>
      </c>
      <c r="Q1261" s="71" t="n">
        <v>2412560.67355246</v>
      </c>
      <c r="R1261" s="71" t="n">
        <v>1852535.2781154</v>
      </c>
      <c r="S1261" s="71" t="n">
        <v>1272086.88863093</v>
      </c>
      <c r="T1261" s="71" t="n">
        <v>1655202.02199832</v>
      </c>
      <c r="U1261" s="71" t="n">
        <v>1893541.75429346</v>
      </c>
      <c r="V1261" s="71" t="n">
        <v>1265593.63067837</v>
      </c>
      <c r="W1261" s="65"/>
    </row>
    <row r="1262" customFormat="false" ht="12.75" hidden="false" customHeight="false" outlineLevel="0" collapsed="false">
      <c r="A1262" s="2"/>
      <c r="B1262" s="117" t="s">
        <v>26</v>
      </c>
      <c r="C1262" s="118" t="n">
        <v>0</v>
      </c>
      <c r="D1262" s="64" t="n">
        <v>-270082.35646211</v>
      </c>
      <c r="E1262" s="64" t="n">
        <v>-275484.003591353</v>
      </c>
      <c r="F1262" s="64" t="n">
        <v>-280993.68366318</v>
      </c>
      <c r="G1262" s="64" t="n">
        <v>-286613.557336443</v>
      </c>
      <c r="H1262" s="64" t="n">
        <v>-292345.828483172</v>
      </c>
      <c r="I1262" s="64" t="n">
        <v>-298192.745052836</v>
      </c>
      <c r="J1262" s="64" t="n">
        <v>-304156.599953892</v>
      </c>
      <c r="K1262" s="64" t="n">
        <v>-310239.73195297</v>
      </c>
      <c r="L1262" s="64" t="n">
        <v>-316444.52659203</v>
      </c>
      <c r="M1262" s="64" t="n">
        <v>-322773.41712387</v>
      </c>
      <c r="N1262" s="64" t="n">
        <v>-329228.885466348</v>
      </c>
      <c r="O1262" s="64" t="n">
        <v>-335813.463175675</v>
      </c>
      <c r="P1262" s="64" t="n">
        <v>-342529.732439188</v>
      </c>
      <c r="Q1262" s="64" t="n">
        <v>-349380.327087972</v>
      </c>
      <c r="R1262" s="64" t="n">
        <v>-356367.933629731</v>
      </c>
      <c r="S1262" s="64" t="n">
        <v>-363495.292302326</v>
      </c>
      <c r="T1262" s="64" t="n">
        <v>-370765.198148372</v>
      </c>
      <c r="U1262" s="64" t="n">
        <v>-378180.50211134</v>
      </c>
      <c r="V1262" s="64" t="n">
        <v>-385744.112153567</v>
      </c>
      <c r="W1262" s="65"/>
    </row>
    <row r="1263" customFormat="false" ht="12.75" hidden="false" customHeight="false" outlineLevel="0" collapsed="false">
      <c r="A1263" s="2"/>
      <c r="B1263" s="117" t="s">
        <v>27</v>
      </c>
      <c r="C1263" s="118" t="n">
        <v>0</v>
      </c>
      <c r="D1263" s="64" t="n">
        <v>-71397.469478268</v>
      </c>
      <c r="E1263" s="64" t="n">
        <v>-71397.469478268</v>
      </c>
      <c r="F1263" s="64" t="n">
        <v>-71397.469478268</v>
      </c>
      <c r="G1263" s="64" t="n">
        <v>-71397.469478268</v>
      </c>
      <c r="H1263" s="64" t="n">
        <v>-71397.469478268</v>
      </c>
      <c r="I1263" s="64" t="n">
        <v>-71397.469478268</v>
      </c>
      <c r="J1263" s="64" t="n">
        <v>-71397.469478268</v>
      </c>
      <c r="K1263" s="64" t="n">
        <v>-71397.469478268</v>
      </c>
      <c r="L1263" s="64" t="n">
        <v>-71397.469478268</v>
      </c>
      <c r="M1263" s="64" t="n">
        <v>-71397.469478268</v>
      </c>
      <c r="N1263" s="64" t="n">
        <v>-71397.469478268</v>
      </c>
      <c r="O1263" s="64" t="n">
        <v>-71397.469478268</v>
      </c>
      <c r="P1263" s="64" t="n">
        <v>-71397.469478268</v>
      </c>
      <c r="Q1263" s="64" t="n">
        <v>-71397.469478268</v>
      </c>
      <c r="R1263" s="64" t="n">
        <v>-71397.469478268</v>
      </c>
      <c r="S1263" s="64" t="n">
        <v>-71397.469478268</v>
      </c>
      <c r="T1263" s="64" t="n">
        <v>-71397.469478268</v>
      </c>
      <c r="U1263" s="64" t="n">
        <v>-71397.469478268</v>
      </c>
      <c r="V1263" s="64" t="n">
        <v>-71397.469478268</v>
      </c>
      <c r="W1263" s="65"/>
    </row>
    <row r="1264" customFormat="false" ht="13.5" hidden="false" customHeight="false" outlineLevel="0" collapsed="false">
      <c r="A1264" s="2"/>
      <c r="B1264" s="119" t="s">
        <v>28</v>
      </c>
      <c r="C1264" s="120" t="n">
        <v>0</v>
      </c>
      <c r="D1264" s="68" t="n">
        <v>-11201.203682604</v>
      </c>
      <c r="E1264" s="68" t="n">
        <v>-11437.549080307</v>
      </c>
      <c r="F1264" s="68" t="n">
        <v>-11688.0314051657</v>
      </c>
      <c r="G1264" s="68" t="n">
        <v>-11952.1809149224</v>
      </c>
      <c r="H1264" s="68" t="n">
        <v>-12236.6428206976</v>
      </c>
      <c r="I1264" s="68" t="n">
        <v>-12543.2943199559</v>
      </c>
      <c r="J1264" s="68" t="n">
        <v>-12854.4029630989</v>
      </c>
      <c r="K1264" s="68" t="n">
        <v>-13179.7744666725</v>
      </c>
      <c r="L1264" s="68" t="n">
        <v>-13505.3148959993</v>
      </c>
      <c r="M1264" s="68" t="n">
        <v>-13849.7004258473</v>
      </c>
      <c r="N1264" s="68" t="n">
        <v>-14184.8631761529</v>
      </c>
      <c r="O1264" s="68" t="n">
        <v>-14542.3217281919</v>
      </c>
      <c r="P1264" s="68" t="n">
        <v>-14911.6967000879</v>
      </c>
      <c r="Q1264" s="68" t="n">
        <v>-15284.4891175901</v>
      </c>
      <c r="R1264" s="68" t="n">
        <v>-15668.1297944416</v>
      </c>
      <c r="S1264" s="68" t="n">
        <v>-16059.8330393027</v>
      </c>
      <c r="T1264" s="68" t="n">
        <v>-16458.1168986774</v>
      </c>
      <c r="U1264" s="68" t="n">
        <v>-16871.2156328342</v>
      </c>
      <c r="V1264" s="68" t="n">
        <v>-17294.6831452183</v>
      </c>
      <c r="W1264" s="65"/>
    </row>
    <row r="1265" customFormat="false" ht="13.5" hidden="false" customHeight="false" outlineLevel="0" collapsed="false">
      <c r="A1265" s="2"/>
      <c r="B1265" s="121" t="s">
        <v>29</v>
      </c>
      <c r="C1265" s="123" t="n">
        <v>0</v>
      </c>
      <c r="D1265" s="73" t="n">
        <v>4840375.53220348</v>
      </c>
      <c r="E1265" s="73" t="n">
        <v>3183844.35577267</v>
      </c>
      <c r="F1265" s="73" t="n">
        <v>2332677.30500194</v>
      </c>
      <c r="G1265" s="73" t="n">
        <v>1854151.8094154</v>
      </c>
      <c r="H1265" s="73" t="n">
        <v>1607036.00034254</v>
      </c>
      <c r="I1265" s="73" t="n">
        <v>864695.064227945</v>
      </c>
      <c r="J1265" s="73" t="n">
        <v>980228.29757091</v>
      </c>
      <c r="K1265" s="73" t="n">
        <v>1633155.95815278</v>
      </c>
      <c r="L1265" s="73" t="n">
        <v>1674078.64896548</v>
      </c>
      <c r="M1265" s="73" t="n">
        <v>2009005.55703933</v>
      </c>
      <c r="N1265" s="73" t="n">
        <v>1131413.62641046</v>
      </c>
      <c r="O1265" s="73" t="n">
        <v>1423057.95267559</v>
      </c>
      <c r="P1265" s="73" t="n">
        <v>1512146.90090055</v>
      </c>
      <c r="Q1265" s="73" t="n">
        <v>1976498.38786863</v>
      </c>
      <c r="R1265" s="73" t="n">
        <v>1409101.74521296</v>
      </c>
      <c r="S1265" s="73" t="n">
        <v>821134.29381103</v>
      </c>
      <c r="T1265" s="73" t="n">
        <v>1196581.23747301</v>
      </c>
      <c r="U1265" s="73" t="n">
        <v>1427092.56707102</v>
      </c>
      <c r="V1265" s="73" t="n">
        <v>791157.365901313</v>
      </c>
      <c r="W1265" s="65"/>
    </row>
    <row r="1266" customFormat="false" ht="12.75" hidden="false" customHeight="false" outlineLevel="0" collapsed="false">
      <c r="A1266" s="2"/>
      <c r="B1266" s="117" t="s">
        <v>30</v>
      </c>
      <c r="C1266" s="118" t="n">
        <v>0</v>
      </c>
      <c r="D1266" s="64" t="n">
        <v>-468884.778377061</v>
      </c>
      <c r="E1266" s="64" t="n">
        <v>-442736.478769955</v>
      </c>
      <c r="F1266" s="64" t="n">
        <v>-399348.900562782</v>
      </c>
      <c r="G1266" s="64" t="n">
        <v>-341975.158058176</v>
      </c>
      <c r="H1266" s="64" t="n">
        <v>-309910.881737065</v>
      </c>
      <c r="I1266" s="64" t="n">
        <v>-292616.270985648</v>
      </c>
      <c r="J1266" s="64" t="n">
        <v>-296265.124822483</v>
      </c>
      <c r="K1266" s="64" t="n">
        <v>-299264.757524922</v>
      </c>
      <c r="L1266" s="64" t="n">
        <v>-302753.522943013</v>
      </c>
      <c r="M1266" s="64" t="n">
        <v>-306537.061058647</v>
      </c>
      <c r="N1266" s="64" t="n">
        <v>-286122.323094871</v>
      </c>
      <c r="O1266" s="64" t="n">
        <v>-264943.916954509</v>
      </c>
      <c r="P1266" s="64" t="n">
        <v>-269408.977839464</v>
      </c>
      <c r="Q1266" s="64" t="n">
        <v>-165446.201511741</v>
      </c>
      <c r="R1266" s="64" t="n">
        <v>-61976.4374029987</v>
      </c>
      <c r="S1266" s="64" t="n">
        <v>-66456.2317638306</v>
      </c>
      <c r="T1266" s="64" t="n">
        <v>-71070.4199554876</v>
      </c>
      <c r="U1266" s="64" t="n">
        <v>-75823.0337928942</v>
      </c>
      <c r="V1266" s="64" t="n">
        <v>-80718.226045423</v>
      </c>
      <c r="W1266" s="65"/>
    </row>
    <row r="1267" customFormat="false" ht="13.5" hidden="false" customHeight="false" outlineLevel="0" collapsed="false">
      <c r="A1267" s="2"/>
      <c r="B1267" s="119" t="s">
        <v>70</v>
      </c>
      <c r="C1267" s="120" t="n">
        <v>0</v>
      </c>
      <c r="D1267" s="68" t="n">
        <v>-1748596.30153057</v>
      </c>
      <c r="E1267" s="68" t="n">
        <v>-1096443.15080108</v>
      </c>
      <c r="F1267" s="68" t="n">
        <v>-773331.361775662</v>
      </c>
      <c r="G1267" s="68" t="n">
        <v>-604870.66054289</v>
      </c>
      <c r="H1267" s="68" t="n">
        <v>-518850.047442192</v>
      </c>
      <c r="I1267" s="68" t="n">
        <v>-228831.517296919</v>
      </c>
      <c r="J1267" s="68" t="n">
        <v>-273585.269099371</v>
      </c>
      <c r="K1267" s="68" t="n">
        <v>-533556.480251145</v>
      </c>
      <c r="L1267" s="68" t="n">
        <v>-548530.050408988</v>
      </c>
      <c r="M1267" s="68" t="n">
        <v>-680987.398392273</v>
      </c>
      <c r="N1267" s="68" t="n">
        <v>-338116.521326236</v>
      </c>
      <c r="O1267" s="68" t="n">
        <v>-463245.614288432</v>
      </c>
      <c r="P1267" s="68" t="n">
        <v>-497095.169224434</v>
      </c>
      <c r="Q1267" s="68" t="n">
        <v>-724420.874542756</v>
      </c>
      <c r="R1267" s="68" t="n">
        <v>-538850.123123983</v>
      </c>
      <c r="S1267" s="68" t="n">
        <v>-301871.22481888</v>
      </c>
      <c r="T1267" s="68" t="n">
        <v>-450204.327007007</v>
      </c>
      <c r="U1267" s="68" t="n">
        <v>-540507.813311249</v>
      </c>
      <c r="V1267" s="68" t="n">
        <v>-284175.655942356</v>
      </c>
      <c r="W1267" s="65"/>
    </row>
    <row r="1268" customFormat="false" ht="13.5" hidden="false" customHeight="false" outlineLevel="0" collapsed="false">
      <c r="A1268" s="2"/>
      <c r="B1268" s="121" t="s">
        <v>32</v>
      </c>
      <c r="C1268" s="123" t="n">
        <v>0</v>
      </c>
      <c r="D1268" s="73" t="n">
        <v>2622894.45229585</v>
      </c>
      <c r="E1268" s="73" t="n">
        <v>1644664.72620163</v>
      </c>
      <c r="F1268" s="73" t="n">
        <v>1159997.04266349</v>
      </c>
      <c r="G1268" s="73" t="n">
        <v>907305.990814335</v>
      </c>
      <c r="H1268" s="73" t="n">
        <v>778275.071163288</v>
      </c>
      <c r="I1268" s="73" t="n">
        <v>343247.275945378</v>
      </c>
      <c r="J1268" s="73" t="n">
        <v>410377.903649057</v>
      </c>
      <c r="K1268" s="73" t="n">
        <v>800334.720376718</v>
      </c>
      <c r="L1268" s="73" t="n">
        <v>822795.075613482</v>
      </c>
      <c r="M1268" s="73" t="n">
        <v>1021481.09758841</v>
      </c>
      <c r="N1268" s="73" t="n">
        <v>507174.781989354</v>
      </c>
      <c r="O1268" s="73" t="n">
        <v>694868.421432648</v>
      </c>
      <c r="P1268" s="73" t="n">
        <v>745642.753836651</v>
      </c>
      <c r="Q1268" s="73" t="n">
        <v>1086631.31181413</v>
      </c>
      <c r="R1268" s="73" t="n">
        <v>808275.184685975</v>
      </c>
      <c r="S1268" s="73" t="n">
        <v>452806.83722832</v>
      </c>
      <c r="T1268" s="73" t="n">
        <v>675306.490510511</v>
      </c>
      <c r="U1268" s="73" t="n">
        <v>810761.719966873</v>
      </c>
      <c r="V1268" s="73" t="n">
        <v>426263.483913534</v>
      </c>
      <c r="W1268" s="65"/>
    </row>
    <row r="1269" customFormat="false" ht="12.75" hidden="false" customHeight="false" outlineLevel="0" collapsed="false">
      <c r="A1269" s="2"/>
      <c r="B1269" s="117" t="s">
        <v>30</v>
      </c>
      <c r="C1269" s="118" t="n">
        <v>0</v>
      </c>
      <c r="D1269" s="64" t="n">
        <v>468884.778377061</v>
      </c>
      <c r="E1269" s="64" t="n">
        <v>442736.478769955</v>
      </c>
      <c r="F1269" s="64" t="n">
        <v>399348.900562782</v>
      </c>
      <c r="G1269" s="64" t="n">
        <v>341975.158058176</v>
      </c>
      <c r="H1269" s="64" t="n">
        <v>309910.881737065</v>
      </c>
      <c r="I1269" s="64" t="n">
        <v>292616.270985648</v>
      </c>
      <c r="J1269" s="64" t="n">
        <v>296265.124822483</v>
      </c>
      <c r="K1269" s="64" t="n">
        <v>299264.757524922</v>
      </c>
      <c r="L1269" s="64" t="n">
        <v>302753.522943013</v>
      </c>
      <c r="M1269" s="64" t="n">
        <v>306537.061058647</v>
      </c>
      <c r="N1269" s="64" t="n">
        <v>286122.323094871</v>
      </c>
      <c r="O1269" s="64" t="n">
        <v>264943.916954509</v>
      </c>
      <c r="P1269" s="64" t="n">
        <v>269408.977839464</v>
      </c>
      <c r="Q1269" s="64" t="n">
        <v>165446.201511741</v>
      </c>
      <c r="R1269" s="64" t="n">
        <v>61976.4374029987</v>
      </c>
      <c r="S1269" s="64" t="n">
        <v>66456.2317638306</v>
      </c>
      <c r="T1269" s="64" t="n">
        <v>71070.4199554876</v>
      </c>
      <c r="U1269" s="64" t="n">
        <v>75823.0337928942</v>
      </c>
      <c r="V1269" s="64" t="n">
        <v>80718.226045423</v>
      </c>
      <c r="W1269" s="65"/>
    </row>
    <row r="1270" customFormat="false" ht="12.75" hidden="false" customHeight="false" outlineLevel="0" collapsed="false">
      <c r="A1270" s="2"/>
      <c r="B1270" s="117" t="s">
        <v>33</v>
      </c>
      <c r="C1270" s="118" t="n">
        <v>0</v>
      </c>
      <c r="D1270" s="64" t="n">
        <v>-2815.86</v>
      </c>
      <c r="E1270" s="64" t="n">
        <v>-332999.72</v>
      </c>
      <c r="F1270" s="64" t="n">
        <v>-3047.79</v>
      </c>
      <c r="G1270" s="64" t="n">
        <v>-3183.29</v>
      </c>
      <c r="H1270" s="64" t="n">
        <v>-69003.862</v>
      </c>
      <c r="I1270" s="64" t="n">
        <v>-71073.97786</v>
      </c>
      <c r="J1270" s="64" t="n">
        <v>-73206.1971958</v>
      </c>
      <c r="K1270" s="64" t="n">
        <v>-75402.383111674</v>
      </c>
      <c r="L1270" s="64" t="n">
        <v>-77664.4546050242</v>
      </c>
      <c r="M1270" s="64" t="n">
        <v>-79994.388243175</v>
      </c>
      <c r="N1270" s="64" t="n">
        <v>-82394.2198904702</v>
      </c>
      <c r="O1270" s="64" t="n">
        <v>-84866.0464871843</v>
      </c>
      <c r="P1270" s="64" t="n">
        <v>-87412.0278817999</v>
      </c>
      <c r="Q1270" s="64" t="n">
        <v>-90034.3887182539</v>
      </c>
      <c r="R1270" s="64" t="n">
        <v>-92735.4203798015</v>
      </c>
      <c r="S1270" s="64" t="n">
        <v>-95517.4829911955</v>
      </c>
      <c r="T1270" s="64" t="n">
        <v>-98383.0074809314</v>
      </c>
      <c r="U1270" s="64" t="n">
        <v>-101334.497705359</v>
      </c>
      <c r="V1270" s="64" t="n">
        <v>-104374.53263652</v>
      </c>
      <c r="W1270" s="65"/>
    </row>
    <row r="1271" customFormat="false" ht="13.5" hidden="false" customHeight="false" outlineLevel="0" collapsed="false">
      <c r="A1271" s="2"/>
      <c r="B1271" s="119" t="s">
        <v>34</v>
      </c>
      <c r="C1271" s="120" t="n">
        <v>0</v>
      </c>
      <c r="D1271" s="68" t="n">
        <v>0</v>
      </c>
      <c r="E1271" s="68" t="n">
        <v>0</v>
      </c>
      <c r="F1271" s="68" t="n">
        <v>0</v>
      </c>
      <c r="G1271" s="68" t="n">
        <v>0</v>
      </c>
      <c r="H1271" s="68" t="n">
        <v>0</v>
      </c>
      <c r="I1271" s="68" t="n">
        <v>0</v>
      </c>
      <c r="J1271" s="68" t="n">
        <v>0</v>
      </c>
      <c r="K1271" s="68" t="n">
        <v>0</v>
      </c>
      <c r="L1271" s="68" t="n">
        <v>0</v>
      </c>
      <c r="M1271" s="68" t="n">
        <v>0</v>
      </c>
      <c r="N1271" s="68" t="n">
        <v>0</v>
      </c>
      <c r="O1271" s="68" t="n">
        <v>0</v>
      </c>
      <c r="P1271" s="68" t="n">
        <v>0</v>
      </c>
      <c r="Q1271" s="68" t="n">
        <v>0</v>
      </c>
      <c r="R1271" s="68" t="n">
        <v>0</v>
      </c>
      <c r="S1271" s="68" t="n">
        <v>0</v>
      </c>
      <c r="T1271" s="68" t="n">
        <v>0</v>
      </c>
      <c r="U1271" s="68" t="n">
        <v>0</v>
      </c>
      <c r="V1271" s="68" t="n">
        <v>0</v>
      </c>
      <c r="W1271" s="65"/>
    </row>
    <row r="1272" customFormat="false" ht="13.5" hidden="false" customHeight="false" outlineLevel="0" collapsed="false">
      <c r="A1272" s="2"/>
      <c r="B1272" s="117"/>
      <c r="C1272" s="124"/>
      <c r="D1272" s="65"/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5"/>
      <c r="V1272" s="65"/>
      <c r="W1272" s="65"/>
    </row>
    <row r="1273" customFormat="false" ht="12.75" hidden="false" customHeight="false" outlineLevel="0" collapsed="false">
      <c r="A1273" s="2"/>
      <c r="B1273" s="121" t="s">
        <v>35</v>
      </c>
      <c r="C1273" s="123" t="n">
        <v>0</v>
      </c>
      <c r="D1273" s="73" t="n">
        <v>3088963.37067291</v>
      </c>
      <c r="E1273" s="73" t="n">
        <v>1754401.48497158</v>
      </c>
      <c r="F1273" s="73" t="n">
        <v>1556298.15322628</v>
      </c>
      <c r="G1273" s="73" t="n">
        <v>1246097.85887251</v>
      </c>
      <c r="H1273" s="73" t="n">
        <v>1019182.09090035</v>
      </c>
      <c r="I1273" s="73" t="n">
        <v>564789.569071027</v>
      </c>
      <c r="J1273" s="73" t="n">
        <v>633436.831275739</v>
      </c>
      <c r="K1273" s="73" t="n">
        <v>1024197.09478997</v>
      </c>
      <c r="L1273" s="73" t="n">
        <v>1047884.14395147</v>
      </c>
      <c r="M1273" s="73" t="n">
        <v>1248023.77040388</v>
      </c>
      <c r="N1273" s="73" t="n">
        <v>710902.885193755</v>
      </c>
      <c r="O1273" s="73" t="n">
        <v>874946.291899972</v>
      </c>
      <c r="P1273" s="73" t="n">
        <v>927639.703794315</v>
      </c>
      <c r="Q1273" s="73" t="n">
        <v>1162043.12460762</v>
      </c>
      <c r="R1273" s="73" t="n">
        <v>777516.201709172</v>
      </c>
      <c r="S1273" s="73" t="n">
        <v>423745.586000955</v>
      </c>
      <c r="T1273" s="73" t="n">
        <v>647993.902985067</v>
      </c>
      <c r="U1273" s="73" t="n">
        <v>785250.256054408</v>
      </c>
      <c r="V1273" s="73" t="n">
        <v>402607.177322437</v>
      </c>
      <c r="W1273" s="71" t="n">
        <v>4891486.42621717</v>
      </c>
    </row>
    <row r="1274" customFormat="false" ht="12.75" hidden="false" customHeight="false" outlineLevel="0" collapsed="false">
      <c r="A1274" s="2"/>
      <c r="B1274" s="125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</row>
    <row r="1275" customFormat="false" ht="12.75" hidden="false" customHeight="false" outlineLevel="0" collapsed="false">
      <c r="A1275" s="48" t="s">
        <v>36</v>
      </c>
      <c r="B1275" s="126" t="s">
        <v>37</v>
      </c>
      <c r="C1275" s="76" t="n">
        <v>6911270.43518096</v>
      </c>
      <c r="D1275" s="2"/>
      <c r="E1275" s="127" t="s">
        <v>38</v>
      </c>
      <c r="F1275" s="128" t="s">
        <v>37</v>
      </c>
      <c r="G1275" s="79" t="n">
        <v>6911270.43518096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</row>
    <row r="1276" customFormat="false" ht="12.75" hidden="false" customHeight="false" outlineLevel="0" collapsed="false">
      <c r="A1276" s="2"/>
      <c r="B1276" s="126" t="s">
        <v>39</v>
      </c>
      <c r="C1276" s="76" t="n">
        <v>3763504.90617612</v>
      </c>
      <c r="D1276" s="2"/>
      <c r="E1276" s="129"/>
      <c r="F1276" s="128" t="s">
        <v>39</v>
      </c>
      <c r="G1276" s="79" t="n">
        <v>3763504.90617612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</row>
    <row r="1277" customFormat="false" ht="13.5" hidden="false" customHeight="false" outlineLevel="0" collapsed="false">
      <c r="A1277" s="2"/>
      <c r="B1277" s="130" t="s">
        <v>40</v>
      </c>
      <c r="C1277" s="82" t="n">
        <v>727088.288823772</v>
      </c>
      <c r="D1277" s="131"/>
      <c r="E1277" s="129"/>
      <c r="F1277" s="128" t="s">
        <v>40</v>
      </c>
      <c r="G1277" s="79" t="n">
        <v>727088.288823772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</row>
    <row r="1278" customFormat="false" ht="14.25" hidden="false" customHeight="false" outlineLevel="0" collapsed="false">
      <c r="A1278" s="2"/>
      <c r="B1278" s="126" t="s">
        <v>41</v>
      </c>
      <c r="C1278" s="76" t="n">
        <v>11401863.6301809</v>
      </c>
      <c r="D1278" s="132"/>
      <c r="E1278" s="129"/>
      <c r="F1278" s="133" t="s">
        <v>42</v>
      </c>
      <c r="G1278" s="85" t="n">
        <v>0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</row>
    <row r="1279" customFormat="false" ht="13.5" hidden="false" customHeight="false" outlineLevel="0" collapsed="false">
      <c r="A1279" s="2"/>
      <c r="B1279" s="125"/>
      <c r="C1279" s="134"/>
      <c r="D1279" s="2"/>
      <c r="E1279" s="135"/>
      <c r="F1279" s="128" t="s">
        <v>41</v>
      </c>
      <c r="G1279" s="79" t="n">
        <v>11401863.6301809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customFormat="false" ht="12.75" hidden="false" customHeight="false" outlineLevel="0" collapsed="false">
      <c r="A1280" s="2"/>
      <c r="B1280" s="125"/>
      <c r="C1280" s="134"/>
      <c r="D1280" s="2"/>
      <c r="E1280" s="135"/>
      <c r="F1280" s="128"/>
      <c r="G1280" s="136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customFormat="false" ht="12.75" hidden="false" customHeight="false" outlineLevel="0" collapsed="false">
      <c r="A1281" s="2"/>
      <c r="B1281" s="125"/>
      <c r="C1281" s="134"/>
      <c r="D1281" s="2"/>
      <c r="E1281" s="135"/>
      <c r="F1281" s="128"/>
      <c r="G1281" s="136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</row>
    <row r="1282" customFormat="false" ht="12.75" hidden="false" customHeight="false" outlineLevel="0" collapsed="false">
      <c r="A1282" s="2"/>
      <c r="B1282" s="137" t="s">
        <v>43</v>
      </c>
      <c r="C1282" s="134"/>
      <c r="D1282" s="2"/>
      <c r="E1282" s="135"/>
      <c r="F1282" s="128"/>
      <c r="G1282" s="136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</row>
    <row r="1283" customFormat="false" ht="12.75" hidden="false" customHeight="false" outlineLevel="0" collapsed="false">
      <c r="A1283" s="87" t="s">
        <v>44</v>
      </c>
      <c r="B1283" s="137" t="s">
        <v>45</v>
      </c>
      <c r="C1283" s="138"/>
      <c r="D1283" s="88" t="n">
        <v>2622894.45229585</v>
      </c>
      <c r="E1283" s="88" t="n">
        <v>1644664.72620163</v>
      </c>
      <c r="F1283" s="88" t="n">
        <v>1159997.04266349</v>
      </c>
      <c r="G1283" s="88" t="n">
        <v>907305.990814335</v>
      </c>
      <c r="H1283" s="88" t="n">
        <v>778275.071163288</v>
      </c>
      <c r="I1283" s="88" t="n">
        <v>343247.275945378</v>
      </c>
      <c r="J1283" s="88" t="n">
        <v>410377.903649057</v>
      </c>
      <c r="K1283" s="88" t="n">
        <v>800334.720376718</v>
      </c>
      <c r="L1283" s="88" t="n">
        <v>822795.075613482</v>
      </c>
      <c r="M1283" s="88" t="n">
        <v>1021481.09758841</v>
      </c>
      <c r="N1283" s="88" t="n">
        <v>507174.781989354</v>
      </c>
      <c r="O1283" s="88" t="n">
        <v>694868.421432648</v>
      </c>
      <c r="P1283" s="88" t="n">
        <v>745642.753836651</v>
      </c>
      <c r="Q1283" s="88" t="n">
        <v>1086631.31181413</v>
      </c>
      <c r="R1283" s="88" t="n">
        <v>808275.184685975</v>
      </c>
      <c r="S1283" s="88" t="n">
        <v>452806.83722832</v>
      </c>
      <c r="T1283" s="88" t="n">
        <v>675306.490510511</v>
      </c>
      <c r="U1283" s="88" t="n">
        <v>810761.719966873</v>
      </c>
      <c r="V1283" s="88" t="n">
        <v>426263.483913534</v>
      </c>
      <c r="W1283" s="2"/>
    </row>
    <row r="1284" customFormat="false" ht="12.75" hidden="false" customHeight="false" outlineLevel="0" collapsed="false">
      <c r="A1284" s="2"/>
      <c r="B1284" s="125" t="s">
        <v>46</v>
      </c>
      <c r="C1284" s="134"/>
      <c r="D1284" s="65" t="n">
        <v>1748596.30153057</v>
      </c>
      <c r="E1284" s="65" t="n">
        <v>1096443.15080108</v>
      </c>
      <c r="F1284" s="65" t="n">
        <v>773331.361775662</v>
      </c>
      <c r="G1284" s="65" t="n">
        <v>604870.66054289</v>
      </c>
      <c r="H1284" s="65" t="n">
        <v>518850.047442192</v>
      </c>
      <c r="I1284" s="65" t="n">
        <v>228831.517296919</v>
      </c>
      <c r="J1284" s="65" t="n">
        <v>273585.269099371</v>
      </c>
      <c r="K1284" s="65" t="n">
        <v>533556.480251145</v>
      </c>
      <c r="L1284" s="65" t="n">
        <v>548530.050408988</v>
      </c>
      <c r="M1284" s="65" t="n">
        <v>680987.398392273</v>
      </c>
      <c r="N1284" s="65" t="n">
        <v>338116.521326236</v>
      </c>
      <c r="O1284" s="65" t="n">
        <v>463245.614288432</v>
      </c>
      <c r="P1284" s="65" t="n">
        <v>497095.169224434</v>
      </c>
      <c r="Q1284" s="65" t="n">
        <v>724420.874542756</v>
      </c>
      <c r="R1284" s="65" t="n">
        <v>538850.123123983</v>
      </c>
      <c r="S1284" s="65" t="n">
        <v>301871.22481888</v>
      </c>
      <c r="T1284" s="65" t="n">
        <v>450204.327007007</v>
      </c>
      <c r="U1284" s="65" t="n">
        <v>540507.813311249</v>
      </c>
      <c r="V1284" s="65" t="n">
        <v>284175.655942356</v>
      </c>
      <c r="W1284" s="2"/>
    </row>
    <row r="1285" customFormat="false" ht="12.75" hidden="false" customHeight="false" outlineLevel="0" collapsed="false">
      <c r="A1285" s="2"/>
      <c r="B1285" s="139" t="s">
        <v>47</v>
      </c>
      <c r="C1285" s="140"/>
      <c r="D1285" s="65" t="n">
        <v>468884.778377061</v>
      </c>
      <c r="E1285" s="65" t="n">
        <v>442736.478769955</v>
      </c>
      <c r="F1285" s="65" t="n">
        <v>399348.900562782</v>
      </c>
      <c r="G1285" s="65" t="n">
        <v>341975.158058176</v>
      </c>
      <c r="H1285" s="65" t="n">
        <v>309910.881737065</v>
      </c>
      <c r="I1285" s="65" t="n">
        <v>292616.270985648</v>
      </c>
      <c r="J1285" s="65" t="n">
        <v>296265.124822483</v>
      </c>
      <c r="K1285" s="65" t="n">
        <v>299264.757524922</v>
      </c>
      <c r="L1285" s="65" t="n">
        <v>302753.522943013</v>
      </c>
      <c r="M1285" s="65" t="n">
        <v>306537.061058647</v>
      </c>
      <c r="N1285" s="65" t="n">
        <v>286122.323094871</v>
      </c>
      <c r="O1285" s="65" t="n">
        <v>264943.916954509</v>
      </c>
      <c r="P1285" s="65" t="n">
        <v>269408.977839464</v>
      </c>
      <c r="Q1285" s="65" t="n">
        <v>165446.201511741</v>
      </c>
      <c r="R1285" s="65" t="n">
        <v>61976.4374029987</v>
      </c>
      <c r="S1285" s="65" t="n">
        <v>66456.2317638306</v>
      </c>
      <c r="T1285" s="65" t="n">
        <v>71070.4199554876</v>
      </c>
      <c r="U1285" s="65" t="n">
        <v>75823.0337928942</v>
      </c>
      <c r="V1285" s="65" t="n">
        <v>80718.226045423</v>
      </c>
      <c r="W1285" s="2"/>
    </row>
    <row r="1286" customFormat="false" ht="13.5" hidden="false" customHeight="false" outlineLevel="0" collapsed="false">
      <c r="A1286" s="2"/>
      <c r="B1286" s="141" t="s">
        <v>48</v>
      </c>
      <c r="C1286" s="142"/>
      <c r="D1286" s="93" t="n">
        <v>4840375.53220348</v>
      </c>
      <c r="E1286" s="93" t="n">
        <v>3183844.35577267</v>
      </c>
      <c r="F1286" s="93" t="n">
        <v>2332677.30500194</v>
      </c>
      <c r="G1286" s="93" t="n">
        <v>1854151.8094154</v>
      </c>
      <c r="H1286" s="93" t="n">
        <v>1607036.00034254</v>
      </c>
      <c r="I1286" s="93" t="n">
        <v>864695.064227945</v>
      </c>
      <c r="J1286" s="93" t="n">
        <v>980228.29757091</v>
      </c>
      <c r="K1286" s="93" t="n">
        <v>1633155.95815278</v>
      </c>
      <c r="L1286" s="93" t="n">
        <v>1674078.64896548</v>
      </c>
      <c r="M1286" s="93" t="n">
        <v>2009005.55703933</v>
      </c>
      <c r="N1286" s="93" t="n">
        <v>1131413.62641046</v>
      </c>
      <c r="O1286" s="93" t="n">
        <v>1423057.95267559</v>
      </c>
      <c r="P1286" s="93" t="n">
        <v>1512146.90090055</v>
      </c>
      <c r="Q1286" s="93" t="n">
        <v>1976498.38786863</v>
      </c>
      <c r="R1286" s="93" t="n">
        <v>1409101.74521296</v>
      </c>
      <c r="S1286" s="93" t="n">
        <v>821134.29381103</v>
      </c>
      <c r="T1286" s="93" t="n">
        <v>1196581.23747301</v>
      </c>
      <c r="U1286" s="93" t="n">
        <v>1427092.56707102</v>
      </c>
      <c r="V1286" s="93" t="n">
        <v>791157.365901313</v>
      </c>
      <c r="W1286" s="2"/>
    </row>
    <row r="1287" customFormat="false" ht="13.5" hidden="false" customHeight="false" outlineLevel="0" collapsed="false">
      <c r="A1287" s="87" t="s">
        <v>49</v>
      </c>
      <c r="B1287" s="125" t="s">
        <v>50</v>
      </c>
      <c r="C1287" s="134"/>
      <c r="D1287" s="65" t="n">
        <v>-660552.9210076</v>
      </c>
      <c r="E1287" s="65" t="n">
        <v>-677202.9070076</v>
      </c>
      <c r="F1287" s="65" t="n">
        <v>-677355.296507601</v>
      </c>
      <c r="G1287" s="65" t="n">
        <v>-636338.564091301</v>
      </c>
      <c r="H1287" s="65" t="n">
        <v>-48972.1266479822</v>
      </c>
      <c r="I1287" s="65" t="n">
        <v>-52525.8255409822</v>
      </c>
      <c r="J1287" s="65" t="n">
        <v>-56186.1354007722</v>
      </c>
      <c r="K1287" s="65" t="n">
        <v>-59956.2545563559</v>
      </c>
      <c r="L1287" s="65" t="n">
        <v>-63839.4772866071</v>
      </c>
      <c r="M1287" s="65" t="n">
        <v>-67839.1966987659</v>
      </c>
      <c r="N1287" s="65" t="n">
        <v>-71958.9076932894</v>
      </c>
      <c r="O1287" s="65" t="n">
        <v>-76202.2100176486</v>
      </c>
      <c r="P1287" s="65" t="n">
        <v>-80572.8114117386</v>
      </c>
      <c r="Q1287" s="65" t="n">
        <v>-85074.5308476513</v>
      </c>
      <c r="R1287" s="65" t="n">
        <v>-89711.3018666414</v>
      </c>
      <c r="S1287" s="65" t="n">
        <v>-94487.1760162012</v>
      </c>
      <c r="T1287" s="65" t="n">
        <v>-99406.3263902477</v>
      </c>
      <c r="U1287" s="65" t="n">
        <v>-104473.051275516</v>
      </c>
      <c r="V1287" s="65" t="n">
        <v>-109691.777907342</v>
      </c>
      <c r="W1287" s="2"/>
    </row>
    <row r="1288" customFormat="false" ht="12.75" hidden="false" customHeight="false" outlineLevel="0" collapsed="false">
      <c r="A1288" s="2"/>
      <c r="B1288" s="125" t="s">
        <v>51</v>
      </c>
      <c r="C1288" s="134"/>
      <c r="D1288" s="65" t="n">
        <v>0</v>
      </c>
      <c r="E1288" s="65" t="n">
        <v>0</v>
      </c>
      <c r="F1288" s="65" t="n">
        <v>0</v>
      </c>
      <c r="G1288" s="65" t="n">
        <v>0</v>
      </c>
      <c r="H1288" s="65" t="n">
        <v>0</v>
      </c>
      <c r="I1288" s="65" t="n">
        <v>0</v>
      </c>
      <c r="J1288" s="65" t="n">
        <v>0</v>
      </c>
      <c r="K1288" s="65" t="n">
        <v>0</v>
      </c>
      <c r="L1288" s="65" t="n">
        <v>0</v>
      </c>
      <c r="M1288" s="65" t="n">
        <v>0</v>
      </c>
      <c r="N1288" s="65" t="n">
        <v>0</v>
      </c>
      <c r="O1288" s="65" t="n">
        <v>0</v>
      </c>
      <c r="P1288" s="65" t="n">
        <v>0</v>
      </c>
      <c r="Q1288" s="65" t="n">
        <v>0</v>
      </c>
      <c r="R1288" s="65" t="n">
        <v>0</v>
      </c>
      <c r="S1288" s="65" t="n">
        <v>0</v>
      </c>
      <c r="T1288" s="65" t="n">
        <v>0</v>
      </c>
      <c r="U1288" s="65" t="n">
        <v>0</v>
      </c>
      <c r="V1288" s="65" t="n">
        <v>0</v>
      </c>
      <c r="W1288" s="2"/>
    </row>
    <row r="1289" customFormat="false" ht="12.75" hidden="false" customHeight="false" outlineLevel="0" collapsed="false">
      <c r="A1289" s="2"/>
      <c r="B1289" s="137" t="s">
        <v>52</v>
      </c>
      <c r="C1289" s="138"/>
      <c r="D1289" s="88" t="n">
        <v>4179822.61119588</v>
      </c>
      <c r="E1289" s="88" t="n">
        <v>2506641.44876506</v>
      </c>
      <c r="F1289" s="88" t="n">
        <v>1655322.00849434</v>
      </c>
      <c r="G1289" s="88" t="n">
        <v>1217813.2453241</v>
      </c>
      <c r="H1289" s="88" t="n">
        <v>1558063.87369456</v>
      </c>
      <c r="I1289" s="88" t="n">
        <v>812169.238686963</v>
      </c>
      <c r="J1289" s="88" t="n">
        <v>924042.162170138</v>
      </c>
      <c r="K1289" s="88" t="n">
        <v>1573199.70359643</v>
      </c>
      <c r="L1289" s="88" t="n">
        <v>1610239.17167888</v>
      </c>
      <c r="M1289" s="88" t="n">
        <v>1941166.36034056</v>
      </c>
      <c r="N1289" s="88" t="n">
        <v>1059454.71871717</v>
      </c>
      <c r="O1289" s="88" t="n">
        <v>1346855.74265794</v>
      </c>
      <c r="P1289" s="88" t="n">
        <v>1431574.08948881</v>
      </c>
      <c r="Q1289" s="88" t="n">
        <v>1891423.85702098</v>
      </c>
      <c r="R1289" s="88" t="n">
        <v>1319390.44334632</v>
      </c>
      <c r="S1289" s="88" t="n">
        <v>726647.117794829</v>
      </c>
      <c r="T1289" s="88" t="n">
        <v>1097174.91108276</v>
      </c>
      <c r="U1289" s="88" t="n">
        <v>1322619.5157955</v>
      </c>
      <c r="V1289" s="88" t="n">
        <v>681465.587993972</v>
      </c>
      <c r="W1289" s="2"/>
    </row>
    <row r="1290" customFormat="false" ht="13.5" hidden="false" customHeight="false" outlineLevel="0" collapsed="false">
      <c r="A1290" s="2"/>
      <c r="B1290" s="143" t="s">
        <v>53</v>
      </c>
      <c r="C1290" s="144"/>
      <c r="D1290" s="96" t="n">
        <v>-1671929.04447835</v>
      </c>
      <c r="E1290" s="96" t="n">
        <v>-1002656.57950603</v>
      </c>
      <c r="F1290" s="96" t="n">
        <v>-662128.803397735</v>
      </c>
      <c r="G1290" s="96" t="n">
        <v>-487125.29812964</v>
      </c>
      <c r="H1290" s="96" t="n">
        <v>-623225.549477825</v>
      </c>
      <c r="I1290" s="96" t="n">
        <v>-324867.695474785</v>
      </c>
      <c r="J1290" s="96" t="n">
        <v>-369616.864868055</v>
      </c>
      <c r="K1290" s="96" t="n">
        <v>-629279.881438571</v>
      </c>
      <c r="L1290" s="96" t="n">
        <v>-644095.668671551</v>
      </c>
      <c r="M1290" s="96" t="n">
        <v>-776466.544136226</v>
      </c>
      <c r="N1290" s="96" t="n">
        <v>-423781.887486869</v>
      </c>
      <c r="O1290" s="96" t="n">
        <v>-538742.297063176</v>
      </c>
      <c r="P1290" s="96" t="n">
        <v>-572629.635795524</v>
      </c>
      <c r="Q1290" s="96" t="n">
        <v>-756569.542808392</v>
      </c>
      <c r="R1290" s="96" t="n">
        <v>-527756.177338526</v>
      </c>
      <c r="S1290" s="96" t="n">
        <v>-290658.847117932</v>
      </c>
      <c r="T1290" s="96" t="n">
        <v>-438869.964433103</v>
      </c>
      <c r="U1290" s="96" t="n">
        <v>-529047.8063182</v>
      </c>
      <c r="V1290" s="96" t="n">
        <v>-272586.235197589</v>
      </c>
      <c r="W1290" s="2"/>
    </row>
    <row r="1291" customFormat="false" ht="13.5" hidden="false" customHeight="false" outlineLevel="0" collapsed="false">
      <c r="A1291" s="2"/>
      <c r="B1291" s="137" t="s">
        <v>54</v>
      </c>
      <c r="C1291" s="138"/>
      <c r="D1291" s="88" t="n">
        <v>2507893.56671753</v>
      </c>
      <c r="E1291" s="88" t="n">
        <v>1503984.86925904</v>
      </c>
      <c r="F1291" s="88" t="n">
        <v>993193.205096602</v>
      </c>
      <c r="G1291" s="88" t="n">
        <v>730687.94719446</v>
      </c>
      <c r="H1291" s="88" t="n">
        <v>934838.324216737</v>
      </c>
      <c r="I1291" s="88" t="n">
        <v>487301.543212178</v>
      </c>
      <c r="J1291" s="88" t="n">
        <v>554425.297302083</v>
      </c>
      <c r="K1291" s="88" t="n">
        <v>943919.822157857</v>
      </c>
      <c r="L1291" s="88" t="n">
        <v>966143.503007326</v>
      </c>
      <c r="M1291" s="88" t="n">
        <v>1164699.81620434</v>
      </c>
      <c r="N1291" s="88" t="n">
        <v>635672.831230303</v>
      </c>
      <c r="O1291" s="88" t="n">
        <v>808113.445594764</v>
      </c>
      <c r="P1291" s="88" t="n">
        <v>858944.453693286</v>
      </c>
      <c r="Q1291" s="88" t="n">
        <v>1134854.31421259</v>
      </c>
      <c r="R1291" s="88" t="n">
        <v>791634.266007789</v>
      </c>
      <c r="S1291" s="88" t="n">
        <v>435988.270676897</v>
      </c>
      <c r="T1291" s="88" t="n">
        <v>658304.946649654</v>
      </c>
      <c r="U1291" s="88" t="n">
        <v>793571.7094773</v>
      </c>
      <c r="V1291" s="88" t="n">
        <v>408879.352796383</v>
      </c>
      <c r="W1291" s="2"/>
    </row>
    <row r="1292" customFormat="false" ht="12.75" hidden="false" customHeight="false" outlineLevel="0" collapsed="false">
      <c r="A1292" s="2"/>
      <c r="B1292" s="2"/>
      <c r="C1292" s="134"/>
      <c r="D1292" s="2"/>
      <c r="E1292" s="135"/>
      <c r="F1292" s="128"/>
      <c r="G1292" s="136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</row>
    <row r="1293" customFormat="false" ht="15.75" hidden="false" customHeight="false" outlineLevel="0" collapsed="false">
      <c r="A1293" s="97" t="s">
        <v>55</v>
      </c>
      <c r="B1293" s="145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</row>
    <row r="1294" customFormat="false" ht="12.75" hidden="false" customHeight="false" outlineLevel="0" collapsed="false">
      <c r="A1294" s="99" t="s">
        <v>56</v>
      </c>
      <c r="B1294" s="49"/>
      <c r="C1294" s="101" t="n">
        <v>0</v>
      </c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</row>
    <row r="1295" customFormat="false" ht="12.75" hidden="false" customHeight="false" outlineLevel="0" collapsed="false">
      <c r="A1295" s="99" t="s">
        <v>57</v>
      </c>
      <c r="B1295" s="49"/>
      <c r="C1295" s="146" t="n">
        <v>0</v>
      </c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</row>
    <row r="1296" customFormat="false" ht="12.75" hidden="false" customHeight="false" outlineLevel="0" collapsed="false">
      <c r="A1296" s="99" t="s">
        <v>58</v>
      </c>
      <c r="B1296" s="49"/>
      <c r="C1296" s="99" t="n">
        <v>15</v>
      </c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</row>
    <row r="1297" customFormat="false" ht="12.75" hidden="false" customHeight="false" outlineLevel="0" collapsed="false">
      <c r="A1297" s="99" t="s">
        <v>59</v>
      </c>
      <c r="B1297" s="49"/>
      <c r="C1297" s="146" t="n">
        <v>0</v>
      </c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</row>
    <row r="1298" customFormat="false" ht="12.75" hidden="false" customHeight="false" outlineLevel="0" collapsed="false">
      <c r="A1298" s="99" t="s">
        <v>60</v>
      </c>
      <c r="B1298" s="49"/>
      <c r="C1298" s="147" t="n">
        <v>0.0875</v>
      </c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</row>
    <row r="1299" customFormat="false" ht="12.75" hidden="false" customHeight="false" outlineLevel="0" collapsed="false">
      <c r="A1299" s="99"/>
      <c r="B1299" s="49"/>
      <c r="C1299" s="107"/>
      <c r="D1299" s="58" t="n">
        <v>2001</v>
      </c>
      <c r="E1299" s="58" t="n">
        <v>2002</v>
      </c>
      <c r="F1299" s="58" t="n">
        <v>2003</v>
      </c>
      <c r="G1299" s="58" t="n">
        <v>2004</v>
      </c>
      <c r="H1299" s="58" t="n">
        <v>2005</v>
      </c>
      <c r="I1299" s="58" t="n">
        <v>2006</v>
      </c>
      <c r="J1299" s="58" t="n">
        <v>2007</v>
      </c>
      <c r="K1299" s="58" t="n">
        <v>2008</v>
      </c>
      <c r="L1299" s="58" t="n">
        <v>2009</v>
      </c>
      <c r="M1299" s="58" t="n">
        <v>2010</v>
      </c>
      <c r="N1299" s="58" t="n">
        <v>2011</v>
      </c>
      <c r="O1299" s="58" t="n">
        <v>2012</v>
      </c>
      <c r="P1299" s="58" t="n">
        <v>2013</v>
      </c>
      <c r="Q1299" s="58" t="n">
        <v>2014</v>
      </c>
      <c r="R1299" s="58" t="n">
        <v>2015</v>
      </c>
      <c r="S1299" s="58" t="n">
        <v>2016</v>
      </c>
      <c r="T1299" s="58" t="n">
        <v>2017</v>
      </c>
      <c r="U1299" s="58" t="n">
        <v>2018</v>
      </c>
      <c r="V1299" s="58" t="n">
        <v>2019</v>
      </c>
      <c r="W1299" s="58" t="s">
        <v>19</v>
      </c>
    </row>
    <row r="1300" customFormat="false" ht="12.75" hidden="false" customHeight="false" outlineLevel="0" collapsed="false">
      <c r="A1300" s="99" t="s">
        <v>61</v>
      </c>
      <c r="B1300" s="49"/>
      <c r="C1300" s="107"/>
      <c r="D1300" s="102" t="n">
        <v>0</v>
      </c>
      <c r="E1300" s="102" t="n">
        <v>0</v>
      </c>
      <c r="F1300" s="102" t="n">
        <v>0</v>
      </c>
      <c r="G1300" s="102" t="n">
        <v>0</v>
      </c>
      <c r="H1300" s="102" t="n">
        <v>0</v>
      </c>
      <c r="I1300" s="102" t="n">
        <v>0</v>
      </c>
      <c r="J1300" s="102" t="n">
        <v>0</v>
      </c>
      <c r="K1300" s="102" t="n">
        <v>0</v>
      </c>
      <c r="L1300" s="102" t="n">
        <v>0</v>
      </c>
      <c r="M1300" s="102" t="n">
        <v>0</v>
      </c>
      <c r="N1300" s="102" t="n">
        <v>0</v>
      </c>
      <c r="O1300" s="102" t="n">
        <v>0</v>
      </c>
      <c r="P1300" s="102" t="n">
        <v>0</v>
      </c>
      <c r="Q1300" s="102" t="n">
        <v>0</v>
      </c>
      <c r="R1300" s="102" t="n">
        <v>0</v>
      </c>
      <c r="S1300" s="102" t="n">
        <v>0</v>
      </c>
      <c r="T1300" s="102" t="n">
        <v>0</v>
      </c>
      <c r="U1300" s="102" t="n">
        <v>0</v>
      </c>
      <c r="V1300" s="102" t="n">
        <v>0</v>
      </c>
      <c r="W1300" s="102" t="n">
        <v>0</v>
      </c>
    </row>
    <row r="1301" customFormat="false" ht="12.75" hidden="false" customHeight="false" outlineLevel="0" collapsed="false">
      <c r="A1301" s="99" t="s">
        <v>62</v>
      </c>
      <c r="B1301" s="49"/>
      <c r="C1301" s="107"/>
      <c r="D1301" s="102" t="n">
        <v>0</v>
      </c>
      <c r="E1301" s="102" t="n">
        <v>0</v>
      </c>
      <c r="F1301" s="102" t="n">
        <v>0</v>
      </c>
      <c r="G1301" s="102" t="n">
        <v>0</v>
      </c>
      <c r="H1301" s="102" t="n">
        <v>0</v>
      </c>
      <c r="I1301" s="102" t="n">
        <v>0</v>
      </c>
      <c r="J1301" s="102" t="n">
        <v>0</v>
      </c>
      <c r="K1301" s="102" t="n">
        <v>0</v>
      </c>
      <c r="L1301" s="102" t="n">
        <v>0</v>
      </c>
      <c r="M1301" s="102" t="n">
        <v>0</v>
      </c>
      <c r="N1301" s="102" t="n">
        <v>0</v>
      </c>
      <c r="O1301" s="102" t="n">
        <v>0</v>
      </c>
      <c r="P1301" s="102" t="n">
        <v>0</v>
      </c>
      <c r="Q1301" s="102" t="n">
        <v>0</v>
      </c>
      <c r="R1301" s="102" t="n">
        <v>0</v>
      </c>
      <c r="S1301" s="102" t="n">
        <v>0</v>
      </c>
      <c r="T1301" s="102" t="n">
        <v>0</v>
      </c>
      <c r="U1301" s="102" t="n">
        <v>0</v>
      </c>
      <c r="V1301" s="102" t="n">
        <v>0</v>
      </c>
      <c r="W1301" s="102" t="n">
        <v>0</v>
      </c>
    </row>
    <row r="1302" customFormat="false" ht="12.75" hidden="false" customHeight="false" outlineLevel="0" collapsed="false">
      <c r="A1302" s="99" t="s">
        <v>63</v>
      </c>
      <c r="B1302" s="49"/>
      <c r="C1302" s="107"/>
      <c r="D1302" s="102" t="n">
        <v>0</v>
      </c>
      <c r="E1302" s="102" t="n">
        <v>0</v>
      </c>
      <c r="F1302" s="102" t="n">
        <v>0</v>
      </c>
      <c r="G1302" s="102" t="n">
        <v>0</v>
      </c>
      <c r="H1302" s="102" t="n">
        <v>0</v>
      </c>
      <c r="I1302" s="102" t="n">
        <v>0</v>
      </c>
      <c r="J1302" s="102" t="n">
        <v>0</v>
      </c>
      <c r="K1302" s="102" t="n">
        <v>0</v>
      </c>
      <c r="L1302" s="102" t="n">
        <v>0</v>
      </c>
      <c r="M1302" s="102" t="n">
        <v>0</v>
      </c>
      <c r="N1302" s="102" t="n">
        <v>0</v>
      </c>
      <c r="O1302" s="102" t="n">
        <v>0</v>
      </c>
      <c r="P1302" s="102" t="n">
        <v>0</v>
      </c>
      <c r="Q1302" s="102" t="n">
        <v>0</v>
      </c>
      <c r="R1302" s="102" t="n">
        <v>0</v>
      </c>
      <c r="S1302" s="102" t="n">
        <v>0</v>
      </c>
      <c r="T1302" s="102" t="n">
        <v>0</v>
      </c>
      <c r="U1302" s="102" t="n">
        <v>0</v>
      </c>
      <c r="V1302" s="102" t="n">
        <v>0</v>
      </c>
      <c r="W1302" s="102" t="n">
        <v>0</v>
      </c>
    </row>
    <row r="1303" customFormat="false" ht="12.75" hidden="false" customHeight="false" outlineLevel="0" collapsed="false">
      <c r="A1303" s="99" t="s">
        <v>64</v>
      </c>
      <c r="B1303" s="49"/>
      <c r="C1303" s="107"/>
      <c r="D1303" s="105" t="n">
        <v>0</v>
      </c>
      <c r="E1303" s="105" t="n">
        <v>0</v>
      </c>
      <c r="F1303" s="105" t="n">
        <v>0</v>
      </c>
      <c r="G1303" s="105" t="n">
        <v>0</v>
      </c>
      <c r="H1303" s="105" t="n">
        <v>0</v>
      </c>
      <c r="I1303" s="105" t="n">
        <v>0</v>
      </c>
      <c r="J1303" s="105" t="n">
        <v>0</v>
      </c>
      <c r="K1303" s="105" t="n">
        <v>0</v>
      </c>
      <c r="L1303" s="105" t="n">
        <v>0</v>
      </c>
      <c r="M1303" s="105" t="n">
        <v>0</v>
      </c>
      <c r="N1303" s="105" t="n">
        <v>0</v>
      </c>
      <c r="O1303" s="105" t="n">
        <v>0</v>
      </c>
      <c r="P1303" s="105" t="n">
        <v>0</v>
      </c>
      <c r="Q1303" s="105" t="n">
        <v>0</v>
      </c>
      <c r="R1303" s="105" t="n">
        <v>0</v>
      </c>
      <c r="S1303" s="105" t="n">
        <v>0</v>
      </c>
      <c r="T1303" s="105" t="n">
        <v>0</v>
      </c>
      <c r="U1303" s="105" t="n">
        <v>0</v>
      </c>
      <c r="V1303" s="105" t="n">
        <v>0</v>
      </c>
      <c r="W1303" s="105" t="n">
        <v>0</v>
      </c>
    </row>
    <row r="1304" customFormat="false" ht="13.5" hidden="false" customHeight="false" outlineLevel="0" collapsed="false">
      <c r="A1304" s="99" t="s">
        <v>65</v>
      </c>
      <c r="B1304" s="49"/>
      <c r="C1304" s="107"/>
      <c r="D1304" s="106" t="n">
        <v>0</v>
      </c>
      <c r="E1304" s="106" t="n">
        <v>0</v>
      </c>
      <c r="F1304" s="106" t="n">
        <v>0</v>
      </c>
      <c r="G1304" s="106" t="n">
        <v>0</v>
      </c>
      <c r="H1304" s="106" t="n">
        <v>0</v>
      </c>
      <c r="I1304" s="106" t="n">
        <v>0</v>
      </c>
      <c r="J1304" s="106" t="n">
        <v>0</v>
      </c>
      <c r="K1304" s="106" t="n">
        <v>0</v>
      </c>
      <c r="L1304" s="106" t="n">
        <v>0</v>
      </c>
      <c r="M1304" s="106" t="n">
        <v>0</v>
      </c>
      <c r="N1304" s="106" t="n">
        <v>0</v>
      </c>
      <c r="O1304" s="106" t="n">
        <v>0</v>
      </c>
      <c r="P1304" s="106" t="n">
        <v>0</v>
      </c>
      <c r="Q1304" s="106" t="n">
        <v>0</v>
      </c>
      <c r="R1304" s="106" t="n">
        <v>0</v>
      </c>
      <c r="S1304" s="106" t="n">
        <v>0</v>
      </c>
      <c r="T1304" s="106" t="n">
        <v>0</v>
      </c>
      <c r="U1304" s="106" t="n">
        <v>0</v>
      </c>
      <c r="V1304" s="106" t="n">
        <v>0</v>
      </c>
      <c r="W1304" s="106" t="n">
        <v>0</v>
      </c>
    </row>
    <row r="1305" customFormat="false" ht="13.5" hidden="false" customHeight="false" outlineLevel="0" collapsed="false">
      <c r="A1305" s="99"/>
      <c r="B1305" s="49"/>
      <c r="C1305" s="107"/>
      <c r="D1305" s="102"/>
      <c r="E1305" s="102"/>
      <c r="F1305" s="102"/>
      <c r="G1305" s="102"/>
      <c r="H1305" s="102"/>
      <c r="I1305" s="102"/>
      <c r="J1305" s="102"/>
      <c r="K1305" s="102"/>
      <c r="L1305" s="102"/>
      <c r="M1305" s="102"/>
      <c r="N1305" s="102"/>
      <c r="O1305" s="102"/>
      <c r="P1305" s="102"/>
      <c r="Q1305" s="102"/>
      <c r="R1305" s="102"/>
      <c r="S1305" s="102"/>
      <c r="T1305" s="102"/>
      <c r="U1305" s="102"/>
      <c r="V1305" s="102"/>
      <c r="W1305" s="102"/>
    </row>
    <row r="1306" customFormat="false" ht="12.75" hidden="false" customHeight="false" outlineLevel="0" collapsed="false">
      <c r="A1306" s="99" t="s">
        <v>66</v>
      </c>
      <c r="B1306" s="49"/>
      <c r="C1306" s="107"/>
      <c r="D1306" s="102" t="n">
        <v>0</v>
      </c>
      <c r="E1306" s="102" t="n">
        <v>0</v>
      </c>
      <c r="F1306" s="102" t="n">
        <v>0</v>
      </c>
      <c r="G1306" s="102" t="n">
        <v>0</v>
      </c>
      <c r="H1306" s="102" t="n">
        <v>0</v>
      </c>
      <c r="I1306" s="102" t="n">
        <v>0</v>
      </c>
      <c r="J1306" s="102" t="n">
        <v>0</v>
      </c>
      <c r="K1306" s="102" t="n">
        <v>0</v>
      </c>
      <c r="L1306" s="102" t="n">
        <v>0</v>
      </c>
      <c r="M1306" s="102" t="n">
        <v>0</v>
      </c>
      <c r="N1306" s="102" t="n">
        <v>0</v>
      </c>
      <c r="O1306" s="102" t="n">
        <v>0</v>
      </c>
      <c r="P1306" s="102" t="n">
        <v>0</v>
      </c>
      <c r="Q1306" s="102" t="n">
        <v>0</v>
      </c>
      <c r="R1306" s="102" t="n">
        <v>0</v>
      </c>
      <c r="S1306" s="102" t="n">
        <v>0</v>
      </c>
      <c r="T1306" s="102" t="n">
        <v>0</v>
      </c>
      <c r="U1306" s="102" t="n">
        <v>0</v>
      </c>
      <c r="V1306" s="102" t="n">
        <v>0</v>
      </c>
      <c r="W1306" s="102" t="n">
        <v>0</v>
      </c>
    </row>
    <row r="1307" customFormat="false" ht="12.75" hidden="false" customHeight="false" outlineLevel="0" collapsed="false">
      <c r="A1307" s="99"/>
      <c r="B1307" s="49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</row>
    <row r="1308" customFormat="false" ht="12.75" hidden="false" customHeight="false" outlineLevel="0" collapsed="false">
      <c r="A1308" s="99" t="s">
        <v>67</v>
      </c>
      <c r="B1308" s="49"/>
      <c r="C1308" s="107"/>
      <c r="D1308" s="102" t="n">
        <v>0</v>
      </c>
      <c r="E1308" s="102" t="n">
        <v>0</v>
      </c>
      <c r="F1308" s="102" t="n">
        <v>0</v>
      </c>
      <c r="G1308" s="102" t="n">
        <v>0</v>
      </c>
      <c r="H1308" s="102" t="n">
        <v>0</v>
      </c>
      <c r="I1308" s="102" t="n">
        <v>0</v>
      </c>
      <c r="J1308" s="102" t="n">
        <v>0</v>
      </c>
      <c r="K1308" s="102" t="n">
        <v>0</v>
      </c>
      <c r="L1308" s="102" t="n">
        <v>0</v>
      </c>
      <c r="M1308" s="102" t="n">
        <v>0</v>
      </c>
      <c r="N1308" s="102" t="n">
        <v>0</v>
      </c>
      <c r="O1308" s="102" t="n">
        <v>0</v>
      </c>
      <c r="P1308" s="102" t="n">
        <v>0</v>
      </c>
      <c r="Q1308" s="102" t="n">
        <v>0</v>
      </c>
      <c r="R1308" s="102" t="n">
        <v>0</v>
      </c>
      <c r="S1308" s="102" t="n">
        <v>0</v>
      </c>
      <c r="T1308" s="102" t="n">
        <v>0</v>
      </c>
      <c r="U1308" s="102" t="n">
        <v>0</v>
      </c>
      <c r="V1308" s="102" t="n">
        <v>0</v>
      </c>
      <c r="W1308" s="102" t="n">
        <v>0</v>
      </c>
    </row>
    <row r="1309" customFormat="false" ht="12.75" hidden="false" customHeight="false" outlineLevel="0" collapsed="false">
      <c r="A1309" s="107" t="n">
        <v>1</v>
      </c>
      <c r="B1309" s="49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</row>
    <row r="1310" customFormat="false" ht="12.75" hidden="false" customHeight="false" outlineLevel="0" collapsed="false">
      <c r="A1310" s="107"/>
      <c r="B1310" s="49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</row>
    <row r="1311" customFormat="false" ht="12.75" hidden="false" customHeight="false" outlineLevel="0" collapsed="false">
      <c r="A1311" s="99" t="s">
        <v>68</v>
      </c>
      <c r="B1311" s="148"/>
      <c r="C1311" s="149"/>
      <c r="D1311" s="79" t="n">
        <v>3088963.37067291</v>
      </c>
      <c r="E1311" s="79" t="n">
        <v>1754401.48497158</v>
      </c>
      <c r="F1311" s="79" t="n">
        <v>1556298.15322628</v>
      </c>
      <c r="G1311" s="79" t="n">
        <v>1246097.85887251</v>
      </c>
      <c r="H1311" s="79" t="n">
        <v>1019182.09090035</v>
      </c>
      <c r="I1311" s="79" t="n">
        <v>564789.569071027</v>
      </c>
      <c r="J1311" s="79" t="n">
        <v>633436.831275739</v>
      </c>
      <c r="K1311" s="79" t="n">
        <v>1024197.09478997</v>
      </c>
      <c r="L1311" s="79" t="n">
        <v>1047884.14395147</v>
      </c>
      <c r="M1311" s="79" t="n">
        <v>1248023.77040388</v>
      </c>
      <c r="N1311" s="79" t="n">
        <v>710902.885193755</v>
      </c>
      <c r="O1311" s="79" t="n">
        <v>874946.291899972</v>
      </c>
      <c r="P1311" s="79" t="n">
        <v>927639.703794315</v>
      </c>
      <c r="Q1311" s="79" t="n">
        <v>1162043.12460762</v>
      </c>
      <c r="R1311" s="79" t="n">
        <v>777516.201709172</v>
      </c>
      <c r="S1311" s="79" t="n">
        <v>423745.586000955</v>
      </c>
      <c r="T1311" s="79" t="n">
        <v>647993.902985067</v>
      </c>
      <c r="U1311" s="79" t="n">
        <v>785250.256054408</v>
      </c>
      <c r="V1311" s="79" t="n">
        <v>402607.177322437</v>
      </c>
      <c r="W1311" s="79" t="n">
        <v>4891486.42621717</v>
      </c>
    </row>
    <row r="1312" customFormat="false" ht="12.75" hidden="false" customHeight="false" outlineLevel="0" collapsed="false">
      <c r="A1312" s="2"/>
      <c r="B1312" s="31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</row>
    <row r="1313" customFormat="false" ht="12.75" hidden="false" customHeight="false" outlineLevel="0" collapsed="false">
      <c r="A1313" s="164"/>
      <c r="B1313" s="156"/>
      <c r="C1313" s="134"/>
      <c r="D1313" s="166"/>
      <c r="E1313" s="166"/>
      <c r="F1313" s="166"/>
      <c r="G1313" s="166"/>
      <c r="H1313" s="166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</row>
    <row r="1314" customFormat="false" ht="12.75" hidden="false" customHeight="false" outlineLevel="0" collapsed="false">
      <c r="B1314" s="156"/>
      <c r="C1314" s="134"/>
      <c r="D1314" s="166"/>
      <c r="E1314" s="166"/>
      <c r="F1314" s="166"/>
      <c r="G1314" s="166"/>
      <c r="H1314" s="166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</row>
    <row r="1315" customFormat="false" ht="12.75" hidden="false" customHeight="false" outlineLevel="0" collapsed="false">
      <c r="B1315" s="126"/>
      <c r="C1315" s="138"/>
      <c r="D1315" s="165"/>
      <c r="E1315" s="165"/>
      <c r="F1315" s="165"/>
      <c r="G1315" s="165"/>
      <c r="H1315" s="165"/>
      <c r="I1315" s="165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</row>
    <row r="1316" customFormat="false" ht="12.75" hidden="false" customHeight="false" outlineLevel="0" collapsed="false">
      <c r="B1316" s="156"/>
      <c r="C1316" s="134"/>
      <c r="D1316" s="166"/>
      <c r="E1316" s="166"/>
      <c r="F1316" s="166"/>
      <c r="G1316" s="166"/>
      <c r="H1316" s="166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</row>
    <row r="1317" customFormat="false" ht="12.75" hidden="false" customHeight="false" outlineLevel="0" collapsed="false">
      <c r="B1317" s="126"/>
      <c r="C1317" s="138"/>
      <c r="D1317" s="165"/>
      <c r="E1317" s="165"/>
      <c r="F1317" s="165"/>
      <c r="G1317" s="165"/>
      <c r="H1317" s="165"/>
      <c r="I1317" s="165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</row>
    <row r="1318" customFormat="false" ht="12.75" hidden="false" customHeight="false" outlineLevel="0" collapsed="false">
      <c r="C1318" s="134"/>
      <c r="E1318" s="163"/>
      <c r="F1318" s="128"/>
      <c r="G1318" s="136"/>
    </row>
    <row r="1319" customFormat="false" ht="15.75" hidden="false" customHeight="false" outlineLevel="0" collapsed="false">
      <c r="A1319" s="167"/>
      <c r="B1319" s="168"/>
    </row>
    <row r="1320" customFormat="false" ht="15.75" hidden="false" customHeight="false" outlineLevel="0" collapsed="false">
      <c r="A1320" s="48" t="s">
        <v>17</v>
      </c>
      <c r="B1320" s="57" t="s">
        <v>89</v>
      </c>
      <c r="C1320" s="58" t="n">
        <v>2000</v>
      </c>
      <c r="D1320" s="58" t="n">
        <v>2001</v>
      </c>
      <c r="E1320" s="58" t="n">
        <v>2002</v>
      </c>
      <c r="F1320" s="58" t="n">
        <v>2003</v>
      </c>
      <c r="G1320" s="58" t="n">
        <v>2004</v>
      </c>
      <c r="H1320" s="58" t="n">
        <v>2005</v>
      </c>
      <c r="I1320" s="58" t="n">
        <v>2006</v>
      </c>
      <c r="J1320" s="58" t="n">
        <v>2007</v>
      </c>
      <c r="K1320" s="58" t="n">
        <v>2008</v>
      </c>
      <c r="L1320" s="58" t="n">
        <v>2009</v>
      </c>
      <c r="M1320" s="58" t="n">
        <v>2010</v>
      </c>
      <c r="N1320" s="58" t="n">
        <v>2011</v>
      </c>
      <c r="O1320" s="58" t="n">
        <v>2012</v>
      </c>
      <c r="P1320" s="58" t="n">
        <v>2013</v>
      </c>
      <c r="Q1320" s="58" t="n">
        <v>2014</v>
      </c>
      <c r="R1320" s="58" t="n">
        <v>2015</v>
      </c>
      <c r="S1320" s="58" t="n">
        <v>2016</v>
      </c>
      <c r="T1320" s="58" t="n">
        <v>2017</v>
      </c>
      <c r="U1320" s="58" t="n">
        <v>2018</v>
      </c>
      <c r="V1320" s="58" t="n">
        <v>2019</v>
      </c>
      <c r="W1320" s="58" t="s">
        <v>19</v>
      </c>
    </row>
    <row r="1321" customFormat="false" ht="12.75" hidden="false" customHeight="false" outlineLevel="0" collapsed="false">
      <c r="A1321" s="48" t="s">
        <v>5</v>
      </c>
      <c r="B1321" s="49" t="n">
        <v>14.2</v>
      </c>
      <c r="C1321" s="61"/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61"/>
      <c r="P1321" s="61"/>
      <c r="Q1321" s="61"/>
      <c r="R1321" s="61"/>
      <c r="S1321" s="61"/>
      <c r="T1321" s="61"/>
      <c r="U1321" s="61"/>
      <c r="V1321" s="61"/>
      <c r="W1321" s="61"/>
    </row>
    <row r="1322" customFormat="false" ht="12.75" hidden="false" customHeight="false" outlineLevel="0" collapsed="false">
      <c r="A1322" s="2"/>
      <c r="B1322" s="117" t="s">
        <v>20</v>
      </c>
      <c r="C1322" s="118" t="n">
        <v>0</v>
      </c>
      <c r="D1322" s="64" t="n">
        <v>942332.148663939</v>
      </c>
      <c r="E1322" s="64" t="n">
        <v>706930.279405795</v>
      </c>
      <c r="F1322" s="64" t="n">
        <v>554891.16733126</v>
      </c>
      <c r="G1322" s="64" t="n">
        <v>476144.019942896</v>
      </c>
      <c r="H1322" s="64" t="n">
        <v>491382.619638409</v>
      </c>
      <c r="I1322" s="64" t="n">
        <v>375136.457050889</v>
      </c>
      <c r="J1322" s="64" t="n">
        <v>423422.254957849</v>
      </c>
      <c r="K1322" s="64" t="n">
        <v>706866.659404332</v>
      </c>
      <c r="L1322" s="64" t="n">
        <v>700863.348206471</v>
      </c>
      <c r="M1322" s="64" t="n">
        <v>751736.412355232</v>
      </c>
      <c r="N1322" s="64" t="n">
        <v>649893.752336516</v>
      </c>
      <c r="O1322" s="64" t="n">
        <v>689091.020596519</v>
      </c>
      <c r="P1322" s="64" t="n">
        <v>799761.316903331</v>
      </c>
      <c r="Q1322" s="64" t="n">
        <v>963356.66087612</v>
      </c>
      <c r="R1322" s="64" t="n">
        <v>760485.072493951</v>
      </c>
      <c r="S1322" s="64" t="n">
        <v>621775.96051763</v>
      </c>
      <c r="T1322" s="64" t="n">
        <v>767694.97650421</v>
      </c>
      <c r="U1322" s="64" t="n">
        <v>927474.167147244</v>
      </c>
      <c r="V1322" s="64" t="n">
        <v>737218.592259041</v>
      </c>
      <c r="W1322" s="65"/>
    </row>
    <row r="1323" customFormat="false" ht="12.75" hidden="false" customHeight="false" outlineLevel="0" collapsed="false">
      <c r="A1323" s="2"/>
      <c r="B1323" s="117" t="s">
        <v>21</v>
      </c>
      <c r="C1323" s="118" t="n">
        <v>0</v>
      </c>
      <c r="D1323" s="64" t="n">
        <v>-136080.734920498</v>
      </c>
      <c r="E1323" s="64" t="n">
        <v>-153067.897940634</v>
      </c>
      <c r="F1323" s="64" t="n">
        <v>-132071.252092478</v>
      </c>
      <c r="G1323" s="64" t="n">
        <v>-126594.803550063</v>
      </c>
      <c r="H1323" s="64" t="n">
        <v>-176771.459622474</v>
      </c>
      <c r="I1323" s="64" t="n">
        <v>-168674.192958766</v>
      </c>
      <c r="J1323" s="64" t="n">
        <v>-195739.00056479</v>
      </c>
      <c r="K1323" s="64" t="n">
        <v>-355063.443438975</v>
      </c>
      <c r="L1323" s="64" t="n">
        <v>-345343.641467963</v>
      </c>
      <c r="M1323" s="64" t="n">
        <v>-344580.306874493</v>
      </c>
      <c r="N1323" s="64" t="n">
        <v>-370483.310025458</v>
      </c>
      <c r="O1323" s="64" t="n">
        <v>-364527.265632324</v>
      </c>
      <c r="P1323" s="64" t="n">
        <v>-448226.288871003</v>
      </c>
      <c r="Q1323" s="64" t="n">
        <v>-526697.187130615</v>
      </c>
      <c r="R1323" s="64" t="n">
        <v>-425578.523151909</v>
      </c>
      <c r="S1323" s="64" t="n">
        <v>-381188.874877699</v>
      </c>
      <c r="T1323" s="64" t="n">
        <v>-460551.619980423</v>
      </c>
      <c r="U1323" s="64" t="n">
        <v>-578151.908201555</v>
      </c>
      <c r="V1323" s="64" t="n">
        <v>-492249.850482333</v>
      </c>
      <c r="W1323" s="65"/>
    </row>
    <row r="1324" customFormat="false" ht="12.75" hidden="false" customHeight="false" outlineLevel="0" collapsed="false">
      <c r="A1324" s="2"/>
      <c r="B1324" s="117" t="s">
        <v>22</v>
      </c>
      <c r="C1324" s="118" t="n">
        <v>0</v>
      </c>
      <c r="D1324" s="64" t="n">
        <v>-5764.52788570182</v>
      </c>
      <c r="E1324" s="64" t="n">
        <v>-7184.99241869763</v>
      </c>
      <c r="F1324" s="64" t="n">
        <v>-6517.14421286054</v>
      </c>
      <c r="G1324" s="64" t="n">
        <v>-6330.39792321598</v>
      </c>
      <c r="H1324" s="64" t="n">
        <v>-8960.89622567734</v>
      </c>
      <c r="I1324" s="64" t="n">
        <v>-8564.67829565728</v>
      </c>
      <c r="J1324" s="64" t="n">
        <v>-10001.9206966717</v>
      </c>
      <c r="K1324" s="64" t="n">
        <v>-19930.5378613282</v>
      </c>
      <c r="L1324" s="64" t="n">
        <v>-19352.5875796209</v>
      </c>
      <c r="M1324" s="64" t="n">
        <v>-19066.7703644119</v>
      </c>
      <c r="N1324" s="64" t="n">
        <v>-20185.4439903241</v>
      </c>
      <c r="O1324" s="64" t="n">
        <v>-20669.9552594352</v>
      </c>
      <c r="P1324" s="64" t="n">
        <v>-24387.3875978597</v>
      </c>
      <c r="Q1324" s="64" t="n">
        <v>-29484.9844366642</v>
      </c>
      <c r="R1324" s="64" t="n">
        <v>-22244.417945685</v>
      </c>
      <c r="S1324" s="64" t="n">
        <v>-19406.1887174444</v>
      </c>
      <c r="T1324" s="64" t="n">
        <v>-23388.2874869499</v>
      </c>
      <c r="U1324" s="64" t="n">
        <v>-28004.4284554484</v>
      </c>
      <c r="V1324" s="64" t="n">
        <v>-23991.77252499</v>
      </c>
      <c r="W1324" s="65"/>
    </row>
    <row r="1325" customFormat="false" ht="12.75" hidden="false" customHeight="false" outlineLevel="0" collapsed="false">
      <c r="A1325" s="2"/>
      <c r="B1325" s="117" t="s">
        <v>23</v>
      </c>
      <c r="C1325" s="118" t="n">
        <v>0</v>
      </c>
      <c r="D1325" s="64" t="n">
        <v>0</v>
      </c>
      <c r="E1325" s="64" t="n">
        <v>0</v>
      </c>
      <c r="F1325" s="64" t="n">
        <v>0</v>
      </c>
      <c r="G1325" s="64" t="n">
        <v>0</v>
      </c>
      <c r="H1325" s="64" t="n">
        <v>0</v>
      </c>
      <c r="I1325" s="64" t="n">
        <v>-2402.50361745077</v>
      </c>
      <c r="J1325" s="64" t="n">
        <v>-3051.26540753275</v>
      </c>
      <c r="K1325" s="64" t="n">
        <v>-6861.71200898803</v>
      </c>
      <c r="L1325" s="64" t="n">
        <v>-6875.947237817</v>
      </c>
      <c r="M1325" s="64" t="n">
        <v>-7375.17814252356</v>
      </c>
      <c r="N1325" s="64" t="n">
        <v>-8457.84948401503</v>
      </c>
      <c r="O1325" s="64" t="n">
        <v>-9381.8688536933</v>
      </c>
      <c r="P1325" s="64" t="n">
        <v>-12157.7901031238</v>
      </c>
      <c r="Q1325" s="64" t="n">
        <v>-16062.6958859555</v>
      </c>
      <c r="R1325" s="64" t="n">
        <v>-13165.6320928823</v>
      </c>
      <c r="S1325" s="64" t="n">
        <v>-12353.2939089363</v>
      </c>
      <c r="T1325" s="64" t="n">
        <v>-14327.9163548448</v>
      </c>
      <c r="U1325" s="64" t="n">
        <v>-14382.5727243932</v>
      </c>
      <c r="V1325" s="64" t="n">
        <v>-12543.964588601</v>
      </c>
      <c r="W1325" s="65"/>
    </row>
    <row r="1326" customFormat="false" ht="13.5" hidden="false" customHeight="false" outlineLevel="0" collapsed="false">
      <c r="A1326" s="2"/>
      <c r="B1326" s="119" t="s">
        <v>24</v>
      </c>
      <c r="C1326" s="120" t="n">
        <v>0</v>
      </c>
      <c r="D1326" s="68" t="n">
        <v>0</v>
      </c>
      <c r="E1326" s="68" t="n">
        <v>0</v>
      </c>
      <c r="F1326" s="68" t="n">
        <v>0</v>
      </c>
      <c r="G1326" s="68" t="n">
        <v>0</v>
      </c>
      <c r="H1326" s="68" t="n">
        <v>0</v>
      </c>
      <c r="I1326" s="68" t="n">
        <v>-2402.50361745077</v>
      </c>
      <c r="J1326" s="68" t="n">
        <v>-3051.26540753275</v>
      </c>
      <c r="K1326" s="68" t="n">
        <v>-6861.71200898803</v>
      </c>
      <c r="L1326" s="68" t="n">
        <v>-6875.947237817</v>
      </c>
      <c r="M1326" s="68" t="n">
        <v>-7375.17814252356</v>
      </c>
      <c r="N1326" s="68" t="n">
        <v>-8457.84948401503</v>
      </c>
      <c r="O1326" s="68" t="n">
        <v>-9381.8688536933</v>
      </c>
      <c r="P1326" s="68" t="n">
        <v>-12157.7901031238</v>
      </c>
      <c r="Q1326" s="68" t="n">
        <v>-16062.6958859555</v>
      </c>
      <c r="R1326" s="68" t="n">
        <v>-13165.6320928823</v>
      </c>
      <c r="S1326" s="68" t="n">
        <v>-12353.2939089363</v>
      </c>
      <c r="T1326" s="68" t="n">
        <v>-14327.9163548448</v>
      </c>
      <c r="U1326" s="68" t="n">
        <v>-14382.5727243932</v>
      </c>
      <c r="V1326" s="68" t="n">
        <v>-12543.964588601</v>
      </c>
      <c r="W1326" s="65"/>
    </row>
    <row r="1327" customFormat="false" ht="13.5" hidden="false" customHeight="false" outlineLevel="0" collapsed="false">
      <c r="A1327" s="2"/>
      <c r="B1327" s="121" t="s">
        <v>25</v>
      </c>
      <c r="C1327" s="122" t="n">
        <v>0</v>
      </c>
      <c r="D1327" s="71" t="n">
        <v>800486.885857739</v>
      </c>
      <c r="E1327" s="71" t="n">
        <v>546677.389046463</v>
      </c>
      <c r="F1327" s="71" t="n">
        <v>416302.771025921</v>
      </c>
      <c r="G1327" s="71" t="n">
        <v>343218.818469617</v>
      </c>
      <c r="H1327" s="71" t="n">
        <v>305650.263790258</v>
      </c>
      <c r="I1327" s="71" t="n">
        <v>193092.578561565</v>
      </c>
      <c r="J1327" s="71" t="n">
        <v>211578.802881322</v>
      </c>
      <c r="K1327" s="71" t="n">
        <v>318149.254086052</v>
      </c>
      <c r="L1327" s="71" t="n">
        <v>322415.224683254</v>
      </c>
      <c r="M1327" s="71" t="n">
        <v>373338.97883128</v>
      </c>
      <c r="N1327" s="71" t="n">
        <v>242309.299352704</v>
      </c>
      <c r="O1327" s="71" t="n">
        <v>285130.061997373</v>
      </c>
      <c r="P1327" s="71" t="n">
        <v>302832.060228221</v>
      </c>
      <c r="Q1327" s="71" t="n">
        <v>375049.097536929</v>
      </c>
      <c r="R1327" s="71" t="n">
        <v>286330.867210593</v>
      </c>
      <c r="S1327" s="71" t="n">
        <v>196474.309104615</v>
      </c>
      <c r="T1327" s="71" t="n">
        <v>255099.236327148</v>
      </c>
      <c r="U1327" s="71" t="n">
        <v>292552.685041454</v>
      </c>
      <c r="V1327" s="71" t="n">
        <v>195889.040074516</v>
      </c>
      <c r="W1327" s="65"/>
    </row>
    <row r="1328" customFormat="false" ht="12.75" hidden="false" customHeight="false" outlineLevel="0" collapsed="false">
      <c r="A1328" s="2"/>
      <c r="B1328" s="117" t="s">
        <v>26</v>
      </c>
      <c r="C1328" s="118" t="n">
        <v>0</v>
      </c>
      <c r="D1328" s="64" t="n">
        <v>-43632.1166627733</v>
      </c>
      <c r="E1328" s="64" t="n">
        <v>-44504.7589960288</v>
      </c>
      <c r="F1328" s="64" t="n">
        <v>-45394.8541759493</v>
      </c>
      <c r="G1328" s="64" t="n">
        <v>-46302.7512594683</v>
      </c>
      <c r="H1328" s="64" t="n">
        <v>-47228.8062846577</v>
      </c>
      <c r="I1328" s="64" t="n">
        <v>-48173.3824103508</v>
      </c>
      <c r="J1328" s="64" t="n">
        <v>-49136.8500585579</v>
      </c>
      <c r="K1328" s="64" t="n">
        <v>-50119.587059729</v>
      </c>
      <c r="L1328" s="64" t="n">
        <v>-51121.9788009236</v>
      </c>
      <c r="M1328" s="64" t="n">
        <v>-52144.4183769421</v>
      </c>
      <c r="N1328" s="64" t="n">
        <v>-53187.3067444809</v>
      </c>
      <c r="O1328" s="64" t="n">
        <v>-54251.0528793705</v>
      </c>
      <c r="P1328" s="64" t="n">
        <v>-55336.0739369579</v>
      </c>
      <c r="Q1328" s="64" t="n">
        <v>-56442.7954156971</v>
      </c>
      <c r="R1328" s="64" t="n">
        <v>-57571.651324011</v>
      </c>
      <c r="S1328" s="64" t="n">
        <v>-58723.0843504913</v>
      </c>
      <c r="T1328" s="64" t="n">
        <v>-59897.5460375011</v>
      </c>
      <c r="U1328" s="64" t="n">
        <v>-61095.4969582511</v>
      </c>
      <c r="V1328" s="64" t="n">
        <v>-62317.4068974161</v>
      </c>
      <c r="W1328" s="65"/>
    </row>
    <row r="1329" customFormat="false" ht="12.75" hidden="false" customHeight="false" outlineLevel="0" collapsed="false">
      <c r="A1329" s="2"/>
      <c r="B1329" s="117" t="s">
        <v>27</v>
      </c>
      <c r="C1329" s="118" t="n">
        <v>0</v>
      </c>
      <c r="D1329" s="64" t="n">
        <v>-11310.4902143791</v>
      </c>
      <c r="E1329" s="64" t="n">
        <v>-11310.4902143791</v>
      </c>
      <c r="F1329" s="64" t="n">
        <v>-11310.4902143791</v>
      </c>
      <c r="G1329" s="64" t="n">
        <v>-11310.4902143791</v>
      </c>
      <c r="H1329" s="64" t="n">
        <v>-11310.4902143791</v>
      </c>
      <c r="I1329" s="64" t="n">
        <v>-11310.4902143791</v>
      </c>
      <c r="J1329" s="64" t="n">
        <v>-11310.4902143791</v>
      </c>
      <c r="K1329" s="64" t="n">
        <v>-11310.4902143791</v>
      </c>
      <c r="L1329" s="64" t="n">
        <v>-11310.4902143791</v>
      </c>
      <c r="M1329" s="64" t="n">
        <v>-11310.4902143791</v>
      </c>
      <c r="N1329" s="64" t="n">
        <v>-11310.4902143791</v>
      </c>
      <c r="O1329" s="64" t="n">
        <v>-11310.4902143791</v>
      </c>
      <c r="P1329" s="64" t="n">
        <v>-11310.4902143791</v>
      </c>
      <c r="Q1329" s="64" t="n">
        <v>-11310.4902143791</v>
      </c>
      <c r="R1329" s="64" t="n">
        <v>-11310.4902143791</v>
      </c>
      <c r="S1329" s="64" t="n">
        <v>-11310.4902143791</v>
      </c>
      <c r="T1329" s="64" t="n">
        <v>-11310.4902143791</v>
      </c>
      <c r="U1329" s="64" t="n">
        <v>-11310.4902143791</v>
      </c>
      <c r="V1329" s="64" t="n">
        <v>-11310.4902143791</v>
      </c>
      <c r="W1329" s="65"/>
    </row>
    <row r="1330" customFormat="false" ht="13.5" hidden="false" customHeight="false" outlineLevel="0" collapsed="false">
      <c r="A1330" s="2"/>
      <c r="B1330" s="119" t="s">
        <v>28</v>
      </c>
      <c r="C1330" s="120" t="n">
        <v>0</v>
      </c>
      <c r="D1330" s="68" t="n">
        <v>-1728.88143796714</v>
      </c>
      <c r="E1330" s="68" t="n">
        <v>-1765.36083630825</v>
      </c>
      <c r="F1330" s="68" t="n">
        <v>-1804.02223862341</v>
      </c>
      <c r="G1330" s="68" t="n">
        <v>-1844.79314121628</v>
      </c>
      <c r="H1330" s="68" t="n">
        <v>-1888.69921797723</v>
      </c>
      <c r="I1330" s="68" t="n">
        <v>-1936.03021025407</v>
      </c>
      <c r="J1330" s="68" t="n">
        <v>-1984.04915300005</v>
      </c>
      <c r="K1330" s="68" t="n">
        <v>-2034.26953724728</v>
      </c>
      <c r="L1330" s="68" t="n">
        <v>-2084.51599481729</v>
      </c>
      <c r="M1330" s="68" t="n">
        <v>-2137.67115268512</v>
      </c>
      <c r="N1330" s="68" t="n">
        <v>-2189.40279458011</v>
      </c>
      <c r="O1330" s="68" t="n">
        <v>-2244.57574500353</v>
      </c>
      <c r="P1330" s="68" t="n">
        <v>-2301.58796892661</v>
      </c>
      <c r="Q1330" s="68" t="n">
        <v>-2359.12766814978</v>
      </c>
      <c r="R1330" s="68" t="n">
        <v>-2418.34177262034</v>
      </c>
      <c r="S1330" s="68" t="n">
        <v>-2478.80031693585</v>
      </c>
      <c r="T1330" s="68" t="n">
        <v>-2540.27456479585</v>
      </c>
      <c r="U1330" s="68" t="n">
        <v>-2604.03545637223</v>
      </c>
      <c r="V1330" s="68" t="n">
        <v>-2669.39674632718</v>
      </c>
      <c r="W1330" s="65"/>
    </row>
    <row r="1331" customFormat="false" ht="13.5" hidden="false" customHeight="false" outlineLevel="0" collapsed="false">
      <c r="A1331" s="2"/>
      <c r="B1331" s="121" t="s">
        <v>29</v>
      </c>
      <c r="C1331" s="123" t="n">
        <v>0</v>
      </c>
      <c r="D1331" s="73" t="n">
        <v>743815.39754262</v>
      </c>
      <c r="E1331" s="73" t="n">
        <v>489096.778999747</v>
      </c>
      <c r="F1331" s="73" t="n">
        <v>357793.40439697</v>
      </c>
      <c r="G1331" s="73" t="n">
        <v>283760.783854554</v>
      </c>
      <c r="H1331" s="73" t="n">
        <v>245222.268073244</v>
      </c>
      <c r="I1331" s="73" t="n">
        <v>131672.675726581</v>
      </c>
      <c r="J1331" s="73" t="n">
        <v>149147.413455385</v>
      </c>
      <c r="K1331" s="73" t="n">
        <v>254684.907274697</v>
      </c>
      <c r="L1331" s="73" t="n">
        <v>257898.239673134</v>
      </c>
      <c r="M1331" s="73" t="n">
        <v>307746.399087274</v>
      </c>
      <c r="N1331" s="73" t="n">
        <v>175622.099599263</v>
      </c>
      <c r="O1331" s="73" t="n">
        <v>217323.94315862</v>
      </c>
      <c r="P1331" s="73" t="n">
        <v>233883.908107957</v>
      </c>
      <c r="Q1331" s="73" t="n">
        <v>304936.684238703</v>
      </c>
      <c r="R1331" s="73" t="n">
        <v>215030.383899582</v>
      </c>
      <c r="S1331" s="73" t="n">
        <v>123961.934222808</v>
      </c>
      <c r="T1331" s="73" t="n">
        <v>181350.925510472</v>
      </c>
      <c r="U1331" s="73" t="n">
        <v>217542.662412452</v>
      </c>
      <c r="V1331" s="73" t="n">
        <v>119591.746216393</v>
      </c>
      <c r="W1331" s="65"/>
    </row>
    <row r="1332" customFormat="false" ht="12.75" hidden="false" customHeight="false" outlineLevel="0" collapsed="false">
      <c r="A1332" s="2"/>
      <c r="B1332" s="117" t="s">
        <v>30</v>
      </c>
      <c r="C1332" s="118" t="n">
        <v>0</v>
      </c>
      <c r="D1332" s="64" t="n">
        <v>-75748.2443590582</v>
      </c>
      <c r="E1332" s="64" t="n">
        <v>-69523.0909942434</v>
      </c>
      <c r="F1332" s="64" t="n">
        <v>-60662.7917076525</v>
      </c>
      <c r="G1332" s="64" t="n">
        <v>-51681.3058491598</v>
      </c>
      <c r="H1332" s="64" t="n">
        <v>-48224.4669199247</v>
      </c>
      <c r="I1332" s="64" t="n">
        <v>-48526.1972599841</v>
      </c>
      <c r="J1332" s="64" t="n">
        <v>-52068.4750692185</v>
      </c>
      <c r="K1332" s="64" t="n">
        <v>-55375.6997619841</v>
      </c>
      <c r="L1332" s="64" t="n">
        <v>-58644.8603670685</v>
      </c>
      <c r="M1332" s="64" t="n">
        <v>-61707.5424355916</v>
      </c>
      <c r="N1332" s="64" t="n">
        <v>-60746.524196071</v>
      </c>
      <c r="O1332" s="64" t="n">
        <v>-59589.5845793772</v>
      </c>
      <c r="P1332" s="64" t="n">
        <v>-62619.2097306389</v>
      </c>
      <c r="Q1332" s="64" t="n">
        <v>-48201.4412157449</v>
      </c>
      <c r="R1332" s="64" t="n">
        <v>-33934.6455370091</v>
      </c>
      <c r="S1332" s="64" t="n">
        <v>-37180.6916502193</v>
      </c>
      <c r="T1332" s="64" t="n">
        <v>-40524.1191468259</v>
      </c>
      <c r="U1332" s="64" t="n">
        <v>-43967.8494683307</v>
      </c>
      <c r="V1332" s="64" t="n">
        <v>-47514.8916994806</v>
      </c>
      <c r="W1332" s="65"/>
    </row>
    <row r="1333" customFormat="false" ht="13.5" hidden="false" customHeight="false" outlineLevel="0" collapsed="false">
      <c r="A1333" s="2"/>
      <c r="B1333" s="119" t="s">
        <v>70</v>
      </c>
      <c r="C1333" s="120" t="n">
        <v>0</v>
      </c>
      <c r="D1333" s="68" t="n">
        <v>-267226.861273425</v>
      </c>
      <c r="E1333" s="68" t="n">
        <v>-167829.475202201</v>
      </c>
      <c r="F1333" s="68" t="n">
        <v>-118852.245075727</v>
      </c>
      <c r="G1333" s="68" t="n">
        <v>-92831.7912021576</v>
      </c>
      <c r="H1333" s="68" t="n">
        <v>-78799.1204613276</v>
      </c>
      <c r="I1333" s="68" t="n">
        <v>-33258.5913866386</v>
      </c>
      <c r="J1333" s="68" t="n">
        <v>-38831.5753544666</v>
      </c>
      <c r="K1333" s="68" t="n">
        <v>-79723.6830050851</v>
      </c>
      <c r="L1333" s="68" t="n">
        <v>-79701.3517224263</v>
      </c>
      <c r="M1333" s="68" t="n">
        <v>-98415.5426606728</v>
      </c>
      <c r="N1333" s="68" t="n">
        <v>-45950.230161277</v>
      </c>
      <c r="O1333" s="68" t="n">
        <v>-63093.7434316971</v>
      </c>
      <c r="P1333" s="68" t="n">
        <v>-68505.8793509273</v>
      </c>
      <c r="Q1333" s="68" t="n">
        <v>-102694.097209183</v>
      </c>
      <c r="R1333" s="68" t="n">
        <v>-72438.2953450293</v>
      </c>
      <c r="S1333" s="68" t="n">
        <v>-34712.4970290356</v>
      </c>
      <c r="T1333" s="68" t="n">
        <v>-56330.7225454583</v>
      </c>
      <c r="U1333" s="68" t="n">
        <v>-69429.9251776484</v>
      </c>
      <c r="V1333" s="68" t="n">
        <v>-28830.741806765</v>
      </c>
      <c r="W1333" s="65"/>
    </row>
    <row r="1334" customFormat="false" ht="13.5" hidden="false" customHeight="false" outlineLevel="0" collapsed="false">
      <c r="A1334" s="2"/>
      <c r="B1334" s="121" t="s">
        <v>32</v>
      </c>
      <c r="C1334" s="123" t="n">
        <v>0</v>
      </c>
      <c r="D1334" s="73" t="n">
        <v>400840.291910137</v>
      </c>
      <c r="E1334" s="73" t="n">
        <v>251744.212803302</v>
      </c>
      <c r="F1334" s="73" t="n">
        <v>178278.36761359</v>
      </c>
      <c r="G1334" s="73" t="n">
        <v>139247.686803236</v>
      </c>
      <c r="H1334" s="73" t="n">
        <v>118198.680691991</v>
      </c>
      <c r="I1334" s="73" t="n">
        <v>49887.8870799579</v>
      </c>
      <c r="J1334" s="73" t="n">
        <v>58247.3630317</v>
      </c>
      <c r="K1334" s="73" t="n">
        <v>119585.524507628</v>
      </c>
      <c r="L1334" s="73" t="n">
        <v>119552.027583639</v>
      </c>
      <c r="M1334" s="73" t="n">
        <v>147623.313991009</v>
      </c>
      <c r="N1334" s="73" t="n">
        <v>68925.3452419155</v>
      </c>
      <c r="O1334" s="73" t="n">
        <v>94640.6151475457</v>
      </c>
      <c r="P1334" s="73" t="n">
        <v>102758.819026391</v>
      </c>
      <c r="Q1334" s="73" t="n">
        <v>154041.145813775</v>
      </c>
      <c r="R1334" s="73" t="n">
        <v>108657.443017544</v>
      </c>
      <c r="S1334" s="73" t="n">
        <v>52068.7455435534</v>
      </c>
      <c r="T1334" s="73" t="n">
        <v>84496.0838181874</v>
      </c>
      <c r="U1334" s="73" t="n">
        <v>104144.887766473</v>
      </c>
      <c r="V1334" s="73" t="n">
        <v>43246.1127101476</v>
      </c>
      <c r="W1334" s="65"/>
    </row>
    <row r="1335" customFormat="false" ht="12.75" hidden="false" customHeight="false" outlineLevel="0" collapsed="false">
      <c r="A1335" s="2"/>
      <c r="B1335" s="117" t="s">
        <v>30</v>
      </c>
      <c r="C1335" s="118" t="n">
        <v>0</v>
      </c>
      <c r="D1335" s="64" t="n">
        <v>75748.2443590582</v>
      </c>
      <c r="E1335" s="64" t="n">
        <v>69523.0909942434</v>
      </c>
      <c r="F1335" s="64" t="n">
        <v>60662.7917076525</v>
      </c>
      <c r="G1335" s="64" t="n">
        <v>51681.3058491598</v>
      </c>
      <c r="H1335" s="64" t="n">
        <v>48224.4669199247</v>
      </c>
      <c r="I1335" s="64" t="n">
        <v>48526.1972599841</v>
      </c>
      <c r="J1335" s="64" t="n">
        <v>52068.4750692185</v>
      </c>
      <c r="K1335" s="64" t="n">
        <v>55375.6997619841</v>
      </c>
      <c r="L1335" s="64" t="n">
        <v>58644.8603670685</v>
      </c>
      <c r="M1335" s="64" t="n">
        <v>61707.5424355916</v>
      </c>
      <c r="N1335" s="64" t="n">
        <v>60746.524196071</v>
      </c>
      <c r="O1335" s="64" t="n">
        <v>59589.5845793772</v>
      </c>
      <c r="P1335" s="64" t="n">
        <v>62619.2097306389</v>
      </c>
      <c r="Q1335" s="64" t="n">
        <v>48201.4412157449</v>
      </c>
      <c r="R1335" s="64" t="n">
        <v>33934.6455370091</v>
      </c>
      <c r="S1335" s="64" t="n">
        <v>37180.6916502193</v>
      </c>
      <c r="T1335" s="64" t="n">
        <v>40524.1191468259</v>
      </c>
      <c r="U1335" s="64" t="n">
        <v>43967.8494683307</v>
      </c>
      <c r="V1335" s="64" t="n">
        <v>47514.8916994806</v>
      </c>
      <c r="W1335" s="65"/>
    </row>
    <row r="1336" customFormat="false" ht="12.75" hidden="false" customHeight="false" outlineLevel="0" collapsed="false">
      <c r="A1336" s="2"/>
      <c r="B1336" s="117" t="s">
        <v>33</v>
      </c>
      <c r="C1336" s="118" t="n">
        <v>0</v>
      </c>
      <c r="D1336" s="64" t="n">
        <v>-438.02</v>
      </c>
      <c r="E1336" s="64" t="n">
        <v>-455.7</v>
      </c>
      <c r="F1336" s="64" t="n">
        <v>-474.1</v>
      </c>
      <c r="G1336" s="64" t="n">
        <v>-495.18</v>
      </c>
      <c r="H1336" s="64" t="n">
        <v>-50000</v>
      </c>
      <c r="I1336" s="64" t="n">
        <v>-51500</v>
      </c>
      <c r="J1336" s="64" t="n">
        <v>-53045</v>
      </c>
      <c r="K1336" s="64" t="n">
        <v>-54636.35</v>
      </c>
      <c r="L1336" s="64" t="n">
        <v>-56275.4405</v>
      </c>
      <c r="M1336" s="64" t="n">
        <v>-57963.703715</v>
      </c>
      <c r="N1336" s="64" t="n">
        <v>-59702.61482645</v>
      </c>
      <c r="O1336" s="64" t="n">
        <v>-61493.6932712435</v>
      </c>
      <c r="P1336" s="64" t="n">
        <v>-63338.5040693808</v>
      </c>
      <c r="Q1336" s="64" t="n">
        <v>-65238.6591914622</v>
      </c>
      <c r="R1336" s="64" t="n">
        <v>-67195.8189672061</v>
      </c>
      <c r="S1336" s="64" t="n">
        <v>-69211.6935362223</v>
      </c>
      <c r="T1336" s="64" t="n">
        <v>-71288.044342309</v>
      </c>
      <c r="U1336" s="64" t="n">
        <v>-73426.6856725782</v>
      </c>
      <c r="V1336" s="64" t="n">
        <v>-75629.4862427556</v>
      </c>
      <c r="W1336" s="65"/>
    </row>
    <row r="1337" customFormat="false" ht="13.5" hidden="false" customHeight="false" outlineLevel="0" collapsed="false">
      <c r="A1337" s="2"/>
      <c r="B1337" s="119" t="s">
        <v>34</v>
      </c>
      <c r="C1337" s="120" t="n">
        <v>0</v>
      </c>
      <c r="D1337" s="68" t="n">
        <v>0</v>
      </c>
      <c r="E1337" s="68" t="n">
        <v>0</v>
      </c>
      <c r="F1337" s="68" t="n">
        <v>0</v>
      </c>
      <c r="G1337" s="68" t="n">
        <v>0</v>
      </c>
      <c r="H1337" s="68" t="n">
        <v>0</v>
      </c>
      <c r="I1337" s="68" t="n">
        <v>0</v>
      </c>
      <c r="J1337" s="68" t="n">
        <v>0</v>
      </c>
      <c r="K1337" s="68" t="n">
        <v>0</v>
      </c>
      <c r="L1337" s="68" t="n">
        <v>0</v>
      </c>
      <c r="M1337" s="68" t="n">
        <v>0</v>
      </c>
      <c r="N1337" s="68" t="n">
        <v>0</v>
      </c>
      <c r="O1337" s="68" t="n">
        <v>0</v>
      </c>
      <c r="P1337" s="68" t="n">
        <v>0</v>
      </c>
      <c r="Q1337" s="68" t="n">
        <v>0</v>
      </c>
      <c r="R1337" s="68" t="n">
        <v>0</v>
      </c>
      <c r="S1337" s="68" t="n">
        <v>0</v>
      </c>
      <c r="T1337" s="68" t="n">
        <v>0</v>
      </c>
      <c r="U1337" s="68" t="n">
        <v>0</v>
      </c>
      <c r="V1337" s="68" t="n">
        <v>0</v>
      </c>
      <c r="W1337" s="65"/>
    </row>
    <row r="1338" customFormat="false" ht="13.5" hidden="false" customHeight="false" outlineLevel="0" collapsed="false">
      <c r="A1338" s="2"/>
      <c r="B1338" s="117"/>
      <c r="C1338" s="124"/>
      <c r="D1338" s="65"/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/>
      <c r="Q1338" s="65"/>
      <c r="R1338" s="65"/>
      <c r="S1338" s="65"/>
      <c r="T1338" s="65"/>
      <c r="U1338" s="65"/>
      <c r="V1338" s="65"/>
      <c r="W1338" s="65"/>
    </row>
    <row r="1339" customFormat="false" ht="12.75" hidden="false" customHeight="false" outlineLevel="0" collapsed="false">
      <c r="A1339" s="2"/>
      <c r="B1339" s="121" t="s">
        <v>35</v>
      </c>
      <c r="C1339" s="123" t="n">
        <v>0</v>
      </c>
      <c r="D1339" s="73" t="n">
        <v>476150.516269195</v>
      </c>
      <c r="E1339" s="73" t="n">
        <v>320811.603797546</v>
      </c>
      <c r="F1339" s="73" t="n">
        <v>238467.059321243</v>
      </c>
      <c r="G1339" s="73" t="n">
        <v>190433.812652396</v>
      </c>
      <c r="H1339" s="73" t="n">
        <v>116423.147611916</v>
      </c>
      <c r="I1339" s="73" t="n">
        <v>46914.084339942</v>
      </c>
      <c r="J1339" s="73" t="n">
        <v>57270.8381009184</v>
      </c>
      <c r="K1339" s="73" t="n">
        <v>120324.874269612</v>
      </c>
      <c r="L1339" s="73" t="n">
        <v>121921.447450708</v>
      </c>
      <c r="M1339" s="73" t="n">
        <v>151367.152711601</v>
      </c>
      <c r="N1339" s="73" t="n">
        <v>69969.2546115365</v>
      </c>
      <c r="O1339" s="73" t="n">
        <v>92736.5064556794</v>
      </c>
      <c r="P1339" s="73" t="n">
        <v>102039.524687649</v>
      </c>
      <c r="Q1339" s="73" t="n">
        <v>137003.927838058</v>
      </c>
      <c r="R1339" s="73" t="n">
        <v>75396.2695873469</v>
      </c>
      <c r="S1339" s="73" t="n">
        <v>20037.7436575505</v>
      </c>
      <c r="T1339" s="73" t="n">
        <v>53732.1586227044</v>
      </c>
      <c r="U1339" s="73" t="n">
        <v>74686.051562225</v>
      </c>
      <c r="V1339" s="73" t="n">
        <v>15131.5181668726</v>
      </c>
      <c r="W1339" s="71" t="n">
        <v>486711.226743499</v>
      </c>
    </row>
    <row r="1340" customFormat="false" ht="12.75" hidden="false" customHeight="false" outlineLevel="0" collapsed="false">
      <c r="A1340" s="2"/>
      <c r="B1340" s="125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customFormat="false" ht="12.75" hidden="false" customHeight="false" outlineLevel="0" collapsed="false">
      <c r="A1341" s="48" t="s">
        <v>36</v>
      </c>
      <c r="B1341" s="126" t="s">
        <v>37</v>
      </c>
      <c r="C1341" s="76" t="n">
        <v>1079519.96500023</v>
      </c>
      <c r="D1341" s="2"/>
      <c r="E1341" s="127" t="s">
        <v>38</v>
      </c>
      <c r="F1341" s="128" t="s">
        <v>37</v>
      </c>
      <c r="G1341" s="79" t="n">
        <v>1079519.96500023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</row>
    <row r="1342" customFormat="false" ht="12.75" hidden="false" customHeight="false" outlineLevel="0" collapsed="false">
      <c r="A1342" s="2"/>
      <c r="B1342" s="126" t="s">
        <v>39</v>
      </c>
      <c r="C1342" s="76" t="n">
        <v>390723.290416859</v>
      </c>
      <c r="D1342" s="2"/>
      <c r="E1342" s="129"/>
      <c r="F1342" s="128" t="s">
        <v>39</v>
      </c>
      <c r="G1342" s="79" t="n">
        <v>390723.290416859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</row>
    <row r="1343" customFormat="false" ht="13.5" hidden="false" customHeight="false" outlineLevel="0" collapsed="false">
      <c r="A1343" s="2"/>
      <c r="B1343" s="130" t="s">
        <v>40</v>
      </c>
      <c r="C1343" s="82" t="n">
        <v>72346.5225432352</v>
      </c>
      <c r="D1343" s="131"/>
      <c r="E1343" s="129"/>
      <c r="F1343" s="128" t="s">
        <v>40</v>
      </c>
      <c r="G1343" s="79" t="n">
        <v>72346.5225432352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</row>
    <row r="1344" customFormat="false" ht="14.25" hidden="false" customHeight="false" outlineLevel="0" collapsed="false">
      <c r="A1344" s="2"/>
      <c r="B1344" s="126" t="s">
        <v>41</v>
      </c>
      <c r="C1344" s="76" t="n">
        <v>1542589.77796032</v>
      </c>
      <c r="D1344" s="132"/>
      <c r="E1344" s="129"/>
      <c r="F1344" s="133" t="s">
        <v>42</v>
      </c>
      <c r="G1344" s="85" t="n">
        <v>0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</row>
    <row r="1345" customFormat="false" ht="13.5" hidden="false" customHeight="false" outlineLevel="0" collapsed="false">
      <c r="A1345" s="2"/>
      <c r="B1345" s="125"/>
      <c r="C1345" s="134"/>
      <c r="D1345" s="2"/>
      <c r="E1345" s="135"/>
      <c r="F1345" s="128" t="s">
        <v>41</v>
      </c>
      <c r="G1345" s="79" t="n">
        <v>1542589.77796032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</row>
    <row r="1346" customFormat="false" ht="12.75" hidden="false" customHeight="false" outlineLevel="0" collapsed="false">
      <c r="A1346" s="2"/>
      <c r="B1346" s="125"/>
      <c r="C1346" s="134"/>
      <c r="D1346" s="2"/>
      <c r="E1346" s="135"/>
      <c r="F1346" s="128"/>
      <c r="G1346" s="136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</row>
    <row r="1347" customFormat="false" ht="12.75" hidden="false" customHeight="false" outlineLevel="0" collapsed="false">
      <c r="A1347" s="2"/>
      <c r="B1347" s="125"/>
      <c r="C1347" s="134"/>
      <c r="D1347" s="2"/>
      <c r="E1347" s="135"/>
      <c r="F1347" s="128"/>
      <c r="G1347" s="136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</row>
    <row r="1348" customFormat="false" ht="12.75" hidden="false" customHeight="false" outlineLevel="0" collapsed="false">
      <c r="A1348" s="2"/>
      <c r="B1348" s="137" t="s">
        <v>43</v>
      </c>
      <c r="C1348" s="134"/>
      <c r="D1348" s="2"/>
      <c r="E1348" s="135"/>
      <c r="F1348" s="128"/>
      <c r="G1348" s="136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</row>
    <row r="1349" customFormat="false" ht="12.75" hidden="false" customHeight="false" outlineLevel="0" collapsed="false">
      <c r="A1349" s="87" t="s">
        <v>44</v>
      </c>
      <c r="B1349" s="137" t="s">
        <v>45</v>
      </c>
      <c r="C1349" s="138"/>
      <c r="D1349" s="88" t="n">
        <v>400840.291910137</v>
      </c>
      <c r="E1349" s="88" t="n">
        <v>251744.212803302</v>
      </c>
      <c r="F1349" s="88" t="n">
        <v>178278.36761359</v>
      </c>
      <c r="G1349" s="88" t="n">
        <v>139247.686803236</v>
      </c>
      <c r="H1349" s="88" t="n">
        <v>118198.680691991</v>
      </c>
      <c r="I1349" s="88" t="n">
        <v>49887.8870799579</v>
      </c>
      <c r="J1349" s="88" t="n">
        <v>58247.3630317</v>
      </c>
      <c r="K1349" s="88" t="n">
        <v>119585.524507628</v>
      </c>
      <c r="L1349" s="88" t="n">
        <v>119552.027583639</v>
      </c>
      <c r="M1349" s="88" t="n">
        <v>147623.313991009</v>
      </c>
      <c r="N1349" s="88" t="n">
        <v>68925.3452419155</v>
      </c>
      <c r="O1349" s="88" t="n">
        <v>94640.6151475457</v>
      </c>
      <c r="P1349" s="88" t="n">
        <v>102758.819026391</v>
      </c>
      <c r="Q1349" s="88" t="n">
        <v>154041.145813775</v>
      </c>
      <c r="R1349" s="88" t="n">
        <v>108657.443017544</v>
      </c>
      <c r="S1349" s="88" t="n">
        <v>52068.7455435534</v>
      </c>
      <c r="T1349" s="88" t="n">
        <v>84496.0838181874</v>
      </c>
      <c r="U1349" s="88" t="n">
        <v>104144.887766473</v>
      </c>
      <c r="V1349" s="88" t="n">
        <v>43246.1127101476</v>
      </c>
      <c r="W1349" s="2"/>
    </row>
    <row r="1350" customFormat="false" ht="12.75" hidden="false" customHeight="false" outlineLevel="0" collapsed="false">
      <c r="A1350" s="2"/>
      <c r="B1350" s="125" t="s">
        <v>46</v>
      </c>
      <c r="C1350" s="134"/>
      <c r="D1350" s="65" t="n">
        <v>267226.861273425</v>
      </c>
      <c r="E1350" s="65" t="n">
        <v>167829.475202201</v>
      </c>
      <c r="F1350" s="65" t="n">
        <v>118852.245075727</v>
      </c>
      <c r="G1350" s="65" t="n">
        <v>92831.7912021576</v>
      </c>
      <c r="H1350" s="65" t="n">
        <v>78799.1204613276</v>
      </c>
      <c r="I1350" s="65" t="n">
        <v>33258.5913866386</v>
      </c>
      <c r="J1350" s="65" t="n">
        <v>38831.5753544666</v>
      </c>
      <c r="K1350" s="65" t="n">
        <v>79723.6830050851</v>
      </c>
      <c r="L1350" s="65" t="n">
        <v>79701.3517224263</v>
      </c>
      <c r="M1350" s="65" t="n">
        <v>98415.5426606728</v>
      </c>
      <c r="N1350" s="65" t="n">
        <v>45950.230161277</v>
      </c>
      <c r="O1350" s="65" t="n">
        <v>63093.7434316971</v>
      </c>
      <c r="P1350" s="65" t="n">
        <v>68505.8793509273</v>
      </c>
      <c r="Q1350" s="65" t="n">
        <v>102694.097209183</v>
      </c>
      <c r="R1350" s="65" t="n">
        <v>72438.2953450293</v>
      </c>
      <c r="S1350" s="65" t="n">
        <v>34712.4970290356</v>
      </c>
      <c r="T1350" s="65" t="n">
        <v>56330.7225454583</v>
      </c>
      <c r="U1350" s="65" t="n">
        <v>69429.9251776484</v>
      </c>
      <c r="V1350" s="65" t="n">
        <v>28830.741806765</v>
      </c>
      <c r="W1350" s="2"/>
    </row>
    <row r="1351" customFormat="false" ht="12.75" hidden="false" customHeight="false" outlineLevel="0" collapsed="false">
      <c r="A1351" s="2"/>
      <c r="B1351" s="139" t="s">
        <v>47</v>
      </c>
      <c r="C1351" s="140"/>
      <c r="D1351" s="65" t="n">
        <v>75748.2443590582</v>
      </c>
      <c r="E1351" s="65" t="n">
        <v>69523.0909942434</v>
      </c>
      <c r="F1351" s="65" t="n">
        <v>60662.7917076525</v>
      </c>
      <c r="G1351" s="65" t="n">
        <v>51681.3058491598</v>
      </c>
      <c r="H1351" s="65" t="n">
        <v>48224.4669199247</v>
      </c>
      <c r="I1351" s="65" t="n">
        <v>48526.1972599841</v>
      </c>
      <c r="J1351" s="65" t="n">
        <v>52068.4750692185</v>
      </c>
      <c r="K1351" s="65" t="n">
        <v>55375.6997619841</v>
      </c>
      <c r="L1351" s="65" t="n">
        <v>58644.8603670685</v>
      </c>
      <c r="M1351" s="65" t="n">
        <v>61707.5424355916</v>
      </c>
      <c r="N1351" s="65" t="n">
        <v>60746.524196071</v>
      </c>
      <c r="O1351" s="65" t="n">
        <v>59589.5845793772</v>
      </c>
      <c r="P1351" s="65" t="n">
        <v>62619.2097306389</v>
      </c>
      <c r="Q1351" s="65" t="n">
        <v>48201.4412157449</v>
      </c>
      <c r="R1351" s="65" t="n">
        <v>33934.6455370091</v>
      </c>
      <c r="S1351" s="65" t="n">
        <v>37180.6916502193</v>
      </c>
      <c r="T1351" s="65" t="n">
        <v>40524.1191468259</v>
      </c>
      <c r="U1351" s="65" t="n">
        <v>43967.8494683307</v>
      </c>
      <c r="V1351" s="65" t="n">
        <v>47514.8916994806</v>
      </c>
      <c r="W1351" s="2"/>
    </row>
    <row r="1352" customFormat="false" ht="13.5" hidden="false" customHeight="false" outlineLevel="0" collapsed="false">
      <c r="A1352" s="2"/>
      <c r="B1352" s="141" t="s">
        <v>48</v>
      </c>
      <c r="C1352" s="142"/>
      <c r="D1352" s="93" t="n">
        <v>743815.39754262</v>
      </c>
      <c r="E1352" s="93" t="n">
        <v>489096.778999747</v>
      </c>
      <c r="F1352" s="93" t="n">
        <v>357793.40439697</v>
      </c>
      <c r="G1352" s="93" t="n">
        <v>283760.783854554</v>
      </c>
      <c r="H1352" s="93" t="n">
        <v>245222.268073244</v>
      </c>
      <c r="I1352" s="93" t="n">
        <v>131672.675726581</v>
      </c>
      <c r="J1352" s="93" t="n">
        <v>149147.413455385</v>
      </c>
      <c r="K1352" s="93" t="n">
        <v>254684.907274697</v>
      </c>
      <c r="L1352" s="93" t="n">
        <v>257898.239673134</v>
      </c>
      <c r="M1352" s="93" t="n">
        <v>307746.399087274</v>
      </c>
      <c r="N1352" s="93" t="n">
        <v>175622.099599263</v>
      </c>
      <c r="O1352" s="93" t="n">
        <v>217323.94315862</v>
      </c>
      <c r="P1352" s="93" t="n">
        <v>233883.908107957</v>
      </c>
      <c r="Q1352" s="93" t="n">
        <v>304936.684238703</v>
      </c>
      <c r="R1352" s="93" t="n">
        <v>215030.383899582</v>
      </c>
      <c r="S1352" s="93" t="n">
        <v>123961.934222808</v>
      </c>
      <c r="T1352" s="93" t="n">
        <v>181350.925510472</v>
      </c>
      <c r="U1352" s="93" t="n">
        <v>217542.662412452</v>
      </c>
      <c r="V1352" s="93" t="n">
        <v>119591.746216393</v>
      </c>
      <c r="W1352" s="2"/>
    </row>
    <row r="1353" customFormat="false" ht="13.5" hidden="false" customHeight="false" outlineLevel="0" collapsed="false">
      <c r="A1353" s="87" t="s">
        <v>49</v>
      </c>
      <c r="B1353" s="125" t="s">
        <v>50</v>
      </c>
      <c r="C1353" s="134"/>
      <c r="D1353" s="65" t="n">
        <v>-101955.077279434</v>
      </c>
      <c r="E1353" s="65" t="n">
        <v>-101977.862279434</v>
      </c>
      <c r="F1353" s="65" t="n">
        <v>-102001.567279434</v>
      </c>
      <c r="G1353" s="65" t="n">
        <v>-95670.9161032226</v>
      </c>
      <c r="H1353" s="65" t="n">
        <v>-6979.65356284074</v>
      </c>
      <c r="I1353" s="65" t="n">
        <v>-9554.65356284074</v>
      </c>
      <c r="J1353" s="65" t="n">
        <v>-12206.9035628407</v>
      </c>
      <c r="K1353" s="65" t="n">
        <v>-14938.7210628407</v>
      </c>
      <c r="L1353" s="65" t="n">
        <v>-17752.4930878407</v>
      </c>
      <c r="M1353" s="65" t="n">
        <v>-20650.6782735907</v>
      </c>
      <c r="N1353" s="65" t="n">
        <v>-23635.8090149132</v>
      </c>
      <c r="O1353" s="65" t="n">
        <v>-26710.4936784754</v>
      </c>
      <c r="P1353" s="65" t="n">
        <v>-29877.4188819445</v>
      </c>
      <c r="Q1353" s="65" t="n">
        <v>-33139.3518415176</v>
      </c>
      <c r="R1353" s="65" t="n">
        <v>-36499.1427898779</v>
      </c>
      <c r="S1353" s="65" t="n">
        <v>-39959.727466689</v>
      </c>
      <c r="T1353" s="65" t="n">
        <v>-43524.1296838044</v>
      </c>
      <c r="U1353" s="65" t="n">
        <v>-47195.4639674333</v>
      </c>
      <c r="V1353" s="65" t="n">
        <v>-50976.9382795711</v>
      </c>
      <c r="W1353" s="2"/>
    </row>
    <row r="1354" customFormat="false" ht="12.75" hidden="false" customHeight="false" outlineLevel="0" collapsed="false">
      <c r="A1354" s="2"/>
      <c r="B1354" s="125" t="s">
        <v>51</v>
      </c>
      <c r="C1354" s="134"/>
      <c r="D1354" s="65" t="n">
        <v>0</v>
      </c>
      <c r="E1354" s="65" t="n">
        <v>0</v>
      </c>
      <c r="F1354" s="65" t="n">
        <v>0</v>
      </c>
      <c r="G1354" s="65" t="n">
        <v>0</v>
      </c>
      <c r="H1354" s="65" t="n">
        <v>0</v>
      </c>
      <c r="I1354" s="65" t="n">
        <v>0</v>
      </c>
      <c r="J1354" s="65" t="n">
        <v>0</v>
      </c>
      <c r="K1354" s="65" t="n">
        <v>0</v>
      </c>
      <c r="L1354" s="65" t="n">
        <v>0</v>
      </c>
      <c r="M1354" s="65" t="n">
        <v>0</v>
      </c>
      <c r="N1354" s="65" t="n">
        <v>0</v>
      </c>
      <c r="O1354" s="65" t="n">
        <v>0</v>
      </c>
      <c r="P1354" s="65" t="n">
        <v>0</v>
      </c>
      <c r="Q1354" s="65" t="n">
        <v>0</v>
      </c>
      <c r="R1354" s="65" t="n">
        <v>0</v>
      </c>
      <c r="S1354" s="65" t="n">
        <v>0</v>
      </c>
      <c r="T1354" s="65" t="n">
        <v>0</v>
      </c>
      <c r="U1354" s="65" t="n">
        <v>0</v>
      </c>
      <c r="V1354" s="65" t="n">
        <v>0</v>
      </c>
      <c r="W1354" s="2"/>
    </row>
    <row r="1355" customFormat="false" ht="12.75" hidden="false" customHeight="false" outlineLevel="0" collapsed="false">
      <c r="A1355" s="2"/>
      <c r="B1355" s="137" t="s">
        <v>52</v>
      </c>
      <c r="C1355" s="138"/>
      <c r="D1355" s="88" t="n">
        <v>641860.320263186</v>
      </c>
      <c r="E1355" s="88" t="n">
        <v>387118.916720313</v>
      </c>
      <c r="F1355" s="88" t="n">
        <v>255791.837117536</v>
      </c>
      <c r="G1355" s="88" t="n">
        <v>188089.867751331</v>
      </c>
      <c r="H1355" s="88" t="n">
        <v>238242.614510403</v>
      </c>
      <c r="I1355" s="88" t="n">
        <v>122118.02216374</v>
      </c>
      <c r="J1355" s="88" t="n">
        <v>136940.509892544</v>
      </c>
      <c r="K1355" s="88" t="n">
        <v>239746.186211856</v>
      </c>
      <c r="L1355" s="88" t="n">
        <v>240145.746585293</v>
      </c>
      <c r="M1355" s="88" t="n">
        <v>287095.720813683</v>
      </c>
      <c r="N1355" s="88" t="n">
        <v>151986.29058435</v>
      </c>
      <c r="O1355" s="88" t="n">
        <v>190613.449480145</v>
      </c>
      <c r="P1355" s="88" t="n">
        <v>204006.489226013</v>
      </c>
      <c r="Q1355" s="88" t="n">
        <v>271797.332397186</v>
      </c>
      <c r="R1355" s="88" t="n">
        <v>178531.241109704</v>
      </c>
      <c r="S1355" s="88" t="n">
        <v>84002.2067561194</v>
      </c>
      <c r="T1355" s="88" t="n">
        <v>137826.795826667</v>
      </c>
      <c r="U1355" s="88" t="n">
        <v>170347.198445018</v>
      </c>
      <c r="V1355" s="88" t="n">
        <v>68614.8079368221</v>
      </c>
      <c r="W1355" s="2"/>
    </row>
    <row r="1356" customFormat="false" ht="13.5" hidden="false" customHeight="false" outlineLevel="0" collapsed="false">
      <c r="A1356" s="2"/>
      <c r="B1356" s="143" t="s">
        <v>53</v>
      </c>
      <c r="C1356" s="144"/>
      <c r="D1356" s="96" t="n">
        <v>-256744.128105274</v>
      </c>
      <c r="E1356" s="96" t="n">
        <v>-154847.566688125</v>
      </c>
      <c r="F1356" s="96" t="n">
        <v>-102316.734847014</v>
      </c>
      <c r="G1356" s="96" t="n">
        <v>-75235.9471005325</v>
      </c>
      <c r="H1356" s="96" t="n">
        <v>-95297.0458041611</v>
      </c>
      <c r="I1356" s="96" t="n">
        <v>-48847.208865496</v>
      </c>
      <c r="J1356" s="96" t="n">
        <v>-54776.2039570177</v>
      </c>
      <c r="K1356" s="96" t="n">
        <v>-95898.4744847424</v>
      </c>
      <c r="L1356" s="96" t="n">
        <v>-96058.2986341173</v>
      </c>
      <c r="M1356" s="96" t="n">
        <v>-114838.288325473</v>
      </c>
      <c r="N1356" s="96" t="n">
        <v>-60794.5162337401</v>
      </c>
      <c r="O1356" s="96" t="n">
        <v>-76245.3797920578</v>
      </c>
      <c r="P1356" s="96" t="n">
        <v>-81602.595690405</v>
      </c>
      <c r="Q1356" s="96" t="n">
        <v>-108718.932958874</v>
      </c>
      <c r="R1356" s="96" t="n">
        <v>-71412.4964438818</v>
      </c>
      <c r="S1356" s="96" t="n">
        <v>-33600.8827024478</v>
      </c>
      <c r="T1356" s="96" t="n">
        <v>-55130.7183306669</v>
      </c>
      <c r="U1356" s="96" t="n">
        <v>-68138.8793780073</v>
      </c>
      <c r="V1356" s="96" t="n">
        <v>-27445.9231747289</v>
      </c>
      <c r="W1356" s="2"/>
    </row>
    <row r="1357" customFormat="false" ht="13.5" hidden="false" customHeight="false" outlineLevel="0" collapsed="false">
      <c r="A1357" s="2"/>
      <c r="B1357" s="137" t="s">
        <v>54</v>
      </c>
      <c r="C1357" s="138"/>
      <c r="D1357" s="88" t="n">
        <v>385116.192157911</v>
      </c>
      <c r="E1357" s="88" t="n">
        <v>232271.350032188</v>
      </c>
      <c r="F1357" s="88" t="n">
        <v>153475.102270521</v>
      </c>
      <c r="G1357" s="88" t="n">
        <v>112853.920650799</v>
      </c>
      <c r="H1357" s="88" t="n">
        <v>142945.568706242</v>
      </c>
      <c r="I1357" s="88" t="n">
        <v>73270.8132982439</v>
      </c>
      <c r="J1357" s="88" t="n">
        <v>82164.3059355266</v>
      </c>
      <c r="K1357" s="88" t="n">
        <v>143847.711727114</v>
      </c>
      <c r="L1357" s="88" t="n">
        <v>144087.447951176</v>
      </c>
      <c r="M1357" s="88" t="n">
        <v>172257.43248821</v>
      </c>
      <c r="N1357" s="88" t="n">
        <v>91191.7743506101</v>
      </c>
      <c r="O1357" s="88" t="n">
        <v>114368.069688087</v>
      </c>
      <c r="P1357" s="88" t="n">
        <v>122403.893535608</v>
      </c>
      <c r="Q1357" s="88" t="n">
        <v>163078.399438312</v>
      </c>
      <c r="R1357" s="88" t="n">
        <v>107118.744665823</v>
      </c>
      <c r="S1357" s="88" t="n">
        <v>50401.3240536716</v>
      </c>
      <c r="T1357" s="88" t="n">
        <v>82696.0774960003</v>
      </c>
      <c r="U1357" s="88" t="n">
        <v>102208.319067011</v>
      </c>
      <c r="V1357" s="88" t="n">
        <v>41168.8847620933</v>
      </c>
      <c r="W1357" s="2"/>
    </row>
    <row r="1358" customFormat="false" ht="12.75" hidden="false" customHeight="false" outlineLevel="0" collapsed="false">
      <c r="A1358" s="2"/>
      <c r="B1358" s="2"/>
      <c r="C1358" s="134"/>
      <c r="D1358" s="2"/>
      <c r="E1358" s="135"/>
      <c r="F1358" s="128"/>
      <c r="G1358" s="136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</row>
    <row r="1359" customFormat="false" ht="15.75" hidden="false" customHeight="false" outlineLevel="0" collapsed="false">
      <c r="A1359" s="97" t="s">
        <v>55</v>
      </c>
      <c r="B1359" s="145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customFormat="false" ht="12.75" hidden="false" customHeight="false" outlineLevel="0" collapsed="false">
      <c r="A1360" s="99" t="s">
        <v>56</v>
      </c>
      <c r="B1360" s="49"/>
      <c r="C1360" s="101" t="n">
        <v>0</v>
      </c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</row>
    <row r="1361" customFormat="false" ht="12.75" hidden="false" customHeight="false" outlineLevel="0" collapsed="false">
      <c r="A1361" s="99" t="s">
        <v>57</v>
      </c>
      <c r="B1361" s="49"/>
      <c r="C1361" s="146" t="n">
        <v>0</v>
      </c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</row>
    <row r="1362" customFormat="false" ht="12.75" hidden="false" customHeight="false" outlineLevel="0" collapsed="false">
      <c r="A1362" s="99" t="s">
        <v>58</v>
      </c>
      <c r="B1362" s="49"/>
      <c r="C1362" s="99" t="n">
        <v>15</v>
      </c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</row>
    <row r="1363" customFormat="false" ht="12.75" hidden="false" customHeight="false" outlineLevel="0" collapsed="false">
      <c r="A1363" s="99" t="s">
        <v>59</v>
      </c>
      <c r="B1363" s="49"/>
      <c r="C1363" s="146" t="n">
        <v>0</v>
      </c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</row>
    <row r="1364" customFormat="false" ht="12.75" hidden="false" customHeight="false" outlineLevel="0" collapsed="false">
      <c r="A1364" s="99" t="s">
        <v>60</v>
      </c>
      <c r="B1364" s="49"/>
      <c r="C1364" s="147" t="n">
        <v>0.0875</v>
      </c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</row>
    <row r="1365" customFormat="false" ht="12.75" hidden="false" customHeight="false" outlineLevel="0" collapsed="false">
      <c r="A1365" s="99"/>
      <c r="B1365" s="49"/>
      <c r="C1365" s="107"/>
      <c r="D1365" s="58" t="n">
        <v>2001</v>
      </c>
      <c r="E1365" s="58" t="n">
        <v>2002</v>
      </c>
      <c r="F1365" s="58" t="n">
        <v>2003</v>
      </c>
      <c r="G1365" s="58" t="n">
        <v>2004</v>
      </c>
      <c r="H1365" s="58" t="n">
        <v>2005</v>
      </c>
      <c r="I1365" s="58" t="n">
        <v>2006</v>
      </c>
      <c r="J1365" s="58" t="n">
        <v>2007</v>
      </c>
      <c r="K1365" s="58" t="n">
        <v>2008</v>
      </c>
      <c r="L1365" s="58" t="n">
        <v>2009</v>
      </c>
      <c r="M1365" s="58" t="n">
        <v>2010</v>
      </c>
      <c r="N1365" s="58" t="n">
        <v>2011</v>
      </c>
      <c r="O1365" s="58" t="n">
        <v>2012</v>
      </c>
      <c r="P1365" s="58" t="n">
        <v>2013</v>
      </c>
      <c r="Q1365" s="58" t="n">
        <v>2014</v>
      </c>
      <c r="R1365" s="58" t="n">
        <v>2015</v>
      </c>
      <c r="S1365" s="58" t="n">
        <v>2016</v>
      </c>
      <c r="T1365" s="58" t="n">
        <v>2017</v>
      </c>
      <c r="U1365" s="58" t="n">
        <v>2018</v>
      </c>
      <c r="V1365" s="58" t="n">
        <v>2019</v>
      </c>
      <c r="W1365" s="58" t="s">
        <v>19</v>
      </c>
    </row>
    <row r="1366" customFormat="false" ht="12.75" hidden="false" customHeight="false" outlineLevel="0" collapsed="false">
      <c r="A1366" s="99" t="s">
        <v>61</v>
      </c>
      <c r="B1366" s="49"/>
      <c r="C1366" s="107"/>
      <c r="D1366" s="102" t="n">
        <v>0</v>
      </c>
      <c r="E1366" s="102" t="n">
        <v>0</v>
      </c>
      <c r="F1366" s="102" t="n">
        <v>0</v>
      </c>
      <c r="G1366" s="102" t="n">
        <v>0</v>
      </c>
      <c r="H1366" s="102" t="n">
        <v>0</v>
      </c>
      <c r="I1366" s="102" t="n">
        <v>0</v>
      </c>
      <c r="J1366" s="102" t="n">
        <v>0</v>
      </c>
      <c r="K1366" s="102" t="n">
        <v>0</v>
      </c>
      <c r="L1366" s="102" t="n">
        <v>0</v>
      </c>
      <c r="M1366" s="102" t="n">
        <v>0</v>
      </c>
      <c r="N1366" s="102" t="n">
        <v>0</v>
      </c>
      <c r="O1366" s="102" t="n">
        <v>0</v>
      </c>
      <c r="P1366" s="102" t="n">
        <v>0</v>
      </c>
      <c r="Q1366" s="102" t="n">
        <v>0</v>
      </c>
      <c r="R1366" s="102" t="n">
        <v>0</v>
      </c>
      <c r="S1366" s="102" t="n">
        <v>0</v>
      </c>
      <c r="T1366" s="102" t="n">
        <v>0</v>
      </c>
      <c r="U1366" s="102" t="n">
        <v>0</v>
      </c>
      <c r="V1366" s="102" t="n">
        <v>0</v>
      </c>
      <c r="W1366" s="102" t="n">
        <v>0</v>
      </c>
    </row>
    <row r="1367" customFormat="false" ht="12.75" hidden="false" customHeight="false" outlineLevel="0" collapsed="false">
      <c r="A1367" s="99" t="s">
        <v>62</v>
      </c>
      <c r="B1367" s="49"/>
      <c r="C1367" s="107"/>
      <c r="D1367" s="102" t="n">
        <v>0</v>
      </c>
      <c r="E1367" s="102" t="n">
        <v>0</v>
      </c>
      <c r="F1367" s="102" t="n">
        <v>0</v>
      </c>
      <c r="G1367" s="102" t="n">
        <v>0</v>
      </c>
      <c r="H1367" s="102" t="n">
        <v>0</v>
      </c>
      <c r="I1367" s="102" t="n">
        <v>0</v>
      </c>
      <c r="J1367" s="102" t="n">
        <v>0</v>
      </c>
      <c r="K1367" s="102" t="n">
        <v>0</v>
      </c>
      <c r="L1367" s="102" t="n">
        <v>0</v>
      </c>
      <c r="M1367" s="102" t="n">
        <v>0</v>
      </c>
      <c r="N1367" s="102" t="n">
        <v>0</v>
      </c>
      <c r="O1367" s="102" t="n">
        <v>0</v>
      </c>
      <c r="P1367" s="102" t="n">
        <v>0</v>
      </c>
      <c r="Q1367" s="102" t="n">
        <v>0</v>
      </c>
      <c r="R1367" s="102" t="n">
        <v>0</v>
      </c>
      <c r="S1367" s="102" t="n">
        <v>0</v>
      </c>
      <c r="T1367" s="102" t="n">
        <v>0</v>
      </c>
      <c r="U1367" s="102" t="n">
        <v>0</v>
      </c>
      <c r="V1367" s="102" t="n">
        <v>0</v>
      </c>
      <c r="W1367" s="102" t="n">
        <v>0</v>
      </c>
    </row>
    <row r="1368" customFormat="false" ht="12.75" hidden="false" customHeight="false" outlineLevel="0" collapsed="false">
      <c r="A1368" s="99" t="s">
        <v>63</v>
      </c>
      <c r="B1368" s="49"/>
      <c r="C1368" s="107"/>
      <c r="D1368" s="102" t="n">
        <v>0</v>
      </c>
      <c r="E1368" s="102" t="n">
        <v>0</v>
      </c>
      <c r="F1368" s="102" t="n">
        <v>0</v>
      </c>
      <c r="G1368" s="102" t="n">
        <v>0</v>
      </c>
      <c r="H1368" s="102" t="n">
        <v>0</v>
      </c>
      <c r="I1368" s="102" t="n">
        <v>0</v>
      </c>
      <c r="J1368" s="102" t="n">
        <v>0</v>
      </c>
      <c r="K1368" s="102" t="n">
        <v>0</v>
      </c>
      <c r="L1368" s="102" t="n">
        <v>0</v>
      </c>
      <c r="M1368" s="102" t="n">
        <v>0</v>
      </c>
      <c r="N1368" s="102" t="n">
        <v>0</v>
      </c>
      <c r="O1368" s="102" t="n">
        <v>0</v>
      </c>
      <c r="P1368" s="102" t="n">
        <v>0</v>
      </c>
      <c r="Q1368" s="102" t="n">
        <v>0</v>
      </c>
      <c r="R1368" s="102" t="n">
        <v>0</v>
      </c>
      <c r="S1368" s="102" t="n">
        <v>0</v>
      </c>
      <c r="T1368" s="102" t="n">
        <v>0</v>
      </c>
      <c r="U1368" s="102" t="n">
        <v>0</v>
      </c>
      <c r="V1368" s="102" t="n">
        <v>0</v>
      </c>
      <c r="W1368" s="102" t="n">
        <v>0</v>
      </c>
    </row>
    <row r="1369" customFormat="false" ht="12.75" hidden="false" customHeight="false" outlineLevel="0" collapsed="false">
      <c r="A1369" s="99" t="s">
        <v>64</v>
      </c>
      <c r="B1369" s="49"/>
      <c r="C1369" s="107"/>
      <c r="D1369" s="105" t="n">
        <v>0</v>
      </c>
      <c r="E1369" s="105" t="n">
        <v>0</v>
      </c>
      <c r="F1369" s="105" t="n">
        <v>0</v>
      </c>
      <c r="G1369" s="105" t="n">
        <v>0</v>
      </c>
      <c r="H1369" s="105" t="n">
        <v>0</v>
      </c>
      <c r="I1369" s="105" t="n">
        <v>0</v>
      </c>
      <c r="J1369" s="105" t="n">
        <v>0</v>
      </c>
      <c r="K1369" s="105" t="n">
        <v>0</v>
      </c>
      <c r="L1369" s="105" t="n">
        <v>0</v>
      </c>
      <c r="M1369" s="105" t="n">
        <v>0</v>
      </c>
      <c r="N1369" s="105" t="n">
        <v>0</v>
      </c>
      <c r="O1369" s="105" t="n">
        <v>0</v>
      </c>
      <c r="P1369" s="105" t="n">
        <v>0</v>
      </c>
      <c r="Q1369" s="105" t="n">
        <v>0</v>
      </c>
      <c r="R1369" s="105" t="n">
        <v>0</v>
      </c>
      <c r="S1369" s="105" t="n">
        <v>0</v>
      </c>
      <c r="T1369" s="105" t="n">
        <v>0</v>
      </c>
      <c r="U1369" s="105" t="n">
        <v>0</v>
      </c>
      <c r="V1369" s="105" t="n">
        <v>0</v>
      </c>
      <c r="W1369" s="105" t="n">
        <v>0</v>
      </c>
    </row>
    <row r="1370" customFormat="false" ht="13.5" hidden="false" customHeight="false" outlineLevel="0" collapsed="false">
      <c r="A1370" s="99" t="s">
        <v>65</v>
      </c>
      <c r="B1370" s="49"/>
      <c r="C1370" s="107"/>
      <c r="D1370" s="106" t="n">
        <v>0</v>
      </c>
      <c r="E1370" s="106" t="n">
        <v>0</v>
      </c>
      <c r="F1370" s="106" t="n">
        <v>0</v>
      </c>
      <c r="G1370" s="106" t="n">
        <v>0</v>
      </c>
      <c r="H1370" s="106" t="n">
        <v>0</v>
      </c>
      <c r="I1370" s="106" t="n">
        <v>0</v>
      </c>
      <c r="J1370" s="106" t="n">
        <v>0</v>
      </c>
      <c r="K1370" s="106" t="n">
        <v>0</v>
      </c>
      <c r="L1370" s="106" t="n">
        <v>0</v>
      </c>
      <c r="M1370" s="106" t="n">
        <v>0</v>
      </c>
      <c r="N1370" s="106" t="n">
        <v>0</v>
      </c>
      <c r="O1370" s="106" t="n">
        <v>0</v>
      </c>
      <c r="P1370" s="106" t="n">
        <v>0</v>
      </c>
      <c r="Q1370" s="106" t="n">
        <v>0</v>
      </c>
      <c r="R1370" s="106" t="n">
        <v>0</v>
      </c>
      <c r="S1370" s="106" t="n">
        <v>0</v>
      </c>
      <c r="T1370" s="106" t="n">
        <v>0</v>
      </c>
      <c r="U1370" s="106" t="n">
        <v>0</v>
      </c>
      <c r="V1370" s="106" t="n">
        <v>0</v>
      </c>
      <c r="W1370" s="106" t="n">
        <v>0</v>
      </c>
    </row>
    <row r="1371" customFormat="false" ht="13.5" hidden="false" customHeight="false" outlineLevel="0" collapsed="false">
      <c r="A1371" s="99"/>
      <c r="B1371" s="49"/>
      <c r="C1371" s="107"/>
      <c r="D1371" s="102"/>
      <c r="E1371" s="102"/>
      <c r="F1371" s="102"/>
      <c r="G1371" s="102"/>
      <c r="H1371" s="102"/>
      <c r="I1371" s="102"/>
      <c r="J1371" s="102"/>
      <c r="K1371" s="102"/>
      <c r="L1371" s="102"/>
      <c r="M1371" s="102"/>
      <c r="N1371" s="102"/>
      <c r="O1371" s="102"/>
      <c r="P1371" s="102"/>
      <c r="Q1371" s="102"/>
      <c r="R1371" s="102"/>
      <c r="S1371" s="102"/>
      <c r="T1371" s="102"/>
      <c r="U1371" s="102"/>
      <c r="V1371" s="102"/>
      <c r="W1371" s="102"/>
    </row>
    <row r="1372" customFormat="false" ht="12.75" hidden="false" customHeight="false" outlineLevel="0" collapsed="false">
      <c r="A1372" s="99" t="s">
        <v>66</v>
      </c>
      <c r="B1372" s="49"/>
      <c r="C1372" s="107"/>
      <c r="D1372" s="102" t="n">
        <v>0</v>
      </c>
      <c r="E1372" s="102" t="n">
        <v>0</v>
      </c>
      <c r="F1372" s="102" t="n">
        <v>0</v>
      </c>
      <c r="G1372" s="102" t="n">
        <v>0</v>
      </c>
      <c r="H1372" s="102" t="n">
        <v>0</v>
      </c>
      <c r="I1372" s="102" t="n">
        <v>0</v>
      </c>
      <c r="J1372" s="102" t="n">
        <v>0</v>
      </c>
      <c r="K1372" s="102" t="n">
        <v>0</v>
      </c>
      <c r="L1372" s="102" t="n">
        <v>0</v>
      </c>
      <c r="M1372" s="102" t="n">
        <v>0</v>
      </c>
      <c r="N1372" s="102" t="n">
        <v>0</v>
      </c>
      <c r="O1372" s="102" t="n">
        <v>0</v>
      </c>
      <c r="P1372" s="102" t="n">
        <v>0</v>
      </c>
      <c r="Q1372" s="102" t="n">
        <v>0</v>
      </c>
      <c r="R1372" s="102" t="n">
        <v>0</v>
      </c>
      <c r="S1372" s="102" t="n">
        <v>0</v>
      </c>
      <c r="T1372" s="102" t="n">
        <v>0</v>
      </c>
      <c r="U1372" s="102" t="n">
        <v>0</v>
      </c>
      <c r="V1372" s="102" t="n">
        <v>0</v>
      </c>
      <c r="W1372" s="102" t="n">
        <v>0</v>
      </c>
    </row>
    <row r="1373" customFormat="false" ht="12.75" hidden="false" customHeight="false" outlineLevel="0" collapsed="false">
      <c r="A1373" s="99"/>
      <c r="B1373" s="49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</row>
    <row r="1374" customFormat="false" ht="12.75" hidden="false" customHeight="false" outlineLevel="0" collapsed="false">
      <c r="A1374" s="99" t="s">
        <v>67</v>
      </c>
      <c r="B1374" s="49"/>
      <c r="C1374" s="107"/>
      <c r="D1374" s="102" t="n">
        <v>0</v>
      </c>
      <c r="E1374" s="102" t="n">
        <v>0</v>
      </c>
      <c r="F1374" s="102" t="n">
        <v>0</v>
      </c>
      <c r="G1374" s="102" t="n">
        <v>0</v>
      </c>
      <c r="H1374" s="102" t="n">
        <v>0</v>
      </c>
      <c r="I1374" s="102" t="n">
        <v>0</v>
      </c>
      <c r="J1374" s="102" t="n">
        <v>0</v>
      </c>
      <c r="K1374" s="102" t="n">
        <v>0</v>
      </c>
      <c r="L1374" s="102" t="n">
        <v>0</v>
      </c>
      <c r="M1374" s="102" t="n">
        <v>0</v>
      </c>
      <c r="N1374" s="102" t="n">
        <v>0</v>
      </c>
      <c r="O1374" s="102" t="n">
        <v>0</v>
      </c>
      <c r="P1374" s="102" t="n">
        <v>0</v>
      </c>
      <c r="Q1374" s="102" t="n">
        <v>0</v>
      </c>
      <c r="R1374" s="102" t="n">
        <v>0</v>
      </c>
      <c r="S1374" s="102" t="n">
        <v>0</v>
      </c>
      <c r="T1374" s="102" t="n">
        <v>0</v>
      </c>
      <c r="U1374" s="102" t="n">
        <v>0</v>
      </c>
      <c r="V1374" s="102" t="n">
        <v>0</v>
      </c>
      <c r="W1374" s="102" t="n">
        <v>0</v>
      </c>
    </row>
    <row r="1375" customFormat="false" ht="12.75" hidden="false" customHeight="false" outlineLevel="0" collapsed="false">
      <c r="A1375" s="107"/>
      <c r="B1375" s="49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</row>
    <row r="1376" customFormat="false" ht="12.75" hidden="false" customHeight="false" outlineLevel="0" collapsed="false">
      <c r="A1376" s="107"/>
      <c r="B1376" s="49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</row>
    <row r="1377" customFormat="false" ht="12.75" hidden="false" customHeight="false" outlineLevel="0" collapsed="false">
      <c r="A1377" s="99" t="s">
        <v>68</v>
      </c>
      <c r="B1377" s="148"/>
      <c r="C1377" s="149"/>
      <c r="D1377" s="79" t="n">
        <v>476150.516269195</v>
      </c>
      <c r="E1377" s="79" t="n">
        <v>320811.603797546</v>
      </c>
      <c r="F1377" s="79" t="n">
        <v>238467.059321243</v>
      </c>
      <c r="G1377" s="79" t="n">
        <v>190433.812652396</v>
      </c>
      <c r="H1377" s="79" t="n">
        <v>116423.147611916</v>
      </c>
      <c r="I1377" s="79" t="n">
        <v>46914.084339942</v>
      </c>
      <c r="J1377" s="79" t="n">
        <v>57270.8381009184</v>
      </c>
      <c r="K1377" s="79" t="n">
        <v>120324.874269612</v>
      </c>
      <c r="L1377" s="79" t="n">
        <v>121921.447450708</v>
      </c>
      <c r="M1377" s="79" t="n">
        <v>151367.152711601</v>
      </c>
      <c r="N1377" s="79" t="n">
        <v>69969.2546115365</v>
      </c>
      <c r="O1377" s="79" t="n">
        <v>92736.5064556794</v>
      </c>
      <c r="P1377" s="79" t="n">
        <v>102039.524687649</v>
      </c>
      <c r="Q1377" s="79" t="n">
        <v>137003.927838058</v>
      </c>
      <c r="R1377" s="79" t="n">
        <v>75396.2695873469</v>
      </c>
      <c r="S1377" s="79" t="n">
        <v>20037.7436575505</v>
      </c>
      <c r="T1377" s="79" t="n">
        <v>53732.1586227044</v>
      </c>
      <c r="U1377" s="79" t="n">
        <v>74686.051562225</v>
      </c>
      <c r="V1377" s="79" t="n">
        <v>15131.5181668726</v>
      </c>
      <c r="W1377" s="79" t="n">
        <v>486711.226743499</v>
      </c>
    </row>
    <row r="1378" customFormat="false" ht="12.75" hidden="false" customHeight="false" outlineLevel="0" collapsed="false">
      <c r="A1378" s="2"/>
      <c r="B1378" s="31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</row>
    <row r="1379" customFormat="false" ht="12.75" hidden="false" customHeight="false" outlineLevel="0" collapsed="false">
      <c r="B1379" s="126"/>
      <c r="C1379" s="138"/>
      <c r="D1379" s="165"/>
      <c r="E1379" s="165"/>
      <c r="F1379" s="165"/>
      <c r="G1379" s="165"/>
      <c r="H1379" s="165"/>
      <c r="I1379" s="165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</row>
    <row r="1380" customFormat="false" ht="12.75" hidden="false" customHeight="false" outlineLevel="0" collapsed="false">
      <c r="B1380" s="156"/>
      <c r="C1380" s="134"/>
      <c r="D1380" s="166"/>
      <c r="E1380" s="166"/>
      <c r="F1380" s="166"/>
      <c r="G1380" s="166"/>
      <c r="H1380" s="166"/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</row>
    <row r="1381" customFormat="false" ht="12.75" hidden="false" customHeight="false" outlineLevel="0" collapsed="false">
      <c r="B1381" s="126"/>
      <c r="C1381" s="138"/>
      <c r="D1381" s="165"/>
      <c r="E1381" s="165"/>
      <c r="F1381" s="165"/>
      <c r="G1381" s="165"/>
      <c r="H1381" s="165"/>
      <c r="I1381" s="165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</row>
    <row r="1382" customFormat="false" ht="12.75" hidden="false" customHeight="false" outlineLevel="0" collapsed="false">
      <c r="C1382" s="134"/>
      <c r="E1382" s="163"/>
      <c r="F1382" s="128"/>
      <c r="G1382" s="136"/>
    </row>
    <row r="1383" customFormat="false" ht="15.75" hidden="false" customHeight="false" outlineLevel="0" collapsed="false">
      <c r="A1383" s="167"/>
      <c r="B1383" s="168"/>
    </row>
    <row r="1384" customFormat="false" ht="12.75" hidden="false" customHeight="false" outlineLevel="0" collapsed="false">
      <c r="A1384" s="169"/>
      <c r="B1384" s="115"/>
      <c r="C1384" s="101"/>
      <c r="D1384" s="170"/>
      <c r="E1384" s="170"/>
      <c r="F1384" s="170"/>
      <c r="G1384" s="170"/>
      <c r="H1384" s="170"/>
      <c r="I1384" s="170"/>
      <c r="J1384" s="170"/>
      <c r="K1384" s="170"/>
      <c r="L1384" s="170"/>
      <c r="M1384" s="170"/>
      <c r="N1384" s="170"/>
      <c r="O1384" s="170"/>
      <c r="P1384" s="170"/>
      <c r="Q1384" s="170"/>
      <c r="R1384" s="170"/>
      <c r="S1384" s="170"/>
      <c r="T1384" s="170"/>
      <c r="U1384" s="170"/>
      <c r="V1384" s="170"/>
      <c r="W1384" s="170"/>
    </row>
    <row r="1385" customFormat="false" ht="12.75" hidden="false" customHeight="false" outlineLevel="0" collapsed="false">
      <c r="A1385" s="169"/>
      <c r="B1385" s="115"/>
      <c r="C1385" s="171"/>
      <c r="D1385" s="170"/>
      <c r="E1385" s="170"/>
      <c r="F1385" s="170"/>
      <c r="G1385" s="170"/>
      <c r="H1385" s="170"/>
      <c r="I1385" s="170"/>
      <c r="J1385" s="170"/>
      <c r="K1385" s="170"/>
      <c r="L1385" s="170"/>
      <c r="M1385" s="170"/>
      <c r="N1385" s="170"/>
      <c r="O1385" s="170"/>
      <c r="P1385" s="170"/>
      <c r="Q1385" s="170"/>
      <c r="R1385" s="170"/>
      <c r="S1385" s="170"/>
      <c r="T1385" s="170"/>
      <c r="U1385" s="170"/>
      <c r="V1385" s="170"/>
      <c r="W1385" s="170"/>
    </row>
    <row r="1386" customFormat="false" ht="15.75" hidden="false" customHeight="false" outlineLevel="0" collapsed="false">
      <c r="A1386" s="48" t="s">
        <v>17</v>
      </c>
      <c r="B1386" s="57" t="s">
        <v>90</v>
      </c>
      <c r="C1386" s="58" t="n">
        <v>2000</v>
      </c>
      <c r="D1386" s="58" t="n">
        <v>2001</v>
      </c>
      <c r="E1386" s="58" t="n">
        <v>2002</v>
      </c>
      <c r="F1386" s="58" t="n">
        <v>2003</v>
      </c>
      <c r="G1386" s="58" t="n">
        <v>2004</v>
      </c>
      <c r="H1386" s="58" t="n">
        <v>2005</v>
      </c>
      <c r="I1386" s="58" t="n">
        <v>2006</v>
      </c>
      <c r="J1386" s="58" t="n">
        <v>2007</v>
      </c>
      <c r="K1386" s="58" t="n">
        <v>2008</v>
      </c>
      <c r="L1386" s="58" t="n">
        <v>2009</v>
      </c>
      <c r="M1386" s="58" t="n">
        <v>2010</v>
      </c>
      <c r="N1386" s="58" t="n">
        <v>2011</v>
      </c>
      <c r="O1386" s="58" t="n">
        <v>2012</v>
      </c>
      <c r="P1386" s="58" t="n">
        <v>2013</v>
      </c>
      <c r="Q1386" s="58" t="n">
        <v>2014</v>
      </c>
      <c r="R1386" s="58" t="n">
        <v>2015</v>
      </c>
      <c r="S1386" s="58" t="n">
        <v>2016</v>
      </c>
      <c r="T1386" s="58" t="n">
        <v>2017</v>
      </c>
      <c r="U1386" s="58" t="n">
        <v>2018</v>
      </c>
      <c r="V1386" s="58" t="n">
        <v>2019</v>
      </c>
      <c r="W1386" s="58" t="s">
        <v>19</v>
      </c>
    </row>
    <row r="1387" customFormat="false" ht="12.75" hidden="false" customHeight="false" outlineLevel="0" collapsed="false">
      <c r="A1387" s="48" t="s">
        <v>5</v>
      </c>
      <c r="B1387" s="49" t="n">
        <v>30</v>
      </c>
      <c r="C1387" s="61"/>
      <c r="D1387" s="61"/>
      <c r="E1387" s="61"/>
      <c r="F1387" s="61"/>
      <c r="G1387" s="61"/>
      <c r="H1387" s="61"/>
      <c r="I1387" s="61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61"/>
      <c r="U1387" s="61"/>
      <c r="V1387" s="61"/>
      <c r="W1387" s="61"/>
    </row>
    <row r="1388" customFormat="false" ht="12.75" hidden="false" customHeight="false" outlineLevel="0" collapsed="false">
      <c r="A1388" s="2"/>
      <c r="B1388" s="117" t="s">
        <v>20</v>
      </c>
      <c r="C1388" s="118" t="n">
        <v>0</v>
      </c>
      <c r="D1388" s="64" t="n">
        <v>2126587.1080924</v>
      </c>
      <c r="E1388" s="64" t="n">
        <v>1602470.67681701</v>
      </c>
      <c r="F1388" s="64" t="n">
        <v>1198941.23361437</v>
      </c>
      <c r="G1388" s="64" t="n">
        <v>1068846.08748266</v>
      </c>
      <c r="H1388" s="64" t="n">
        <v>1053281.79398348</v>
      </c>
      <c r="I1388" s="64" t="n">
        <v>796475.201843245</v>
      </c>
      <c r="J1388" s="64" t="n">
        <v>961391.522564414</v>
      </c>
      <c r="K1388" s="64" t="n">
        <v>1464628.99324515</v>
      </c>
      <c r="L1388" s="64" t="n">
        <v>1587338.44327506</v>
      </c>
      <c r="M1388" s="64" t="n">
        <v>1678421.81361105</v>
      </c>
      <c r="N1388" s="64" t="n">
        <v>1351204.09062356</v>
      </c>
      <c r="O1388" s="64" t="n">
        <v>1446107.012371</v>
      </c>
      <c r="P1388" s="64" t="n">
        <v>1659439.0545512</v>
      </c>
      <c r="Q1388" s="64" t="n">
        <v>2004584.99154316</v>
      </c>
      <c r="R1388" s="64" t="n">
        <v>1677514.3010931</v>
      </c>
      <c r="S1388" s="64" t="n">
        <v>1358426.53596356</v>
      </c>
      <c r="T1388" s="64" t="n">
        <v>1753399.80709529</v>
      </c>
      <c r="U1388" s="64" t="n">
        <v>1915117.74100958</v>
      </c>
      <c r="V1388" s="64" t="n">
        <v>1625873.47107208</v>
      </c>
      <c r="W1388" s="65"/>
    </row>
    <row r="1389" customFormat="false" ht="12.75" hidden="false" customHeight="false" outlineLevel="0" collapsed="false">
      <c r="A1389" s="2"/>
      <c r="B1389" s="117" t="s">
        <v>21</v>
      </c>
      <c r="C1389" s="118" t="n">
        <v>0</v>
      </c>
      <c r="D1389" s="64" t="n">
        <v>-310389.43696287</v>
      </c>
      <c r="E1389" s="64" t="n">
        <v>-349113.848307697</v>
      </c>
      <c r="F1389" s="64" t="n">
        <v>-264658.406838183</v>
      </c>
      <c r="G1389" s="64" t="n">
        <v>-285978.629825937</v>
      </c>
      <c r="H1389" s="64" t="n">
        <v>-357176.723148394</v>
      </c>
      <c r="I1389" s="64" t="n">
        <v>-341375.810828102</v>
      </c>
      <c r="J1389" s="64" t="n">
        <v>-444685.68214516</v>
      </c>
      <c r="K1389" s="64" t="n">
        <v>-693970.056695178</v>
      </c>
      <c r="L1389" s="64" t="n">
        <v>-778408.611861592</v>
      </c>
      <c r="M1389" s="64" t="n">
        <v>-765468.763032157</v>
      </c>
      <c r="N1389" s="64" t="n">
        <v>-743380.109258029</v>
      </c>
      <c r="O1389" s="64" t="n">
        <v>-731586.580289218</v>
      </c>
      <c r="P1389" s="64" t="n">
        <v>-891480.253017095</v>
      </c>
      <c r="Q1389" s="64" t="n">
        <v>-1044140.51570807</v>
      </c>
      <c r="R1389" s="64" t="n">
        <v>-928281.821789847</v>
      </c>
      <c r="S1389" s="64" t="n">
        <v>-820540.771882568</v>
      </c>
      <c r="T1389" s="64" t="n">
        <v>-1054507.22642277</v>
      </c>
      <c r="U1389" s="64" t="n">
        <v>-1158747.34140095</v>
      </c>
      <c r="V1389" s="64" t="n">
        <v>-1077217.72759002</v>
      </c>
      <c r="W1389" s="65"/>
    </row>
    <row r="1390" customFormat="false" ht="12.75" hidden="false" customHeight="false" outlineLevel="0" collapsed="false">
      <c r="A1390" s="2"/>
      <c r="B1390" s="117" t="s">
        <v>22</v>
      </c>
      <c r="C1390" s="118" t="n">
        <v>0</v>
      </c>
      <c r="D1390" s="64" t="n">
        <v>-13148.9530911067</v>
      </c>
      <c r="E1390" s="64" t="n">
        <v>-16384.3940151917</v>
      </c>
      <c r="F1390" s="64" t="n">
        <v>-13047.5449856328</v>
      </c>
      <c r="G1390" s="64" t="n">
        <v>-14294.9595032319</v>
      </c>
      <c r="H1390" s="64" t="n">
        <v>-18111.7045799714</v>
      </c>
      <c r="I1390" s="64" t="n">
        <v>-17310.4673065401</v>
      </c>
      <c r="J1390" s="64" t="n">
        <v>-22718.5008005471</v>
      </c>
      <c r="K1390" s="64" t="n">
        <v>-39068.2532663816</v>
      </c>
      <c r="L1390" s="64" t="n">
        <v>-43694.1690137179</v>
      </c>
      <c r="M1390" s="64" t="n">
        <v>-42287.9168501795</v>
      </c>
      <c r="N1390" s="64" t="n">
        <v>-40289.5033387979</v>
      </c>
      <c r="O1390" s="64" t="n">
        <v>-41449.905487239</v>
      </c>
      <c r="P1390" s="64" t="n">
        <v>-48234.7023617111</v>
      </c>
      <c r="Q1390" s="64" t="n">
        <v>-58706.1674531843</v>
      </c>
      <c r="R1390" s="64" t="n">
        <v>-48738.2893093957</v>
      </c>
      <c r="S1390" s="64" t="n">
        <v>-41990.5999549704</v>
      </c>
      <c r="T1390" s="64" t="n">
        <v>-53526.7565776873</v>
      </c>
      <c r="U1390" s="64" t="n">
        <v>-56189.3866920465</v>
      </c>
      <c r="V1390" s="64" t="n">
        <v>-52712.0196084768</v>
      </c>
      <c r="W1390" s="65"/>
    </row>
    <row r="1391" customFormat="false" ht="12.75" hidden="false" customHeight="false" outlineLevel="0" collapsed="false">
      <c r="A1391" s="2"/>
      <c r="B1391" s="117" t="s">
        <v>23</v>
      </c>
      <c r="C1391" s="118" t="n">
        <v>0</v>
      </c>
      <c r="D1391" s="64" t="n">
        <v>0</v>
      </c>
      <c r="E1391" s="64" t="n">
        <v>0</v>
      </c>
      <c r="F1391" s="64" t="n">
        <v>0</v>
      </c>
      <c r="G1391" s="64" t="n">
        <v>0</v>
      </c>
      <c r="H1391" s="64" t="n">
        <v>0</v>
      </c>
      <c r="I1391" s="64" t="n">
        <v>-4854.72618733136</v>
      </c>
      <c r="J1391" s="64" t="n">
        <v>-6930.59608738338</v>
      </c>
      <c r="K1391" s="64" t="n">
        <v>-13485.3189922775</v>
      </c>
      <c r="L1391" s="64" t="n">
        <v>-15520.7109359821</v>
      </c>
      <c r="M1391" s="64" t="n">
        <v>-16356.9623833815</v>
      </c>
      <c r="N1391" s="64" t="n">
        <v>-16884.816230958</v>
      </c>
      <c r="O1391" s="64" t="n">
        <v>-18807.8008136678</v>
      </c>
      <c r="P1391" s="64" t="n">
        <v>-24035.5797045683</v>
      </c>
      <c r="Q1391" s="64" t="n">
        <v>-31968.0940808769</v>
      </c>
      <c r="R1391" s="64" t="n">
        <v>-28838.0388798963</v>
      </c>
      <c r="S1391" s="64" t="n">
        <v>-26715.0300357437</v>
      </c>
      <c r="T1391" s="64" t="n">
        <v>-32789.4964438726</v>
      </c>
      <c r="U1391" s="64" t="n">
        <v>-28858.943310456</v>
      </c>
      <c r="V1391" s="64" t="n">
        <v>-27560.3008200055</v>
      </c>
      <c r="W1391" s="65"/>
    </row>
    <row r="1392" customFormat="false" ht="13.5" hidden="false" customHeight="false" outlineLevel="0" collapsed="false">
      <c r="A1392" s="2"/>
      <c r="B1392" s="119" t="s">
        <v>24</v>
      </c>
      <c r="C1392" s="120" t="n">
        <v>0</v>
      </c>
      <c r="D1392" s="68" t="n">
        <v>0</v>
      </c>
      <c r="E1392" s="68" t="n">
        <v>0</v>
      </c>
      <c r="F1392" s="68" t="n">
        <v>0</v>
      </c>
      <c r="G1392" s="68" t="n">
        <v>0</v>
      </c>
      <c r="H1392" s="68" t="n">
        <v>0</v>
      </c>
      <c r="I1392" s="68" t="n">
        <v>-4854.72618733136</v>
      </c>
      <c r="J1392" s="68" t="n">
        <v>-6930.59608738338</v>
      </c>
      <c r="K1392" s="68" t="n">
        <v>-13485.3189922775</v>
      </c>
      <c r="L1392" s="68" t="n">
        <v>-15520.7109359821</v>
      </c>
      <c r="M1392" s="68" t="n">
        <v>-16356.9623833815</v>
      </c>
      <c r="N1392" s="68" t="n">
        <v>-16884.816230958</v>
      </c>
      <c r="O1392" s="68" t="n">
        <v>-18807.8008136678</v>
      </c>
      <c r="P1392" s="68" t="n">
        <v>-24035.5797045683</v>
      </c>
      <c r="Q1392" s="68" t="n">
        <v>-31968.0940808769</v>
      </c>
      <c r="R1392" s="68" t="n">
        <v>-28838.0388798963</v>
      </c>
      <c r="S1392" s="68" t="n">
        <v>-26715.0300357437</v>
      </c>
      <c r="T1392" s="68" t="n">
        <v>-32789.4964438726</v>
      </c>
      <c r="U1392" s="68" t="n">
        <v>-28858.943310456</v>
      </c>
      <c r="V1392" s="68" t="n">
        <v>-27560.3008200055</v>
      </c>
      <c r="W1392" s="65"/>
    </row>
    <row r="1393" customFormat="false" ht="13.5" hidden="false" customHeight="false" outlineLevel="0" collapsed="false">
      <c r="A1393" s="2"/>
      <c r="B1393" s="121" t="s">
        <v>25</v>
      </c>
      <c r="C1393" s="122" t="n">
        <v>0</v>
      </c>
      <c r="D1393" s="71" t="n">
        <v>1803048.71803842</v>
      </c>
      <c r="E1393" s="71" t="n">
        <v>1236972.43449412</v>
      </c>
      <c r="F1393" s="71" t="n">
        <v>921235.281790558</v>
      </c>
      <c r="G1393" s="71" t="n">
        <v>768572.498153493</v>
      </c>
      <c r="H1393" s="71" t="n">
        <v>677993.366255116</v>
      </c>
      <c r="I1393" s="71" t="n">
        <v>428079.471333939</v>
      </c>
      <c r="J1393" s="71" t="n">
        <v>480126.14744394</v>
      </c>
      <c r="K1393" s="71" t="n">
        <v>704620.045299039</v>
      </c>
      <c r="L1393" s="71" t="n">
        <v>734194.240527791</v>
      </c>
      <c r="M1393" s="71" t="n">
        <v>837951.208961955</v>
      </c>
      <c r="N1393" s="71" t="n">
        <v>533764.845564817</v>
      </c>
      <c r="O1393" s="71" t="n">
        <v>635454.924967211</v>
      </c>
      <c r="P1393" s="71" t="n">
        <v>671652.939763256</v>
      </c>
      <c r="Q1393" s="71" t="n">
        <v>837802.120220147</v>
      </c>
      <c r="R1393" s="71" t="n">
        <v>642818.11223407</v>
      </c>
      <c r="S1393" s="71" t="n">
        <v>442465.104054533</v>
      </c>
      <c r="T1393" s="71" t="n">
        <v>579786.831207093</v>
      </c>
      <c r="U1393" s="71" t="n">
        <v>642463.126295671</v>
      </c>
      <c r="V1393" s="71" t="n">
        <v>440823.122233569</v>
      </c>
      <c r="W1393" s="65"/>
    </row>
    <row r="1394" customFormat="false" ht="12.75" hidden="false" customHeight="false" outlineLevel="0" collapsed="false">
      <c r="A1394" s="2"/>
      <c r="B1394" s="117" t="s">
        <v>26</v>
      </c>
      <c r="C1394" s="118" t="n">
        <v>0</v>
      </c>
      <c r="D1394" s="64" t="n">
        <v>-95881.418765655</v>
      </c>
      <c r="E1394" s="64" t="n">
        <v>-97799.0471409681</v>
      </c>
      <c r="F1394" s="64" t="n">
        <v>-99755.0280837875</v>
      </c>
      <c r="G1394" s="64" t="n">
        <v>-101750.128645463</v>
      </c>
      <c r="H1394" s="64" t="n">
        <v>-103785.131218373</v>
      </c>
      <c r="I1394" s="64" t="n">
        <v>-105860.83384274</v>
      </c>
      <c r="J1394" s="64" t="n">
        <v>-107978.050519595</v>
      </c>
      <c r="K1394" s="64" t="n">
        <v>-110137.611529987</v>
      </c>
      <c r="L1394" s="64" t="n">
        <v>-112340.363760586</v>
      </c>
      <c r="M1394" s="64" t="n">
        <v>-114587.171035798</v>
      </c>
      <c r="N1394" s="64" t="n">
        <v>-116878.914456514</v>
      </c>
      <c r="O1394" s="64" t="n">
        <v>-119216.492745644</v>
      </c>
      <c r="P1394" s="64" t="n">
        <v>-121600.822600557</v>
      </c>
      <c r="Q1394" s="64" t="n">
        <v>-124032.839052568</v>
      </c>
      <c r="R1394" s="64" t="n">
        <v>-126513.49583362</v>
      </c>
      <c r="S1394" s="64" t="n">
        <v>-129043.765750292</v>
      </c>
      <c r="T1394" s="64" t="n">
        <v>-131624.641065298</v>
      </c>
      <c r="U1394" s="64" t="n">
        <v>-134257.133886604</v>
      </c>
      <c r="V1394" s="64" t="n">
        <v>-136942.276564336</v>
      </c>
      <c r="W1394" s="65"/>
    </row>
    <row r="1395" customFormat="false" ht="12.75" hidden="false" customHeight="false" outlineLevel="0" collapsed="false">
      <c r="A1395" s="2"/>
      <c r="B1395" s="117" t="s">
        <v>27</v>
      </c>
      <c r="C1395" s="118" t="n">
        <v>0</v>
      </c>
      <c r="D1395" s="64" t="n">
        <v>-25448.6029823529</v>
      </c>
      <c r="E1395" s="64" t="n">
        <v>-25448.6029823529</v>
      </c>
      <c r="F1395" s="64" t="n">
        <v>-25448.6029823529</v>
      </c>
      <c r="G1395" s="64" t="n">
        <v>-25448.6029823529</v>
      </c>
      <c r="H1395" s="64" t="n">
        <v>-25448.6029823529</v>
      </c>
      <c r="I1395" s="64" t="n">
        <v>-25448.6029823529</v>
      </c>
      <c r="J1395" s="64" t="n">
        <v>-25448.6029823529</v>
      </c>
      <c r="K1395" s="64" t="n">
        <v>-25448.6029823529</v>
      </c>
      <c r="L1395" s="64" t="n">
        <v>-25448.6029823529</v>
      </c>
      <c r="M1395" s="64" t="n">
        <v>-25448.6029823529</v>
      </c>
      <c r="N1395" s="64" t="n">
        <v>-25448.6029823529</v>
      </c>
      <c r="O1395" s="64" t="n">
        <v>-25448.6029823529</v>
      </c>
      <c r="P1395" s="64" t="n">
        <v>-25448.6029823529</v>
      </c>
      <c r="Q1395" s="64" t="n">
        <v>-25448.6029823529</v>
      </c>
      <c r="R1395" s="64" t="n">
        <v>-25448.6029823529</v>
      </c>
      <c r="S1395" s="64" t="n">
        <v>-25448.6029823529</v>
      </c>
      <c r="T1395" s="64" t="n">
        <v>-25448.6029823529</v>
      </c>
      <c r="U1395" s="64" t="n">
        <v>-25448.6029823529</v>
      </c>
      <c r="V1395" s="64" t="n">
        <v>-25448.6029823529</v>
      </c>
      <c r="W1395" s="65"/>
    </row>
    <row r="1396" customFormat="false" ht="13.5" hidden="false" customHeight="false" outlineLevel="0" collapsed="false">
      <c r="A1396" s="2"/>
      <c r="B1396" s="119" t="s">
        <v>28</v>
      </c>
      <c r="C1396" s="120" t="n">
        <v>0</v>
      </c>
      <c r="D1396" s="68" t="n">
        <v>-3652.56641824043</v>
      </c>
      <c r="E1396" s="68" t="n">
        <v>-3729.63556966532</v>
      </c>
      <c r="F1396" s="68" t="n">
        <v>-3811.314588641</v>
      </c>
      <c r="G1396" s="68" t="n">
        <v>-3897.45029834425</v>
      </c>
      <c r="H1396" s="68" t="n">
        <v>-3990.20961544486</v>
      </c>
      <c r="I1396" s="68" t="n">
        <v>-4090.20466955085</v>
      </c>
      <c r="J1396" s="68" t="n">
        <v>-4191.65314014095</v>
      </c>
      <c r="K1396" s="68" t="n">
        <v>-4297.75254348017</v>
      </c>
      <c r="L1396" s="68" t="n">
        <v>-4403.90703130414</v>
      </c>
      <c r="M1396" s="68" t="n">
        <v>-4516.20666060238</v>
      </c>
      <c r="N1396" s="68" t="n">
        <v>-4625.49886178897</v>
      </c>
      <c r="O1396" s="68" t="n">
        <v>-4742.06143310604</v>
      </c>
      <c r="P1396" s="68" t="n">
        <v>-4862.50979350693</v>
      </c>
      <c r="Q1396" s="68" t="n">
        <v>-4984.0725383446</v>
      </c>
      <c r="R1396" s="68" t="n">
        <v>-5109.17275905705</v>
      </c>
      <c r="S1396" s="68" t="n">
        <v>-5236.90207803348</v>
      </c>
      <c r="T1396" s="68" t="n">
        <v>-5366.7772495687</v>
      </c>
      <c r="U1396" s="68" t="n">
        <v>-5501.48335853289</v>
      </c>
      <c r="V1396" s="68" t="n">
        <v>-5639.57059083206</v>
      </c>
      <c r="W1396" s="65"/>
    </row>
    <row r="1397" customFormat="false" ht="13.5" hidden="false" customHeight="false" outlineLevel="0" collapsed="false">
      <c r="A1397" s="2"/>
      <c r="B1397" s="121" t="s">
        <v>29</v>
      </c>
      <c r="C1397" s="123" t="n">
        <v>0</v>
      </c>
      <c r="D1397" s="73" t="n">
        <v>1678066.12987217</v>
      </c>
      <c r="E1397" s="73" t="n">
        <v>1109995.14880114</v>
      </c>
      <c r="F1397" s="73" t="n">
        <v>792220.336135777</v>
      </c>
      <c r="G1397" s="73" t="n">
        <v>637476.316227333</v>
      </c>
      <c r="H1397" s="73" t="n">
        <v>544769.422438946</v>
      </c>
      <c r="I1397" s="73" t="n">
        <v>292679.829839295</v>
      </c>
      <c r="J1397" s="73" t="n">
        <v>342507.840801852</v>
      </c>
      <c r="K1397" s="73" t="n">
        <v>564736.078243219</v>
      </c>
      <c r="L1397" s="73" t="n">
        <v>592001.366753547</v>
      </c>
      <c r="M1397" s="73" t="n">
        <v>693399.228283202</v>
      </c>
      <c r="N1397" s="73" t="n">
        <v>386811.829264161</v>
      </c>
      <c r="O1397" s="73" t="n">
        <v>486047.767806108</v>
      </c>
      <c r="P1397" s="73" t="n">
        <v>519741.004386839</v>
      </c>
      <c r="Q1397" s="73" t="n">
        <v>683336.605646881</v>
      </c>
      <c r="R1397" s="73" t="n">
        <v>485746.84065904</v>
      </c>
      <c r="S1397" s="73" t="n">
        <v>282735.833243854</v>
      </c>
      <c r="T1397" s="73" t="n">
        <v>417346.809909873</v>
      </c>
      <c r="U1397" s="73" t="n">
        <v>477255.906068181</v>
      </c>
      <c r="V1397" s="73" t="n">
        <v>272792.672096048</v>
      </c>
      <c r="W1397" s="65"/>
    </row>
    <row r="1398" customFormat="false" ht="12.75" hidden="false" customHeight="false" outlineLevel="0" collapsed="false">
      <c r="A1398" s="2"/>
      <c r="B1398" s="117" t="s">
        <v>30</v>
      </c>
      <c r="C1398" s="118" t="n">
        <v>0</v>
      </c>
      <c r="D1398" s="64" t="n">
        <v>-168361.336070542</v>
      </c>
      <c r="E1398" s="64" t="n">
        <v>-154519.953087363</v>
      </c>
      <c r="F1398" s="64" t="n">
        <v>-134821.654617383</v>
      </c>
      <c r="G1398" s="64" t="n">
        <v>-114854.127293647</v>
      </c>
      <c r="H1398" s="64" t="n">
        <v>-106751.616653443</v>
      </c>
      <c r="I1398" s="64" t="n">
        <v>-106607.357324629</v>
      </c>
      <c r="J1398" s="64" t="n">
        <v>-113701.428845459</v>
      </c>
      <c r="K1398" s="64" t="n">
        <v>-120305.212506629</v>
      </c>
      <c r="L1398" s="64" t="n">
        <v>-126853.222127759</v>
      </c>
      <c r="M1398" s="64" t="n">
        <v>-132968.188779444</v>
      </c>
      <c r="N1398" s="64" t="n">
        <v>-130162.789635302</v>
      </c>
      <c r="O1398" s="64" t="n">
        <v>-126942.418287318</v>
      </c>
      <c r="P1398" s="64" t="n">
        <v>-133014.813861776</v>
      </c>
      <c r="Q1398" s="64" t="n">
        <v>-100287.458374531</v>
      </c>
      <c r="R1398" s="64" t="n">
        <v>-67875.2268806182</v>
      </c>
      <c r="S1398" s="64" t="n">
        <v>-74367.3191070387</v>
      </c>
      <c r="T1398" s="64" t="n">
        <v>-81054.1741002519</v>
      </c>
      <c r="U1398" s="64" t="n">
        <v>-87941.6347432614</v>
      </c>
      <c r="V1398" s="64" t="n">
        <v>-95035.7192055613</v>
      </c>
      <c r="W1398" s="65"/>
    </row>
    <row r="1399" customFormat="false" ht="13.5" hidden="false" customHeight="false" outlineLevel="0" collapsed="false">
      <c r="A1399" s="2"/>
      <c r="B1399" s="119" t="s">
        <v>70</v>
      </c>
      <c r="C1399" s="120" t="n">
        <v>0</v>
      </c>
      <c r="D1399" s="68" t="n">
        <v>-603881.917520652</v>
      </c>
      <c r="E1399" s="68" t="n">
        <v>-382190.078285509</v>
      </c>
      <c r="F1399" s="68" t="n">
        <v>-262959.472607357</v>
      </c>
      <c r="G1399" s="68" t="n">
        <v>-209048.875573474</v>
      </c>
      <c r="H1399" s="68" t="n">
        <v>-175207.122314201</v>
      </c>
      <c r="I1399" s="68" t="n">
        <v>-74428.9890058665</v>
      </c>
      <c r="J1399" s="68" t="n">
        <v>-91522.5647825573</v>
      </c>
      <c r="K1399" s="68" t="n">
        <v>-177772.346294636</v>
      </c>
      <c r="L1399" s="68" t="n">
        <v>-186059.257850315</v>
      </c>
      <c r="M1399" s="68" t="n">
        <v>-224172.415801503</v>
      </c>
      <c r="N1399" s="68" t="n">
        <v>-102659.615851544</v>
      </c>
      <c r="O1399" s="68" t="n">
        <v>-143642.139807516</v>
      </c>
      <c r="P1399" s="68" t="n">
        <v>-154690.476210025</v>
      </c>
      <c r="Q1399" s="68" t="n">
        <v>-233219.65890894</v>
      </c>
      <c r="R1399" s="68" t="n">
        <v>-167148.645511369</v>
      </c>
      <c r="S1399" s="68" t="n">
        <v>-83347.4056547263</v>
      </c>
      <c r="T1399" s="68" t="n">
        <v>-134517.054323849</v>
      </c>
      <c r="U1399" s="68" t="n">
        <v>-155725.708529968</v>
      </c>
      <c r="V1399" s="68" t="n">
        <v>-71102.7811561946</v>
      </c>
      <c r="W1399" s="65"/>
    </row>
    <row r="1400" customFormat="false" ht="13.5" hidden="false" customHeight="false" outlineLevel="0" collapsed="false">
      <c r="A1400" s="2"/>
      <c r="B1400" s="121" t="s">
        <v>32</v>
      </c>
      <c r="C1400" s="123" t="n">
        <v>0</v>
      </c>
      <c r="D1400" s="73" t="n">
        <v>905822.876280978</v>
      </c>
      <c r="E1400" s="73" t="n">
        <v>573285.117428264</v>
      </c>
      <c r="F1400" s="73" t="n">
        <v>394439.208911036</v>
      </c>
      <c r="G1400" s="73" t="n">
        <v>313573.313360211</v>
      </c>
      <c r="H1400" s="73" t="n">
        <v>262810.683471302</v>
      </c>
      <c r="I1400" s="73" t="n">
        <v>111643.4835088</v>
      </c>
      <c r="J1400" s="73" t="n">
        <v>137283.847173836</v>
      </c>
      <c r="K1400" s="73" t="n">
        <v>266658.519441954</v>
      </c>
      <c r="L1400" s="73" t="n">
        <v>279088.886775473</v>
      </c>
      <c r="M1400" s="73" t="n">
        <v>336258.623702254</v>
      </c>
      <c r="N1400" s="73" t="n">
        <v>153989.423777315</v>
      </c>
      <c r="O1400" s="73" t="n">
        <v>215463.209711274</v>
      </c>
      <c r="P1400" s="73" t="n">
        <v>232035.714315038</v>
      </c>
      <c r="Q1400" s="73" t="n">
        <v>349829.48836341</v>
      </c>
      <c r="R1400" s="73" t="n">
        <v>250722.968267053</v>
      </c>
      <c r="S1400" s="73" t="n">
        <v>125021.108482089</v>
      </c>
      <c r="T1400" s="73" t="n">
        <v>201775.581485773</v>
      </c>
      <c r="U1400" s="73" t="n">
        <v>233588.562794952</v>
      </c>
      <c r="V1400" s="73" t="n">
        <v>106654.171734292</v>
      </c>
      <c r="W1400" s="65"/>
    </row>
    <row r="1401" customFormat="false" ht="12.75" hidden="false" customHeight="false" outlineLevel="0" collapsed="false">
      <c r="A1401" s="2"/>
      <c r="B1401" s="117" t="s">
        <v>30</v>
      </c>
      <c r="C1401" s="118" t="n">
        <v>0</v>
      </c>
      <c r="D1401" s="64" t="n">
        <v>168361.336070542</v>
      </c>
      <c r="E1401" s="64" t="n">
        <v>154519.953087363</v>
      </c>
      <c r="F1401" s="64" t="n">
        <v>134821.654617383</v>
      </c>
      <c r="G1401" s="64" t="n">
        <v>114854.127293647</v>
      </c>
      <c r="H1401" s="64" t="n">
        <v>106751.616653443</v>
      </c>
      <c r="I1401" s="64" t="n">
        <v>106607.357324629</v>
      </c>
      <c r="J1401" s="64" t="n">
        <v>113701.428845459</v>
      </c>
      <c r="K1401" s="64" t="n">
        <v>120305.212506629</v>
      </c>
      <c r="L1401" s="64" t="n">
        <v>126853.222127759</v>
      </c>
      <c r="M1401" s="64" t="n">
        <v>132968.188779444</v>
      </c>
      <c r="N1401" s="64" t="n">
        <v>130162.789635302</v>
      </c>
      <c r="O1401" s="64" t="n">
        <v>126942.418287318</v>
      </c>
      <c r="P1401" s="64" t="n">
        <v>133014.813861776</v>
      </c>
      <c r="Q1401" s="64" t="n">
        <v>100287.458374531</v>
      </c>
      <c r="R1401" s="64" t="n">
        <v>67875.2268806182</v>
      </c>
      <c r="S1401" s="64" t="n">
        <v>74367.3191070387</v>
      </c>
      <c r="T1401" s="64" t="n">
        <v>81054.1741002519</v>
      </c>
      <c r="U1401" s="64" t="n">
        <v>87941.6347432614</v>
      </c>
      <c r="V1401" s="64" t="n">
        <v>95035.7192055613</v>
      </c>
      <c r="W1401" s="65"/>
    </row>
    <row r="1402" customFormat="false" ht="12.75" hidden="false" customHeight="false" outlineLevel="0" collapsed="false">
      <c r="A1402" s="2"/>
      <c r="B1402" s="117" t="s">
        <v>33</v>
      </c>
      <c r="C1402" s="118" t="n">
        <v>0</v>
      </c>
      <c r="D1402" s="64" t="n">
        <v>-907.34</v>
      </c>
      <c r="E1402" s="64" t="n">
        <v>-943.94</v>
      </c>
      <c r="F1402" s="64" t="n">
        <v>-982.06</v>
      </c>
      <c r="G1402" s="64" t="n">
        <v>-1025.72</v>
      </c>
      <c r="H1402" s="64" t="n">
        <v>-100000</v>
      </c>
      <c r="I1402" s="64" t="n">
        <v>-103000</v>
      </c>
      <c r="J1402" s="64" t="n">
        <v>-106090</v>
      </c>
      <c r="K1402" s="64" t="n">
        <v>-109272.7</v>
      </c>
      <c r="L1402" s="64" t="n">
        <v>-112550.881</v>
      </c>
      <c r="M1402" s="64" t="n">
        <v>-115927.40743</v>
      </c>
      <c r="N1402" s="64" t="n">
        <v>-119405.2296529</v>
      </c>
      <c r="O1402" s="64" t="n">
        <v>-122987.386542487</v>
      </c>
      <c r="P1402" s="64" t="n">
        <v>-126677.008138762</v>
      </c>
      <c r="Q1402" s="64" t="n">
        <v>-130477.318382924</v>
      </c>
      <c r="R1402" s="64" t="n">
        <v>-134391.637934412</v>
      </c>
      <c r="S1402" s="64" t="n">
        <v>-138423.387072445</v>
      </c>
      <c r="T1402" s="64" t="n">
        <v>-142576.088684618</v>
      </c>
      <c r="U1402" s="64" t="n">
        <v>-146853.371345156</v>
      </c>
      <c r="V1402" s="64" t="n">
        <v>-151258.972485511</v>
      </c>
      <c r="W1402" s="65"/>
    </row>
    <row r="1403" customFormat="false" ht="13.5" hidden="false" customHeight="false" outlineLevel="0" collapsed="false">
      <c r="A1403" s="2"/>
      <c r="B1403" s="119" t="s">
        <v>34</v>
      </c>
      <c r="C1403" s="120" t="n">
        <v>0</v>
      </c>
      <c r="D1403" s="68" t="n">
        <v>0</v>
      </c>
      <c r="E1403" s="68" t="n">
        <v>0</v>
      </c>
      <c r="F1403" s="68" t="n">
        <v>0</v>
      </c>
      <c r="G1403" s="68" t="n">
        <v>0</v>
      </c>
      <c r="H1403" s="68" t="n">
        <v>0</v>
      </c>
      <c r="I1403" s="68" t="n">
        <v>0</v>
      </c>
      <c r="J1403" s="68" t="n">
        <v>0</v>
      </c>
      <c r="K1403" s="68" t="n">
        <v>0</v>
      </c>
      <c r="L1403" s="68" t="n">
        <v>0</v>
      </c>
      <c r="M1403" s="68" t="n">
        <v>0</v>
      </c>
      <c r="N1403" s="68" t="n">
        <v>0</v>
      </c>
      <c r="O1403" s="68" t="n">
        <v>0</v>
      </c>
      <c r="P1403" s="68" t="n">
        <v>0</v>
      </c>
      <c r="Q1403" s="68" t="n">
        <v>0</v>
      </c>
      <c r="R1403" s="68" t="n">
        <v>0</v>
      </c>
      <c r="S1403" s="68" t="n">
        <v>0</v>
      </c>
      <c r="T1403" s="68" t="n">
        <v>0</v>
      </c>
      <c r="U1403" s="68" t="n">
        <v>0</v>
      </c>
      <c r="V1403" s="68" t="n">
        <v>0</v>
      </c>
      <c r="W1403" s="65"/>
    </row>
    <row r="1404" customFormat="false" ht="13.5" hidden="false" customHeight="false" outlineLevel="0" collapsed="false">
      <c r="A1404" s="2"/>
      <c r="B1404" s="117"/>
      <c r="C1404" s="124"/>
      <c r="D1404" s="65"/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65"/>
      <c r="R1404" s="65"/>
      <c r="S1404" s="65"/>
      <c r="T1404" s="65"/>
      <c r="U1404" s="65"/>
      <c r="V1404" s="65"/>
      <c r="W1404" s="65"/>
    </row>
    <row r="1405" customFormat="false" ht="12.75" hidden="false" customHeight="false" outlineLevel="0" collapsed="false">
      <c r="A1405" s="2"/>
      <c r="B1405" s="121" t="s">
        <v>35</v>
      </c>
      <c r="C1405" s="123" t="n">
        <v>0</v>
      </c>
      <c r="D1405" s="73" t="n">
        <v>1073276.87235152</v>
      </c>
      <c r="E1405" s="73" t="n">
        <v>726861.130515627</v>
      </c>
      <c r="F1405" s="73" t="n">
        <v>528278.803528419</v>
      </c>
      <c r="G1405" s="73" t="n">
        <v>427401.720653858</v>
      </c>
      <c r="H1405" s="73" t="n">
        <v>269562.300124745</v>
      </c>
      <c r="I1405" s="73" t="n">
        <v>115250.840833429</v>
      </c>
      <c r="J1405" s="73" t="n">
        <v>144895.276019295</v>
      </c>
      <c r="K1405" s="73" t="n">
        <v>277691.031948583</v>
      </c>
      <c r="L1405" s="73" t="n">
        <v>293391.227903232</v>
      </c>
      <c r="M1405" s="73" t="n">
        <v>353299.405051699</v>
      </c>
      <c r="N1405" s="73" t="n">
        <v>164746.983759717</v>
      </c>
      <c r="O1405" s="73" t="n">
        <v>219418.241456105</v>
      </c>
      <c r="P1405" s="73" t="n">
        <v>238373.520038052</v>
      </c>
      <c r="Q1405" s="73" t="n">
        <v>319639.628355016</v>
      </c>
      <c r="R1405" s="73" t="n">
        <v>184206.557213259</v>
      </c>
      <c r="S1405" s="73" t="n">
        <v>60965.0405166835</v>
      </c>
      <c r="T1405" s="73" t="n">
        <v>140253.666901407</v>
      </c>
      <c r="U1405" s="73" t="n">
        <v>174676.826193057</v>
      </c>
      <c r="V1405" s="73" t="n">
        <v>50430.9184543421</v>
      </c>
      <c r="W1405" s="71" t="n">
        <v>1171161.11906903</v>
      </c>
    </row>
    <row r="1406" customFormat="false" ht="12.75" hidden="false" customHeight="false" outlineLevel="0" collapsed="false">
      <c r="A1406" s="2"/>
      <c r="B1406" s="125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</row>
    <row r="1407" customFormat="false" ht="12.75" hidden="false" customHeight="false" outlineLevel="0" collapsed="false">
      <c r="A1407" s="48" t="s">
        <v>36</v>
      </c>
      <c r="B1407" s="126" t="s">
        <v>37</v>
      </c>
      <c r="C1407" s="76" t="n">
        <v>2432619.71589095</v>
      </c>
      <c r="D1407" s="2"/>
      <c r="E1407" s="127" t="s">
        <v>38</v>
      </c>
      <c r="F1407" s="128" t="s">
        <v>37</v>
      </c>
      <c r="G1407" s="79" t="n">
        <v>2432619.71589095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</row>
    <row r="1408" customFormat="false" ht="12.75" hidden="false" customHeight="false" outlineLevel="0" collapsed="false">
      <c r="A1408" s="2"/>
      <c r="B1408" s="126" t="s">
        <v>39</v>
      </c>
      <c r="C1408" s="76" t="n">
        <v>935246.397749752</v>
      </c>
      <c r="D1408" s="2"/>
      <c r="E1408" s="129"/>
      <c r="F1408" s="128" t="s">
        <v>39</v>
      </c>
      <c r="G1408" s="79" t="n">
        <v>935246.397749752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</row>
    <row r="1409" customFormat="false" ht="13.5" hidden="false" customHeight="false" outlineLevel="0" collapsed="false">
      <c r="A1409" s="2"/>
      <c r="B1409" s="130" t="s">
        <v>40</v>
      </c>
      <c r="C1409" s="82" t="n">
        <v>174085.637739237</v>
      </c>
      <c r="D1409" s="131"/>
      <c r="E1409" s="129"/>
      <c r="F1409" s="128" t="s">
        <v>40</v>
      </c>
      <c r="G1409" s="79" t="n">
        <v>174085.637739237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</row>
    <row r="1410" customFormat="false" ht="14.25" hidden="false" customHeight="false" outlineLevel="0" collapsed="false">
      <c r="A1410" s="2"/>
      <c r="B1410" s="126" t="s">
        <v>41</v>
      </c>
      <c r="C1410" s="76" t="n">
        <v>3541951.75137994</v>
      </c>
      <c r="D1410" s="132"/>
      <c r="E1410" s="129"/>
      <c r="F1410" s="133" t="s">
        <v>42</v>
      </c>
      <c r="G1410" s="85" t="n">
        <v>0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</row>
    <row r="1411" customFormat="false" ht="13.5" hidden="false" customHeight="false" outlineLevel="0" collapsed="false">
      <c r="A1411" s="2"/>
      <c r="B1411" s="125"/>
      <c r="C1411" s="134"/>
      <c r="D1411" s="2"/>
      <c r="E1411" s="135"/>
      <c r="F1411" s="128" t="s">
        <v>41</v>
      </c>
      <c r="G1411" s="79" t="n">
        <v>3541951.75137994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</row>
    <row r="1412" customFormat="false" ht="12.75" hidden="false" customHeight="false" outlineLevel="0" collapsed="false">
      <c r="A1412" s="2"/>
      <c r="B1412" s="125"/>
      <c r="C1412" s="134"/>
      <c r="D1412" s="2"/>
      <c r="E1412" s="135"/>
      <c r="F1412" s="128"/>
      <c r="G1412" s="136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</row>
    <row r="1413" customFormat="false" ht="12.75" hidden="false" customHeight="false" outlineLevel="0" collapsed="false">
      <c r="A1413" s="2"/>
      <c r="B1413" s="125"/>
      <c r="C1413" s="134"/>
      <c r="D1413" s="2"/>
      <c r="E1413" s="135"/>
      <c r="F1413" s="128"/>
      <c r="G1413" s="136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</row>
    <row r="1414" customFormat="false" ht="12.75" hidden="false" customHeight="false" outlineLevel="0" collapsed="false">
      <c r="A1414" s="2"/>
      <c r="B1414" s="137" t="s">
        <v>43</v>
      </c>
      <c r="C1414" s="134"/>
      <c r="D1414" s="2"/>
      <c r="E1414" s="135"/>
      <c r="F1414" s="128"/>
      <c r="G1414" s="136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</row>
    <row r="1415" customFormat="false" ht="12.75" hidden="false" customHeight="false" outlineLevel="0" collapsed="false">
      <c r="A1415" s="87" t="s">
        <v>44</v>
      </c>
      <c r="B1415" s="137" t="s">
        <v>45</v>
      </c>
      <c r="C1415" s="138"/>
      <c r="D1415" s="88" t="n">
        <v>905822.876280978</v>
      </c>
      <c r="E1415" s="88" t="n">
        <v>573285.117428264</v>
      </c>
      <c r="F1415" s="88" t="n">
        <v>394439.208911036</v>
      </c>
      <c r="G1415" s="88" t="n">
        <v>313573.313360211</v>
      </c>
      <c r="H1415" s="88" t="n">
        <v>262810.683471302</v>
      </c>
      <c r="I1415" s="88" t="n">
        <v>111643.4835088</v>
      </c>
      <c r="J1415" s="88" t="n">
        <v>137283.847173836</v>
      </c>
      <c r="K1415" s="88" t="n">
        <v>266658.519441954</v>
      </c>
      <c r="L1415" s="88" t="n">
        <v>279088.886775473</v>
      </c>
      <c r="M1415" s="88" t="n">
        <v>336258.623702254</v>
      </c>
      <c r="N1415" s="88" t="n">
        <v>153989.423777315</v>
      </c>
      <c r="O1415" s="88" t="n">
        <v>215463.209711274</v>
      </c>
      <c r="P1415" s="88" t="n">
        <v>232035.714315038</v>
      </c>
      <c r="Q1415" s="88" t="n">
        <v>349829.48836341</v>
      </c>
      <c r="R1415" s="88" t="n">
        <v>250722.968267053</v>
      </c>
      <c r="S1415" s="88" t="n">
        <v>125021.108482089</v>
      </c>
      <c r="T1415" s="88" t="n">
        <v>201775.581485773</v>
      </c>
      <c r="U1415" s="88" t="n">
        <v>233588.562794952</v>
      </c>
      <c r="V1415" s="88" t="n">
        <v>106654.171734292</v>
      </c>
      <c r="W1415" s="2"/>
    </row>
    <row r="1416" customFormat="false" ht="12.75" hidden="false" customHeight="false" outlineLevel="0" collapsed="false">
      <c r="A1416" s="2"/>
      <c r="B1416" s="125" t="s">
        <v>46</v>
      </c>
      <c r="C1416" s="134"/>
      <c r="D1416" s="65" t="n">
        <v>603881.917520652</v>
      </c>
      <c r="E1416" s="65" t="n">
        <v>382190.078285509</v>
      </c>
      <c r="F1416" s="65" t="n">
        <v>262959.472607357</v>
      </c>
      <c r="G1416" s="65" t="n">
        <v>209048.875573474</v>
      </c>
      <c r="H1416" s="65" t="n">
        <v>175207.122314201</v>
      </c>
      <c r="I1416" s="65" t="n">
        <v>74428.9890058665</v>
      </c>
      <c r="J1416" s="65" t="n">
        <v>91522.5647825573</v>
      </c>
      <c r="K1416" s="65" t="n">
        <v>177772.346294636</v>
      </c>
      <c r="L1416" s="65" t="n">
        <v>186059.257850315</v>
      </c>
      <c r="M1416" s="65" t="n">
        <v>224172.415801503</v>
      </c>
      <c r="N1416" s="65" t="n">
        <v>102659.615851544</v>
      </c>
      <c r="O1416" s="65" t="n">
        <v>143642.139807516</v>
      </c>
      <c r="P1416" s="65" t="n">
        <v>154690.476210025</v>
      </c>
      <c r="Q1416" s="65" t="n">
        <v>233219.65890894</v>
      </c>
      <c r="R1416" s="65" t="n">
        <v>167148.645511369</v>
      </c>
      <c r="S1416" s="65" t="n">
        <v>83347.4056547263</v>
      </c>
      <c r="T1416" s="65" t="n">
        <v>134517.054323849</v>
      </c>
      <c r="U1416" s="65" t="n">
        <v>155725.708529968</v>
      </c>
      <c r="V1416" s="65" t="n">
        <v>71102.7811561946</v>
      </c>
      <c r="W1416" s="2"/>
    </row>
    <row r="1417" customFormat="false" ht="12.75" hidden="false" customHeight="false" outlineLevel="0" collapsed="false">
      <c r="A1417" s="2"/>
      <c r="B1417" s="139" t="s">
        <v>47</v>
      </c>
      <c r="C1417" s="140"/>
      <c r="D1417" s="65" t="n">
        <v>168361.336070542</v>
      </c>
      <c r="E1417" s="65" t="n">
        <v>154519.953087363</v>
      </c>
      <c r="F1417" s="65" t="n">
        <v>134821.654617383</v>
      </c>
      <c r="G1417" s="65" t="n">
        <v>114854.127293647</v>
      </c>
      <c r="H1417" s="65" t="n">
        <v>106751.616653443</v>
      </c>
      <c r="I1417" s="65" t="n">
        <v>106607.357324629</v>
      </c>
      <c r="J1417" s="65" t="n">
        <v>113701.428845459</v>
      </c>
      <c r="K1417" s="65" t="n">
        <v>120305.212506629</v>
      </c>
      <c r="L1417" s="65" t="n">
        <v>126853.222127759</v>
      </c>
      <c r="M1417" s="65" t="n">
        <v>132968.188779444</v>
      </c>
      <c r="N1417" s="65" t="n">
        <v>130162.789635302</v>
      </c>
      <c r="O1417" s="65" t="n">
        <v>126942.418287318</v>
      </c>
      <c r="P1417" s="65" t="n">
        <v>133014.813861776</v>
      </c>
      <c r="Q1417" s="65" t="n">
        <v>100287.458374531</v>
      </c>
      <c r="R1417" s="65" t="n">
        <v>67875.2268806182</v>
      </c>
      <c r="S1417" s="65" t="n">
        <v>74367.3191070387</v>
      </c>
      <c r="T1417" s="65" t="n">
        <v>81054.1741002519</v>
      </c>
      <c r="U1417" s="65" t="n">
        <v>87941.6347432614</v>
      </c>
      <c r="V1417" s="65" t="n">
        <v>95035.7192055613</v>
      </c>
      <c r="W1417" s="2"/>
    </row>
    <row r="1418" customFormat="false" ht="13.5" hidden="false" customHeight="false" outlineLevel="0" collapsed="false">
      <c r="A1418" s="2"/>
      <c r="B1418" s="141" t="s">
        <v>48</v>
      </c>
      <c r="C1418" s="142"/>
      <c r="D1418" s="93" t="n">
        <v>1678066.12987217</v>
      </c>
      <c r="E1418" s="93" t="n">
        <v>1109995.14880114</v>
      </c>
      <c r="F1418" s="93" t="n">
        <v>792220.336135777</v>
      </c>
      <c r="G1418" s="93" t="n">
        <v>637476.316227333</v>
      </c>
      <c r="H1418" s="93" t="n">
        <v>544769.422438946</v>
      </c>
      <c r="I1418" s="93" t="n">
        <v>292679.829839295</v>
      </c>
      <c r="J1418" s="93" t="n">
        <v>342507.840801852</v>
      </c>
      <c r="K1418" s="93" t="n">
        <v>564736.078243219</v>
      </c>
      <c r="L1418" s="93" t="n">
        <v>592001.366753547</v>
      </c>
      <c r="M1418" s="93" t="n">
        <v>693399.228283202</v>
      </c>
      <c r="N1418" s="93" t="n">
        <v>386811.829264161</v>
      </c>
      <c r="O1418" s="93" t="n">
        <v>486047.767806108</v>
      </c>
      <c r="P1418" s="93" t="n">
        <v>519741.004386839</v>
      </c>
      <c r="Q1418" s="93" t="n">
        <v>683336.605646881</v>
      </c>
      <c r="R1418" s="93" t="n">
        <v>485746.84065904</v>
      </c>
      <c r="S1418" s="93" t="n">
        <v>282735.833243854</v>
      </c>
      <c r="T1418" s="93" t="n">
        <v>417346.809909873</v>
      </c>
      <c r="U1418" s="93" t="n">
        <v>477255.906068181</v>
      </c>
      <c r="V1418" s="93" t="n">
        <v>272792.672096048</v>
      </c>
      <c r="W1418" s="2"/>
    </row>
    <row r="1419" customFormat="false" ht="13.5" hidden="false" customHeight="false" outlineLevel="0" collapsed="false">
      <c r="A1419" s="87" t="s">
        <v>49</v>
      </c>
      <c r="B1419" s="125" t="s">
        <v>50</v>
      </c>
      <c r="C1419" s="134"/>
      <c r="D1419" s="65" t="n">
        <v>-215397.147872044</v>
      </c>
      <c r="E1419" s="65" t="n">
        <v>-215444.344872044</v>
      </c>
      <c r="F1419" s="65" t="n">
        <v>-215493.447872044</v>
      </c>
      <c r="G1419" s="65" t="n">
        <v>-202117.810964555</v>
      </c>
      <c r="H1419" s="65" t="n">
        <v>-14460.2140482551</v>
      </c>
      <c r="I1419" s="65" t="n">
        <v>-19610.2140482551</v>
      </c>
      <c r="J1419" s="65" t="n">
        <v>-24914.7140482551</v>
      </c>
      <c r="K1419" s="65" t="n">
        <v>-30378.3490482551</v>
      </c>
      <c r="L1419" s="65" t="n">
        <v>-36005.8930982551</v>
      </c>
      <c r="M1419" s="65" t="n">
        <v>-41802.2634697551</v>
      </c>
      <c r="N1419" s="65" t="n">
        <v>-47772.5249524001</v>
      </c>
      <c r="O1419" s="65" t="n">
        <v>-53921.8942795244</v>
      </c>
      <c r="P1419" s="65" t="n">
        <v>-60255.7446864625</v>
      </c>
      <c r="Q1419" s="65" t="n">
        <v>-66779.6106056087</v>
      </c>
      <c r="R1419" s="65" t="n">
        <v>-73499.1925023293</v>
      </c>
      <c r="S1419" s="65" t="n">
        <v>-80420.3618559516</v>
      </c>
      <c r="T1419" s="65" t="n">
        <v>-87549.1662901825</v>
      </c>
      <c r="U1419" s="65" t="n">
        <v>-94891.8348574403</v>
      </c>
      <c r="V1419" s="65" t="n">
        <v>-102454.783481716</v>
      </c>
      <c r="W1419" s="2"/>
    </row>
    <row r="1420" customFormat="false" ht="12.75" hidden="false" customHeight="false" outlineLevel="0" collapsed="false">
      <c r="A1420" s="2"/>
      <c r="B1420" s="125" t="s">
        <v>51</v>
      </c>
      <c r="C1420" s="134"/>
      <c r="D1420" s="65" t="n">
        <v>0</v>
      </c>
      <c r="E1420" s="65" t="n">
        <v>0</v>
      </c>
      <c r="F1420" s="65" t="n">
        <v>0</v>
      </c>
      <c r="G1420" s="65" t="n">
        <v>0</v>
      </c>
      <c r="H1420" s="65" t="n">
        <v>0</v>
      </c>
      <c r="I1420" s="65" t="n">
        <v>0</v>
      </c>
      <c r="J1420" s="65" t="n">
        <v>0</v>
      </c>
      <c r="K1420" s="65" t="n">
        <v>0</v>
      </c>
      <c r="L1420" s="65" t="n">
        <v>0</v>
      </c>
      <c r="M1420" s="65" t="n">
        <v>0</v>
      </c>
      <c r="N1420" s="65" t="n">
        <v>0</v>
      </c>
      <c r="O1420" s="65" t="n">
        <v>0</v>
      </c>
      <c r="P1420" s="65" t="n">
        <v>0</v>
      </c>
      <c r="Q1420" s="65" t="n">
        <v>0</v>
      </c>
      <c r="R1420" s="65" t="n">
        <v>0</v>
      </c>
      <c r="S1420" s="65" t="n">
        <v>0</v>
      </c>
      <c r="T1420" s="65" t="n">
        <v>0</v>
      </c>
      <c r="U1420" s="65" t="n">
        <v>0</v>
      </c>
      <c r="V1420" s="65" t="n">
        <v>0</v>
      </c>
      <c r="W1420" s="2"/>
    </row>
    <row r="1421" customFormat="false" ht="12.75" hidden="false" customHeight="false" outlineLevel="0" collapsed="false">
      <c r="A1421" s="2"/>
      <c r="B1421" s="137" t="s">
        <v>52</v>
      </c>
      <c r="C1421" s="138"/>
      <c r="D1421" s="88" t="n">
        <v>1462668.98200013</v>
      </c>
      <c r="E1421" s="88" t="n">
        <v>894550.803929093</v>
      </c>
      <c r="F1421" s="88" t="n">
        <v>576726.888263733</v>
      </c>
      <c r="G1421" s="88" t="n">
        <v>435358.505262778</v>
      </c>
      <c r="H1421" s="88" t="n">
        <v>530309.208390691</v>
      </c>
      <c r="I1421" s="88" t="n">
        <v>273069.61579104</v>
      </c>
      <c r="J1421" s="88" t="n">
        <v>317593.126753597</v>
      </c>
      <c r="K1421" s="88" t="n">
        <v>534357.729194964</v>
      </c>
      <c r="L1421" s="88" t="n">
        <v>555995.473655292</v>
      </c>
      <c r="M1421" s="88" t="n">
        <v>651596.964813447</v>
      </c>
      <c r="N1421" s="88" t="n">
        <v>339039.304311761</v>
      </c>
      <c r="O1421" s="88" t="n">
        <v>432125.873526583</v>
      </c>
      <c r="P1421" s="88" t="n">
        <v>459485.259700376</v>
      </c>
      <c r="Q1421" s="88" t="n">
        <v>616556.995041272</v>
      </c>
      <c r="R1421" s="88" t="n">
        <v>412247.648156711</v>
      </c>
      <c r="S1421" s="88" t="n">
        <v>202315.471387903</v>
      </c>
      <c r="T1421" s="88" t="n">
        <v>329797.643619691</v>
      </c>
      <c r="U1421" s="88" t="n">
        <v>382364.071210741</v>
      </c>
      <c r="V1421" s="88" t="n">
        <v>170337.888614332</v>
      </c>
      <c r="W1421" s="2"/>
    </row>
    <row r="1422" customFormat="false" ht="13.5" hidden="false" customHeight="false" outlineLevel="0" collapsed="false">
      <c r="A1422" s="2"/>
      <c r="B1422" s="143" t="s">
        <v>53</v>
      </c>
      <c r="C1422" s="144"/>
      <c r="D1422" s="96" t="n">
        <v>-585067.592800052</v>
      </c>
      <c r="E1422" s="96" t="n">
        <v>-357820.321571637</v>
      </c>
      <c r="F1422" s="96" t="n">
        <v>-230690.755305493</v>
      </c>
      <c r="G1422" s="96" t="n">
        <v>-174143.402105111</v>
      </c>
      <c r="H1422" s="96" t="n">
        <v>-212123.683356276</v>
      </c>
      <c r="I1422" s="96" t="n">
        <v>-109227.846316416</v>
      </c>
      <c r="J1422" s="96" t="n">
        <v>-127037.250701439</v>
      </c>
      <c r="K1422" s="96" t="n">
        <v>-213743.091677986</v>
      </c>
      <c r="L1422" s="96" t="n">
        <v>-222398.189462117</v>
      </c>
      <c r="M1422" s="96" t="n">
        <v>-260638.785925379</v>
      </c>
      <c r="N1422" s="96" t="n">
        <v>-135615.721724704</v>
      </c>
      <c r="O1422" s="96" t="n">
        <v>-172850.349410633</v>
      </c>
      <c r="P1422" s="96" t="n">
        <v>-183794.10388015</v>
      </c>
      <c r="Q1422" s="96" t="n">
        <v>-246622.798016509</v>
      </c>
      <c r="R1422" s="96" t="n">
        <v>-164899.059262684</v>
      </c>
      <c r="S1422" s="96" t="n">
        <v>-80926.1885551611</v>
      </c>
      <c r="T1422" s="96" t="n">
        <v>-131919.057447876</v>
      </c>
      <c r="U1422" s="96" t="n">
        <v>-152945.628484296</v>
      </c>
      <c r="V1422" s="96" t="n">
        <v>-68135.1554457328</v>
      </c>
      <c r="W1422" s="2"/>
    </row>
    <row r="1423" customFormat="false" ht="13.5" hidden="false" customHeight="false" outlineLevel="0" collapsed="false">
      <c r="A1423" s="2"/>
      <c r="B1423" s="137" t="s">
        <v>54</v>
      </c>
      <c r="C1423" s="138"/>
      <c r="D1423" s="88" t="n">
        <v>877601.389200077</v>
      </c>
      <c r="E1423" s="88" t="n">
        <v>536730.482357456</v>
      </c>
      <c r="F1423" s="88" t="n">
        <v>346036.13295824</v>
      </c>
      <c r="G1423" s="88" t="n">
        <v>261215.103157667</v>
      </c>
      <c r="H1423" s="88" t="n">
        <v>318185.525034415</v>
      </c>
      <c r="I1423" s="88" t="n">
        <v>163841.769474624</v>
      </c>
      <c r="J1423" s="88" t="n">
        <v>190555.876052158</v>
      </c>
      <c r="K1423" s="88" t="n">
        <v>320614.637516979</v>
      </c>
      <c r="L1423" s="88" t="n">
        <v>333597.284193175</v>
      </c>
      <c r="M1423" s="88" t="n">
        <v>390958.178888068</v>
      </c>
      <c r="N1423" s="88" t="n">
        <v>203423.582587056</v>
      </c>
      <c r="O1423" s="88" t="n">
        <v>259275.52411595</v>
      </c>
      <c r="P1423" s="88" t="n">
        <v>275691.155820226</v>
      </c>
      <c r="Q1423" s="88" t="n">
        <v>369934.197024763</v>
      </c>
      <c r="R1423" s="88" t="n">
        <v>247348.588894026</v>
      </c>
      <c r="S1423" s="88" t="n">
        <v>121389.282832742</v>
      </c>
      <c r="T1423" s="88" t="n">
        <v>197878.586171814</v>
      </c>
      <c r="U1423" s="88" t="n">
        <v>229418.442726444</v>
      </c>
      <c r="V1423" s="88" t="n">
        <v>102202.733168599</v>
      </c>
      <c r="W1423" s="2"/>
    </row>
    <row r="1424" customFormat="false" ht="12.75" hidden="false" customHeight="false" outlineLevel="0" collapsed="false">
      <c r="A1424" s="2"/>
      <c r="B1424" s="2"/>
      <c r="C1424" s="134"/>
      <c r="D1424" s="2"/>
      <c r="E1424" s="135"/>
      <c r="F1424" s="128"/>
      <c r="G1424" s="136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</row>
    <row r="1425" customFormat="false" ht="15.75" hidden="false" customHeight="false" outlineLevel="0" collapsed="false">
      <c r="A1425" s="97" t="s">
        <v>55</v>
      </c>
      <c r="B1425" s="145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</row>
    <row r="1426" customFormat="false" ht="12.75" hidden="false" customHeight="false" outlineLevel="0" collapsed="false">
      <c r="A1426" s="99" t="s">
        <v>56</v>
      </c>
      <c r="B1426" s="49"/>
      <c r="C1426" s="101" t="n">
        <v>0</v>
      </c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</row>
    <row r="1427" customFormat="false" ht="12.75" hidden="false" customHeight="false" outlineLevel="0" collapsed="false">
      <c r="A1427" s="99" t="s">
        <v>57</v>
      </c>
      <c r="B1427" s="49"/>
      <c r="C1427" s="146" t="n">
        <v>0</v>
      </c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</row>
    <row r="1428" customFormat="false" ht="12.75" hidden="false" customHeight="false" outlineLevel="0" collapsed="false">
      <c r="A1428" s="99" t="s">
        <v>58</v>
      </c>
      <c r="B1428" s="49"/>
      <c r="C1428" s="99" t="n">
        <v>15</v>
      </c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</row>
    <row r="1429" customFormat="false" ht="12.75" hidden="false" customHeight="false" outlineLevel="0" collapsed="false">
      <c r="A1429" s="99" t="s">
        <v>59</v>
      </c>
      <c r="B1429" s="49"/>
      <c r="C1429" s="146" t="n">
        <v>0</v>
      </c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</row>
    <row r="1430" customFormat="false" ht="12.75" hidden="false" customHeight="false" outlineLevel="0" collapsed="false">
      <c r="A1430" s="99" t="s">
        <v>60</v>
      </c>
      <c r="B1430" s="49"/>
      <c r="C1430" s="147" t="n">
        <v>0.0875</v>
      </c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</row>
    <row r="1431" customFormat="false" ht="12.75" hidden="false" customHeight="false" outlineLevel="0" collapsed="false">
      <c r="A1431" s="99"/>
      <c r="B1431" s="49"/>
      <c r="C1431" s="107"/>
      <c r="D1431" s="58" t="n">
        <v>2001</v>
      </c>
      <c r="E1431" s="58" t="n">
        <v>2002</v>
      </c>
      <c r="F1431" s="58" t="n">
        <v>2003</v>
      </c>
      <c r="G1431" s="58" t="n">
        <v>2004</v>
      </c>
      <c r="H1431" s="58" t="n">
        <v>2005</v>
      </c>
      <c r="I1431" s="58" t="n">
        <v>2006</v>
      </c>
      <c r="J1431" s="58" t="n">
        <v>2007</v>
      </c>
      <c r="K1431" s="58" t="n">
        <v>2008</v>
      </c>
      <c r="L1431" s="58" t="n">
        <v>2009</v>
      </c>
      <c r="M1431" s="58" t="n">
        <v>2010</v>
      </c>
      <c r="N1431" s="58" t="n">
        <v>2011</v>
      </c>
      <c r="O1431" s="58" t="n">
        <v>2012</v>
      </c>
      <c r="P1431" s="58" t="n">
        <v>2013</v>
      </c>
      <c r="Q1431" s="58" t="n">
        <v>2014</v>
      </c>
      <c r="R1431" s="58" t="n">
        <v>2015</v>
      </c>
      <c r="S1431" s="58" t="n">
        <v>2016</v>
      </c>
      <c r="T1431" s="58" t="n">
        <v>2017</v>
      </c>
      <c r="U1431" s="58" t="n">
        <v>2018</v>
      </c>
      <c r="V1431" s="58" t="n">
        <v>2019</v>
      </c>
      <c r="W1431" s="58" t="s">
        <v>19</v>
      </c>
    </row>
    <row r="1432" customFormat="false" ht="12.75" hidden="false" customHeight="false" outlineLevel="0" collapsed="false">
      <c r="A1432" s="99" t="s">
        <v>61</v>
      </c>
      <c r="B1432" s="49"/>
      <c r="C1432" s="107"/>
      <c r="D1432" s="102" t="n">
        <v>0</v>
      </c>
      <c r="E1432" s="102" t="n">
        <v>0</v>
      </c>
      <c r="F1432" s="102" t="n">
        <v>0</v>
      </c>
      <c r="G1432" s="102" t="n">
        <v>0</v>
      </c>
      <c r="H1432" s="102" t="n">
        <v>0</v>
      </c>
      <c r="I1432" s="102" t="n">
        <v>0</v>
      </c>
      <c r="J1432" s="102" t="n">
        <v>0</v>
      </c>
      <c r="K1432" s="102" t="n">
        <v>0</v>
      </c>
      <c r="L1432" s="102" t="n">
        <v>0</v>
      </c>
      <c r="M1432" s="102" t="n">
        <v>0</v>
      </c>
      <c r="N1432" s="102" t="n">
        <v>0</v>
      </c>
      <c r="O1432" s="102" t="n">
        <v>0</v>
      </c>
      <c r="P1432" s="102" t="n">
        <v>0</v>
      </c>
      <c r="Q1432" s="102" t="n">
        <v>0</v>
      </c>
      <c r="R1432" s="102" t="n">
        <v>0</v>
      </c>
      <c r="S1432" s="102" t="n">
        <v>0</v>
      </c>
      <c r="T1432" s="102" t="n">
        <v>0</v>
      </c>
      <c r="U1432" s="102" t="n">
        <v>0</v>
      </c>
      <c r="V1432" s="102" t="n">
        <v>0</v>
      </c>
      <c r="W1432" s="102" t="n">
        <v>0</v>
      </c>
    </row>
    <row r="1433" customFormat="false" ht="12.75" hidden="false" customHeight="false" outlineLevel="0" collapsed="false">
      <c r="A1433" s="99" t="s">
        <v>62</v>
      </c>
      <c r="B1433" s="49"/>
      <c r="C1433" s="107"/>
      <c r="D1433" s="102" t="n">
        <v>0</v>
      </c>
      <c r="E1433" s="102" t="n">
        <v>0</v>
      </c>
      <c r="F1433" s="102" t="n">
        <v>0</v>
      </c>
      <c r="G1433" s="102" t="n">
        <v>0</v>
      </c>
      <c r="H1433" s="102" t="n">
        <v>0</v>
      </c>
      <c r="I1433" s="102" t="n">
        <v>0</v>
      </c>
      <c r="J1433" s="102" t="n">
        <v>0</v>
      </c>
      <c r="K1433" s="102" t="n">
        <v>0</v>
      </c>
      <c r="L1433" s="102" t="n">
        <v>0</v>
      </c>
      <c r="M1433" s="102" t="n">
        <v>0</v>
      </c>
      <c r="N1433" s="102" t="n">
        <v>0</v>
      </c>
      <c r="O1433" s="102" t="n">
        <v>0</v>
      </c>
      <c r="P1433" s="102" t="n">
        <v>0</v>
      </c>
      <c r="Q1433" s="102" t="n">
        <v>0</v>
      </c>
      <c r="R1433" s="102" t="n">
        <v>0</v>
      </c>
      <c r="S1433" s="102" t="n">
        <v>0</v>
      </c>
      <c r="T1433" s="102" t="n">
        <v>0</v>
      </c>
      <c r="U1433" s="102" t="n">
        <v>0</v>
      </c>
      <c r="V1433" s="102" t="n">
        <v>0</v>
      </c>
      <c r="W1433" s="102" t="n">
        <v>0</v>
      </c>
    </row>
    <row r="1434" customFormat="false" ht="12.75" hidden="false" customHeight="false" outlineLevel="0" collapsed="false">
      <c r="A1434" s="99" t="s">
        <v>63</v>
      </c>
      <c r="B1434" s="49"/>
      <c r="C1434" s="107"/>
      <c r="D1434" s="102" t="n">
        <v>0</v>
      </c>
      <c r="E1434" s="102" t="n">
        <v>0</v>
      </c>
      <c r="F1434" s="102" t="n">
        <v>0</v>
      </c>
      <c r="G1434" s="102" t="n">
        <v>0</v>
      </c>
      <c r="H1434" s="102" t="n">
        <v>0</v>
      </c>
      <c r="I1434" s="102" t="n">
        <v>0</v>
      </c>
      <c r="J1434" s="102" t="n">
        <v>0</v>
      </c>
      <c r="K1434" s="102" t="n">
        <v>0</v>
      </c>
      <c r="L1434" s="102" t="n">
        <v>0</v>
      </c>
      <c r="M1434" s="102" t="n">
        <v>0</v>
      </c>
      <c r="N1434" s="102" t="n">
        <v>0</v>
      </c>
      <c r="O1434" s="102" t="n">
        <v>0</v>
      </c>
      <c r="P1434" s="102" t="n">
        <v>0</v>
      </c>
      <c r="Q1434" s="102" t="n">
        <v>0</v>
      </c>
      <c r="R1434" s="102" t="n">
        <v>0</v>
      </c>
      <c r="S1434" s="102" t="n">
        <v>0</v>
      </c>
      <c r="T1434" s="102" t="n">
        <v>0</v>
      </c>
      <c r="U1434" s="102" t="n">
        <v>0</v>
      </c>
      <c r="V1434" s="102" t="n">
        <v>0</v>
      </c>
      <c r="W1434" s="102" t="n">
        <v>0</v>
      </c>
    </row>
    <row r="1435" customFormat="false" ht="12.75" hidden="false" customHeight="false" outlineLevel="0" collapsed="false">
      <c r="A1435" s="99" t="s">
        <v>64</v>
      </c>
      <c r="B1435" s="49"/>
      <c r="C1435" s="107"/>
      <c r="D1435" s="105" t="n">
        <v>0</v>
      </c>
      <c r="E1435" s="105" t="n">
        <v>0</v>
      </c>
      <c r="F1435" s="105" t="n">
        <v>0</v>
      </c>
      <c r="G1435" s="105" t="n">
        <v>0</v>
      </c>
      <c r="H1435" s="105" t="n">
        <v>0</v>
      </c>
      <c r="I1435" s="105" t="n">
        <v>0</v>
      </c>
      <c r="J1435" s="105" t="n">
        <v>0</v>
      </c>
      <c r="K1435" s="105" t="n">
        <v>0</v>
      </c>
      <c r="L1435" s="105" t="n">
        <v>0</v>
      </c>
      <c r="M1435" s="105" t="n">
        <v>0</v>
      </c>
      <c r="N1435" s="105" t="n">
        <v>0</v>
      </c>
      <c r="O1435" s="105" t="n">
        <v>0</v>
      </c>
      <c r="P1435" s="105" t="n">
        <v>0</v>
      </c>
      <c r="Q1435" s="105" t="n">
        <v>0</v>
      </c>
      <c r="R1435" s="105" t="n">
        <v>0</v>
      </c>
      <c r="S1435" s="105" t="n">
        <v>0</v>
      </c>
      <c r="T1435" s="105" t="n">
        <v>0</v>
      </c>
      <c r="U1435" s="105" t="n">
        <v>0</v>
      </c>
      <c r="V1435" s="105" t="n">
        <v>0</v>
      </c>
      <c r="W1435" s="105" t="n">
        <v>0</v>
      </c>
    </row>
    <row r="1436" customFormat="false" ht="13.5" hidden="false" customHeight="false" outlineLevel="0" collapsed="false">
      <c r="A1436" s="99" t="s">
        <v>65</v>
      </c>
      <c r="B1436" s="49"/>
      <c r="C1436" s="107"/>
      <c r="D1436" s="106" t="n">
        <v>0</v>
      </c>
      <c r="E1436" s="106" t="n">
        <v>0</v>
      </c>
      <c r="F1436" s="106" t="n">
        <v>0</v>
      </c>
      <c r="G1436" s="106" t="n">
        <v>0</v>
      </c>
      <c r="H1436" s="106" t="n">
        <v>0</v>
      </c>
      <c r="I1436" s="106" t="n">
        <v>0</v>
      </c>
      <c r="J1436" s="106" t="n">
        <v>0</v>
      </c>
      <c r="K1436" s="106" t="n">
        <v>0</v>
      </c>
      <c r="L1436" s="106" t="n">
        <v>0</v>
      </c>
      <c r="M1436" s="106" t="n">
        <v>0</v>
      </c>
      <c r="N1436" s="106" t="n">
        <v>0</v>
      </c>
      <c r="O1436" s="106" t="n">
        <v>0</v>
      </c>
      <c r="P1436" s="106" t="n">
        <v>0</v>
      </c>
      <c r="Q1436" s="106" t="n">
        <v>0</v>
      </c>
      <c r="R1436" s="106" t="n">
        <v>0</v>
      </c>
      <c r="S1436" s="106" t="n">
        <v>0</v>
      </c>
      <c r="T1436" s="106" t="n">
        <v>0</v>
      </c>
      <c r="U1436" s="106" t="n">
        <v>0</v>
      </c>
      <c r="V1436" s="106" t="n">
        <v>0</v>
      </c>
      <c r="W1436" s="106" t="n">
        <v>0</v>
      </c>
    </row>
    <row r="1437" customFormat="false" ht="13.5" hidden="false" customHeight="false" outlineLevel="0" collapsed="false">
      <c r="A1437" s="99"/>
      <c r="B1437" s="49"/>
      <c r="C1437" s="107"/>
      <c r="D1437" s="102"/>
      <c r="E1437" s="102"/>
      <c r="F1437" s="102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102"/>
    </row>
    <row r="1438" customFormat="false" ht="12.75" hidden="false" customHeight="false" outlineLevel="0" collapsed="false">
      <c r="A1438" s="99" t="s">
        <v>66</v>
      </c>
      <c r="B1438" s="49"/>
      <c r="C1438" s="107"/>
      <c r="D1438" s="102" t="n">
        <v>0</v>
      </c>
      <c r="E1438" s="102" t="n">
        <v>0</v>
      </c>
      <c r="F1438" s="102" t="n">
        <v>0</v>
      </c>
      <c r="G1438" s="102" t="n">
        <v>0</v>
      </c>
      <c r="H1438" s="102" t="n">
        <v>0</v>
      </c>
      <c r="I1438" s="102" t="n">
        <v>0</v>
      </c>
      <c r="J1438" s="102" t="n">
        <v>0</v>
      </c>
      <c r="K1438" s="102" t="n">
        <v>0</v>
      </c>
      <c r="L1438" s="102" t="n">
        <v>0</v>
      </c>
      <c r="M1438" s="102" t="n">
        <v>0</v>
      </c>
      <c r="N1438" s="102" t="n">
        <v>0</v>
      </c>
      <c r="O1438" s="102" t="n">
        <v>0</v>
      </c>
      <c r="P1438" s="102" t="n">
        <v>0</v>
      </c>
      <c r="Q1438" s="102" t="n">
        <v>0</v>
      </c>
      <c r="R1438" s="102" t="n">
        <v>0</v>
      </c>
      <c r="S1438" s="102" t="n">
        <v>0</v>
      </c>
      <c r="T1438" s="102" t="n">
        <v>0</v>
      </c>
      <c r="U1438" s="102" t="n">
        <v>0</v>
      </c>
      <c r="V1438" s="102" t="n">
        <v>0</v>
      </c>
      <c r="W1438" s="102" t="n">
        <v>0</v>
      </c>
    </row>
    <row r="1439" customFormat="false" ht="12.75" hidden="false" customHeight="false" outlineLevel="0" collapsed="false">
      <c r="A1439" s="99"/>
      <c r="B1439" s="49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</row>
    <row r="1440" customFormat="false" ht="12.75" hidden="false" customHeight="false" outlineLevel="0" collapsed="false">
      <c r="A1440" s="99" t="s">
        <v>67</v>
      </c>
      <c r="B1440" s="49"/>
      <c r="C1440" s="107"/>
      <c r="D1440" s="102" t="n">
        <v>0</v>
      </c>
      <c r="E1440" s="102" t="n">
        <v>0</v>
      </c>
      <c r="F1440" s="102" t="n">
        <v>0</v>
      </c>
      <c r="G1440" s="102" t="n">
        <v>0</v>
      </c>
      <c r="H1440" s="102" t="n">
        <v>0</v>
      </c>
      <c r="I1440" s="102" t="n">
        <v>0</v>
      </c>
      <c r="J1440" s="102" t="n">
        <v>0</v>
      </c>
      <c r="K1440" s="102" t="n">
        <v>0</v>
      </c>
      <c r="L1440" s="102" t="n">
        <v>0</v>
      </c>
      <c r="M1440" s="102" t="n">
        <v>0</v>
      </c>
      <c r="N1440" s="102" t="n">
        <v>0</v>
      </c>
      <c r="O1440" s="102" t="n">
        <v>0</v>
      </c>
      <c r="P1440" s="102" t="n">
        <v>0</v>
      </c>
      <c r="Q1440" s="102" t="n">
        <v>0</v>
      </c>
      <c r="R1440" s="102" t="n">
        <v>0</v>
      </c>
      <c r="S1440" s="102" t="n">
        <v>0</v>
      </c>
      <c r="T1440" s="102" t="n">
        <v>0</v>
      </c>
      <c r="U1440" s="102" t="n">
        <v>0</v>
      </c>
      <c r="V1440" s="102" t="n">
        <v>0</v>
      </c>
      <c r="W1440" s="102" t="n">
        <v>0</v>
      </c>
    </row>
    <row r="1441" customFormat="false" ht="12.75" hidden="false" customHeight="false" outlineLevel="0" collapsed="false">
      <c r="A1441" s="107"/>
      <c r="B1441" s="49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</row>
    <row r="1442" customFormat="false" ht="12.75" hidden="false" customHeight="false" outlineLevel="0" collapsed="false">
      <c r="A1442" s="107"/>
      <c r="B1442" s="49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</row>
    <row r="1443" customFormat="false" ht="12.75" hidden="false" customHeight="false" outlineLevel="0" collapsed="false">
      <c r="A1443" s="99" t="s">
        <v>68</v>
      </c>
      <c r="B1443" s="148"/>
      <c r="C1443" s="149"/>
      <c r="D1443" s="79" t="n">
        <v>1073276.87235152</v>
      </c>
      <c r="E1443" s="79" t="n">
        <v>726861.130515627</v>
      </c>
      <c r="F1443" s="79" t="n">
        <v>528278.803528419</v>
      </c>
      <c r="G1443" s="79" t="n">
        <v>427401.720653858</v>
      </c>
      <c r="H1443" s="79" t="n">
        <v>269562.300124745</v>
      </c>
      <c r="I1443" s="79" t="n">
        <v>115250.840833429</v>
      </c>
      <c r="J1443" s="79" t="n">
        <v>144895.276019295</v>
      </c>
      <c r="K1443" s="79" t="n">
        <v>277691.031948583</v>
      </c>
      <c r="L1443" s="79" t="n">
        <v>293391.227903232</v>
      </c>
      <c r="M1443" s="79" t="n">
        <v>353299.405051699</v>
      </c>
      <c r="N1443" s="79" t="n">
        <v>164746.983759717</v>
      </c>
      <c r="O1443" s="79" t="n">
        <v>219418.241456105</v>
      </c>
      <c r="P1443" s="79" t="n">
        <v>238373.520038052</v>
      </c>
      <c r="Q1443" s="79" t="n">
        <v>319639.628355016</v>
      </c>
      <c r="R1443" s="79" t="n">
        <v>184206.557213259</v>
      </c>
      <c r="S1443" s="79" t="n">
        <v>60965.0405166835</v>
      </c>
      <c r="T1443" s="79" t="n">
        <v>140253.666901407</v>
      </c>
      <c r="U1443" s="79" t="n">
        <v>174676.826193057</v>
      </c>
      <c r="V1443" s="79" t="n">
        <v>50430.9184543421</v>
      </c>
      <c r="W1443" s="79" t="n">
        <v>1171161.11906903</v>
      </c>
    </row>
    <row r="1444" customFormat="false" ht="12.75" hidden="false" customHeight="false" outlineLevel="0" collapsed="false">
      <c r="A1444" s="2"/>
      <c r="B1444" s="31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</row>
    <row r="1445" customFormat="false" ht="12.75" hidden="false" customHeight="false" outlineLevel="0" collapsed="false">
      <c r="B1445" s="126"/>
      <c r="C1445" s="138"/>
      <c r="D1445" s="165"/>
      <c r="E1445" s="165"/>
      <c r="F1445" s="165"/>
      <c r="G1445" s="165"/>
      <c r="H1445" s="165"/>
      <c r="I1445" s="165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</row>
    <row r="1446" customFormat="false" ht="12.75" hidden="false" customHeight="false" outlineLevel="0" collapsed="false">
      <c r="C1446" s="134"/>
      <c r="E1446" s="163"/>
      <c r="F1446" s="128"/>
      <c r="G1446" s="136"/>
    </row>
    <row r="1447" customFormat="false" ht="15.75" hidden="false" customHeight="false" outlineLevel="0" collapsed="false">
      <c r="A1447" s="167"/>
      <c r="B1447" s="168"/>
    </row>
    <row r="1448" customFormat="false" ht="12.75" hidden="false" customHeight="false" outlineLevel="0" collapsed="false">
      <c r="A1448" s="169"/>
      <c r="B1448" s="115"/>
      <c r="C1448" s="101"/>
      <c r="D1448" s="170"/>
      <c r="E1448" s="170"/>
      <c r="F1448" s="170"/>
      <c r="G1448" s="170"/>
      <c r="H1448" s="170"/>
      <c r="I1448" s="170"/>
      <c r="J1448" s="170"/>
      <c r="K1448" s="170"/>
      <c r="L1448" s="170"/>
      <c r="M1448" s="170"/>
      <c r="N1448" s="170"/>
      <c r="O1448" s="170"/>
      <c r="P1448" s="170"/>
      <c r="Q1448" s="170"/>
      <c r="R1448" s="170"/>
      <c r="S1448" s="170"/>
      <c r="T1448" s="170"/>
      <c r="U1448" s="170"/>
      <c r="V1448" s="170"/>
      <c r="W1448" s="170"/>
    </row>
    <row r="1449" customFormat="false" ht="12.75" hidden="false" customHeight="false" outlineLevel="0" collapsed="false">
      <c r="A1449" s="169"/>
      <c r="B1449" s="115"/>
      <c r="C1449" s="171"/>
      <c r="D1449" s="170"/>
      <c r="E1449" s="170"/>
      <c r="F1449" s="170"/>
      <c r="G1449" s="170"/>
      <c r="H1449" s="170"/>
      <c r="I1449" s="170"/>
      <c r="J1449" s="170"/>
      <c r="K1449" s="170"/>
      <c r="L1449" s="170"/>
      <c r="M1449" s="170"/>
      <c r="N1449" s="170"/>
      <c r="O1449" s="170"/>
      <c r="P1449" s="170"/>
      <c r="Q1449" s="170"/>
      <c r="R1449" s="170"/>
      <c r="S1449" s="170"/>
      <c r="T1449" s="170"/>
      <c r="U1449" s="170"/>
      <c r="V1449" s="170"/>
      <c r="W1449" s="170"/>
    </row>
    <row r="1450" customFormat="false" ht="12.75" hidden="false" customHeight="false" outlineLevel="0" collapsed="false">
      <c r="A1450" s="169"/>
      <c r="B1450" s="115"/>
      <c r="C1450" s="169"/>
      <c r="D1450" s="170"/>
      <c r="E1450" s="170"/>
      <c r="F1450" s="170"/>
      <c r="G1450" s="170"/>
      <c r="H1450" s="170"/>
      <c r="I1450" s="170"/>
      <c r="J1450" s="170"/>
      <c r="K1450" s="170"/>
      <c r="L1450" s="170"/>
      <c r="M1450" s="170"/>
      <c r="N1450" s="170"/>
      <c r="O1450" s="170"/>
      <c r="P1450" s="170"/>
      <c r="Q1450" s="170"/>
      <c r="R1450" s="170"/>
      <c r="S1450" s="170"/>
      <c r="T1450" s="170"/>
      <c r="U1450" s="170"/>
      <c r="V1450" s="170"/>
      <c r="W1450" s="170"/>
    </row>
    <row r="1451" customFormat="false" ht="12.75" hidden="false" customHeight="false" outlineLevel="0" collapsed="false">
      <c r="A1451" s="169"/>
      <c r="B1451" s="115"/>
      <c r="C1451" s="171"/>
      <c r="D1451" s="170"/>
      <c r="E1451" s="170"/>
      <c r="F1451" s="170"/>
      <c r="G1451" s="170"/>
      <c r="H1451" s="170"/>
      <c r="I1451" s="170"/>
      <c r="J1451" s="170"/>
      <c r="K1451" s="170"/>
      <c r="L1451" s="170"/>
      <c r="M1451" s="170"/>
      <c r="N1451" s="170"/>
      <c r="O1451" s="170"/>
      <c r="P1451" s="170"/>
      <c r="Q1451" s="170"/>
      <c r="R1451" s="170"/>
      <c r="S1451" s="170"/>
      <c r="T1451" s="170"/>
      <c r="U1451" s="170"/>
      <c r="V1451" s="170"/>
      <c r="W1451" s="170"/>
    </row>
    <row r="1452" customFormat="false" ht="15.75" hidden="false" customHeight="false" outlineLevel="0" collapsed="false">
      <c r="A1452" s="48" t="s">
        <v>17</v>
      </c>
      <c r="B1452" s="57" t="s">
        <v>91</v>
      </c>
      <c r="C1452" s="58" t="n">
        <v>2000</v>
      </c>
      <c r="D1452" s="58" t="n">
        <v>2001</v>
      </c>
      <c r="E1452" s="58" t="n">
        <v>2002</v>
      </c>
      <c r="F1452" s="58" t="n">
        <v>2003</v>
      </c>
      <c r="G1452" s="58" t="n">
        <v>2004</v>
      </c>
      <c r="H1452" s="58" t="n">
        <v>2005</v>
      </c>
      <c r="I1452" s="58" t="n">
        <v>2006</v>
      </c>
      <c r="J1452" s="58" t="n">
        <v>2007</v>
      </c>
      <c r="K1452" s="58" t="n">
        <v>2008</v>
      </c>
      <c r="L1452" s="58" t="n">
        <v>2009</v>
      </c>
      <c r="M1452" s="58" t="n">
        <v>2010</v>
      </c>
      <c r="N1452" s="58" t="n">
        <v>2011</v>
      </c>
      <c r="O1452" s="58" t="n">
        <v>2012</v>
      </c>
      <c r="P1452" s="58" t="n">
        <v>2013</v>
      </c>
      <c r="Q1452" s="58" t="n">
        <v>2014</v>
      </c>
      <c r="R1452" s="58" t="n">
        <v>2015</v>
      </c>
      <c r="S1452" s="58" t="n">
        <v>2016</v>
      </c>
      <c r="T1452" s="58" t="n">
        <v>2017</v>
      </c>
      <c r="U1452" s="58" t="n">
        <v>2018</v>
      </c>
      <c r="V1452" s="58" t="n">
        <v>2019</v>
      </c>
      <c r="W1452" s="58" t="s">
        <v>19</v>
      </c>
    </row>
    <row r="1453" customFormat="false" ht="12.75" hidden="false" customHeight="false" outlineLevel="0" collapsed="false">
      <c r="A1453" s="48" t="s">
        <v>5</v>
      </c>
      <c r="B1453" s="49" t="n">
        <v>56.8</v>
      </c>
      <c r="C1453" s="61"/>
      <c r="D1453" s="61"/>
      <c r="E1453" s="61"/>
      <c r="F1453" s="61"/>
      <c r="G1453" s="61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</row>
    <row r="1454" customFormat="false" ht="12.75" hidden="false" customHeight="false" outlineLevel="0" collapsed="false">
      <c r="A1454" s="2"/>
      <c r="B1454" s="117" t="s">
        <v>20</v>
      </c>
      <c r="C1454" s="118" t="n">
        <v>0</v>
      </c>
      <c r="D1454" s="64" t="n">
        <v>3844271.39760767</v>
      </c>
      <c r="E1454" s="64" t="n">
        <v>2931550.17298433</v>
      </c>
      <c r="F1454" s="64" t="n">
        <v>2267996.8102526</v>
      </c>
      <c r="G1454" s="64" t="n">
        <v>1925370.14717898</v>
      </c>
      <c r="H1454" s="64" t="n">
        <v>2077472.82135567</v>
      </c>
      <c r="I1454" s="64" t="n">
        <v>1610849.23915176</v>
      </c>
      <c r="J1454" s="64" t="n">
        <v>1883387.55531215</v>
      </c>
      <c r="K1454" s="64" t="n">
        <v>3095037.9112197</v>
      </c>
      <c r="L1454" s="64" t="n">
        <v>2828916.85919541</v>
      </c>
      <c r="M1454" s="64" t="n">
        <v>3162444.79920072</v>
      </c>
      <c r="N1454" s="64" t="n">
        <v>2818399.41062385</v>
      </c>
      <c r="O1454" s="64" t="n">
        <v>2913201.96394875</v>
      </c>
      <c r="P1454" s="64" t="n">
        <v>3233273.49974358</v>
      </c>
      <c r="Q1454" s="64" t="n">
        <v>4002044.27187834</v>
      </c>
      <c r="R1454" s="64" t="n">
        <v>3150552.63673758</v>
      </c>
      <c r="S1454" s="64" t="n">
        <v>2776098.14435422</v>
      </c>
      <c r="T1454" s="64" t="n">
        <v>3333784.36313856</v>
      </c>
      <c r="U1454" s="64" t="n">
        <v>4026995.29738897</v>
      </c>
      <c r="V1454" s="64" t="n">
        <v>3649712.34854026</v>
      </c>
      <c r="W1454" s="65"/>
    </row>
    <row r="1455" customFormat="false" ht="12.75" hidden="false" customHeight="false" outlineLevel="0" collapsed="false">
      <c r="A1455" s="2"/>
      <c r="B1455" s="117" t="s">
        <v>21</v>
      </c>
      <c r="C1455" s="118" t="n">
        <v>0</v>
      </c>
      <c r="D1455" s="64" t="n">
        <v>-543837.696994752</v>
      </c>
      <c r="E1455" s="64" t="n">
        <v>-630580.645867559</v>
      </c>
      <c r="F1455" s="64" t="n">
        <v>-505386.526093085</v>
      </c>
      <c r="G1455" s="64" t="n">
        <v>-461470.644407486</v>
      </c>
      <c r="H1455" s="64" t="n">
        <v>-719220.55454409</v>
      </c>
      <c r="I1455" s="64" t="n">
        <v>-685831.193703138</v>
      </c>
      <c r="J1455" s="64" t="n">
        <v>-827132.390362623</v>
      </c>
      <c r="K1455" s="64" t="n">
        <v>-1446222.94328697</v>
      </c>
      <c r="L1455" s="64" t="n">
        <v>-1224826.63180646</v>
      </c>
      <c r="M1455" s="64" t="n">
        <v>-1322084.0535918</v>
      </c>
      <c r="N1455" s="64" t="n">
        <v>-1458508.42509118</v>
      </c>
      <c r="O1455" s="64" t="n">
        <v>-1394558.46444075</v>
      </c>
      <c r="P1455" s="64" t="n">
        <v>-1592522.81687873</v>
      </c>
      <c r="Q1455" s="64" t="n">
        <v>-1954819.56222908</v>
      </c>
      <c r="R1455" s="64" t="n">
        <v>-1570817.64389433</v>
      </c>
      <c r="S1455" s="64" t="n">
        <v>-1559741.67595135</v>
      </c>
      <c r="T1455" s="64" t="n">
        <v>-1817164.14993406</v>
      </c>
      <c r="U1455" s="64" t="n">
        <v>-2261084.97261816</v>
      </c>
      <c r="V1455" s="64" t="n">
        <v>-2301536.79513828</v>
      </c>
      <c r="W1455" s="65"/>
    </row>
    <row r="1456" customFormat="false" ht="12.75" hidden="false" customHeight="false" outlineLevel="0" collapsed="false">
      <c r="A1456" s="2"/>
      <c r="B1456" s="117" t="s">
        <v>22</v>
      </c>
      <c r="C1456" s="118" t="n">
        <v>0</v>
      </c>
      <c r="D1456" s="64" t="n">
        <v>-26149.5320948153</v>
      </c>
      <c r="E1456" s="64" t="n">
        <v>-33390.8955901576</v>
      </c>
      <c r="F1456" s="64" t="n">
        <v>-28324.0830933115</v>
      </c>
      <c r="G1456" s="64" t="n">
        <v>-26352.1023822395</v>
      </c>
      <c r="H1456" s="64" t="n">
        <v>-41083.9012194587</v>
      </c>
      <c r="I1456" s="64" t="n">
        <v>-39302.3572537464</v>
      </c>
      <c r="J1456" s="64" t="n">
        <v>-48486.8594573195</v>
      </c>
      <c r="K1456" s="64" t="n">
        <v>-92380.6501332123</v>
      </c>
      <c r="L1456" s="64" t="n">
        <v>-78534.0752727138</v>
      </c>
      <c r="M1456" s="64" t="n">
        <v>-83526.6652969526</v>
      </c>
      <c r="N1456" s="64" t="n">
        <v>-91137.9568219247</v>
      </c>
      <c r="O1456" s="64" t="n">
        <v>-89861.8255552171</v>
      </c>
      <c r="P1456" s="64" t="n">
        <v>-99058.8357152579</v>
      </c>
      <c r="Q1456" s="64" t="n">
        <v>-124763.574575235</v>
      </c>
      <c r="R1456" s="64" t="n">
        <v>-94100.302674863</v>
      </c>
      <c r="S1456" s="64" t="n">
        <v>-90745.5153864001</v>
      </c>
      <c r="T1456" s="64" t="n">
        <v>-105113.240002726</v>
      </c>
      <c r="U1456" s="64" t="n">
        <v>-125306.179578267</v>
      </c>
      <c r="V1456" s="64" t="n">
        <v>-127040.080534178</v>
      </c>
      <c r="W1456" s="65"/>
    </row>
    <row r="1457" customFormat="false" ht="12.75" hidden="false" customHeight="false" outlineLevel="0" collapsed="false">
      <c r="A1457" s="2"/>
      <c r="B1457" s="117" t="s">
        <v>23</v>
      </c>
      <c r="C1457" s="118" t="n">
        <v>0</v>
      </c>
      <c r="D1457" s="64" t="n">
        <v>0</v>
      </c>
      <c r="E1457" s="64" t="n">
        <v>0</v>
      </c>
      <c r="F1457" s="64" t="n">
        <v>0</v>
      </c>
      <c r="G1457" s="64" t="n">
        <v>0</v>
      </c>
      <c r="H1457" s="64" t="n">
        <v>0</v>
      </c>
      <c r="I1457" s="64" t="n">
        <v>-9627.73966084982</v>
      </c>
      <c r="J1457" s="64" t="n">
        <v>-12912.8104362831</v>
      </c>
      <c r="K1457" s="64" t="n">
        <v>-27703.2019118236</v>
      </c>
      <c r="L1457" s="64" t="n">
        <v>-24366.2312312286</v>
      </c>
      <c r="M1457" s="64" t="n">
        <v>-28209.1747390681</v>
      </c>
      <c r="N1457" s="64" t="n">
        <v>-33333.5079562172</v>
      </c>
      <c r="O1457" s="64" t="n">
        <v>-35615.3479057235</v>
      </c>
      <c r="P1457" s="64" t="n">
        <v>-43127.4399584548</v>
      </c>
      <c r="Q1457" s="64" t="n">
        <v>-59365.3790746905</v>
      </c>
      <c r="R1457" s="64" t="n">
        <v>-48618.0974933086</v>
      </c>
      <c r="S1457" s="64" t="n">
        <v>-50425.7077817617</v>
      </c>
      <c r="T1457" s="64" t="n">
        <v>-56248.2483816223</v>
      </c>
      <c r="U1457" s="64" t="n">
        <v>-56203.9340031488</v>
      </c>
      <c r="V1457" s="64" t="n">
        <v>-58014.0837063115</v>
      </c>
      <c r="W1457" s="65"/>
    </row>
    <row r="1458" customFormat="false" ht="13.5" hidden="false" customHeight="false" outlineLevel="0" collapsed="false">
      <c r="A1458" s="2"/>
      <c r="B1458" s="119" t="s">
        <v>24</v>
      </c>
      <c r="C1458" s="120" t="n">
        <v>0</v>
      </c>
      <c r="D1458" s="68" t="n">
        <v>0</v>
      </c>
      <c r="E1458" s="68" t="n">
        <v>0</v>
      </c>
      <c r="F1458" s="68" t="n">
        <v>0</v>
      </c>
      <c r="G1458" s="68" t="n">
        <v>0</v>
      </c>
      <c r="H1458" s="68" t="n">
        <v>0</v>
      </c>
      <c r="I1458" s="68" t="n">
        <v>-9627.73966084982</v>
      </c>
      <c r="J1458" s="68" t="n">
        <v>-12912.8104362831</v>
      </c>
      <c r="K1458" s="68" t="n">
        <v>-27703.2019118236</v>
      </c>
      <c r="L1458" s="68" t="n">
        <v>-24366.2312312286</v>
      </c>
      <c r="M1458" s="68" t="n">
        <v>-28209.1747390681</v>
      </c>
      <c r="N1458" s="68" t="n">
        <v>-33333.5079562172</v>
      </c>
      <c r="O1458" s="68" t="n">
        <v>-35615.3479057235</v>
      </c>
      <c r="P1458" s="68" t="n">
        <v>-43127.4399584548</v>
      </c>
      <c r="Q1458" s="68" t="n">
        <v>-59365.3790746905</v>
      </c>
      <c r="R1458" s="68" t="n">
        <v>-48618.0974933086</v>
      </c>
      <c r="S1458" s="68" t="n">
        <v>-50425.7077817617</v>
      </c>
      <c r="T1458" s="68" t="n">
        <v>-56248.2483816223</v>
      </c>
      <c r="U1458" s="68" t="n">
        <v>-56203.9340031488</v>
      </c>
      <c r="V1458" s="68" t="n">
        <v>-58014.0837063115</v>
      </c>
      <c r="W1458" s="65"/>
    </row>
    <row r="1459" customFormat="false" ht="13.5" hidden="false" customHeight="false" outlineLevel="0" collapsed="false">
      <c r="A1459" s="2"/>
      <c r="B1459" s="121" t="s">
        <v>25</v>
      </c>
      <c r="C1459" s="122" t="n">
        <v>0</v>
      </c>
      <c r="D1459" s="71" t="n">
        <v>3274284.1685181</v>
      </c>
      <c r="E1459" s="71" t="n">
        <v>2267578.63152662</v>
      </c>
      <c r="F1459" s="71" t="n">
        <v>1734286.2010662</v>
      </c>
      <c r="G1459" s="71" t="n">
        <v>1437547.40038926</v>
      </c>
      <c r="H1459" s="71" t="n">
        <v>1317168.36559212</v>
      </c>
      <c r="I1459" s="71" t="n">
        <v>866460.208873179</v>
      </c>
      <c r="J1459" s="71" t="n">
        <v>981942.684619646</v>
      </c>
      <c r="K1459" s="71" t="n">
        <v>1501027.91397586</v>
      </c>
      <c r="L1459" s="71" t="n">
        <v>1476823.68965377</v>
      </c>
      <c r="M1459" s="71" t="n">
        <v>1700415.73083383</v>
      </c>
      <c r="N1459" s="71" t="n">
        <v>1202086.01279831</v>
      </c>
      <c r="O1459" s="71" t="n">
        <v>1357550.97814134</v>
      </c>
      <c r="P1459" s="71" t="n">
        <v>1455436.96723269</v>
      </c>
      <c r="Q1459" s="71" t="n">
        <v>1803730.37692464</v>
      </c>
      <c r="R1459" s="71" t="n">
        <v>1388398.49518178</v>
      </c>
      <c r="S1459" s="71" t="n">
        <v>1024759.53745295</v>
      </c>
      <c r="T1459" s="71" t="n">
        <v>1299010.47643853</v>
      </c>
      <c r="U1459" s="71" t="n">
        <v>1528196.27718624</v>
      </c>
      <c r="V1459" s="71" t="n">
        <v>1105107.30545518</v>
      </c>
      <c r="W1459" s="65"/>
    </row>
    <row r="1460" customFormat="false" ht="12.75" hidden="false" customHeight="false" outlineLevel="0" collapsed="false">
      <c r="A1460" s="2"/>
      <c r="B1460" s="117" t="s">
        <v>26</v>
      </c>
      <c r="C1460" s="118" t="n">
        <v>0</v>
      </c>
      <c r="D1460" s="64" t="n">
        <v>-192749.915375502</v>
      </c>
      <c r="E1460" s="64" t="n">
        <v>-196604.913683012</v>
      </c>
      <c r="F1460" s="64" t="n">
        <v>-200537.011956672</v>
      </c>
      <c r="G1460" s="64" t="n">
        <v>-204547.752195805</v>
      </c>
      <c r="H1460" s="64" t="n">
        <v>-208638.707239721</v>
      </c>
      <c r="I1460" s="64" t="n">
        <v>-212811.481384516</v>
      </c>
      <c r="J1460" s="64" t="n">
        <v>-217067.711012206</v>
      </c>
      <c r="K1460" s="64" t="n">
        <v>-221409.06523245</v>
      </c>
      <c r="L1460" s="64" t="n">
        <v>-225837.246537099</v>
      </c>
      <c r="M1460" s="64" t="n">
        <v>-230353.991467841</v>
      </c>
      <c r="N1460" s="64" t="n">
        <v>-234961.071297198</v>
      </c>
      <c r="O1460" s="64" t="n">
        <v>-239660.292723142</v>
      </c>
      <c r="P1460" s="64" t="n">
        <v>-244453.498577605</v>
      </c>
      <c r="Q1460" s="64" t="n">
        <v>-249342.568549157</v>
      </c>
      <c r="R1460" s="64" t="n">
        <v>-254329.41992014</v>
      </c>
      <c r="S1460" s="64" t="n">
        <v>-259416.008318543</v>
      </c>
      <c r="T1460" s="64" t="n">
        <v>-264604.328484914</v>
      </c>
      <c r="U1460" s="64" t="n">
        <v>-269896.415054612</v>
      </c>
      <c r="V1460" s="64" t="n">
        <v>-275294.343355704</v>
      </c>
      <c r="W1460" s="65"/>
    </row>
    <row r="1461" customFormat="false" ht="12.75" hidden="false" customHeight="false" outlineLevel="0" collapsed="false">
      <c r="A1461" s="2"/>
      <c r="B1461" s="117" t="s">
        <v>27</v>
      </c>
      <c r="C1461" s="118" t="n">
        <v>0</v>
      </c>
      <c r="D1461" s="64" t="n">
        <v>-59295.153725</v>
      </c>
      <c r="E1461" s="64" t="n">
        <v>-59295.153725</v>
      </c>
      <c r="F1461" s="64" t="n">
        <v>-59295.153725</v>
      </c>
      <c r="G1461" s="64" t="n">
        <v>-59295.153725</v>
      </c>
      <c r="H1461" s="64" t="n">
        <v>-59295.153725</v>
      </c>
      <c r="I1461" s="64" t="n">
        <v>-59295.153725</v>
      </c>
      <c r="J1461" s="64" t="n">
        <v>-59295.153725</v>
      </c>
      <c r="K1461" s="64" t="n">
        <v>-59295.153725</v>
      </c>
      <c r="L1461" s="64" t="n">
        <v>-59295.153725</v>
      </c>
      <c r="M1461" s="64" t="n">
        <v>-59295.153725</v>
      </c>
      <c r="N1461" s="64" t="n">
        <v>-59295.153725</v>
      </c>
      <c r="O1461" s="64" t="n">
        <v>-59295.153725</v>
      </c>
      <c r="P1461" s="64" t="n">
        <v>-59295.153725</v>
      </c>
      <c r="Q1461" s="64" t="n">
        <v>-59295.153725</v>
      </c>
      <c r="R1461" s="64" t="n">
        <v>-59295.153725</v>
      </c>
      <c r="S1461" s="64" t="n">
        <v>-59295.153725</v>
      </c>
      <c r="T1461" s="64" t="n">
        <v>-59295.153725</v>
      </c>
      <c r="U1461" s="64" t="n">
        <v>-59295.153725</v>
      </c>
      <c r="V1461" s="64" t="n">
        <v>-59295.153725</v>
      </c>
      <c r="W1461" s="65"/>
    </row>
    <row r="1462" customFormat="false" ht="13.5" hidden="false" customHeight="false" outlineLevel="0" collapsed="false">
      <c r="A1462" s="2"/>
      <c r="B1462" s="119" t="s">
        <v>28</v>
      </c>
      <c r="C1462" s="120" t="n">
        <v>0</v>
      </c>
      <c r="D1462" s="68" t="n">
        <v>-5527.55051293718</v>
      </c>
      <c r="E1462" s="68" t="n">
        <v>-5644.18182876019</v>
      </c>
      <c r="F1462" s="68" t="n">
        <v>-5767.78941081004</v>
      </c>
      <c r="G1462" s="68" t="n">
        <v>-5898.14145149431</v>
      </c>
      <c r="H1462" s="68" t="n">
        <v>-6038.51721803988</v>
      </c>
      <c r="I1462" s="68" t="n">
        <v>-6189.84306658695</v>
      </c>
      <c r="J1462" s="68" t="n">
        <v>-6343.36841874663</v>
      </c>
      <c r="K1462" s="68" t="n">
        <v>-6503.93218246666</v>
      </c>
      <c r="L1462" s="68" t="n">
        <v>-6664.57930737359</v>
      </c>
      <c r="M1462" s="68" t="n">
        <v>-6834.52607971159</v>
      </c>
      <c r="N1462" s="68" t="n">
        <v>-6999.92161084065</v>
      </c>
      <c r="O1462" s="68" t="n">
        <v>-7176.31963543381</v>
      </c>
      <c r="P1462" s="68" t="n">
        <v>-7358.59815417381</v>
      </c>
      <c r="Q1462" s="68" t="n">
        <v>-7542.56310802815</v>
      </c>
      <c r="R1462" s="68" t="n">
        <v>-7731.88144203966</v>
      </c>
      <c r="S1462" s="68" t="n">
        <v>-7925.17847809067</v>
      </c>
      <c r="T1462" s="68" t="n">
        <v>-8121.7229043473</v>
      </c>
      <c r="U1462" s="68" t="n">
        <v>-8325.57814924644</v>
      </c>
      <c r="V1462" s="68" t="n">
        <v>-8534.55016079252</v>
      </c>
      <c r="W1462" s="65"/>
    </row>
    <row r="1463" customFormat="false" ht="13.5" hidden="false" customHeight="false" outlineLevel="0" collapsed="false">
      <c r="A1463" s="2"/>
      <c r="B1463" s="121" t="s">
        <v>29</v>
      </c>
      <c r="C1463" s="123" t="n">
        <v>0</v>
      </c>
      <c r="D1463" s="73" t="n">
        <v>3016711.54890466</v>
      </c>
      <c r="E1463" s="73" t="n">
        <v>2006034.38228985</v>
      </c>
      <c r="F1463" s="73" t="n">
        <v>1468686.24597372</v>
      </c>
      <c r="G1463" s="73" t="n">
        <v>1167806.35301696</v>
      </c>
      <c r="H1463" s="73" t="n">
        <v>1043195.98740936</v>
      </c>
      <c r="I1463" s="73" t="n">
        <v>588163.730697076</v>
      </c>
      <c r="J1463" s="73" t="n">
        <v>699236.451463693</v>
      </c>
      <c r="K1463" s="73" t="n">
        <v>1213819.76283595</v>
      </c>
      <c r="L1463" s="73" t="n">
        <v>1185026.7100843</v>
      </c>
      <c r="M1463" s="73" t="n">
        <v>1403932.05956128</v>
      </c>
      <c r="N1463" s="73" t="n">
        <v>900829.86616527</v>
      </c>
      <c r="O1463" s="73" t="n">
        <v>1051419.21205777</v>
      </c>
      <c r="P1463" s="73" t="n">
        <v>1144329.71677591</v>
      </c>
      <c r="Q1463" s="73" t="n">
        <v>1487550.09154246</v>
      </c>
      <c r="R1463" s="73" t="n">
        <v>1067042.0400946</v>
      </c>
      <c r="S1463" s="73" t="n">
        <v>698123.196931315</v>
      </c>
      <c r="T1463" s="73" t="n">
        <v>966989.271324268</v>
      </c>
      <c r="U1463" s="73" t="n">
        <v>1190679.13025738</v>
      </c>
      <c r="V1463" s="73" t="n">
        <v>761983.258213684</v>
      </c>
      <c r="W1463" s="65"/>
    </row>
    <row r="1464" customFormat="false" ht="12.75" hidden="false" customHeight="false" outlineLevel="0" collapsed="false">
      <c r="A1464" s="2"/>
      <c r="B1464" s="117" t="s">
        <v>30</v>
      </c>
      <c r="C1464" s="118" t="n">
        <v>0</v>
      </c>
      <c r="D1464" s="64" t="n">
        <v>-302992.977436233</v>
      </c>
      <c r="E1464" s="64" t="n">
        <v>-278092.363976974</v>
      </c>
      <c r="F1464" s="64" t="n">
        <v>-242651.16683061</v>
      </c>
      <c r="G1464" s="64" t="n">
        <v>-206725.223396639</v>
      </c>
      <c r="H1464" s="64" t="n">
        <v>-192897.867679699</v>
      </c>
      <c r="I1464" s="64" t="n">
        <v>-194104.789039936</v>
      </c>
      <c r="J1464" s="64" t="n">
        <v>-208273.900276874</v>
      </c>
      <c r="K1464" s="64" t="n">
        <v>-221502.799047936</v>
      </c>
      <c r="L1464" s="64" t="n">
        <v>-234579.441468274</v>
      </c>
      <c r="M1464" s="64" t="n">
        <v>-246830.169742366</v>
      </c>
      <c r="N1464" s="64" t="n">
        <v>-242986.096784284</v>
      </c>
      <c r="O1464" s="64" t="n">
        <v>-238358.338317509</v>
      </c>
      <c r="P1464" s="64" t="n">
        <v>-250476.838922556</v>
      </c>
      <c r="Q1464" s="64" t="n">
        <v>-192805.764862979</v>
      </c>
      <c r="R1464" s="64" t="n">
        <v>-135738.582148036</v>
      </c>
      <c r="S1464" s="64" t="n">
        <v>-148722.766600877</v>
      </c>
      <c r="T1464" s="64" t="n">
        <v>-162096.476587304</v>
      </c>
      <c r="U1464" s="64" t="n">
        <v>-175871.397873323</v>
      </c>
      <c r="V1464" s="64" t="n">
        <v>-190059.566797923</v>
      </c>
      <c r="W1464" s="65"/>
    </row>
    <row r="1465" customFormat="false" ht="13.5" hidden="false" customHeight="false" outlineLevel="0" collapsed="false">
      <c r="A1465" s="2"/>
      <c r="B1465" s="119" t="s">
        <v>70</v>
      </c>
      <c r="C1465" s="120" t="n">
        <v>0</v>
      </c>
      <c r="D1465" s="68" t="n">
        <v>-1085487.42858737</v>
      </c>
      <c r="E1465" s="68" t="n">
        <v>-691176.807325149</v>
      </c>
      <c r="F1465" s="68" t="n">
        <v>-490414.031657244</v>
      </c>
      <c r="G1465" s="68" t="n">
        <v>-384432.451848128</v>
      </c>
      <c r="H1465" s="68" t="n">
        <v>-340119.247891864</v>
      </c>
      <c r="I1465" s="68" t="n">
        <v>-157623.576662856</v>
      </c>
      <c r="J1465" s="68" t="n">
        <v>-196385.020474728</v>
      </c>
      <c r="K1465" s="68" t="n">
        <v>-396926.785515203</v>
      </c>
      <c r="L1465" s="68" t="n">
        <v>-380178.90744641</v>
      </c>
      <c r="M1465" s="68" t="n">
        <v>-462840.755927565</v>
      </c>
      <c r="N1465" s="68" t="n">
        <v>-263137.507752394</v>
      </c>
      <c r="O1465" s="68" t="n">
        <v>-325224.349496103</v>
      </c>
      <c r="P1465" s="68" t="n">
        <v>-357541.151141341</v>
      </c>
      <c r="Q1465" s="68" t="n">
        <v>-517897.730671792</v>
      </c>
      <c r="R1465" s="68" t="n">
        <v>-372521.383178624</v>
      </c>
      <c r="S1465" s="68" t="n">
        <v>-219760.172132175</v>
      </c>
      <c r="T1465" s="68" t="n">
        <v>-321957.117894786</v>
      </c>
      <c r="U1465" s="68" t="n">
        <v>-405923.092953625</v>
      </c>
      <c r="V1465" s="68" t="n">
        <v>-228769.476566305</v>
      </c>
      <c r="W1465" s="65"/>
    </row>
    <row r="1466" customFormat="false" ht="13.5" hidden="false" customHeight="false" outlineLevel="0" collapsed="false">
      <c r="A1466" s="2"/>
      <c r="B1466" s="121" t="s">
        <v>32</v>
      </c>
      <c r="C1466" s="123" t="n">
        <v>0</v>
      </c>
      <c r="D1466" s="73" t="n">
        <v>1628231.14288106</v>
      </c>
      <c r="E1466" s="73" t="n">
        <v>1036765.21098772</v>
      </c>
      <c r="F1466" s="73" t="n">
        <v>735621.047485866</v>
      </c>
      <c r="G1466" s="73" t="n">
        <v>576648.677772192</v>
      </c>
      <c r="H1466" s="73" t="n">
        <v>510178.871837796</v>
      </c>
      <c r="I1466" s="73" t="n">
        <v>236435.364994284</v>
      </c>
      <c r="J1466" s="73" t="n">
        <v>294577.530712091</v>
      </c>
      <c r="K1466" s="73" t="n">
        <v>595390.178272805</v>
      </c>
      <c r="L1466" s="73" t="n">
        <v>570268.361169615</v>
      </c>
      <c r="M1466" s="73" t="n">
        <v>694261.133891348</v>
      </c>
      <c r="N1466" s="73" t="n">
        <v>394706.261628592</v>
      </c>
      <c r="O1466" s="73" t="n">
        <v>487836.524244155</v>
      </c>
      <c r="P1466" s="73" t="n">
        <v>536311.726712012</v>
      </c>
      <c r="Q1466" s="73" t="n">
        <v>776846.596007688</v>
      </c>
      <c r="R1466" s="73" t="n">
        <v>558782.074767936</v>
      </c>
      <c r="S1466" s="73" t="n">
        <v>329640.258198263</v>
      </c>
      <c r="T1466" s="73" t="n">
        <v>482935.676842179</v>
      </c>
      <c r="U1466" s="73" t="n">
        <v>608884.639430437</v>
      </c>
      <c r="V1466" s="73" t="n">
        <v>343154.214849457</v>
      </c>
      <c r="W1466" s="65"/>
    </row>
    <row r="1467" customFormat="false" ht="12.75" hidden="false" customHeight="false" outlineLevel="0" collapsed="false">
      <c r="A1467" s="2"/>
      <c r="B1467" s="117" t="s">
        <v>30</v>
      </c>
      <c r="C1467" s="118" t="n">
        <v>0</v>
      </c>
      <c r="D1467" s="64" t="n">
        <v>302992.977436233</v>
      </c>
      <c r="E1467" s="64" t="n">
        <v>278092.363976974</v>
      </c>
      <c r="F1467" s="64" t="n">
        <v>242651.16683061</v>
      </c>
      <c r="G1467" s="64" t="n">
        <v>206725.223396639</v>
      </c>
      <c r="H1467" s="64" t="n">
        <v>192897.867679699</v>
      </c>
      <c r="I1467" s="64" t="n">
        <v>194104.789039936</v>
      </c>
      <c r="J1467" s="64" t="n">
        <v>208273.900276874</v>
      </c>
      <c r="K1467" s="64" t="n">
        <v>221502.799047936</v>
      </c>
      <c r="L1467" s="64" t="n">
        <v>234579.441468274</v>
      </c>
      <c r="M1467" s="64" t="n">
        <v>246830.169742366</v>
      </c>
      <c r="N1467" s="64" t="n">
        <v>242986.096784284</v>
      </c>
      <c r="O1467" s="64" t="n">
        <v>238358.338317509</v>
      </c>
      <c r="P1467" s="64" t="n">
        <v>250476.838922556</v>
      </c>
      <c r="Q1467" s="64" t="n">
        <v>192805.764862979</v>
      </c>
      <c r="R1467" s="64" t="n">
        <v>135738.582148036</v>
      </c>
      <c r="S1467" s="64" t="n">
        <v>148722.766600877</v>
      </c>
      <c r="T1467" s="64" t="n">
        <v>162096.476587304</v>
      </c>
      <c r="U1467" s="64" t="n">
        <v>175871.397873323</v>
      </c>
      <c r="V1467" s="64" t="n">
        <v>190059.566797923</v>
      </c>
      <c r="W1467" s="65"/>
    </row>
    <row r="1468" customFormat="false" ht="12.75" hidden="false" customHeight="false" outlineLevel="0" collapsed="false">
      <c r="A1468" s="2"/>
      <c r="B1468" s="117" t="s">
        <v>33</v>
      </c>
      <c r="C1468" s="118" t="n">
        <v>0</v>
      </c>
      <c r="D1468" s="64" t="n">
        <v>-1752.08</v>
      </c>
      <c r="E1468" s="64" t="n">
        <v>-1822.8</v>
      </c>
      <c r="F1468" s="64" t="n">
        <v>-1896.4</v>
      </c>
      <c r="G1468" s="64" t="n">
        <v>-1980.72</v>
      </c>
      <c r="H1468" s="64" t="n">
        <v>-200000</v>
      </c>
      <c r="I1468" s="64" t="n">
        <v>-206000</v>
      </c>
      <c r="J1468" s="64" t="n">
        <v>-212180</v>
      </c>
      <c r="K1468" s="64" t="n">
        <v>-218545.4</v>
      </c>
      <c r="L1468" s="64" t="n">
        <v>-225101.762</v>
      </c>
      <c r="M1468" s="64" t="n">
        <v>-231854.81486</v>
      </c>
      <c r="N1468" s="64" t="n">
        <v>-238810.4593058</v>
      </c>
      <c r="O1468" s="64" t="n">
        <v>-245974.773084974</v>
      </c>
      <c r="P1468" s="64" t="n">
        <v>-253354.016277523</v>
      </c>
      <c r="Q1468" s="64" t="n">
        <v>-260954.636765849</v>
      </c>
      <c r="R1468" s="64" t="n">
        <v>-268783.275868824</v>
      </c>
      <c r="S1468" s="64" t="n">
        <v>-276846.774144889</v>
      </c>
      <c r="T1468" s="64" t="n">
        <v>-285152.177369236</v>
      </c>
      <c r="U1468" s="64" t="n">
        <v>-293706.742690313</v>
      </c>
      <c r="V1468" s="64" t="n">
        <v>-302517.944971022</v>
      </c>
      <c r="W1468" s="65"/>
    </row>
    <row r="1469" customFormat="false" ht="13.5" hidden="false" customHeight="false" outlineLevel="0" collapsed="false">
      <c r="A1469" s="2"/>
      <c r="B1469" s="119" t="s">
        <v>34</v>
      </c>
      <c r="C1469" s="120" t="n">
        <v>0</v>
      </c>
      <c r="D1469" s="68" t="n">
        <v>0</v>
      </c>
      <c r="E1469" s="68" t="n">
        <v>0</v>
      </c>
      <c r="F1469" s="68" t="n">
        <v>0</v>
      </c>
      <c r="G1469" s="68" t="n">
        <v>0</v>
      </c>
      <c r="H1469" s="68" t="n">
        <v>0</v>
      </c>
      <c r="I1469" s="68" t="n">
        <v>0</v>
      </c>
      <c r="J1469" s="68" t="n">
        <v>0</v>
      </c>
      <c r="K1469" s="68" t="n">
        <v>0</v>
      </c>
      <c r="L1469" s="68" t="n">
        <v>0</v>
      </c>
      <c r="M1469" s="68" t="n">
        <v>0</v>
      </c>
      <c r="N1469" s="68" t="n">
        <v>0</v>
      </c>
      <c r="O1469" s="68" t="n">
        <v>0</v>
      </c>
      <c r="P1469" s="68" t="n">
        <v>0</v>
      </c>
      <c r="Q1469" s="68" t="n">
        <v>0</v>
      </c>
      <c r="R1469" s="68" t="n">
        <v>0</v>
      </c>
      <c r="S1469" s="68" t="n">
        <v>0</v>
      </c>
      <c r="T1469" s="68" t="n">
        <v>0</v>
      </c>
      <c r="U1469" s="68" t="n">
        <v>0</v>
      </c>
      <c r="V1469" s="68" t="n">
        <v>0</v>
      </c>
      <c r="W1469" s="65"/>
    </row>
    <row r="1470" customFormat="false" ht="13.5" hidden="false" customHeight="false" outlineLevel="0" collapsed="false">
      <c r="A1470" s="2"/>
      <c r="B1470" s="117"/>
      <c r="C1470" s="124"/>
      <c r="D1470" s="65"/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5"/>
      <c r="P1470" s="65"/>
      <c r="Q1470" s="65"/>
      <c r="R1470" s="65"/>
      <c r="S1470" s="65"/>
      <c r="T1470" s="65"/>
      <c r="U1470" s="65"/>
      <c r="V1470" s="65"/>
      <c r="W1470" s="65"/>
    </row>
    <row r="1471" customFormat="false" ht="12.75" hidden="false" customHeight="false" outlineLevel="0" collapsed="false">
      <c r="A1471" s="2"/>
      <c r="B1471" s="121" t="s">
        <v>35</v>
      </c>
      <c r="C1471" s="123" t="n">
        <v>0</v>
      </c>
      <c r="D1471" s="73" t="n">
        <v>1929472.04031729</v>
      </c>
      <c r="E1471" s="73" t="n">
        <v>1313034.7749647</v>
      </c>
      <c r="F1471" s="73" t="n">
        <v>976375.814316475</v>
      </c>
      <c r="G1471" s="73" t="n">
        <v>781393.181168831</v>
      </c>
      <c r="H1471" s="73" t="n">
        <v>503076.739517495</v>
      </c>
      <c r="I1471" s="73" t="n">
        <v>224540.15403422</v>
      </c>
      <c r="J1471" s="73" t="n">
        <v>290671.430988965</v>
      </c>
      <c r="K1471" s="73" t="n">
        <v>598347.577320742</v>
      </c>
      <c r="L1471" s="73" t="n">
        <v>579746.040637889</v>
      </c>
      <c r="M1471" s="73" t="n">
        <v>709236.488773714</v>
      </c>
      <c r="N1471" s="73" t="n">
        <v>398881.899107075</v>
      </c>
      <c r="O1471" s="73" t="n">
        <v>480220.08947669</v>
      </c>
      <c r="P1471" s="73" t="n">
        <v>533434.549357044</v>
      </c>
      <c r="Q1471" s="73" t="n">
        <v>708697.724104818</v>
      </c>
      <c r="R1471" s="73" t="n">
        <v>425737.381047148</v>
      </c>
      <c r="S1471" s="73" t="n">
        <v>201516.250654251</v>
      </c>
      <c r="T1471" s="73" t="n">
        <v>359879.976060247</v>
      </c>
      <c r="U1471" s="73" t="n">
        <v>491049.294613447</v>
      </c>
      <c r="V1471" s="73" t="n">
        <v>230695.836676357</v>
      </c>
      <c r="W1471" s="71" t="n">
        <v>2789233.75567574</v>
      </c>
    </row>
    <row r="1472" customFormat="false" ht="12.75" hidden="false" customHeight="false" outlineLevel="0" collapsed="false">
      <c r="A1472" s="2"/>
      <c r="B1472" s="125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</row>
    <row r="1473" customFormat="false" ht="12.75" hidden="false" customHeight="false" outlineLevel="0" collapsed="false">
      <c r="A1473" s="48" t="s">
        <v>36</v>
      </c>
      <c r="B1473" s="126" t="s">
        <v>37</v>
      </c>
      <c r="C1473" s="76" t="n">
        <v>4418856.92968855</v>
      </c>
      <c r="D1473" s="2"/>
      <c r="E1473" s="127" t="s">
        <v>38</v>
      </c>
      <c r="F1473" s="128" t="s">
        <v>37</v>
      </c>
      <c r="G1473" s="79" t="n">
        <v>4418856.92968855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</row>
    <row r="1474" customFormat="false" ht="12.75" hidden="false" customHeight="false" outlineLevel="0" collapsed="false">
      <c r="A1474" s="2"/>
      <c r="B1474" s="126" t="s">
        <v>39</v>
      </c>
      <c r="C1474" s="76" t="n">
        <v>2051323.58397608</v>
      </c>
      <c r="D1474" s="2"/>
      <c r="E1474" s="129"/>
      <c r="F1474" s="128" t="s">
        <v>39</v>
      </c>
      <c r="G1474" s="79" t="n">
        <v>2051323.58397608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</row>
    <row r="1475" customFormat="false" ht="13.5" hidden="false" customHeight="false" outlineLevel="0" collapsed="false">
      <c r="A1475" s="2"/>
      <c r="B1475" s="130" t="s">
        <v>40</v>
      </c>
      <c r="C1475" s="82" t="n">
        <v>414601.82485105</v>
      </c>
      <c r="D1475" s="131"/>
      <c r="E1475" s="129"/>
      <c r="F1475" s="128" t="s">
        <v>40</v>
      </c>
      <c r="G1475" s="79" t="n">
        <v>414601.82485105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</row>
    <row r="1476" customFormat="false" ht="14.25" hidden="false" customHeight="false" outlineLevel="0" collapsed="false">
      <c r="A1476" s="2"/>
      <c r="B1476" s="126" t="s">
        <v>41</v>
      </c>
      <c r="C1476" s="76" t="n">
        <v>6884782.33851568</v>
      </c>
      <c r="D1476" s="132"/>
      <c r="E1476" s="129"/>
      <c r="F1476" s="133" t="s">
        <v>42</v>
      </c>
      <c r="G1476" s="85" t="n">
        <v>0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</row>
    <row r="1477" customFormat="false" ht="13.5" hidden="false" customHeight="false" outlineLevel="0" collapsed="false">
      <c r="A1477" s="2"/>
      <c r="B1477" s="125"/>
      <c r="C1477" s="134"/>
      <c r="D1477" s="2"/>
      <c r="E1477" s="135"/>
      <c r="F1477" s="128" t="s">
        <v>41</v>
      </c>
      <c r="G1477" s="79" t="n">
        <v>6884782.33851568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</row>
    <row r="1478" customFormat="false" ht="12.75" hidden="false" customHeight="false" outlineLevel="0" collapsed="false">
      <c r="A1478" s="2"/>
      <c r="B1478" s="125"/>
      <c r="C1478" s="134"/>
      <c r="D1478" s="2"/>
      <c r="E1478" s="135"/>
      <c r="F1478" s="128"/>
      <c r="G1478" s="136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</row>
    <row r="1479" customFormat="false" ht="12.75" hidden="false" customHeight="false" outlineLevel="0" collapsed="false">
      <c r="A1479" s="2"/>
      <c r="B1479" s="125"/>
      <c r="C1479" s="134"/>
      <c r="D1479" s="2"/>
      <c r="E1479" s="135"/>
      <c r="F1479" s="128"/>
      <c r="G1479" s="136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customFormat="false" ht="12.75" hidden="false" customHeight="false" outlineLevel="0" collapsed="false">
      <c r="A1480" s="2"/>
      <c r="B1480" s="137" t="s">
        <v>43</v>
      </c>
      <c r="C1480" s="134"/>
      <c r="D1480" s="2"/>
      <c r="E1480" s="135"/>
      <c r="F1480" s="128"/>
      <c r="G1480" s="136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customFormat="false" ht="12.75" hidden="false" customHeight="false" outlineLevel="0" collapsed="false">
      <c r="A1481" s="87" t="s">
        <v>44</v>
      </c>
      <c r="B1481" s="137" t="s">
        <v>45</v>
      </c>
      <c r="C1481" s="138"/>
      <c r="D1481" s="88" t="n">
        <v>1628231.14288106</v>
      </c>
      <c r="E1481" s="88" t="n">
        <v>1036765.21098772</v>
      </c>
      <c r="F1481" s="88" t="n">
        <v>735621.047485866</v>
      </c>
      <c r="G1481" s="88" t="n">
        <v>576648.677772192</v>
      </c>
      <c r="H1481" s="88" t="n">
        <v>510178.871837796</v>
      </c>
      <c r="I1481" s="88" t="n">
        <v>236435.364994284</v>
      </c>
      <c r="J1481" s="88" t="n">
        <v>294577.530712091</v>
      </c>
      <c r="K1481" s="88" t="n">
        <v>595390.178272805</v>
      </c>
      <c r="L1481" s="88" t="n">
        <v>570268.361169615</v>
      </c>
      <c r="M1481" s="88" t="n">
        <v>694261.133891348</v>
      </c>
      <c r="N1481" s="88" t="n">
        <v>394706.261628592</v>
      </c>
      <c r="O1481" s="88" t="n">
        <v>487836.524244155</v>
      </c>
      <c r="P1481" s="88" t="n">
        <v>536311.726712012</v>
      </c>
      <c r="Q1481" s="88" t="n">
        <v>776846.596007688</v>
      </c>
      <c r="R1481" s="88" t="n">
        <v>558782.074767936</v>
      </c>
      <c r="S1481" s="88" t="n">
        <v>329640.258198263</v>
      </c>
      <c r="T1481" s="88" t="n">
        <v>482935.676842179</v>
      </c>
      <c r="U1481" s="88" t="n">
        <v>608884.639430437</v>
      </c>
      <c r="V1481" s="88" t="n">
        <v>343154.214849457</v>
      </c>
      <c r="W1481" s="2"/>
    </row>
    <row r="1482" customFormat="false" ht="12.75" hidden="false" customHeight="false" outlineLevel="0" collapsed="false">
      <c r="A1482" s="2"/>
      <c r="B1482" s="125" t="s">
        <v>46</v>
      </c>
      <c r="C1482" s="134"/>
      <c r="D1482" s="65" t="n">
        <v>1085487.42858737</v>
      </c>
      <c r="E1482" s="65" t="n">
        <v>691176.807325149</v>
      </c>
      <c r="F1482" s="65" t="n">
        <v>490414.031657244</v>
      </c>
      <c r="G1482" s="65" t="n">
        <v>384432.451848128</v>
      </c>
      <c r="H1482" s="65" t="n">
        <v>340119.247891864</v>
      </c>
      <c r="I1482" s="65" t="n">
        <v>157623.576662856</v>
      </c>
      <c r="J1482" s="65" t="n">
        <v>196385.020474728</v>
      </c>
      <c r="K1482" s="65" t="n">
        <v>396926.785515203</v>
      </c>
      <c r="L1482" s="65" t="n">
        <v>380178.90744641</v>
      </c>
      <c r="M1482" s="65" t="n">
        <v>462840.755927565</v>
      </c>
      <c r="N1482" s="65" t="n">
        <v>263137.507752394</v>
      </c>
      <c r="O1482" s="65" t="n">
        <v>325224.349496103</v>
      </c>
      <c r="P1482" s="65" t="n">
        <v>357541.151141341</v>
      </c>
      <c r="Q1482" s="65" t="n">
        <v>517897.730671792</v>
      </c>
      <c r="R1482" s="65" t="n">
        <v>372521.383178624</v>
      </c>
      <c r="S1482" s="65" t="n">
        <v>219760.172132175</v>
      </c>
      <c r="T1482" s="65" t="n">
        <v>321957.117894786</v>
      </c>
      <c r="U1482" s="65" t="n">
        <v>405923.092953625</v>
      </c>
      <c r="V1482" s="65" t="n">
        <v>228769.476566305</v>
      </c>
      <c r="W1482" s="2"/>
    </row>
    <row r="1483" customFormat="false" ht="12.75" hidden="false" customHeight="false" outlineLevel="0" collapsed="false">
      <c r="A1483" s="2"/>
      <c r="B1483" s="139" t="s">
        <v>47</v>
      </c>
      <c r="C1483" s="140"/>
      <c r="D1483" s="65" t="n">
        <v>302992.977436233</v>
      </c>
      <c r="E1483" s="65" t="n">
        <v>278092.363976974</v>
      </c>
      <c r="F1483" s="65" t="n">
        <v>242651.16683061</v>
      </c>
      <c r="G1483" s="65" t="n">
        <v>206725.223396639</v>
      </c>
      <c r="H1483" s="65" t="n">
        <v>192897.867679699</v>
      </c>
      <c r="I1483" s="65" t="n">
        <v>194104.789039936</v>
      </c>
      <c r="J1483" s="65" t="n">
        <v>208273.900276874</v>
      </c>
      <c r="K1483" s="65" t="n">
        <v>221502.799047936</v>
      </c>
      <c r="L1483" s="65" t="n">
        <v>234579.441468274</v>
      </c>
      <c r="M1483" s="65" t="n">
        <v>246830.169742366</v>
      </c>
      <c r="N1483" s="65" t="n">
        <v>242986.096784284</v>
      </c>
      <c r="O1483" s="65" t="n">
        <v>238358.338317509</v>
      </c>
      <c r="P1483" s="65" t="n">
        <v>250476.838922556</v>
      </c>
      <c r="Q1483" s="65" t="n">
        <v>192805.764862979</v>
      </c>
      <c r="R1483" s="65" t="n">
        <v>135738.582148036</v>
      </c>
      <c r="S1483" s="65" t="n">
        <v>148722.766600877</v>
      </c>
      <c r="T1483" s="65" t="n">
        <v>162096.476587304</v>
      </c>
      <c r="U1483" s="65" t="n">
        <v>175871.397873323</v>
      </c>
      <c r="V1483" s="65" t="n">
        <v>190059.566797923</v>
      </c>
      <c r="W1483" s="2"/>
    </row>
    <row r="1484" customFormat="false" ht="13.5" hidden="false" customHeight="false" outlineLevel="0" collapsed="false">
      <c r="A1484" s="2"/>
      <c r="B1484" s="141" t="s">
        <v>48</v>
      </c>
      <c r="C1484" s="142"/>
      <c r="D1484" s="93" t="n">
        <v>3016711.54890466</v>
      </c>
      <c r="E1484" s="93" t="n">
        <v>2006034.38228985</v>
      </c>
      <c r="F1484" s="93" t="n">
        <v>1468686.24597372</v>
      </c>
      <c r="G1484" s="93" t="n">
        <v>1167806.35301696</v>
      </c>
      <c r="H1484" s="93" t="n">
        <v>1043195.98740936</v>
      </c>
      <c r="I1484" s="93" t="n">
        <v>588163.730697076</v>
      </c>
      <c r="J1484" s="93" t="n">
        <v>699236.451463693</v>
      </c>
      <c r="K1484" s="93" t="n">
        <v>1213819.76283595</v>
      </c>
      <c r="L1484" s="93" t="n">
        <v>1185026.7100843</v>
      </c>
      <c r="M1484" s="93" t="n">
        <v>1403932.05956128</v>
      </c>
      <c r="N1484" s="93" t="n">
        <v>900829.86616527</v>
      </c>
      <c r="O1484" s="93" t="n">
        <v>1051419.21205777</v>
      </c>
      <c r="P1484" s="93" t="n">
        <v>1144329.71677591</v>
      </c>
      <c r="Q1484" s="93" t="n">
        <v>1487550.09154246</v>
      </c>
      <c r="R1484" s="93" t="n">
        <v>1067042.0400946</v>
      </c>
      <c r="S1484" s="93" t="n">
        <v>698123.196931315</v>
      </c>
      <c r="T1484" s="93" t="n">
        <v>966989.271324268</v>
      </c>
      <c r="U1484" s="93" t="n">
        <v>1190679.13025738</v>
      </c>
      <c r="V1484" s="93" t="n">
        <v>761983.258213684</v>
      </c>
      <c r="W1484" s="2"/>
    </row>
    <row r="1485" customFormat="false" ht="13.5" hidden="false" customHeight="false" outlineLevel="0" collapsed="false">
      <c r="A1485" s="87" t="s">
        <v>49</v>
      </c>
      <c r="B1485" s="125" t="s">
        <v>50</v>
      </c>
      <c r="C1485" s="134"/>
      <c r="D1485" s="65" t="n">
        <v>-625019.499552673</v>
      </c>
      <c r="E1485" s="65" t="n">
        <v>-623803.936151949</v>
      </c>
      <c r="F1485" s="65" t="n">
        <v>-619173.103732285</v>
      </c>
      <c r="G1485" s="65" t="n">
        <v>-619206.343477763</v>
      </c>
      <c r="H1485" s="65" t="n">
        <v>-629139.114833371</v>
      </c>
      <c r="I1485" s="65" t="n">
        <v>-639439.114833371</v>
      </c>
      <c r="J1485" s="65" t="n">
        <v>-552705.153003193</v>
      </c>
      <c r="K1485" s="65" t="n">
        <v>-490171.32759566</v>
      </c>
      <c r="L1485" s="65" t="n">
        <v>-466481.105953162</v>
      </c>
      <c r="M1485" s="65" t="n">
        <v>-475040.284287139</v>
      </c>
      <c r="N1485" s="65" t="n">
        <v>-486980.807252429</v>
      </c>
      <c r="O1485" s="65" t="n">
        <v>-499279.545906678</v>
      </c>
      <c r="P1485" s="65" t="n">
        <v>-428276.509661605</v>
      </c>
      <c r="Q1485" s="65" t="n">
        <v>-327004.159167486</v>
      </c>
      <c r="R1485" s="65" t="n">
        <v>-166675.024335687</v>
      </c>
      <c r="S1485" s="65" t="n">
        <v>-169580.51035087</v>
      </c>
      <c r="T1485" s="65" t="n">
        <v>-183091.673056319</v>
      </c>
      <c r="U1485" s="65" t="n">
        <v>-197777.010190834</v>
      </c>
      <c r="V1485" s="65" t="n">
        <v>-212264.508801377</v>
      </c>
      <c r="W1485" s="2"/>
    </row>
    <row r="1486" customFormat="false" ht="12.75" hidden="false" customHeight="false" outlineLevel="0" collapsed="false">
      <c r="A1486" s="2"/>
      <c r="B1486" s="125" t="s">
        <v>51</v>
      </c>
      <c r="C1486" s="134"/>
      <c r="D1486" s="65" t="n">
        <v>0</v>
      </c>
      <c r="E1486" s="65" t="n">
        <v>0</v>
      </c>
      <c r="F1486" s="65" t="n">
        <v>0</v>
      </c>
      <c r="G1486" s="65" t="n">
        <v>0</v>
      </c>
      <c r="H1486" s="65" t="n">
        <v>0</v>
      </c>
      <c r="I1486" s="65" t="n">
        <v>0</v>
      </c>
      <c r="J1486" s="65" t="n">
        <v>0</v>
      </c>
      <c r="K1486" s="65" t="n">
        <v>0</v>
      </c>
      <c r="L1486" s="65" t="n">
        <v>0</v>
      </c>
      <c r="M1486" s="65" t="n">
        <v>0</v>
      </c>
      <c r="N1486" s="65" t="n">
        <v>0</v>
      </c>
      <c r="O1486" s="65" t="n">
        <v>0</v>
      </c>
      <c r="P1486" s="65" t="n">
        <v>0</v>
      </c>
      <c r="Q1486" s="65" t="n">
        <v>0</v>
      </c>
      <c r="R1486" s="65" t="n">
        <v>0</v>
      </c>
      <c r="S1486" s="65" t="n">
        <v>0</v>
      </c>
      <c r="T1486" s="65" t="n">
        <v>0</v>
      </c>
      <c r="U1486" s="65" t="n">
        <v>0</v>
      </c>
      <c r="V1486" s="65" t="n">
        <v>0</v>
      </c>
      <c r="W1486" s="2"/>
    </row>
    <row r="1487" customFormat="false" ht="12.75" hidden="false" customHeight="false" outlineLevel="0" collapsed="false">
      <c r="A1487" s="2"/>
      <c r="B1487" s="137" t="s">
        <v>52</v>
      </c>
      <c r="C1487" s="138"/>
      <c r="D1487" s="88" t="n">
        <v>2391692.04935199</v>
      </c>
      <c r="E1487" s="88" t="n">
        <v>1382230.4461379</v>
      </c>
      <c r="F1487" s="88" t="n">
        <v>849513.142241434</v>
      </c>
      <c r="G1487" s="88" t="n">
        <v>548600.009539196</v>
      </c>
      <c r="H1487" s="88" t="n">
        <v>414056.872575988</v>
      </c>
      <c r="I1487" s="88" t="n">
        <v>-51275.3841362947</v>
      </c>
      <c r="J1487" s="88" t="n">
        <v>146531.2984605</v>
      </c>
      <c r="K1487" s="88" t="n">
        <v>723648.435240285</v>
      </c>
      <c r="L1487" s="88" t="n">
        <v>718545.604131136</v>
      </c>
      <c r="M1487" s="88" t="n">
        <v>928891.775274141</v>
      </c>
      <c r="N1487" s="88" t="n">
        <v>413849.058912841</v>
      </c>
      <c r="O1487" s="88" t="n">
        <v>552139.666151089</v>
      </c>
      <c r="P1487" s="88" t="n">
        <v>716053.207114303</v>
      </c>
      <c r="Q1487" s="88" t="n">
        <v>1160545.93237497</v>
      </c>
      <c r="R1487" s="88" t="n">
        <v>900367.015758909</v>
      </c>
      <c r="S1487" s="88" t="n">
        <v>528542.686580445</v>
      </c>
      <c r="T1487" s="88" t="n">
        <v>783897.598267949</v>
      </c>
      <c r="U1487" s="88" t="n">
        <v>992902.12006655</v>
      </c>
      <c r="V1487" s="88" t="n">
        <v>549718.749412307</v>
      </c>
      <c r="W1487" s="2"/>
    </row>
    <row r="1488" customFormat="false" ht="13.5" hidden="false" customHeight="false" outlineLevel="0" collapsed="false">
      <c r="A1488" s="2"/>
      <c r="B1488" s="143" t="s">
        <v>53</v>
      </c>
      <c r="C1488" s="144"/>
      <c r="D1488" s="96" t="n">
        <v>-956676.819740796</v>
      </c>
      <c r="E1488" s="96" t="n">
        <v>-552892.178455159</v>
      </c>
      <c r="F1488" s="96" t="n">
        <v>-339805.256896574</v>
      </c>
      <c r="G1488" s="96" t="n">
        <v>-219440.003815678</v>
      </c>
      <c r="H1488" s="96" t="n">
        <v>-165622.749030395</v>
      </c>
      <c r="I1488" s="96" t="n">
        <v>20510.1536545179</v>
      </c>
      <c r="J1488" s="96" t="n">
        <v>-58612.5193841998</v>
      </c>
      <c r="K1488" s="96" t="n">
        <v>-289459.374096114</v>
      </c>
      <c r="L1488" s="96" t="n">
        <v>-287418.241652455</v>
      </c>
      <c r="M1488" s="96" t="n">
        <v>-371556.710109656</v>
      </c>
      <c r="N1488" s="96" t="n">
        <v>-165539.623565136</v>
      </c>
      <c r="O1488" s="96" t="n">
        <v>-220855.866460436</v>
      </c>
      <c r="P1488" s="96" t="n">
        <v>-286421.282845721</v>
      </c>
      <c r="Q1488" s="96" t="n">
        <v>-464218.372949989</v>
      </c>
      <c r="R1488" s="96" t="n">
        <v>-360146.806303564</v>
      </c>
      <c r="S1488" s="96" t="n">
        <v>-211417.074632178</v>
      </c>
      <c r="T1488" s="96" t="n">
        <v>-313559.03930718</v>
      </c>
      <c r="U1488" s="96" t="n">
        <v>-397160.84802662</v>
      </c>
      <c r="V1488" s="96" t="n">
        <v>-219887.499764923</v>
      </c>
      <c r="W1488" s="2"/>
    </row>
    <row r="1489" customFormat="false" ht="13.5" hidden="false" customHeight="false" outlineLevel="0" collapsed="false">
      <c r="A1489" s="2"/>
      <c r="B1489" s="137" t="s">
        <v>54</v>
      </c>
      <c r="C1489" s="138"/>
      <c r="D1489" s="88" t="n">
        <v>1435015.22961119</v>
      </c>
      <c r="E1489" s="88" t="n">
        <v>829338.267682738</v>
      </c>
      <c r="F1489" s="88" t="n">
        <v>509707.88534486</v>
      </c>
      <c r="G1489" s="88" t="n">
        <v>329160.005723517</v>
      </c>
      <c r="H1489" s="88" t="n">
        <v>248434.123545593</v>
      </c>
      <c r="I1489" s="88" t="n">
        <v>-30765.2304817768</v>
      </c>
      <c r="J1489" s="88" t="n">
        <v>87918.7790762997</v>
      </c>
      <c r="K1489" s="88" t="n">
        <v>434189.061144171</v>
      </c>
      <c r="L1489" s="88" t="n">
        <v>431127.362478682</v>
      </c>
      <c r="M1489" s="88" t="n">
        <v>557335.065164484</v>
      </c>
      <c r="N1489" s="88" t="n">
        <v>248309.435347705</v>
      </c>
      <c r="O1489" s="88" t="n">
        <v>331283.799690653</v>
      </c>
      <c r="P1489" s="88" t="n">
        <v>429631.924268582</v>
      </c>
      <c r="Q1489" s="88" t="n">
        <v>696327.559424983</v>
      </c>
      <c r="R1489" s="88" t="n">
        <v>540220.209455346</v>
      </c>
      <c r="S1489" s="88" t="n">
        <v>317125.611948267</v>
      </c>
      <c r="T1489" s="88" t="n">
        <v>470338.55896077</v>
      </c>
      <c r="U1489" s="88" t="n">
        <v>595741.27203993</v>
      </c>
      <c r="V1489" s="88" t="n">
        <v>329831.249647384</v>
      </c>
      <c r="W1489" s="2"/>
    </row>
    <row r="1490" customFormat="false" ht="12.75" hidden="false" customHeight="false" outlineLevel="0" collapsed="false">
      <c r="A1490" s="2"/>
      <c r="B1490" s="2"/>
      <c r="C1490" s="134"/>
      <c r="D1490" s="2"/>
      <c r="E1490" s="135"/>
      <c r="F1490" s="128"/>
      <c r="G1490" s="136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</row>
    <row r="1491" customFormat="false" ht="15.75" hidden="false" customHeight="false" outlineLevel="0" collapsed="false">
      <c r="A1491" s="97" t="s">
        <v>55</v>
      </c>
      <c r="B1491" s="145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</row>
    <row r="1492" customFormat="false" ht="12.75" hidden="false" customHeight="false" outlineLevel="0" collapsed="false">
      <c r="A1492" s="99" t="s">
        <v>56</v>
      </c>
      <c r="B1492" s="49"/>
      <c r="C1492" s="101" t="n">
        <v>0</v>
      </c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</row>
    <row r="1493" customFormat="false" ht="12.75" hidden="false" customHeight="false" outlineLevel="0" collapsed="false">
      <c r="A1493" s="99" t="s">
        <v>57</v>
      </c>
      <c r="B1493" s="49"/>
      <c r="C1493" s="146" t="n">
        <v>0</v>
      </c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</row>
    <row r="1494" customFormat="false" ht="12.75" hidden="false" customHeight="false" outlineLevel="0" collapsed="false">
      <c r="A1494" s="99" t="s">
        <v>58</v>
      </c>
      <c r="B1494" s="49"/>
      <c r="C1494" s="99" t="n">
        <v>15</v>
      </c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</row>
    <row r="1495" customFormat="false" ht="12.75" hidden="false" customHeight="false" outlineLevel="0" collapsed="false">
      <c r="A1495" s="99" t="s">
        <v>59</v>
      </c>
      <c r="B1495" s="49"/>
      <c r="C1495" s="146" t="n">
        <v>0</v>
      </c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</row>
    <row r="1496" customFormat="false" ht="12.75" hidden="false" customHeight="false" outlineLevel="0" collapsed="false">
      <c r="A1496" s="99" t="s">
        <v>60</v>
      </c>
      <c r="B1496" s="49"/>
      <c r="C1496" s="147" t="n">
        <v>0.0875</v>
      </c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</row>
    <row r="1497" customFormat="false" ht="12.75" hidden="false" customHeight="false" outlineLevel="0" collapsed="false">
      <c r="A1497" s="99"/>
      <c r="B1497" s="49"/>
      <c r="C1497" s="107"/>
      <c r="D1497" s="58" t="n">
        <v>2001</v>
      </c>
      <c r="E1497" s="58" t="n">
        <v>2002</v>
      </c>
      <c r="F1497" s="58" t="n">
        <v>2003</v>
      </c>
      <c r="G1497" s="58" t="n">
        <v>2004</v>
      </c>
      <c r="H1497" s="58" t="n">
        <v>2005</v>
      </c>
      <c r="I1497" s="58" t="n">
        <v>2006</v>
      </c>
      <c r="J1497" s="58" t="n">
        <v>2007</v>
      </c>
      <c r="K1497" s="58" t="n">
        <v>2008</v>
      </c>
      <c r="L1497" s="58" t="n">
        <v>2009</v>
      </c>
      <c r="M1497" s="58" t="n">
        <v>2010</v>
      </c>
      <c r="N1497" s="58" t="n">
        <v>2011</v>
      </c>
      <c r="O1497" s="58" t="n">
        <v>2012</v>
      </c>
      <c r="P1497" s="58" t="n">
        <v>2013</v>
      </c>
      <c r="Q1497" s="58" t="n">
        <v>2014</v>
      </c>
      <c r="R1497" s="58" t="n">
        <v>2015</v>
      </c>
      <c r="S1497" s="58" t="n">
        <v>2016</v>
      </c>
      <c r="T1497" s="58" t="n">
        <v>2017</v>
      </c>
      <c r="U1497" s="58" t="n">
        <v>2018</v>
      </c>
      <c r="V1497" s="58" t="n">
        <v>2019</v>
      </c>
      <c r="W1497" s="58" t="s">
        <v>19</v>
      </c>
    </row>
    <row r="1498" customFormat="false" ht="12.75" hidden="false" customHeight="false" outlineLevel="0" collapsed="false">
      <c r="A1498" s="99" t="s">
        <v>61</v>
      </c>
      <c r="B1498" s="49"/>
      <c r="C1498" s="107"/>
      <c r="D1498" s="102" t="n">
        <v>0</v>
      </c>
      <c r="E1498" s="102" t="n">
        <v>0</v>
      </c>
      <c r="F1498" s="102" t="n">
        <v>0</v>
      </c>
      <c r="G1498" s="102" t="n">
        <v>0</v>
      </c>
      <c r="H1498" s="102" t="n">
        <v>0</v>
      </c>
      <c r="I1498" s="102" t="n">
        <v>0</v>
      </c>
      <c r="J1498" s="102" t="n">
        <v>0</v>
      </c>
      <c r="K1498" s="102" t="n">
        <v>0</v>
      </c>
      <c r="L1498" s="102" t="n">
        <v>0</v>
      </c>
      <c r="M1498" s="102" t="n">
        <v>0</v>
      </c>
      <c r="N1498" s="102" t="n">
        <v>0</v>
      </c>
      <c r="O1498" s="102" t="n">
        <v>0</v>
      </c>
      <c r="P1498" s="102" t="n">
        <v>0</v>
      </c>
      <c r="Q1498" s="102" t="n">
        <v>0</v>
      </c>
      <c r="R1498" s="102" t="n">
        <v>0</v>
      </c>
      <c r="S1498" s="102" t="n">
        <v>0</v>
      </c>
      <c r="T1498" s="102" t="n">
        <v>0</v>
      </c>
      <c r="U1498" s="102" t="n">
        <v>0</v>
      </c>
      <c r="V1498" s="102" t="n">
        <v>0</v>
      </c>
      <c r="W1498" s="102" t="n">
        <v>0</v>
      </c>
    </row>
    <row r="1499" customFormat="false" ht="12.75" hidden="false" customHeight="false" outlineLevel="0" collapsed="false">
      <c r="A1499" s="99" t="s">
        <v>62</v>
      </c>
      <c r="B1499" s="49"/>
      <c r="C1499" s="107"/>
      <c r="D1499" s="102" t="n">
        <v>0</v>
      </c>
      <c r="E1499" s="102" t="n">
        <v>0</v>
      </c>
      <c r="F1499" s="102" t="n">
        <v>0</v>
      </c>
      <c r="G1499" s="102" t="n">
        <v>0</v>
      </c>
      <c r="H1499" s="102" t="n">
        <v>0</v>
      </c>
      <c r="I1499" s="102" t="n">
        <v>0</v>
      </c>
      <c r="J1499" s="102" t="n">
        <v>0</v>
      </c>
      <c r="K1499" s="102" t="n">
        <v>0</v>
      </c>
      <c r="L1499" s="102" t="n">
        <v>0</v>
      </c>
      <c r="M1499" s="102" t="n">
        <v>0</v>
      </c>
      <c r="N1499" s="102" t="n">
        <v>0</v>
      </c>
      <c r="O1499" s="102" t="n">
        <v>0</v>
      </c>
      <c r="P1499" s="102" t="n">
        <v>0</v>
      </c>
      <c r="Q1499" s="102" t="n">
        <v>0</v>
      </c>
      <c r="R1499" s="102" t="n">
        <v>0</v>
      </c>
      <c r="S1499" s="102" t="n">
        <v>0</v>
      </c>
      <c r="T1499" s="102" t="n">
        <v>0</v>
      </c>
      <c r="U1499" s="102" t="n">
        <v>0</v>
      </c>
      <c r="V1499" s="102" t="n">
        <v>0</v>
      </c>
      <c r="W1499" s="102" t="n">
        <v>0</v>
      </c>
    </row>
    <row r="1500" customFormat="false" ht="12.75" hidden="false" customHeight="false" outlineLevel="0" collapsed="false">
      <c r="A1500" s="99" t="s">
        <v>63</v>
      </c>
      <c r="B1500" s="49"/>
      <c r="C1500" s="107"/>
      <c r="D1500" s="102" t="n">
        <v>0</v>
      </c>
      <c r="E1500" s="102" t="n">
        <v>0</v>
      </c>
      <c r="F1500" s="102" t="n">
        <v>0</v>
      </c>
      <c r="G1500" s="102" t="n">
        <v>0</v>
      </c>
      <c r="H1500" s="102" t="n">
        <v>0</v>
      </c>
      <c r="I1500" s="102" t="n">
        <v>0</v>
      </c>
      <c r="J1500" s="102" t="n">
        <v>0</v>
      </c>
      <c r="K1500" s="102" t="n">
        <v>0</v>
      </c>
      <c r="L1500" s="102" t="n">
        <v>0</v>
      </c>
      <c r="M1500" s="102" t="n">
        <v>0</v>
      </c>
      <c r="N1500" s="102" t="n">
        <v>0</v>
      </c>
      <c r="O1500" s="102" t="n">
        <v>0</v>
      </c>
      <c r="P1500" s="102" t="n">
        <v>0</v>
      </c>
      <c r="Q1500" s="102" t="n">
        <v>0</v>
      </c>
      <c r="R1500" s="102" t="n">
        <v>0</v>
      </c>
      <c r="S1500" s="102" t="n">
        <v>0</v>
      </c>
      <c r="T1500" s="102" t="n">
        <v>0</v>
      </c>
      <c r="U1500" s="102" t="n">
        <v>0</v>
      </c>
      <c r="V1500" s="102" t="n">
        <v>0</v>
      </c>
      <c r="W1500" s="102" t="n">
        <v>0</v>
      </c>
    </row>
    <row r="1501" customFormat="false" ht="12.75" hidden="false" customHeight="false" outlineLevel="0" collapsed="false">
      <c r="A1501" s="99" t="s">
        <v>64</v>
      </c>
      <c r="B1501" s="49"/>
      <c r="C1501" s="107"/>
      <c r="D1501" s="105" t="n">
        <v>0</v>
      </c>
      <c r="E1501" s="105" t="n">
        <v>0</v>
      </c>
      <c r="F1501" s="105" t="n">
        <v>0</v>
      </c>
      <c r="G1501" s="105" t="n">
        <v>0</v>
      </c>
      <c r="H1501" s="105" t="n">
        <v>0</v>
      </c>
      <c r="I1501" s="105" t="n">
        <v>0</v>
      </c>
      <c r="J1501" s="105" t="n">
        <v>0</v>
      </c>
      <c r="K1501" s="105" t="n">
        <v>0</v>
      </c>
      <c r="L1501" s="105" t="n">
        <v>0</v>
      </c>
      <c r="M1501" s="105" t="n">
        <v>0</v>
      </c>
      <c r="N1501" s="105" t="n">
        <v>0</v>
      </c>
      <c r="O1501" s="105" t="n">
        <v>0</v>
      </c>
      <c r="P1501" s="105" t="n">
        <v>0</v>
      </c>
      <c r="Q1501" s="105" t="n">
        <v>0</v>
      </c>
      <c r="R1501" s="105" t="n">
        <v>0</v>
      </c>
      <c r="S1501" s="105" t="n">
        <v>0</v>
      </c>
      <c r="T1501" s="105" t="n">
        <v>0</v>
      </c>
      <c r="U1501" s="105" t="n">
        <v>0</v>
      </c>
      <c r="V1501" s="105" t="n">
        <v>0</v>
      </c>
      <c r="W1501" s="105" t="n">
        <v>0</v>
      </c>
    </row>
    <row r="1502" customFormat="false" ht="13.5" hidden="false" customHeight="false" outlineLevel="0" collapsed="false">
      <c r="A1502" s="99" t="s">
        <v>65</v>
      </c>
      <c r="B1502" s="49"/>
      <c r="C1502" s="107"/>
      <c r="D1502" s="106" t="n">
        <v>0</v>
      </c>
      <c r="E1502" s="106" t="n">
        <v>0</v>
      </c>
      <c r="F1502" s="106" t="n">
        <v>0</v>
      </c>
      <c r="G1502" s="106" t="n">
        <v>0</v>
      </c>
      <c r="H1502" s="106" t="n">
        <v>0</v>
      </c>
      <c r="I1502" s="106" t="n">
        <v>0</v>
      </c>
      <c r="J1502" s="106" t="n">
        <v>0</v>
      </c>
      <c r="K1502" s="106" t="n">
        <v>0</v>
      </c>
      <c r="L1502" s="106" t="n">
        <v>0</v>
      </c>
      <c r="M1502" s="106" t="n">
        <v>0</v>
      </c>
      <c r="N1502" s="106" t="n">
        <v>0</v>
      </c>
      <c r="O1502" s="106" t="n">
        <v>0</v>
      </c>
      <c r="P1502" s="106" t="n">
        <v>0</v>
      </c>
      <c r="Q1502" s="106" t="n">
        <v>0</v>
      </c>
      <c r="R1502" s="106" t="n">
        <v>0</v>
      </c>
      <c r="S1502" s="106" t="n">
        <v>0</v>
      </c>
      <c r="T1502" s="106" t="n">
        <v>0</v>
      </c>
      <c r="U1502" s="106" t="n">
        <v>0</v>
      </c>
      <c r="V1502" s="106" t="n">
        <v>0</v>
      </c>
      <c r="W1502" s="106" t="n">
        <v>0</v>
      </c>
    </row>
    <row r="1503" customFormat="false" ht="13.5" hidden="false" customHeight="false" outlineLevel="0" collapsed="false">
      <c r="A1503" s="99"/>
      <c r="B1503" s="49"/>
      <c r="C1503" s="107"/>
      <c r="D1503" s="102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2"/>
    </row>
    <row r="1504" customFormat="false" ht="12.75" hidden="false" customHeight="false" outlineLevel="0" collapsed="false">
      <c r="A1504" s="99" t="s">
        <v>66</v>
      </c>
      <c r="B1504" s="49"/>
      <c r="C1504" s="107"/>
      <c r="D1504" s="102" t="n">
        <v>0</v>
      </c>
      <c r="E1504" s="102" t="n">
        <v>0</v>
      </c>
      <c r="F1504" s="102" t="n">
        <v>0</v>
      </c>
      <c r="G1504" s="102" t="n">
        <v>0</v>
      </c>
      <c r="H1504" s="102" t="n">
        <v>0</v>
      </c>
      <c r="I1504" s="102" t="n">
        <v>0</v>
      </c>
      <c r="J1504" s="102" t="n">
        <v>0</v>
      </c>
      <c r="K1504" s="102" t="n">
        <v>0</v>
      </c>
      <c r="L1504" s="102" t="n">
        <v>0</v>
      </c>
      <c r="M1504" s="102" t="n">
        <v>0</v>
      </c>
      <c r="N1504" s="102" t="n">
        <v>0</v>
      </c>
      <c r="O1504" s="102" t="n">
        <v>0</v>
      </c>
      <c r="P1504" s="102" t="n">
        <v>0</v>
      </c>
      <c r="Q1504" s="102" t="n">
        <v>0</v>
      </c>
      <c r="R1504" s="102" t="n">
        <v>0</v>
      </c>
      <c r="S1504" s="102" t="n">
        <v>0</v>
      </c>
      <c r="T1504" s="102" t="n">
        <v>0</v>
      </c>
      <c r="U1504" s="102" t="n">
        <v>0</v>
      </c>
      <c r="V1504" s="102" t="n">
        <v>0</v>
      </c>
      <c r="W1504" s="102" t="n">
        <v>0</v>
      </c>
    </row>
    <row r="1505" customFormat="false" ht="12.75" hidden="false" customHeight="false" outlineLevel="0" collapsed="false">
      <c r="A1505" s="99"/>
      <c r="B1505" s="49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</row>
    <row r="1506" customFormat="false" ht="12.75" hidden="false" customHeight="false" outlineLevel="0" collapsed="false">
      <c r="A1506" s="99" t="s">
        <v>67</v>
      </c>
      <c r="B1506" s="49"/>
      <c r="C1506" s="107"/>
      <c r="D1506" s="102" t="n">
        <v>0</v>
      </c>
      <c r="E1506" s="102" t="n">
        <v>0</v>
      </c>
      <c r="F1506" s="102" t="n">
        <v>0</v>
      </c>
      <c r="G1506" s="102" t="n">
        <v>0</v>
      </c>
      <c r="H1506" s="102" t="n">
        <v>0</v>
      </c>
      <c r="I1506" s="102" t="n">
        <v>0</v>
      </c>
      <c r="J1506" s="102" t="n">
        <v>0</v>
      </c>
      <c r="K1506" s="102" t="n">
        <v>0</v>
      </c>
      <c r="L1506" s="102" t="n">
        <v>0</v>
      </c>
      <c r="M1506" s="102" t="n">
        <v>0</v>
      </c>
      <c r="N1506" s="102" t="n">
        <v>0</v>
      </c>
      <c r="O1506" s="102" t="n">
        <v>0</v>
      </c>
      <c r="P1506" s="102" t="n">
        <v>0</v>
      </c>
      <c r="Q1506" s="102" t="n">
        <v>0</v>
      </c>
      <c r="R1506" s="102" t="n">
        <v>0</v>
      </c>
      <c r="S1506" s="102" t="n">
        <v>0</v>
      </c>
      <c r="T1506" s="102" t="n">
        <v>0</v>
      </c>
      <c r="U1506" s="102" t="n">
        <v>0</v>
      </c>
      <c r="V1506" s="102" t="n">
        <v>0</v>
      </c>
      <c r="W1506" s="102" t="n">
        <v>0</v>
      </c>
    </row>
    <row r="1507" customFormat="false" ht="12.75" hidden="false" customHeight="false" outlineLevel="0" collapsed="false">
      <c r="A1507" s="107"/>
      <c r="B1507" s="49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</row>
    <row r="1508" customFormat="false" ht="12.75" hidden="false" customHeight="false" outlineLevel="0" collapsed="false">
      <c r="A1508" s="107"/>
      <c r="B1508" s="49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</row>
    <row r="1509" customFormat="false" ht="12.75" hidden="false" customHeight="false" outlineLevel="0" collapsed="false">
      <c r="A1509" s="99" t="s">
        <v>68</v>
      </c>
      <c r="B1509" s="148"/>
      <c r="C1509" s="149"/>
      <c r="D1509" s="79" t="n">
        <v>1929472.04031729</v>
      </c>
      <c r="E1509" s="79" t="n">
        <v>1313034.7749647</v>
      </c>
      <c r="F1509" s="79" t="n">
        <v>976375.814316475</v>
      </c>
      <c r="G1509" s="79" t="n">
        <v>781393.181168831</v>
      </c>
      <c r="H1509" s="79" t="n">
        <v>503076.739517495</v>
      </c>
      <c r="I1509" s="79" t="n">
        <v>224540.15403422</v>
      </c>
      <c r="J1509" s="79" t="n">
        <v>290671.430988965</v>
      </c>
      <c r="K1509" s="79" t="n">
        <v>598347.577320742</v>
      </c>
      <c r="L1509" s="79" t="n">
        <v>579746.040637889</v>
      </c>
      <c r="M1509" s="79" t="n">
        <v>709236.488773714</v>
      </c>
      <c r="N1509" s="79" t="n">
        <v>398881.899107075</v>
      </c>
      <c r="O1509" s="79" t="n">
        <v>480220.08947669</v>
      </c>
      <c r="P1509" s="79" t="n">
        <v>533434.549357044</v>
      </c>
      <c r="Q1509" s="79" t="n">
        <v>708697.724104818</v>
      </c>
      <c r="R1509" s="79" t="n">
        <v>425737.381047148</v>
      </c>
      <c r="S1509" s="79" t="n">
        <v>201516.250654251</v>
      </c>
      <c r="T1509" s="79" t="n">
        <v>359879.976060247</v>
      </c>
      <c r="U1509" s="79" t="n">
        <v>491049.294613447</v>
      </c>
      <c r="V1509" s="79" t="n">
        <v>230695.836676357</v>
      </c>
      <c r="W1509" s="79" t="n">
        <v>2789233.75567574</v>
      </c>
    </row>
    <row r="1510" customFormat="false" ht="12.75" hidden="false" customHeight="false" outlineLevel="0" collapsed="false">
      <c r="A1510" s="2"/>
      <c r="B1510" s="31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</row>
    <row r="1511" customFormat="false" ht="15.75" hidden="false" customHeight="false" outlineLevel="0" collapsed="false">
      <c r="A1511" s="167"/>
      <c r="B1511" s="168"/>
    </row>
    <row r="1512" customFormat="false" ht="12.75" hidden="false" customHeight="false" outlineLevel="0" collapsed="false">
      <c r="A1512" s="169"/>
      <c r="B1512" s="115"/>
      <c r="C1512" s="101"/>
      <c r="D1512" s="170"/>
      <c r="E1512" s="170"/>
      <c r="F1512" s="170"/>
      <c r="G1512" s="170"/>
      <c r="H1512" s="170"/>
      <c r="I1512" s="170"/>
      <c r="J1512" s="170"/>
      <c r="K1512" s="170"/>
      <c r="L1512" s="170"/>
      <c r="M1512" s="170"/>
      <c r="N1512" s="170"/>
      <c r="O1512" s="170"/>
      <c r="P1512" s="170"/>
      <c r="Q1512" s="170"/>
      <c r="R1512" s="170"/>
      <c r="S1512" s="170"/>
      <c r="T1512" s="170"/>
      <c r="U1512" s="170"/>
      <c r="V1512" s="170"/>
      <c r="W1512" s="170"/>
    </row>
    <row r="1513" customFormat="false" ht="12.75" hidden="false" customHeight="false" outlineLevel="0" collapsed="false">
      <c r="A1513" s="169"/>
      <c r="B1513" s="115"/>
      <c r="C1513" s="171"/>
      <c r="D1513" s="170"/>
      <c r="E1513" s="170"/>
      <c r="F1513" s="170"/>
      <c r="G1513" s="170"/>
      <c r="H1513" s="170"/>
      <c r="I1513" s="170"/>
      <c r="J1513" s="170"/>
      <c r="K1513" s="170"/>
      <c r="L1513" s="170"/>
      <c r="M1513" s="170"/>
      <c r="N1513" s="170"/>
      <c r="O1513" s="170"/>
      <c r="P1513" s="170"/>
      <c r="Q1513" s="170"/>
      <c r="R1513" s="170"/>
      <c r="S1513" s="170"/>
      <c r="T1513" s="170"/>
      <c r="U1513" s="170"/>
      <c r="V1513" s="170"/>
      <c r="W1513" s="170"/>
    </row>
    <row r="1514" customFormat="false" ht="12.75" hidden="false" customHeight="false" outlineLevel="0" collapsed="false">
      <c r="A1514" s="169"/>
      <c r="B1514" s="115"/>
      <c r="C1514" s="169"/>
      <c r="D1514" s="170"/>
      <c r="E1514" s="170"/>
      <c r="F1514" s="170"/>
      <c r="G1514" s="170"/>
      <c r="H1514" s="170"/>
      <c r="I1514" s="170"/>
      <c r="J1514" s="170"/>
      <c r="K1514" s="170"/>
      <c r="L1514" s="170"/>
      <c r="M1514" s="170"/>
      <c r="N1514" s="170"/>
      <c r="O1514" s="170"/>
      <c r="P1514" s="170"/>
      <c r="Q1514" s="170"/>
      <c r="R1514" s="170"/>
      <c r="S1514" s="170"/>
      <c r="T1514" s="170"/>
      <c r="U1514" s="170"/>
      <c r="V1514" s="170"/>
      <c r="W1514" s="170"/>
    </row>
    <row r="1515" customFormat="false" ht="12.75" hidden="false" customHeight="false" outlineLevel="0" collapsed="false">
      <c r="A1515" s="169"/>
      <c r="B1515" s="115"/>
      <c r="C1515" s="171"/>
      <c r="D1515" s="170"/>
      <c r="E1515" s="170"/>
      <c r="F1515" s="170"/>
      <c r="G1515" s="170"/>
      <c r="H1515" s="170"/>
      <c r="I1515" s="170"/>
      <c r="J1515" s="170"/>
      <c r="K1515" s="170"/>
      <c r="L1515" s="170"/>
      <c r="M1515" s="170"/>
      <c r="N1515" s="170"/>
      <c r="O1515" s="170"/>
      <c r="P1515" s="170"/>
      <c r="Q1515" s="170"/>
      <c r="R1515" s="170"/>
      <c r="S1515" s="170"/>
      <c r="T1515" s="170"/>
      <c r="U1515" s="170"/>
      <c r="V1515" s="170"/>
      <c r="W1515" s="170"/>
    </row>
    <row r="1516" customFormat="false" ht="12.75" hidden="false" customHeight="false" outlineLevel="0" collapsed="false">
      <c r="A1516" s="169"/>
      <c r="B1516" s="115"/>
      <c r="C1516" s="147"/>
      <c r="D1516" s="170"/>
      <c r="E1516" s="170"/>
      <c r="F1516" s="170"/>
      <c r="G1516" s="170"/>
      <c r="H1516" s="170"/>
      <c r="I1516" s="170"/>
      <c r="J1516" s="170"/>
      <c r="K1516" s="170"/>
      <c r="L1516" s="170"/>
      <c r="M1516" s="170"/>
      <c r="N1516" s="170"/>
      <c r="O1516" s="170"/>
      <c r="P1516" s="170"/>
      <c r="Q1516" s="170"/>
      <c r="R1516" s="170"/>
      <c r="S1516" s="170"/>
      <c r="T1516" s="170"/>
      <c r="U1516" s="170"/>
      <c r="V1516" s="170"/>
      <c r="W1516" s="170"/>
    </row>
    <row r="1517" customFormat="false" ht="12.75" hidden="false" customHeight="false" outlineLevel="0" collapsed="false">
      <c r="A1517" s="169"/>
      <c r="B1517" s="115"/>
      <c r="C1517" s="170"/>
      <c r="D1517" s="152"/>
      <c r="E1517" s="152"/>
      <c r="F1517" s="152"/>
      <c r="G1517" s="152"/>
      <c r="H1517" s="152"/>
      <c r="I1517" s="152"/>
      <c r="J1517" s="152"/>
      <c r="K1517" s="152"/>
      <c r="L1517" s="152"/>
      <c r="M1517" s="152"/>
      <c r="N1517" s="152"/>
      <c r="O1517" s="152"/>
      <c r="P1517" s="152"/>
      <c r="Q1517" s="152"/>
      <c r="R1517" s="152"/>
      <c r="S1517" s="152"/>
      <c r="T1517" s="152"/>
      <c r="U1517" s="152"/>
      <c r="V1517" s="152"/>
      <c r="W1517" s="152"/>
    </row>
    <row r="1518" customFormat="false" ht="15.75" hidden="false" customHeight="false" outlineLevel="0" collapsed="false">
      <c r="A1518" s="48" t="s">
        <v>17</v>
      </c>
      <c r="B1518" s="57" t="s">
        <v>92</v>
      </c>
      <c r="C1518" s="58" t="n">
        <v>2000</v>
      </c>
      <c r="D1518" s="58" t="n">
        <v>2001</v>
      </c>
      <c r="E1518" s="58" t="n">
        <v>2002</v>
      </c>
      <c r="F1518" s="58" t="n">
        <v>2003</v>
      </c>
      <c r="G1518" s="58" t="n">
        <v>2004</v>
      </c>
      <c r="H1518" s="58" t="n">
        <v>2005</v>
      </c>
      <c r="I1518" s="58" t="n">
        <v>2006</v>
      </c>
      <c r="J1518" s="58" t="n">
        <v>2007</v>
      </c>
      <c r="K1518" s="58" t="n">
        <v>2008</v>
      </c>
      <c r="L1518" s="58" t="n">
        <v>2009</v>
      </c>
      <c r="M1518" s="58" t="n">
        <v>2010</v>
      </c>
      <c r="N1518" s="58" t="n">
        <v>2011</v>
      </c>
      <c r="O1518" s="58" t="n">
        <v>2012</v>
      </c>
      <c r="P1518" s="58" t="n">
        <v>2013</v>
      </c>
      <c r="Q1518" s="58" t="n">
        <v>2014</v>
      </c>
      <c r="R1518" s="58" t="n">
        <v>2015</v>
      </c>
      <c r="S1518" s="58" t="n">
        <v>2016</v>
      </c>
      <c r="T1518" s="58" t="n">
        <v>2017</v>
      </c>
      <c r="U1518" s="58" t="n">
        <v>2018</v>
      </c>
      <c r="V1518" s="58" t="n">
        <v>2019</v>
      </c>
      <c r="W1518" s="58" t="s">
        <v>19</v>
      </c>
    </row>
    <row r="1519" customFormat="false" ht="12.75" hidden="false" customHeight="false" outlineLevel="0" collapsed="false">
      <c r="A1519" s="48" t="s">
        <v>5</v>
      </c>
      <c r="B1519" s="49" t="n">
        <v>51.225</v>
      </c>
      <c r="C1519" s="61"/>
      <c r="D1519" s="61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</row>
    <row r="1520" customFormat="false" ht="12.75" hidden="false" customHeight="false" outlineLevel="0" collapsed="false">
      <c r="A1520" s="2"/>
      <c r="B1520" s="117" t="s">
        <v>20</v>
      </c>
      <c r="C1520" s="118" t="n">
        <v>0</v>
      </c>
      <c r="D1520" s="64" t="n">
        <v>4173272.13547362</v>
      </c>
      <c r="E1520" s="64" t="n">
        <v>3336543.81939016</v>
      </c>
      <c r="F1520" s="64" t="n">
        <v>2771530.81170323</v>
      </c>
      <c r="G1520" s="64" t="n">
        <v>2486417.30099253</v>
      </c>
      <c r="H1520" s="64" t="n">
        <v>2957557.51019355</v>
      </c>
      <c r="I1520" s="64" t="n">
        <v>2731177.54087981</v>
      </c>
      <c r="J1520" s="64" t="n">
        <v>2671668.77777465</v>
      </c>
      <c r="K1520" s="64" t="n">
        <v>4099251.72529141</v>
      </c>
      <c r="L1520" s="64" t="n">
        <v>4150887.33045383</v>
      </c>
      <c r="M1520" s="64" t="n">
        <v>4383220.71444289</v>
      </c>
      <c r="N1520" s="64" t="n">
        <v>3427575.69793431</v>
      </c>
      <c r="O1520" s="64" t="n">
        <v>4360652.29883995</v>
      </c>
      <c r="P1520" s="64" t="n">
        <v>3733289.03876656</v>
      </c>
      <c r="Q1520" s="64" t="n">
        <v>4762503.06105503</v>
      </c>
      <c r="R1520" s="64" t="n">
        <v>4233544.44192035</v>
      </c>
      <c r="S1520" s="64" t="n">
        <v>3344910.62060087</v>
      </c>
      <c r="T1520" s="64" t="n">
        <v>3656345.54563308</v>
      </c>
      <c r="U1520" s="64" t="n">
        <v>4710739.3380201</v>
      </c>
      <c r="V1520" s="64" t="n">
        <v>5317042.10578293</v>
      </c>
      <c r="W1520" s="65"/>
    </row>
    <row r="1521" customFormat="false" ht="12.75" hidden="false" customHeight="false" outlineLevel="0" collapsed="false">
      <c r="A1521" s="2"/>
      <c r="B1521" s="117" t="s">
        <v>21</v>
      </c>
      <c r="C1521" s="118" t="n">
        <v>0</v>
      </c>
      <c r="D1521" s="64" t="n">
        <v>-1014828.75040762</v>
      </c>
      <c r="E1521" s="64" t="n">
        <v>-1103189.6758056</v>
      </c>
      <c r="F1521" s="64" t="n">
        <v>-960682.646835074</v>
      </c>
      <c r="G1521" s="64" t="n">
        <v>-991659.706511363</v>
      </c>
      <c r="H1521" s="64" t="n">
        <v>-1464368.70058838</v>
      </c>
      <c r="I1521" s="64" t="n">
        <v>-1528562.59506656</v>
      </c>
      <c r="J1521" s="64" t="n">
        <v>-1355653.27379548</v>
      </c>
      <c r="K1521" s="64" t="n">
        <v>-2113963.27958314</v>
      </c>
      <c r="L1521" s="64" t="n">
        <v>-2144949.2489353</v>
      </c>
      <c r="M1521" s="64" t="n">
        <v>-2164648.43518554</v>
      </c>
      <c r="N1521" s="64" t="n">
        <v>-1807332.64189298</v>
      </c>
      <c r="O1521" s="64" t="n">
        <v>-2369988.26563911</v>
      </c>
      <c r="P1521" s="64" t="n">
        <v>-1849371.48062393</v>
      </c>
      <c r="Q1521" s="64" t="n">
        <v>-2401822.19821342</v>
      </c>
      <c r="R1521" s="64" t="n">
        <v>-2286059.30563092</v>
      </c>
      <c r="S1521" s="64" t="n">
        <v>-1829657.99062648</v>
      </c>
      <c r="T1521" s="64" t="n">
        <v>-1917552.41959945</v>
      </c>
      <c r="U1521" s="64" t="n">
        <v>-2579940.63587949</v>
      </c>
      <c r="V1521" s="64" t="n">
        <v>-3469740.21918375</v>
      </c>
      <c r="W1521" s="65"/>
    </row>
    <row r="1522" customFormat="false" ht="12.75" hidden="false" customHeight="false" outlineLevel="0" collapsed="false">
      <c r="A1522" s="2"/>
      <c r="B1522" s="117" t="s">
        <v>22</v>
      </c>
      <c r="C1522" s="118" t="n">
        <v>0</v>
      </c>
      <c r="D1522" s="64" t="n">
        <v>-32661.7090080074</v>
      </c>
      <c r="E1522" s="64" t="n">
        <v>-40135.6775724515</v>
      </c>
      <c r="F1522" s="64" t="n">
        <v>-36577.7327054883</v>
      </c>
      <c r="G1522" s="64" t="n">
        <v>-37291.0192306743</v>
      </c>
      <c r="H1522" s="64" t="n">
        <v>-55519.9475241794</v>
      </c>
      <c r="I1522" s="64" t="n">
        <v>-60077.8360407795</v>
      </c>
      <c r="J1522" s="64" t="n">
        <v>-54305.2243555372</v>
      </c>
      <c r="K1522" s="64" t="n">
        <v>-92448.621863654</v>
      </c>
      <c r="L1522" s="64" t="n">
        <v>-93901.6765103815</v>
      </c>
      <c r="M1522" s="64" t="n">
        <v>-92184.2757817093</v>
      </c>
      <c r="N1522" s="64" t="n">
        <v>-77753.0217352276</v>
      </c>
      <c r="O1522" s="64" t="n">
        <v>-103672.418069196</v>
      </c>
      <c r="P1522" s="64" t="n">
        <v>-79173.0054831921</v>
      </c>
      <c r="Q1522" s="64" t="n">
        <v>-103660.33471007</v>
      </c>
      <c r="R1522" s="64" t="n">
        <v>-92744.7741585407</v>
      </c>
      <c r="S1522" s="64" t="n">
        <v>-72717.0238983293</v>
      </c>
      <c r="T1522" s="64" t="n">
        <v>-75426.8056957475</v>
      </c>
      <c r="U1522" s="64" t="n">
        <v>-97037.3296261892</v>
      </c>
      <c r="V1522" s="64" t="n">
        <v>-129811.473285114</v>
      </c>
      <c r="W1522" s="65"/>
    </row>
    <row r="1523" customFormat="false" ht="12.75" hidden="false" customHeight="false" outlineLevel="0" collapsed="false">
      <c r="A1523" s="2"/>
      <c r="B1523" s="117" t="s">
        <v>23</v>
      </c>
      <c r="C1523" s="118" t="n">
        <v>0</v>
      </c>
      <c r="D1523" s="64" t="n">
        <v>0</v>
      </c>
      <c r="E1523" s="64" t="n">
        <v>0</v>
      </c>
      <c r="F1523" s="64" t="n">
        <v>0</v>
      </c>
      <c r="G1523" s="64" t="n">
        <v>0</v>
      </c>
      <c r="H1523" s="64" t="n">
        <v>0</v>
      </c>
      <c r="I1523" s="64" t="n">
        <v>-21176.6601055912</v>
      </c>
      <c r="J1523" s="64" t="n">
        <v>-20791.1767115738</v>
      </c>
      <c r="K1523" s="64" t="n">
        <v>-39807.1182142091</v>
      </c>
      <c r="L1523" s="64" t="n">
        <v>-41915.0703940037</v>
      </c>
      <c r="M1523" s="64" t="n">
        <v>-44865.4378172086</v>
      </c>
      <c r="N1523" s="64" t="n">
        <v>-40876.0879067188</v>
      </c>
      <c r="O1523" s="64" t="n">
        <v>-59183.9157275491</v>
      </c>
      <c r="P1523" s="64" t="n">
        <v>-49630.0670649997</v>
      </c>
      <c r="Q1523" s="64" t="n">
        <v>-70963.9903628276</v>
      </c>
      <c r="R1523" s="64" t="n">
        <v>-68907.7154950137</v>
      </c>
      <c r="S1523" s="64" t="n">
        <v>-58073.264535055</v>
      </c>
      <c r="T1523" s="64" t="n">
        <v>-58137.8249434724</v>
      </c>
      <c r="U1523" s="64" t="n">
        <v>-62643.3146552775</v>
      </c>
      <c r="V1523" s="64" t="n">
        <v>-85243.084360859</v>
      </c>
      <c r="W1523" s="65"/>
    </row>
    <row r="1524" customFormat="false" ht="13.5" hidden="false" customHeight="false" outlineLevel="0" collapsed="false">
      <c r="A1524" s="2"/>
      <c r="B1524" s="119" t="s">
        <v>24</v>
      </c>
      <c r="C1524" s="120" t="n">
        <v>0</v>
      </c>
      <c r="D1524" s="68" t="n">
        <v>0</v>
      </c>
      <c r="E1524" s="68" t="n">
        <v>0</v>
      </c>
      <c r="F1524" s="68" t="n">
        <v>0</v>
      </c>
      <c r="G1524" s="68" t="n">
        <v>0</v>
      </c>
      <c r="H1524" s="68" t="n">
        <v>0</v>
      </c>
      <c r="I1524" s="68" t="n">
        <v>-21176.6601055912</v>
      </c>
      <c r="J1524" s="68" t="n">
        <v>-20791.1767115738</v>
      </c>
      <c r="K1524" s="68" t="n">
        <v>-39807.1182142091</v>
      </c>
      <c r="L1524" s="68" t="n">
        <v>-41915.0703940037</v>
      </c>
      <c r="M1524" s="68" t="n">
        <v>-44865.4378172086</v>
      </c>
      <c r="N1524" s="68" t="n">
        <v>-40876.0879067188</v>
      </c>
      <c r="O1524" s="68" t="n">
        <v>-59183.9157275491</v>
      </c>
      <c r="P1524" s="68" t="n">
        <v>-49630.0670649997</v>
      </c>
      <c r="Q1524" s="68" t="n">
        <v>-70963.9903628276</v>
      </c>
      <c r="R1524" s="68" t="n">
        <v>-68907.7154950137</v>
      </c>
      <c r="S1524" s="68" t="n">
        <v>-58073.264535055</v>
      </c>
      <c r="T1524" s="68" t="n">
        <v>-58137.8249434724</v>
      </c>
      <c r="U1524" s="68" t="n">
        <v>-62643.3146552775</v>
      </c>
      <c r="V1524" s="68" t="n">
        <v>-85243.084360859</v>
      </c>
      <c r="W1524" s="65"/>
    </row>
    <row r="1525" customFormat="false" ht="13.5" hidden="false" customHeight="false" outlineLevel="0" collapsed="false">
      <c r="A1525" s="2"/>
      <c r="B1525" s="121" t="s">
        <v>25</v>
      </c>
      <c r="C1525" s="122" t="n">
        <v>0</v>
      </c>
      <c r="D1525" s="71" t="n">
        <v>3125781.67605799</v>
      </c>
      <c r="E1525" s="71" t="n">
        <v>2193218.46601211</v>
      </c>
      <c r="F1525" s="71" t="n">
        <v>1774270.43216267</v>
      </c>
      <c r="G1525" s="71" t="n">
        <v>1457466.5752505</v>
      </c>
      <c r="H1525" s="71" t="n">
        <v>1437668.86208099</v>
      </c>
      <c r="I1525" s="71" t="n">
        <v>1100183.78956128</v>
      </c>
      <c r="J1525" s="71" t="n">
        <v>1220127.92620049</v>
      </c>
      <c r="K1525" s="71" t="n">
        <v>1813225.5874162</v>
      </c>
      <c r="L1525" s="71" t="n">
        <v>1828206.26422014</v>
      </c>
      <c r="M1525" s="71" t="n">
        <v>2036657.12784123</v>
      </c>
      <c r="N1525" s="71" t="n">
        <v>1460737.85849266</v>
      </c>
      <c r="O1525" s="71" t="n">
        <v>1768623.78367654</v>
      </c>
      <c r="P1525" s="71" t="n">
        <v>1705484.41852944</v>
      </c>
      <c r="Q1525" s="71" t="n">
        <v>2115092.54740589</v>
      </c>
      <c r="R1525" s="71" t="n">
        <v>1716924.93114086</v>
      </c>
      <c r="S1525" s="71" t="n">
        <v>1326389.07700595</v>
      </c>
      <c r="T1525" s="71" t="n">
        <v>1547090.67045093</v>
      </c>
      <c r="U1525" s="71" t="n">
        <v>1908474.74320387</v>
      </c>
      <c r="V1525" s="71" t="n">
        <v>1547004.24459235</v>
      </c>
      <c r="W1525" s="65"/>
    </row>
    <row r="1526" customFormat="false" ht="12.75" hidden="false" customHeight="false" outlineLevel="0" collapsed="false">
      <c r="A1526" s="2"/>
      <c r="B1526" s="117" t="s">
        <v>26</v>
      </c>
      <c r="C1526" s="118" t="n">
        <v>0</v>
      </c>
      <c r="D1526" s="64" t="n">
        <v>-91566.2713789447</v>
      </c>
      <c r="E1526" s="64" t="n">
        <v>-93397.5968065236</v>
      </c>
      <c r="F1526" s="64" t="n">
        <v>-95265.548742654</v>
      </c>
      <c r="G1526" s="64" t="n">
        <v>-97170.8597175071</v>
      </c>
      <c r="H1526" s="64" t="n">
        <v>-99114.2769118573</v>
      </c>
      <c r="I1526" s="64" t="n">
        <v>-101096.562450094</v>
      </c>
      <c r="J1526" s="64" t="n">
        <v>-103118.493699096</v>
      </c>
      <c r="K1526" s="64" t="n">
        <v>-105180.863573078</v>
      </c>
      <c r="L1526" s="64" t="n">
        <v>-107284.48084454</v>
      </c>
      <c r="M1526" s="64" t="n">
        <v>-109430.170461431</v>
      </c>
      <c r="N1526" s="64" t="n">
        <v>-111618.773870659</v>
      </c>
      <c r="O1526" s="64" t="n">
        <v>-113851.149348072</v>
      </c>
      <c r="P1526" s="64" t="n">
        <v>-116128.172335034</v>
      </c>
      <c r="Q1526" s="64" t="n">
        <v>-118450.735781735</v>
      </c>
      <c r="R1526" s="64" t="n">
        <v>-120819.750497369</v>
      </c>
      <c r="S1526" s="64" t="n">
        <v>-123236.145507317</v>
      </c>
      <c r="T1526" s="64" t="n">
        <v>-125700.868417463</v>
      </c>
      <c r="U1526" s="64" t="n">
        <v>-128214.885785812</v>
      </c>
      <c r="V1526" s="64" t="n">
        <v>-130779.183501528</v>
      </c>
      <c r="W1526" s="65"/>
    </row>
    <row r="1527" customFormat="false" ht="12.75" hidden="false" customHeight="false" outlineLevel="0" collapsed="false">
      <c r="A1527" s="2"/>
      <c r="B1527" s="117" t="s">
        <v>27</v>
      </c>
      <c r="C1527" s="118" t="n">
        <v>0</v>
      </c>
      <c r="D1527" s="64" t="n">
        <v>-45161.410471875</v>
      </c>
      <c r="E1527" s="64" t="n">
        <v>-45161.410471875</v>
      </c>
      <c r="F1527" s="64" t="n">
        <v>-45161.410471875</v>
      </c>
      <c r="G1527" s="64" t="n">
        <v>-45161.410471875</v>
      </c>
      <c r="H1527" s="64" t="n">
        <v>-45161.410471875</v>
      </c>
      <c r="I1527" s="64" t="n">
        <v>-45161.410471875</v>
      </c>
      <c r="J1527" s="64" t="n">
        <v>-45161.410471875</v>
      </c>
      <c r="K1527" s="64" t="n">
        <v>-45161.410471875</v>
      </c>
      <c r="L1527" s="64" t="n">
        <v>-45161.410471875</v>
      </c>
      <c r="M1527" s="64" t="n">
        <v>-45161.410471875</v>
      </c>
      <c r="N1527" s="64" t="n">
        <v>-45161.410471875</v>
      </c>
      <c r="O1527" s="64" t="n">
        <v>-45161.410471875</v>
      </c>
      <c r="P1527" s="64" t="n">
        <v>-45161.410471875</v>
      </c>
      <c r="Q1527" s="64" t="n">
        <v>-45161.410471875</v>
      </c>
      <c r="R1527" s="64" t="n">
        <v>-45161.410471875</v>
      </c>
      <c r="S1527" s="64" t="n">
        <v>-45161.410471875</v>
      </c>
      <c r="T1527" s="64" t="n">
        <v>-45161.410471875</v>
      </c>
      <c r="U1527" s="64" t="n">
        <v>-45161.410471875</v>
      </c>
      <c r="V1527" s="64" t="n">
        <v>-45161.410471875</v>
      </c>
      <c r="W1527" s="65"/>
    </row>
    <row r="1528" customFormat="false" ht="13.5" hidden="false" customHeight="false" outlineLevel="0" collapsed="false">
      <c r="A1528" s="2"/>
      <c r="B1528" s="119" t="s">
        <v>28</v>
      </c>
      <c r="C1528" s="120" t="n">
        <v>0</v>
      </c>
      <c r="D1528" s="68" t="n">
        <v>-4145.66288470289</v>
      </c>
      <c r="E1528" s="68" t="n">
        <v>-4233.13637157014</v>
      </c>
      <c r="F1528" s="68" t="n">
        <v>-4325.84205810753</v>
      </c>
      <c r="G1528" s="68" t="n">
        <v>-4423.60608862073</v>
      </c>
      <c r="H1528" s="68" t="n">
        <v>-4528.88791352991</v>
      </c>
      <c r="I1528" s="68" t="n">
        <v>-4642.38229994021</v>
      </c>
      <c r="J1528" s="68" t="n">
        <v>-4757.52631405997</v>
      </c>
      <c r="K1528" s="68" t="n">
        <v>-4877.94913684999</v>
      </c>
      <c r="L1528" s="68" t="n">
        <v>-4998.43448053019</v>
      </c>
      <c r="M1528" s="68" t="n">
        <v>-5125.8945597837</v>
      </c>
      <c r="N1528" s="68" t="n">
        <v>-5249.94120813049</v>
      </c>
      <c r="O1528" s="68" t="n">
        <v>-5382.23972657536</v>
      </c>
      <c r="P1528" s="68" t="n">
        <v>-5518.94861563036</v>
      </c>
      <c r="Q1528" s="68" t="n">
        <v>-5656.92233102112</v>
      </c>
      <c r="R1528" s="68" t="n">
        <v>-5798.91108152975</v>
      </c>
      <c r="S1528" s="68" t="n">
        <v>-5943.883858568</v>
      </c>
      <c r="T1528" s="68" t="n">
        <v>-6091.29217826048</v>
      </c>
      <c r="U1528" s="68" t="n">
        <v>-6244.18361193483</v>
      </c>
      <c r="V1528" s="68" t="n">
        <v>-6400.91262059439</v>
      </c>
      <c r="W1528" s="65"/>
    </row>
    <row r="1529" customFormat="false" ht="13.5" hidden="false" customHeight="false" outlineLevel="0" collapsed="false">
      <c r="A1529" s="2"/>
      <c r="B1529" s="121" t="s">
        <v>29</v>
      </c>
      <c r="C1529" s="123" t="n">
        <v>0</v>
      </c>
      <c r="D1529" s="73" t="n">
        <v>2984908.33132247</v>
      </c>
      <c r="E1529" s="73" t="n">
        <v>2050426.32236214</v>
      </c>
      <c r="F1529" s="73" t="n">
        <v>1629517.63089003</v>
      </c>
      <c r="G1529" s="73" t="n">
        <v>1310710.69897249</v>
      </c>
      <c r="H1529" s="73" t="n">
        <v>1288864.28678373</v>
      </c>
      <c r="I1529" s="73" t="n">
        <v>949283.43433937</v>
      </c>
      <c r="J1529" s="73" t="n">
        <v>1067090.49571546</v>
      </c>
      <c r="K1529" s="73" t="n">
        <v>1658005.3642344</v>
      </c>
      <c r="L1529" s="73" t="n">
        <v>1670761.93842319</v>
      </c>
      <c r="M1529" s="73" t="n">
        <v>1876939.65234814</v>
      </c>
      <c r="N1529" s="73" t="n">
        <v>1298707.732942</v>
      </c>
      <c r="O1529" s="73" t="n">
        <v>1604228.98413002</v>
      </c>
      <c r="P1529" s="73" t="n">
        <v>1538675.88710691</v>
      </c>
      <c r="Q1529" s="73" t="n">
        <v>1945823.47882126</v>
      </c>
      <c r="R1529" s="73" t="n">
        <v>1545144.85909009</v>
      </c>
      <c r="S1529" s="73" t="n">
        <v>1152047.63716819</v>
      </c>
      <c r="T1529" s="73" t="n">
        <v>1370137.09938333</v>
      </c>
      <c r="U1529" s="73" t="n">
        <v>1728854.26333425</v>
      </c>
      <c r="V1529" s="73" t="n">
        <v>1364662.73799835</v>
      </c>
      <c r="W1529" s="65"/>
    </row>
    <row r="1530" customFormat="false" ht="12.75" hidden="false" customHeight="false" outlineLevel="0" collapsed="false">
      <c r="A1530" s="2"/>
      <c r="B1530" s="117" t="s">
        <v>30</v>
      </c>
      <c r="C1530" s="118" t="n">
        <v>0</v>
      </c>
      <c r="D1530" s="64" t="n">
        <v>-256373.487376777</v>
      </c>
      <c r="E1530" s="64" t="n">
        <v>-235299.637814816</v>
      </c>
      <c r="F1530" s="64" t="n">
        <v>-205307.079458943</v>
      </c>
      <c r="G1530" s="64" t="n">
        <v>-174904.471258869</v>
      </c>
      <c r="H1530" s="64" t="n">
        <v>-160607.069422842</v>
      </c>
      <c r="I1530" s="64" t="n">
        <v>-156554.005204633</v>
      </c>
      <c r="J1530" s="64" t="n">
        <v>-163690.991805296</v>
      </c>
      <c r="K1530" s="64" t="n">
        <v>-170232.886172733</v>
      </c>
      <c r="L1530" s="64" t="n">
        <v>-176826.656843896</v>
      </c>
      <c r="M1530" s="64" t="n">
        <v>-182884.160105948</v>
      </c>
      <c r="N1530" s="64" t="n">
        <v>-175467.770212185</v>
      </c>
      <c r="O1530" s="64" t="n">
        <v>-167517.175362176</v>
      </c>
      <c r="P1530" s="64" t="n">
        <v>-173658.161518404</v>
      </c>
      <c r="Q1530" s="64" t="n">
        <v>-120623.725777227</v>
      </c>
      <c r="R1530" s="64" t="n">
        <v>-67973.1770576182</v>
      </c>
      <c r="S1530" s="64" t="n">
        <v>-74465.2692840387</v>
      </c>
      <c r="T1530" s="64" t="n">
        <v>-81152.1242772519</v>
      </c>
      <c r="U1530" s="64" t="n">
        <v>-88039.5849202614</v>
      </c>
      <c r="V1530" s="64" t="n">
        <v>-95133.6693825613</v>
      </c>
      <c r="W1530" s="65"/>
    </row>
    <row r="1531" customFormat="false" ht="13.5" hidden="false" customHeight="false" outlineLevel="0" collapsed="false">
      <c r="A1531" s="2"/>
      <c r="B1531" s="119" t="s">
        <v>70</v>
      </c>
      <c r="C1531" s="120" t="n">
        <v>0</v>
      </c>
      <c r="D1531" s="68" t="n">
        <v>-1091413.93757828</v>
      </c>
      <c r="E1531" s="68" t="n">
        <v>-726050.673818931</v>
      </c>
      <c r="F1531" s="68" t="n">
        <v>-569684.220572437</v>
      </c>
      <c r="G1531" s="68" t="n">
        <v>-454322.491085449</v>
      </c>
      <c r="H1531" s="68" t="n">
        <v>-451302.886944354</v>
      </c>
      <c r="I1531" s="68" t="n">
        <v>-317091.771653895</v>
      </c>
      <c r="J1531" s="68" t="n">
        <v>-361359.801564065</v>
      </c>
      <c r="K1531" s="68" t="n">
        <v>-595108.991224667</v>
      </c>
      <c r="L1531" s="68" t="n">
        <v>-597574.112631718</v>
      </c>
      <c r="M1531" s="68" t="n">
        <v>-677622.196896877</v>
      </c>
      <c r="N1531" s="68" t="n">
        <v>-449295.985091926</v>
      </c>
      <c r="O1531" s="68" t="n">
        <v>-574684.723507138</v>
      </c>
      <c r="P1531" s="68" t="n">
        <v>-546007.0902354</v>
      </c>
      <c r="Q1531" s="68" t="n">
        <v>-730079.901217612</v>
      </c>
      <c r="R1531" s="68" t="n">
        <v>-590868.672812988</v>
      </c>
      <c r="S1531" s="68" t="n">
        <v>-431032.947153662</v>
      </c>
      <c r="T1531" s="68" t="n">
        <v>-515593.990042433</v>
      </c>
      <c r="U1531" s="68" t="n">
        <v>-656325.871365596</v>
      </c>
      <c r="V1531" s="68" t="n">
        <v>-507811.627446315</v>
      </c>
      <c r="W1531" s="65"/>
    </row>
    <row r="1532" customFormat="false" ht="13.5" hidden="false" customHeight="false" outlineLevel="0" collapsed="false">
      <c r="A1532" s="2"/>
      <c r="B1532" s="121" t="s">
        <v>32</v>
      </c>
      <c r="C1532" s="123" t="n">
        <v>0</v>
      </c>
      <c r="D1532" s="73" t="n">
        <v>1637120.90636742</v>
      </c>
      <c r="E1532" s="73" t="n">
        <v>1089076.0107284</v>
      </c>
      <c r="F1532" s="73" t="n">
        <v>854526.330858655</v>
      </c>
      <c r="G1532" s="73" t="n">
        <v>681483.736628174</v>
      </c>
      <c r="H1532" s="73" t="n">
        <v>676954.330416531</v>
      </c>
      <c r="I1532" s="73" t="n">
        <v>475637.657480842</v>
      </c>
      <c r="J1532" s="73" t="n">
        <v>542039.702346098</v>
      </c>
      <c r="K1532" s="73" t="n">
        <v>892663.486837</v>
      </c>
      <c r="L1532" s="73" t="n">
        <v>896361.168947577</v>
      </c>
      <c r="M1532" s="73" t="n">
        <v>1016433.29534531</v>
      </c>
      <c r="N1532" s="73" t="n">
        <v>673943.977637889</v>
      </c>
      <c r="O1532" s="73" t="n">
        <v>862027.085260707</v>
      </c>
      <c r="P1532" s="73" t="n">
        <v>819010.6353531</v>
      </c>
      <c r="Q1532" s="73" t="n">
        <v>1095119.85182642</v>
      </c>
      <c r="R1532" s="73" t="n">
        <v>886303.009219482</v>
      </c>
      <c r="S1532" s="73" t="n">
        <v>646549.420730493</v>
      </c>
      <c r="T1532" s="73" t="n">
        <v>773390.98506365</v>
      </c>
      <c r="U1532" s="73" t="n">
        <v>984488.807048394</v>
      </c>
      <c r="V1532" s="73" t="n">
        <v>761717.441169473</v>
      </c>
      <c r="W1532" s="65"/>
    </row>
    <row r="1533" customFormat="false" ht="12.75" hidden="false" customHeight="false" outlineLevel="0" collapsed="false">
      <c r="A1533" s="2"/>
      <c r="B1533" s="117" t="s">
        <v>30</v>
      </c>
      <c r="C1533" s="118" t="n">
        <v>0</v>
      </c>
      <c r="D1533" s="64" t="n">
        <v>256373.487376777</v>
      </c>
      <c r="E1533" s="64" t="n">
        <v>235299.637814816</v>
      </c>
      <c r="F1533" s="64" t="n">
        <v>205307.079458943</v>
      </c>
      <c r="G1533" s="64" t="n">
        <v>174904.471258869</v>
      </c>
      <c r="H1533" s="64" t="n">
        <v>160607.069422842</v>
      </c>
      <c r="I1533" s="64" t="n">
        <v>156554.005204633</v>
      </c>
      <c r="J1533" s="64" t="n">
        <v>163690.991805296</v>
      </c>
      <c r="K1533" s="64" t="n">
        <v>170232.886172733</v>
      </c>
      <c r="L1533" s="64" t="n">
        <v>176826.656843896</v>
      </c>
      <c r="M1533" s="64" t="n">
        <v>182884.160105948</v>
      </c>
      <c r="N1533" s="64" t="n">
        <v>175467.770212185</v>
      </c>
      <c r="O1533" s="64" t="n">
        <v>167517.175362176</v>
      </c>
      <c r="P1533" s="64" t="n">
        <v>173658.161518404</v>
      </c>
      <c r="Q1533" s="64" t="n">
        <v>120623.725777227</v>
      </c>
      <c r="R1533" s="64" t="n">
        <v>67973.1770576182</v>
      </c>
      <c r="S1533" s="64" t="n">
        <v>74465.2692840387</v>
      </c>
      <c r="T1533" s="64" t="n">
        <v>81152.1242772519</v>
      </c>
      <c r="U1533" s="64" t="n">
        <v>88039.5849202614</v>
      </c>
      <c r="V1533" s="64" t="n">
        <v>95133.6693825613</v>
      </c>
      <c r="W1533" s="65"/>
    </row>
    <row r="1534" customFormat="false" ht="12.75" hidden="false" customHeight="false" outlineLevel="0" collapsed="false">
      <c r="A1534" s="2"/>
      <c r="B1534" s="117" t="s">
        <v>33</v>
      </c>
      <c r="C1534" s="118" t="n">
        <v>0</v>
      </c>
      <c r="D1534" s="64" t="n">
        <v>-1423.58</v>
      </c>
      <c r="E1534" s="64" t="n">
        <v>-1481.02</v>
      </c>
      <c r="F1534" s="64" t="n">
        <v>-1540.83</v>
      </c>
      <c r="G1534" s="64" t="n">
        <v>-1609.33</v>
      </c>
      <c r="H1534" s="64" t="n">
        <v>-100000</v>
      </c>
      <c r="I1534" s="64" t="n">
        <v>-103000</v>
      </c>
      <c r="J1534" s="64" t="n">
        <v>-106090</v>
      </c>
      <c r="K1534" s="64" t="n">
        <v>-109272.7</v>
      </c>
      <c r="L1534" s="64" t="n">
        <v>-112550.881</v>
      </c>
      <c r="M1534" s="64" t="n">
        <v>-115927.40743</v>
      </c>
      <c r="N1534" s="64" t="n">
        <v>-119405.2296529</v>
      </c>
      <c r="O1534" s="64" t="n">
        <v>-122987.386542487</v>
      </c>
      <c r="P1534" s="64" t="n">
        <v>-126677.008138762</v>
      </c>
      <c r="Q1534" s="64" t="n">
        <v>-130477.318382924</v>
      </c>
      <c r="R1534" s="64" t="n">
        <v>-134391.637934412</v>
      </c>
      <c r="S1534" s="64" t="n">
        <v>-138423.387072445</v>
      </c>
      <c r="T1534" s="64" t="n">
        <v>-142576.088684618</v>
      </c>
      <c r="U1534" s="64" t="n">
        <v>-146853.371345156</v>
      </c>
      <c r="V1534" s="64" t="n">
        <v>-151258.972485511</v>
      </c>
      <c r="W1534" s="65"/>
    </row>
    <row r="1535" customFormat="false" ht="13.5" hidden="false" customHeight="false" outlineLevel="0" collapsed="false">
      <c r="A1535" s="2"/>
      <c r="B1535" s="119" t="s">
        <v>34</v>
      </c>
      <c r="C1535" s="120" t="n">
        <v>0</v>
      </c>
      <c r="D1535" s="68" t="n">
        <v>0</v>
      </c>
      <c r="E1535" s="68" t="n">
        <v>0</v>
      </c>
      <c r="F1535" s="68" t="n">
        <v>0</v>
      </c>
      <c r="G1535" s="68" t="n">
        <v>0</v>
      </c>
      <c r="H1535" s="68" t="n">
        <v>0</v>
      </c>
      <c r="I1535" s="68" t="n">
        <v>0</v>
      </c>
      <c r="J1535" s="68" t="n">
        <v>0</v>
      </c>
      <c r="K1535" s="68" t="n">
        <v>0</v>
      </c>
      <c r="L1535" s="68" t="n">
        <v>0</v>
      </c>
      <c r="M1535" s="68" t="n">
        <v>0</v>
      </c>
      <c r="N1535" s="68" t="n">
        <v>0</v>
      </c>
      <c r="O1535" s="68" t="n">
        <v>0</v>
      </c>
      <c r="P1535" s="68" t="n">
        <v>0</v>
      </c>
      <c r="Q1535" s="68" t="n">
        <v>0</v>
      </c>
      <c r="R1535" s="68" t="n">
        <v>0</v>
      </c>
      <c r="S1535" s="68" t="n">
        <v>0</v>
      </c>
      <c r="T1535" s="68" t="n">
        <v>0</v>
      </c>
      <c r="U1535" s="68" t="n">
        <v>0</v>
      </c>
      <c r="V1535" s="68" t="n">
        <v>0</v>
      </c>
      <c r="W1535" s="65"/>
    </row>
    <row r="1536" customFormat="false" ht="13.5" hidden="false" customHeight="false" outlineLevel="0" collapsed="false">
      <c r="A1536" s="2"/>
      <c r="B1536" s="117"/>
      <c r="C1536" s="124"/>
      <c r="D1536" s="65"/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5"/>
      <c r="P1536" s="65"/>
      <c r="Q1536" s="65"/>
      <c r="R1536" s="65"/>
      <c r="S1536" s="65"/>
      <c r="T1536" s="65"/>
      <c r="U1536" s="65"/>
      <c r="V1536" s="65"/>
      <c r="W1536" s="65"/>
    </row>
    <row r="1537" customFormat="false" ht="12.75" hidden="false" customHeight="false" outlineLevel="0" collapsed="false">
      <c r="A1537" s="2"/>
      <c r="B1537" s="121" t="s">
        <v>35</v>
      </c>
      <c r="C1537" s="123" t="n">
        <v>0</v>
      </c>
      <c r="D1537" s="73" t="n">
        <v>1892070.81374419</v>
      </c>
      <c r="E1537" s="73" t="n">
        <v>1322894.62854321</v>
      </c>
      <c r="F1537" s="73" t="n">
        <v>1058292.5803176</v>
      </c>
      <c r="G1537" s="73" t="n">
        <v>854778.877887044</v>
      </c>
      <c r="H1537" s="73" t="n">
        <v>737561.399839373</v>
      </c>
      <c r="I1537" s="73" t="n">
        <v>529191.662685475</v>
      </c>
      <c r="J1537" s="73" t="n">
        <v>599640.694151393</v>
      </c>
      <c r="K1537" s="73" t="n">
        <v>953623.673009733</v>
      </c>
      <c r="L1537" s="73" t="n">
        <v>960636.944791472</v>
      </c>
      <c r="M1537" s="73" t="n">
        <v>1083390.04802126</v>
      </c>
      <c r="N1537" s="73" t="n">
        <v>730006.518197174</v>
      </c>
      <c r="O1537" s="73" t="n">
        <v>906556.874080396</v>
      </c>
      <c r="P1537" s="73" t="n">
        <v>865991.788732743</v>
      </c>
      <c r="Q1537" s="73" t="n">
        <v>1085266.25922072</v>
      </c>
      <c r="R1537" s="73" t="n">
        <v>819884.548342688</v>
      </c>
      <c r="S1537" s="73" t="n">
        <v>582591.302942087</v>
      </c>
      <c r="T1537" s="73" t="n">
        <v>711967.020656284</v>
      </c>
      <c r="U1537" s="73" t="n">
        <v>925675.020623499</v>
      </c>
      <c r="V1537" s="73" t="n">
        <v>705592.138066523</v>
      </c>
      <c r="W1537" s="71" t="n">
        <v>5171833.90962287</v>
      </c>
    </row>
    <row r="1538" customFormat="false" ht="12.75" hidden="false" customHeight="false" outlineLevel="0" collapsed="false">
      <c r="A1538" s="2"/>
      <c r="B1538" s="125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</row>
    <row r="1539" customFormat="false" ht="12.75" hidden="false" customHeight="false" outlineLevel="0" collapsed="false">
      <c r="A1539" s="48" t="s">
        <v>36</v>
      </c>
      <c r="B1539" s="126" t="s">
        <v>37</v>
      </c>
      <c r="C1539" s="76" t="n">
        <v>4650269.67649583</v>
      </c>
      <c r="D1539" s="2"/>
      <c r="E1539" s="127" t="s">
        <v>38</v>
      </c>
      <c r="F1539" s="128" t="s">
        <v>37</v>
      </c>
      <c r="G1539" s="79" t="n">
        <v>4650269.67649583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customFormat="false" ht="12.75" hidden="false" customHeight="false" outlineLevel="0" collapsed="false">
      <c r="A1540" s="2"/>
      <c r="B1540" s="126" t="s">
        <v>39</v>
      </c>
      <c r="C1540" s="76" t="n">
        <v>3703529.06682512</v>
      </c>
      <c r="D1540" s="2"/>
      <c r="E1540" s="129"/>
      <c r="F1540" s="128" t="s">
        <v>39</v>
      </c>
      <c r="G1540" s="79" t="n">
        <v>3703529.06682512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customFormat="false" ht="13.5" hidden="false" customHeight="false" outlineLevel="0" collapsed="false">
      <c r="A1541" s="2"/>
      <c r="B1541" s="130" t="s">
        <v>40</v>
      </c>
      <c r="C1541" s="82" t="n">
        <v>768760.155864634</v>
      </c>
      <c r="D1541" s="131"/>
      <c r="E1541" s="129"/>
      <c r="F1541" s="128" t="s">
        <v>40</v>
      </c>
      <c r="G1541" s="79" t="n">
        <v>768760.155864634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</row>
    <row r="1542" customFormat="false" ht="14.25" hidden="false" customHeight="false" outlineLevel="0" collapsed="false">
      <c r="A1542" s="2"/>
      <c r="B1542" s="126" t="s">
        <v>41</v>
      </c>
      <c r="C1542" s="76" t="n">
        <v>9122558.89918559</v>
      </c>
      <c r="D1542" s="132"/>
      <c r="E1542" s="129"/>
      <c r="F1542" s="133" t="s">
        <v>42</v>
      </c>
      <c r="G1542" s="85" t="n">
        <v>0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</row>
    <row r="1543" customFormat="false" ht="13.5" hidden="false" customHeight="false" outlineLevel="0" collapsed="false">
      <c r="A1543" s="2"/>
      <c r="B1543" s="125"/>
      <c r="C1543" s="134"/>
      <c r="D1543" s="2"/>
      <c r="E1543" s="135"/>
      <c r="F1543" s="128" t="s">
        <v>41</v>
      </c>
      <c r="G1543" s="79" t="n">
        <v>9122558.89918559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</row>
    <row r="1544" customFormat="false" ht="12.75" hidden="false" customHeight="false" outlineLevel="0" collapsed="false">
      <c r="A1544" s="2"/>
      <c r="B1544" s="125"/>
      <c r="C1544" s="134"/>
      <c r="D1544" s="2"/>
      <c r="E1544" s="135"/>
      <c r="F1544" s="128"/>
      <c r="G1544" s="136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</row>
    <row r="1545" customFormat="false" ht="12.75" hidden="false" customHeight="false" outlineLevel="0" collapsed="false">
      <c r="A1545" s="2"/>
      <c r="B1545" s="125"/>
      <c r="C1545" s="134"/>
      <c r="D1545" s="2"/>
      <c r="E1545" s="135"/>
      <c r="F1545" s="128"/>
      <c r="G1545" s="136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</row>
    <row r="1546" customFormat="false" ht="12.75" hidden="false" customHeight="false" outlineLevel="0" collapsed="false">
      <c r="A1546" s="2"/>
      <c r="B1546" s="137" t="s">
        <v>43</v>
      </c>
      <c r="C1546" s="134"/>
      <c r="D1546" s="2"/>
      <c r="E1546" s="135"/>
      <c r="F1546" s="128"/>
      <c r="G1546" s="136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</row>
    <row r="1547" customFormat="false" ht="12.75" hidden="false" customHeight="false" outlineLevel="0" collapsed="false">
      <c r="A1547" s="87" t="s">
        <v>44</v>
      </c>
      <c r="B1547" s="137" t="s">
        <v>45</v>
      </c>
      <c r="C1547" s="138"/>
      <c r="D1547" s="88" t="n">
        <v>1637120.90636742</v>
      </c>
      <c r="E1547" s="88" t="n">
        <v>1089076.0107284</v>
      </c>
      <c r="F1547" s="88" t="n">
        <v>854526.330858655</v>
      </c>
      <c r="G1547" s="88" t="n">
        <v>681483.736628174</v>
      </c>
      <c r="H1547" s="88" t="n">
        <v>676954.330416531</v>
      </c>
      <c r="I1547" s="88" t="n">
        <v>475637.657480842</v>
      </c>
      <c r="J1547" s="88" t="n">
        <v>542039.702346098</v>
      </c>
      <c r="K1547" s="88" t="n">
        <v>892663.486837</v>
      </c>
      <c r="L1547" s="88" t="n">
        <v>896361.168947577</v>
      </c>
      <c r="M1547" s="88" t="n">
        <v>1016433.29534531</v>
      </c>
      <c r="N1547" s="88" t="n">
        <v>673943.977637889</v>
      </c>
      <c r="O1547" s="88" t="n">
        <v>862027.085260707</v>
      </c>
      <c r="P1547" s="88" t="n">
        <v>819010.6353531</v>
      </c>
      <c r="Q1547" s="88" t="n">
        <v>1095119.85182642</v>
      </c>
      <c r="R1547" s="88" t="n">
        <v>886303.009219482</v>
      </c>
      <c r="S1547" s="88" t="n">
        <v>646549.420730493</v>
      </c>
      <c r="T1547" s="88" t="n">
        <v>773390.98506365</v>
      </c>
      <c r="U1547" s="88" t="n">
        <v>984488.807048394</v>
      </c>
      <c r="V1547" s="88" t="n">
        <v>761717.441169473</v>
      </c>
      <c r="W1547" s="2"/>
    </row>
    <row r="1548" customFormat="false" ht="12.75" hidden="false" customHeight="false" outlineLevel="0" collapsed="false">
      <c r="A1548" s="2"/>
      <c r="B1548" s="125" t="s">
        <v>46</v>
      </c>
      <c r="C1548" s="134"/>
      <c r="D1548" s="65" t="n">
        <v>1091413.93757828</v>
      </c>
      <c r="E1548" s="65" t="n">
        <v>726050.673818931</v>
      </c>
      <c r="F1548" s="65" t="n">
        <v>569684.220572437</v>
      </c>
      <c r="G1548" s="65" t="n">
        <v>454322.491085449</v>
      </c>
      <c r="H1548" s="65" t="n">
        <v>451302.886944354</v>
      </c>
      <c r="I1548" s="65" t="n">
        <v>317091.771653895</v>
      </c>
      <c r="J1548" s="65" t="n">
        <v>361359.801564065</v>
      </c>
      <c r="K1548" s="65" t="n">
        <v>595108.991224667</v>
      </c>
      <c r="L1548" s="65" t="n">
        <v>597574.112631718</v>
      </c>
      <c r="M1548" s="65" t="n">
        <v>677622.196896877</v>
      </c>
      <c r="N1548" s="65" t="n">
        <v>449295.985091926</v>
      </c>
      <c r="O1548" s="65" t="n">
        <v>574684.723507138</v>
      </c>
      <c r="P1548" s="65" t="n">
        <v>546007.0902354</v>
      </c>
      <c r="Q1548" s="65" t="n">
        <v>730079.901217612</v>
      </c>
      <c r="R1548" s="65" t="n">
        <v>590868.672812988</v>
      </c>
      <c r="S1548" s="65" t="n">
        <v>431032.947153662</v>
      </c>
      <c r="T1548" s="65" t="n">
        <v>515593.990042433</v>
      </c>
      <c r="U1548" s="65" t="n">
        <v>656325.871365596</v>
      </c>
      <c r="V1548" s="65" t="n">
        <v>507811.627446315</v>
      </c>
      <c r="W1548" s="2"/>
    </row>
    <row r="1549" customFormat="false" ht="12.75" hidden="false" customHeight="false" outlineLevel="0" collapsed="false">
      <c r="A1549" s="2"/>
      <c r="B1549" s="139" t="s">
        <v>47</v>
      </c>
      <c r="C1549" s="140"/>
      <c r="D1549" s="65" t="n">
        <v>256373.487376777</v>
      </c>
      <c r="E1549" s="65" t="n">
        <v>235299.637814816</v>
      </c>
      <c r="F1549" s="65" t="n">
        <v>205307.079458943</v>
      </c>
      <c r="G1549" s="65" t="n">
        <v>174904.471258869</v>
      </c>
      <c r="H1549" s="65" t="n">
        <v>160607.069422842</v>
      </c>
      <c r="I1549" s="65" t="n">
        <v>156554.005204633</v>
      </c>
      <c r="J1549" s="65" t="n">
        <v>163690.991805296</v>
      </c>
      <c r="K1549" s="65" t="n">
        <v>170232.886172733</v>
      </c>
      <c r="L1549" s="65" t="n">
        <v>176826.656843896</v>
      </c>
      <c r="M1549" s="65" t="n">
        <v>182884.160105948</v>
      </c>
      <c r="N1549" s="65" t="n">
        <v>175467.770212185</v>
      </c>
      <c r="O1549" s="65" t="n">
        <v>167517.175362176</v>
      </c>
      <c r="P1549" s="65" t="n">
        <v>173658.161518404</v>
      </c>
      <c r="Q1549" s="65" t="n">
        <v>120623.725777227</v>
      </c>
      <c r="R1549" s="65" t="n">
        <v>67973.1770576182</v>
      </c>
      <c r="S1549" s="65" t="n">
        <v>74465.2692840387</v>
      </c>
      <c r="T1549" s="65" t="n">
        <v>81152.1242772519</v>
      </c>
      <c r="U1549" s="65" t="n">
        <v>88039.5849202614</v>
      </c>
      <c r="V1549" s="65" t="n">
        <v>95133.6693825613</v>
      </c>
      <c r="W1549" s="2"/>
    </row>
    <row r="1550" customFormat="false" ht="13.5" hidden="false" customHeight="false" outlineLevel="0" collapsed="false">
      <c r="A1550" s="2"/>
      <c r="B1550" s="141" t="s">
        <v>48</v>
      </c>
      <c r="C1550" s="142"/>
      <c r="D1550" s="93" t="n">
        <v>2984908.33132247</v>
      </c>
      <c r="E1550" s="93" t="n">
        <v>2050426.32236214</v>
      </c>
      <c r="F1550" s="93" t="n">
        <v>1629517.63089003</v>
      </c>
      <c r="G1550" s="93" t="n">
        <v>1310710.69897249</v>
      </c>
      <c r="H1550" s="93" t="n">
        <v>1288864.28678373</v>
      </c>
      <c r="I1550" s="93" t="n">
        <v>949283.43433937</v>
      </c>
      <c r="J1550" s="93" t="n">
        <v>1067090.49571546</v>
      </c>
      <c r="K1550" s="93" t="n">
        <v>1658005.3642344</v>
      </c>
      <c r="L1550" s="93" t="n">
        <v>1670761.93842319</v>
      </c>
      <c r="M1550" s="93" t="n">
        <v>1876939.65234814</v>
      </c>
      <c r="N1550" s="93" t="n">
        <v>1298707.732942</v>
      </c>
      <c r="O1550" s="93" t="n">
        <v>1604228.98413002</v>
      </c>
      <c r="P1550" s="93" t="n">
        <v>1538675.88710691</v>
      </c>
      <c r="Q1550" s="93" t="n">
        <v>1945823.47882126</v>
      </c>
      <c r="R1550" s="93" t="n">
        <v>1545144.85909009</v>
      </c>
      <c r="S1550" s="93" t="n">
        <v>1152047.63716819</v>
      </c>
      <c r="T1550" s="93" t="n">
        <v>1370137.09938333</v>
      </c>
      <c r="U1550" s="93" t="n">
        <v>1728854.26333425</v>
      </c>
      <c r="V1550" s="93" t="n">
        <v>1364662.73799835</v>
      </c>
      <c r="W1550" s="2"/>
    </row>
    <row r="1551" customFormat="false" ht="13.5" hidden="false" customHeight="false" outlineLevel="0" collapsed="false">
      <c r="A1551" s="87" t="s">
        <v>49</v>
      </c>
      <c r="B1551" s="125" t="s">
        <v>50</v>
      </c>
      <c r="C1551" s="134"/>
      <c r="D1551" s="65" t="n">
        <v>-572072.685698323</v>
      </c>
      <c r="E1551" s="65" t="n">
        <v>-571105.994308152</v>
      </c>
      <c r="F1551" s="65" t="n">
        <v>-567419.223154391</v>
      </c>
      <c r="G1551" s="65" t="n">
        <v>-551343.674610459</v>
      </c>
      <c r="H1551" s="65" t="n">
        <v>-509959.226511037</v>
      </c>
      <c r="I1551" s="65" t="n">
        <v>-515109.226511037</v>
      </c>
      <c r="J1551" s="65" t="n">
        <v>-297727.48179906</v>
      </c>
      <c r="K1551" s="65" t="n">
        <v>-109683.597234149</v>
      </c>
      <c r="L1551" s="65" t="n">
        <v>-115116.44440495</v>
      </c>
      <c r="M1551" s="65" t="n">
        <v>-113527.919556791</v>
      </c>
      <c r="N1551" s="65" t="n">
        <v>-63875.9276846459</v>
      </c>
      <c r="O1551" s="65" t="n">
        <v>-70025.2970117703</v>
      </c>
      <c r="P1551" s="65" t="n">
        <v>-76359.1474187083</v>
      </c>
      <c r="Q1551" s="65" t="n">
        <v>-82883.0133378546</v>
      </c>
      <c r="R1551" s="65" t="n">
        <v>-89602.5952345752</v>
      </c>
      <c r="S1551" s="65" t="n">
        <v>-96173.3772123575</v>
      </c>
      <c r="T1551" s="65" t="n">
        <v>-102354.939623377</v>
      </c>
      <c r="U1551" s="65" t="n">
        <v>-109697.608190635</v>
      </c>
      <c r="V1551" s="65" t="n">
        <v>-117260.556814911</v>
      </c>
      <c r="W1551" s="2"/>
    </row>
    <row r="1552" customFormat="false" ht="12.75" hidden="false" customHeight="false" outlineLevel="0" collapsed="false">
      <c r="A1552" s="2"/>
      <c r="B1552" s="125" t="s">
        <v>51</v>
      </c>
      <c r="C1552" s="134"/>
      <c r="D1552" s="65" t="n">
        <v>0</v>
      </c>
      <c r="E1552" s="65" t="n">
        <v>0</v>
      </c>
      <c r="F1552" s="65" t="n">
        <v>0</v>
      </c>
      <c r="G1552" s="65" t="n">
        <v>0</v>
      </c>
      <c r="H1552" s="65" t="n">
        <v>0</v>
      </c>
      <c r="I1552" s="65" t="n">
        <v>0</v>
      </c>
      <c r="J1552" s="65" t="n">
        <v>0</v>
      </c>
      <c r="K1552" s="65" t="n">
        <v>0</v>
      </c>
      <c r="L1552" s="65" t="n">
        <v>0</v>
      </c>
      <c r="M1552" s="65" t="n">
        <v>0</v>
      </c>
      <c r="N1552" s="65" t="n">
        <v>0</v>
      </c>
      <c r="O1552" s="65" t="n">
        <v>0</v>
      </c>
      <c r="P1552" s="65" t="n">
        <v>0</v>
      </c>
      <c r="Q1552" s="65" t="n">
        <v>0</v>
      </c>
      <c r="R1552" s="65" t="n">
        <v>0</v>
      </c>
      <c r="S1552" s="65" t="n">
        <v>0</v>
      </c>
      <c r="T1552" s="65" t="n">
        <v>0</v>
      </c>
      <c r="U1552" s="65" t="n">
        <v>0</v>
      </c>
      <c r="V1552" s="65" t="n">
        <v>0</v>
      </c>
      <c r="W1552" s="2"/>
    </row>
    <row r="1553" customFormat="false" ht="12.75" hidden="false" customHeight="false" outlineLevel="0" collapsed="false">
      <c r="A1553" s="2"/>
      <c r="B1553" s="137" t="s">
        <v>52</v>
      </c>
      <c r="C1553" s="138"/>
      <c r="D1553" s="88" t="n">
        <v>2412835.64562415</v>
      </c>
      <c r="E1553" s="88" t="n">
        <v>1479320.32805399</v>
      </c>
      <c r="F1553" s="88" t="n">
        <v>1062098.40773564</v>
      </c>
      <c r="G1553" s="88" t="n">
        <v>759367.024362034</v>
      </c>
      <c r="H1553" s="88" t="n">
        <v>778905.06027269</v>
      </c>
      <c r="I1553" s="88" t="n">
        <v>434174.207828333</v>
      </c>
      <c r="J1553" s="88" t="n">
        <v>769363.013916398</v>
      </c>
      <c r="K1553" s="88" t="n">
        <v>1548321.76700025</v>
      </c>
      <c r="L1553" s="88" t="n">
        <v>1555645.49401824</v>
      </c>
      <c r="M1553" s="88" t="n">
        <v>1763411.73279135</v>
      </c>
      <c r="N1553" s="88" t="n">
        <v>1234831.80525735</v>
      </c>
      <c r="O1553" s="88" t="n">
        <v>1534203.68711825</v>
      </c>
      <c r="P1553" s="88" t="n">
        <v>1462316.7396882</v>
      </c>
      <c r="Q1553" s="88" t="n">
        <v>1862940.4654834</v>
      </c>
      <c r="R1553" s="88" t="n">
        <v>1455542.26385551</v>
      </c>
      <c r="S1553" s="88" t="n">
        <v>1055874.25995584</v>
      </c>
      <c r="T1553" s="88" t="n">
        <v>1267782.15975996</v>
      </c>
      <c r="U1553" s="88" t="n">
        <v>1619156.65514362</v>
      </c>
      <c r="V1553" s="88" t="n">
        <v>1247402.18118344</v>
      </c>
      <c r="W1553" s="2"/>
    </row>
    <row r="1554" customFormat="false" ht="13.5" hidden="false" customHeight="false" outlineLevel="0" collapsed="false">
      <c r="A1554" s="2"/>
      <c r="B1554" s="143" t="s">
        <v>53</v>
      </c>
      <c r="C1554" s="144"/>
      <c r="D1554" s="96" t="n">
        <v>-965134.258249659</v>
      </c>
      <c r="E1554" s="96" t="n">
        <v>-591728.131221597</v>
      </c>
      <c r="F1554" s="96" t="n">
        <v>-424839.363094257</v>
      </c>
      <c r="G1554" s="96" t="n">
        <v>-303746.809744814</v>
      </c>
      <c r="H1554" s="96" t="n">
        <v>-311562.024109076</v>
      </c>
      <c r="I1554" s="96" t="n">
        <v>-173669.683131333</v>
      </c>
      <c r="J1554" s="96" t="n">
        <v>-307745.205566559</v>
      </c>
      <c r="K1554" s="96" t="n">
        <v>-619328.7068001</v>
      </c>
      <c r="L1554" s="96" t="n">
        <v>-622258.197607296</v>
      </c>
      <c r="M1554" s="96" t="n">
        <v>-705364.693116539</v>
      </c>
      <c r="N1554" s="96" t="n">
        <v>-493932.722102942</v>
      </c>
      <c r="O1554" s="96" t="n">
        <v>-613681.4748473</v>
      </c>
      <c r="P1554" s="96" t="n">
        <v>-584926.695875279</v>
      </c>
      <c r="Q1554" s="96" t="n">
        <v>-745176.186193361</v>
      </c>
      <c r="R1554" s="96" t="n">
        <v>-582216.905542205</v>
      </c>
      <c r="S1554" s="96" t="n">
        <v>-422349.703982335</v>
      </c>
      <c r="T1554" s="96" t="n">
        <v>-507112.863903983</v>
      </c>
      <c r="U1554" s="96" t="n">
        <v>-647662.662057447</v>
      </c>
      <c r="V1554" s="96" t="n">
        <v>-498960.872473375</v>
      </c>
      <c r="W1554" s="2"/>
    </row>
    <row r="1555" customFormat="false" ht="13.5" hidden="false" customHeight="false" outlineLevel="0" collapsed="false">
      <c r="A1555" s="2"/>
      <c r="B1555" s="137" t="s">
        <v>54</v>
      </c>
      <c r="C1555" s="138"/>
      <c r="D1555" s="88" t="n">
        <v>1447701.38737449</v>
      </c>
      <c r="E1555" s="88" t="n">
        <v>887592.196832395</v>
      </c>
      <c r="F1555" s="88" t="n">
        <v>637259.044641386</v>
      </c>
      <c r="G1555" s="88" t="n">
        <v>455620.21461722</v>
      </c>
      <c r="H1555" s="88" t="n">
        <v>467343.036163614</v>
      </c>
      <c r="I1555" s="88" t="n">
        <v>260504.524697</v>
      </c>
      <c r="J1555" s="88" t="n">
        <v>461617.808349839</v>
      </c>
      <c r="K1555" s="88" t="n">
        <v>928993.06020015</v>
      </c>
      <c r="L1555" s="88" t="n">
        <v>933387.296410944</v>
      </c>
      <c r="M1555" s="88" t="n">
        <v>1058047.03967481</v>
      </c>
      <c r="N1555" s="88" t="n">
        <v>740899.083154412</v>
      </c>
      <c r="O1555" s="88" t="n">
        <v>920522.21227095</v>
      </c>
      <c r="P1555" s="88" t="n">
        <v>877390.043812918</v>
      </c>
      <c r="Q1555" s="88" t="n">
        <v>1117764.27929004</v>
      </c>
      <c r="R1555" s="88" t="n">
        <v>873325.358313308</v>
      </c>
      <c r="S1555" s="88" t="n">
        <v>633524.555973502</v>
      </c>
      <c r="T1555" s="88" t="n">
        <v>760669.295855974</v>
      </c>
      <c r="U1555" s="88" t="n">
        <v>971493.99308617</v>
      </c>
      <c r="V1555" s="88" t="n">
        <v>748441.308710063</v>
      </c>
      <c r="W1555" s="2"/>
    </row>
    <row r="1556" customFormat="false" ht="12.75" hidden="false" customHeight="false" outlineLevel="0" collapsed="false">
      <c r="A1556" s="2"/>
      <c r="B1556" s="2"/>
      <c r="C1556" s="134"/>
      <c r="D1556" s="2"/>
      <c r="E1556" s="135"/>
      <c r="F1556" s="128"/>
      <c r="G1556" s="136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</row>
    <row r="1557" customFormat="false" ht="15.75" hidden="false" customHeight="false" outlineLevel="0" collapsed="false">
      <c r="A1557" s="97" t="s">
        <v>55</v>
      </c>
      <c r="B1557" s="145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</row>
    <row r="1558" customFormat="false" ht="12.75" hidden="false" customHeight="false" outlineLevel="0" collapsed="false">
      <c r="A1558" s="99" t="s">
        <v>56</v>
      </c>
      <c r="B1558" s="49"/>
      <c r="C1558" s="101" t="n">
        <v>0</v>
      </c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</row>
    <row r="1559" customFormat="false" ht="12.75" hidden="false" customHeight="false" outlineLevel="0" collapsed="false">
      <c r="A1559" s="99" t="s">
        <v>57</v>
      </c>
      <c r="B1559" s="49"/>
      <c r="C1559" s="146" t="n">
        <v>0</v>
      </c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</row>
    <row r="1560" customFormat="false" ht="12.75" hidden="false" customHeight="false" outlineLevel="0" collapsed="false">
      <c r="A1560" s="99" t="s">
        <v>58</v>
      </c>
      <c r="B1560" s="49"/>
      <c r="C1560" s="99" t="n">
        <v>15</v>
      </c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</row>
    <row r="1561" customFormat="false" ht="12.75" hidden="false" customHeight="false" outlineLevel="0" collapsed="false">
      <c r="A1561" s="99" t="s">
        <v>59</v>
      </c>
      <c r="B1561" s="49"/>
      <c r="C1561" s="146" t="n">
        <v>0</v>
      </c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</row>
    <row r="1562" customFormat="false" ht="12.75" hidden="false" customHeight="false" outlineLevel="0" collapsed="false">
      <c r="A1562" s="99" t="s">
        <v>60</v>
      </c>
      <c r="B1562" s="49"/>
      <c r="C1562" s="147" t="n">
        <v>0.0875</v>
      </c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</row>
    <row r="1563" customFormat="false" ht="12.75" hidden="false" customHeight="false" outlineLevel="0" collapsed="false">
      <c r="A1563" s="99"/>
      <c r="B1563" s="49"/>
      <c r="C1563" s="107"/>
      <c r="D1563" s="58" t="n">
        <v>2001</v>
      </c>
      <c r="E1563" s="58" t="n">
        <v>2002</v>
      </c>
      <c r="F1563" s="58" t="n">
        <v>2003</v>
      </c>
      <c r="G1563" s="58" t="n">
        <v>2004</v>
      </c>
      <c r="H1563" s="58" t="n">
        <v>2005</v>
      </c>
      <c r="I1563" s="58" t="n">
        <v>2006</v>
      </c>
      <c r="J1563" s="58" t="n">
        <v>2007</v>
      </c>
      <c r="K1563" s="58" t="n">
        <v>2008</v>
      </c>
      <c r="L1563" s="58" t="n">
        <v>2009</v>
      </c>
      <c r="M1563" s="58" t="n">
        <v>2010</v>
      </c>
      <c r="N1563" s="58" t="n">
        <v>2011</v>
      </c>
      <c r="O1563" s="58" t="n">
        <v>2012</v>
      </c>
      <c r="P1563" s="58" t="n">
        <v>2013</v>
      </c>
      <c r="Q1563" s="58" t="n">
        <v>2014</v>
      </c>
      <c r="R1563" s="58" t="n">
        <v>2015</v>
      </c>
      <c r="S1563" s="58" t="n">
        <v>2016</v>
      </c>
      <c r="T1563" s="58" t="n">
        <v>2017</v>
      </c>
      <c r="U1563" s="58" t="n">
        <v>2018</v>
      </c>
      <c r="V1563" s="58" t="n">
        <v>2019</v>
      </c>
      <c r="W1563" s="58" t="s">
        <v>19</v>
      </c>
    </row>
    <row r="1564" customFormat="false" ht="12.75" hidden="false" customHeight="false" outlineLevel="0" collapsed="false">
      <c r="A1564" s="99" t="s">
        <v>61</v>
      </c>
      <c r="B1564" s="49"/>
      <c r="C1564" s="107"/>
      <c r="D1564" s="102" t="n">
        <v>0</v>
      </c>
      <c r="E1564" s="102" t="n">
        <v>0</v>
      </c>
      <c r="F1564" s="102" t="n">
        <v>0</v>
      </c>
      <c r="G1564" s="102" t="n">
        <v>0</v>
      </c>
      <c r="H1564" s="102" t="n">
        <v>0</v>
      </c>
      <c r="I1564" s="102" t="n">
        <v>0</v>
      </c>
      <c r="J1564" s="102" t="n">
        <v>0</v>
      </c>
      <c r="K1564" s="102" t="n">
        <v>0</v>
      </c>
      <c r="L1564" s="102" t="n">
        <v>0</v>
      </c>
      <c r="M1564" s="102" t="n">
        <v>0</v>
      </c>
      <c r="N1564" s="102" t="n">
        <v>0</v>
      </c>
      <c r="O1564" s="102" t="n">
        <v>0</v>
      </c>
      <c r="P1564" s="102" t="n">
        <v>0</v>
      </c>
      <c r="Q1564" s="102" t="n">
        <v>0</v>
      </c>
      <c r="R1564" s="102" t="n">
        <v>0</v>
      </c>
      <c r="S1564" s="102" t="n">
        <v>0</v>
      </c>
      <c r="T1564" s="102" t="n">
        <v>0</v>
      </c>
      <c r="U1564" s="102" t="n">
        <v>0</v>
      </c>
      <c r="V1564" s="102" t="n">
        <v>0</v>
      </c>
      <c r="W1564" s="102" t="n">
        <v>0</v>
      </c>
    </row>
    <row r="1565" customFormat="false" ht="12.75" hidden="false" customHeight="false" outlineLevel="0" collapsed="false">
      <c r="A1565" s="99" t="s">
        <v>62</v>
      </c>
      <c r="B1565" s="49"/>
      <c r="C1565" s="107"/>
      <c r="D1565" s="102" t="n">
        <v>0</v>
      </c>
      <c r="E1565" s="102" t="n">
        <v>0</v>
      </c>
      <c r="F1565" s="102" t="n">
        <v>0</v>
      </c>
      <c r="G1565" s="102" t="n">
        <v>0</v>
      </c>
      <c r="H1565" s="102" t="n">
        <v>0</v>
      </c>
      <c r="I1565" s="102" t="n">
        <v>0</v>
      </c>
      <c r="J1565" s="102" t="n">
        <v>0</v>
      </c>
      <c r="K1565" s="102" t="n">
        <v>0</v>
      </c>
      <c r="L1565" s="102" t="n">
        <v>0</v>
      </c>
      <c r="M1565" s="102" t="n">
        <v>0</v>
      </c>
      <c r="N1565" s="102" t="n">
        <v>0</v>
      </c>
      <c r="O1565" s="102" t="n">
        <v>0</v>
      </c>
      <c r="P1565" s="102" t="n">
        <v>0</v>
      </c>
      <c r="Q1565" s="102" t="n">
        <v>0</v>
      </c>
      <c r="R1565" s="102" t="n">
        <v>0</v>
      </c>
      <c r="S1565" s="102" t="n">
        <v>0</v>
      </c>
      <c r="T1565" s="102" t="n">
        <v>0</v>
      </c>
      <c r="U1565" s="102" t="n">
        <v>0</v>
      </c>
      <c r="V1565" s="102" t="n">
        <v>0</v>
      </c>
      <c r="W1565" s="102" t="n">
        <v>0</v>
      </c>
    </row>
    <row r="1566" customFormat="false" ht="12.75" hidden="false" customHeight="false" outlineLevel="0" collapsed="false">
      <c r="A1566" s="99" t="s">
        <v>63</v>
      </c>
      <c r="B1566" s="49"/>
      <c r="C1566" s="107"/>
      <c r="D1566" s="102" t="n">
        <v>0</v>
      </c>
      <c r="E1566" s="102" t="n">
        <v>0</v>
      </c>
      <c r="F1566" s="102" t="n">
        <v>0</v>
      </c>
      <c r="G1566" s="102" t="n">
        <v>0</v>
      </c>
      <c r="H1566" s="102" t="n">
        <v>0</v>
      </c>
      <c r="I1566" s="102" t="n">
        <v>0</v>
      </c>
      <c r="J1566" s="102" t="n">
        <v>0</v>
      </c>
      <c r="K1566" s="102" t="n">
        <v>0</v>
      </c>
      <c r="L1566" s="102" t="n">
        <v>0</v>
      </c>
      <c r="M1566" s="102" t="n">
        <v>0</v>
      </c>
      <c r="N1566" s="102" t="n">
        <v>0</v>
      </c>
      <c r="O1566" s="102" t="n">
        <v>0</v>
      </c>
      <c r="P1566" s="102" t="n">
        <v>0</v>
      </c>
      <c r="Q1566" s="102" t="n">
        <v>0</v>
      </c>
      <c r="R1566" s="102" t="n">
        <v>0</v>
      </c>
      <c r="S1566" s="102" t="n">
        <v>0</v>
      </c>
      <c r="T1566" s="102" t="n">
        <v>0</v>
      </c>
      <c r="U1566" s="102" t="n">
        <v>0</v>
      </c>
      <c r="V1566" s="102" t="n">
        <v>0</v>
      </c>
      <c r="W1566" s="102" t="n">
        <v>0</v>
      </c>
    </row>
    <row r="1567" customFormat="false" ht="12.75" hidden="false" customHeight="false" outlineLevel="0" collapsed="false">
      <c r="A1567" s="99" t="s">
        <v>64</v>
      </c>
      <c r="B1567" s="49"/>
      <c r="C1567" s="107"/>
      <c r="D1567" s="105" t="n">
        <v>0</v>
      </c>
      <c r="E1567" s="105" t="n">
        <v>0</v>
      </c>
      <c r="F1567" s="105" t="n">
        <v>0</v>
      </c>
      <c r="G1567" s="105" t="n">
        <v>0</v>
      </c>
      <c r="H1567" s="105" t="n">
        <v>0</v>
      </c>
      <c r="I1567" s="105" t="n">
        <v>0</v>
      </c>
      <c r="J1567" s="105" t="n">
        <v>0</v>
      </c>
      <c r="K1567" s="105" t="n">
        <v>0</v>
      </c>
      <c r="L1567" s="105" t="n">
        <v>0</v>
      </c>
      <c r="M1567" s="105" t="n">
        <v>0</v>
      </c>
      <c r="N1567" s="105" t="n">
        <v>0</v>
      </c>
      <c r="O1567" s="105" t="n">
        <v>0</v>
      </c>
      <c r="P1567" s="105" t="n">
        <v>0</v>
      </c>
      <c r="Q1567" s="105" t="n">
        <v>0</v>
      </c>
      <c r="R1567" s="105" t="n">
        <v>0</v>
      </c>
      <c r="S1567" s="105" t="n">
        <v>0</v>
      </c>
      <c r="T1567" s="105" t="n">
        <v>0</v>
      </c>
      <c r="U1567" s="105" t="n">
        <v>0</v>
      </c>
      <c r="V1567" s="105" t="n">
        <v>0</v>
      </c>
      <c r="W1567" s="105" t="n">
        <v>0</v>
      </c>
    </row>
    <row r="1568" customFormat="false" ht="13.5" hidden="false" customHeight="false" outlineLevel="0" collapsed="false">
      <c r="A1568" s="99" t="s">
        <v>65</v>
      </c>
      <c r="B1568" s="49"/>
      <c r="C1568" s="107"/>
      <c r="D1568" s="106" t="n">
        <v>0</v>
      </c>
      <c r="E1568" s="106" t="n">
        <v>0</v>
      </c>
      <c r="F1568" s="106" t="n">
        <v>0</v>
      </c>
      <c r="G1568" s="106" t="n">
        <v>0</v>
      </c>
      <c r="H1568" s="106" t="n">
        <v>0</v>
      </c>
      <c r="I1568" s="106" t="n">
        <v>0</v>
      </c>
      <c r="J1568" s="106" t="n">
        <v>0</v>
      </c>
      <c r="K1568" s="106" t="n">
        <v>0</v>
      </c>
      <c r="L1568" s="106" t="n">
        <v>0</v>
      </c>
      <c r="M1568" s="106" t="n">
        <v>0</v>
      </c>
      <c r="N1568" s="106" t="n">
        <v>0</v>
      </c>
      <c r="O1568" s="106" t="n">
        <v>0</v>
      </c>
      <c r="P1568" s="106" t="n">
        <v>0</v>
      </c>
      <c r="Q1568" s="106" t="n">
        <v>0</v>
      </c>
      <c r="R1568" s="106" t="n">
        <v>0</v>
      </c>
      <c r="S1568" s="106" t="n">
        <v>0</v>
      </c>
      <c r="T1568" s="106" t="n">
        <v>0</v>
      </c>
      <c r="U1568" s="106" t="n">
        <v>0</v>
      </c>
      <c r="V1568" s="106" t="n">
        <v>0</v>
      </c>
      <c r="W1568" s="106" t="n">
        <v>0</v>
      </c>
    </row>
    <row r="1569" customFormat="false" ht="13.5" hidden="false" customHeight="false" outlineLevel="0" collapsed="false">
      <c r="A1569" s="99"/>
      <c r="B1569" s="49"/>
      <c r="C1569" s="107"/>
      <c r="D1569" s="102"/>
      <c r="E1569" s="102"/>
      <c r="F1569" s="102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102"/>
    </row>
    <row r="1570" customFormat="false" ht="12.75" hidden="false" customHeight="false" outlineLevel="0" collapsed="false">
      <c r="A1570" s="99" t="s">
        <v>66</v>
      </c>
      <c r="B1570" s="49"/>
      <c r="C1570" s="107"/>
      <c r="D1570" s="102" t="n">
        <v>0</v>
      </c>
      <c r="E1570" s="102" t="n">
        <v>0</v>
      </c>
      <c r="F1570" s="102" t="n">
        <v>0</v>
      </c>
      <c r="G1570" s="102" t="n">
        <v>0</v>
      </c>
      <c r="H1570" s="102" t="n">
        <v>0</v>
      </c>
      <c r="I1570" s="102" t="n">
        <v>0</v>
      </c>
      <c r="J1570" s="102" t="n">
        <v>0</v>
      </c>
      <c r="K1570" s="102" t="n">
        <v>0</v>
      </c>
      <c r="L1570" s="102" t="n">
        <v>0</v>
      </c>
      <c r="M1570" s="102" t="n">
        <v>0</v>
      </c>
      <c r="N1570" s="102" t="n">
        <v>0</v>
      </c>
      <c r="O1570" s="102" t="n">
        <v>0</v>
      </c>
      <c r="P1570" s="102" t="n">
        <v>0</v>
      </c>
      <c r="Q1570" s="102" t="n">
        <v>0</v>
      </c>
      <c r="R1570" s="102" t="n">
        <v>0</v>
      </c>
      <c r="S1570" s="102" t="n">
        <v>0</v>
      </c>
      <c r="T1570" s="102" t="n">
        <v>0</v>
      </c>
      <c r="U1570" s="102" t="n">
        <v>0</v>
      </c>
      <c r="V1570" s="102" t="n">
        <v>0</v>
      </c>
      <c r="W1570" s="102" t="n">
        <v>0</v>
      </c>
    </row>
    <row r="1571" customFormat="false" ht="12.75" hidden="false" customHeight="false" outlineLevel="0" collapsed="false">
      <c r="A1571" s="99"/>
      <c r="B1571" s="49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</row>
    <row r="1572" customFormat="false" ht="12.75" hidden="false" customHeight="false" outlineLevel="0" collapsed="false">
      <c r="A1572" s="99" t="s">
        <v>67</v>
      </c>
      <c r="B1572" s="49"/>
      <c r="C1572" s="107"/>
      <c r="D1572" s="102" t="n">
        <v>0</v>
      </c>
      <c r="E1572" s="102" t="n">
        <v>0</v>
      </c>
      <c r="F1572" s="102" t="n">
        <v>0</v>
      </c>
      <c r="G1572" s="102" t="n">
        <v>0</v>
      </c>
      <c r="H1572" s="102" t="n">
        <v>0</v>
      </c>
      <c r="I1572" s="102" t="n">
        <v>0</v>
      </c>
      <c r="J1572" s="102" t="n">
        <v>0</v>
      </c>
      <c r="K1572" s="102" t="n">
        <v>0</v>
      </c>
      <c r="L1572" s="102" t="n">
        <v>0</v>
      </c>
      <c r="M1572" s="102" t="n">
        <v>0</v>
      </c>
      <c r="N1572" s="102" t="n">
        <v>0</v>
      </c>
      <c r="O1572" s="102" t="n">
        <v>0</v>
      </c>
      <c r="P1572" s="102" t="n">
        <v>0</v>
      </c>
      <c r="Q1572" s="102" t="n">
        <v>0</v>
      </c>
      <c r="R1572" s="102" t="n">
        <v>0</v>
      </c>
      <c r="S1572" s="102" t="n">
        <v>0</v>
      </c>
      <c r="T1572" s="102" t="n">
        <v>0</v>
      </c>
      <c r="U1572" s="102" t="n">
        <v>0</v>
      </c>
      <c r="V1572" s="102" t="n">
        <v>0</v>
      </c>
      <c r="W1572" s="102" t="n">
        <v>0</v>
      </c>
    </row>
    <row r="1573" customFormat="false" ht="12.75" hidden="false" customHeight="false" outlineLevel="0" collapsed="false">
      <c r="A1573" s="107"/>
      <c r="B1573" s="49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</row>
    <row r="1574" customFormat="false" ht="12.75" hidden="false" customHeight="false" outlineLevel="0" collapsed="false">
      <c r="A1574" s="107"/>
      <c r="B1574" s="49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</row>
    <row r="1575" customFormat="false" ht="12.75" hidden="false" customHeight="false" outlineLevel="0" collapsed="false">
      <c r="A1575" s="99" t="s">
        <v>68</v>
      </c>
      <c r="B1575" s="148"/>
      <c r="C1575" s="149"/>
      <c r="D1575" s="79" t="n">
        <v>1892070.81374419</v>
      </c>
      <c r="E1575" s="79" t="n">
        <v>1322894.62854321</v>
      </c>
      <c r="F1575" s="79" t="n">
        <v>1058292.5803176</v>
      </c>
      <c r="G1575" s="79" t="n">
        <v>854778.877887044</v>
      </c>
      <c r="H1575" s="79" t="n">
        <v>737561.399839373</v>
      </c>
      <c r="I1575" s="79" t="n">
        <v>529191.662685475</v>
      </c>
      <c r="J1575" s="79" t="n">
        <v>599640.694151393</v>
      </c>
      <c r="K1575" s="79" t="n">
        <v>953623.673009733</v>
      </c>
      <c r="L1575" s="79" t="n">
        <v>960636.944791472</v>
      </c>
      <c r="M1575" s="79" t="n">
        <v>1083390.04802126</v>
      </c>
      <c r="N1575" s="79" t="n">
        <v>730006.518197174</v>
      </c>
      <c r="O1575" s="79" t="n">
        <v>906556.874080396</v>
      </c>
      <c r="P1575" s="79" t="n">
        <v>865991.788732743</v>
      </c>
      <c r="Q1575" s="79" t="n">
        <v>1085266.25922072</v>
      </c>
      <c r="R1575" s="79" t="n">
        <v>819884.548342688</v>
      </c>
      <c r="S1575" s="79" t="n">
        <v>582591.302942087</v>
      </c>
      <c r="T1575" s="79" t="n">
        <v>711967.020656284</v>
      </c>
      <c r="U1575" s="79" t="n">
        <v>925675.020623499</v>
      </c>
      <c r="V1575" s="79" t="n">
        <v>705592.138066523</v>
      </c>
      <c r="W1575" s="79" t="n">
        <v>5171833.90962287</v>
      </c>
    </row>
    <row r="1576" customFormat="false" ht="12.75" hidden="false" customHeight="false" outlineLevel="0" collapsed="false">
      <c r="A1576" s="2"/>
      <c r="B1576" s="31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</row>
    <row r="1577" customFormat="false" ht="12.75" hidden="false" customHeight="false" outlineLevel="0" collapsed="false">
      <c r="A1577" s="169"/>
      <c r="B1577" s="115"/>
      <c r="C1577" s="171"/>
      <c r="D1577" s="170"/>
      <c r="E1577" s="170"/>
      <c r="F1577" s="170"/>
      <c r="G1577" s="170"/>
      <c r="H1577" s="170"/>
      <c r="I1577" s="170"/>
      <c r="J1577" s="170"/>
      <c r="K1577" s="170"/>
      <c r="L1577" s="170"/>
      <c r="M1577" s="170"/>
      <c r="N1577" s="170"/>
      <c r="O1577" s="170"/>
      <c r="P1577" s="170"/>
      <c r="Q1577" s="170"/>
      <c r="R1577" s="170"/>
      <c r="S1577" s="170"/>
      <c r="T1577" s="170"/>
      <c r="U1577" s="170"/>
      <c r="V1577" s="170"/>
      <c r="W1577" s="170"/>
    </row>
    <row r="1578" customFormat="false" ht="12.75" hidden="false" customHeight="false" outlineLevel="0" collapsed="false">
      <c r="A1578" s="169"/>
      <c r="B1578" s="115"/>
      <c r="C1578" s="169"/>
      <c r="D1578" s="170"/>
      <c r="E1578" s="170"/>
      <c r="F1578" s="170"/>
      <c r="G1578" s="170"/>
      <c r="H1578" s="170"/>
      <c r="I1578" s="170"/>
      <c r="J1578" s="170"/>
      <c r="K1578" s="170"/>
      <c r="L1578" s="170"/>
      <c r="M1578" s="170"/>
      <c r="N1578" s="170"/>
      <c r="O1578" s="170"/>
      <c r="P1578" s="170"/>
      <c r="Q1578" s="170"/>
      <c r="R1578" s="170"/>
      <c r="S1578" s="170"/>
      <c r="T1578" s="170"/>
      <c r="U1578" s="170"/>
      <c r="V1578" s="170"/>
      <c r="W1578" s="170"/>
    </row>
    <row r="1579" customFormat="false" ht="12.75" hidden="false" customHeight="false" outlineLevel="0" collapsed="false">
      <c r="A1579" s="169"/>
      <c r="B1579" s="115"/>
      <c r="C1579" s="171"/>
      <c r="D1579" s="170"/>
      <c r="E1579" s="170"/>
      <c r="F1579" s="170"/>
      <c r="G1579" s="170"/>
      <c r="H1579" s="170"/>
      <c r="I1579" s="170"/>
      <c r="J1579" s="170"/>
      <c r="K1579" s="170"/>
      <c r="L1579" s="170"/>
      <c r="M1579" s="170"/>
      <c r="N1579" s="170"/>
      <c r="O1579" s="170"/>
      <c r="P1579" s="170"/>
      <c r="Q1579" s="170"/>
      <c r="R1579" s="170"/>
      <c r="S1579" s="170"/>
      <c r="T1579" s="170"/>
      <c r="U1579" s="170"/>
      <c r="V1579" s="170"/>
      <c r="W1579" s="170"/>
    </row>
    <row r="1580" customFormat="false" ht="12.75" hidden="false" customHeight="false" outlineLevel="0" collapsed="false">
      <c r="A1580" s="169"/>
      <c r="B1580" s="115"/>
      <c r="C1580" s="147"/>
      <c r="D1580" s="170"/>
      <c r="E1580" s="170"/>
      <c r="F1580" s="170"/>
      <c r="G1580" s="170"/>
      <c r="H1580" s="170"/>
      <c r="I1580" s="170"/>
      <c r="J1580" s="170"/>
      <c r="K1580" s="170"/>
      <c r="L1580" s="170"/>
      <c r="M1580" s="170"/>
      <c r="N1580" s="170"/>
      <c r="O1580" s="170"/>
      <c r="P1580" s="170"/>
      <c r="Q1580" s="170"/>
      <c r="R1580" s="170"/>
      <c r="S1580" s="170"/>
      <c r="T1580" s="170"/>
      <c r="U1580" s="170"/>
      <c r="V1580" s="170"/>
      <c r="W1580" s="170"/>
    </row>
    <row r="1581" customFormat="false" ht="12.75" hidden="false" customHeight="false" outlineLevel="0" collapsed="false">
      <c r="A1581" s="169"/>
      <c r="B1581" s="115"/>
      <c r="C1581" s="170"/>
      <c r="D1581" s="152"/>
      <c r="E1581" s="152"/>
      <c r="F1581" s="152"/>
      <c r="G1581" s="152"/>
      <c r="H1581" s="152"/>
      <c r="I1581" s="152"/>
      <c r="J1581" s="152"/>
      <c r="K1581" s="152"/>
      <c r="L1581" s="152"/>
      <c r="M1581" s="152"/>
      <c r="N1581" s="152"/>
      <c r="O1581" s="152"/>
      <c r="P1581" s="152"/>
      <c r="Q1581" s="152"/>
      <c r="R1581" s="152"/>
      <c r="S1581" s="152"/>
      <c r="T1581" s="152"/>
      <c r="U1581" s="152"/>
      <c r="V1581" s="152"/>
      <c r="W1581" s="152"/>
    </row>
    <row r="1582" customFormat="false" ht="12.75" hidden="false" customHeight="false" outlineLevel="0" collapsed="false">
      <c r="A1582" s="169"/>
      <c r="B1582" s="115"/>
      <c r="C1582" s="170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customFormat="false" ht="12.75" hidden="false" customHeight="false" outlineLevel="0" collapsed="false">
      <c r="A1583" s="169"/>
      <c r="B1583" s="115"/>
      <c r="C1583" s="170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customFormat="false" ht="15.75" hidden="false" customHeight="false" outlineLevel="0" collapsed="false">
      <c r="A1584" s="48" t="s">
        <v>17</v>
      </c>
      <c r="B1584" s="57" t="s">
        <v>93</v>
      </c>
      <c r="C1584" s="58" t="n">
        <v>2000</v>
      </c>
      <c r="D1584" s="58" t="n">
        <v>2001</v>
      </c>
      <c r="E1584" s="58" t="n">
        <v>2002</v>
      </c>
      <c r="F1584" s="58" t="n">
        <v>2003</v>
      </c>
      <c r="G1584" s="58" t="n">
        <v>2004</v>
      </c>
      <c r="H1584" s="58" t="n">
        <v>2005</v>
      </c>
      <c r="I1584" s="58" t="n">
        <v>2006</v>
      </c>
      <c r="J1584" s="58" t="n">
        <v>2007</v>
      </c>
      <c r="K1584" s="58" t="n">
        <v>2008</v>
      </c>
      <c r="L1584" s="58" t="n">
        <v>2009</v>
      </c>
      <c r="M1584" s="58" t="n">
        <v>2010</v>
      </c>
      <c r="N1584" s="58" t="n">
        <v>2011</v>
      </c>
      <c r="O1584" s="58" t="n">
        <v>2012</v>
      </c>
      <c r="P1584" s="58" t="n">
        <v>2013</v>
      </c>
      <c r="Q1584" s="58" t="n">
        <v>2014</v>
      </c>
      <c r="R1584" s="58" t="n">
        <v>2015</v>
      </c>
      <c r="S1584" s="58" t="n">
        <v>2016</v>
      </c>
      <c r="T1584" s="58" t="n">
        <v>2017</v>
      </c>
      <c r="U1584" s="58" t="n">
        <v>2018</v>
      </c>
      <c r="V1584" s="58" t="n">
        <v>2019</v>
      </c>
      <c r="W1584" s="58" t="s">
        <v>19</v>
      </c>
    </row>
    <row r="1585" customFormat="false" ht="12.75" hidden="false" customHeight="false" outlineLevel="0" collapsed="false">
      <c r="A1585" s="48" t="s">
        <v>5</v>
      </c>
      <c r="B1585" s="49" t="n">
        <v>51.225</v>
      </c>
      <c r="C1585" s="61"/>
      <c r="D1585" s="61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</row>
    <row r="1586" customFormat="false" ht="12.75" hidden="false" customHeight="false" outlineLevel="0" collapsed="false">
      <c r="A1586" s="2"/>
      <c r="B1586" s="117" t="s">
        <v>20</v>
      </c>
      <c r="C1586" s="118" t="n">
        <v>0</v>
      </c>
      <c r="D1586" s="64" t="n">
        <v>4173272.13547362</v>
      </c>
      <c r="E1586" s="64" t="n">
        <v>3336543.81939016</v>
      </c>
      <c r="F1586" s="64" t="n">
        <v>2771530.81170323</v>
      </c>
      <c r="G1586" s="64" t="n">
        <v>2486417.30099253</v>
      </c>
      <c r="H1586" s="64" t="n">
        <v>2957557.51019355</v>
      </c>
      <c r="I1586" s="64" t="n">
        <v>2731177.54087981</v>
      </c>
      <c r="J1586" s="64" t="n">
        <v>2671668.77777465</v>
      </c>
      <c r="K1586" s="64" t="n">
        <v>4099251.72529141</v>
      </c>
      <c r="L1586" s="64" t="n">
        <v>4150887.33045383</v>
      </c>
      <c r="M1586" s="64" t="n">
        <v>4383220.71444289</v>
      </c>
      <c r="N1586" s="64" t="n">
        <v>3427575.69793431</v>
      </c>
      <c r="O1586" s="64" t="n">
        <v>4360652.29883995</v>
      </c>
      <c r="P1586" s="64" t="n">
        <v>3733289.03876656</v>
      </c>
      <c r="Q1586" s="64" t="n">
        <v>4762503.06105503</v>
      </c>
      <c r="R1586" s="64" t="n">
        <v>4233544.44192035</v>
      </c>
      <c r="S1586" s="64" t="n">
        <v>3344910.62060087</v>
      </c>
      <c r="T1586" s="64" t="n">
        <v>3656345.54563308</v>
      </c>
      <c r="U1586" s="64" t="n">
        <v>4710739.3380201</v>
      </c>
      <c r="V1586" s="64" t="n">
        <v>5317042.10578293</v>
      </c>
      <c r="W1586" s="65"/>
    </row>
    <row r="1587" customFormat="false" ht="12.75" hidden="false" customHeight="false" outlineLevel="0" collapsed="false">
      <c r="A1587" s="2"/>
      <c r="B1587" s="117" t="s">
        <v>21</v>
      </c>
      <c r="C1587" s="118" t="n">
        <v>0</v>
      </c>
      <c r="D1587" s="64" t="n">
        <v>-1014828.75040762</v>
      </c>
      <c r="E1587" s="64" t="n">
        <v>-1103189.6758056</v>
      </c>
      <c r="F1587" s="64" t="n">
        <v>-960682.646835074</v>
      </c>
      <c r="G1587" s="64" t="n">
        <v>-991659.706511363</v>
      </c>
      <c r="H1587" s="64" t="n">
        <v>-1464368.70058838</v>
      </c>
      <c r="I1587" s="64" t="n">
        <v>-1528562.59506656</v>
      </c>
      <c r="J1587" s="64" t="n">
        <v>-1355653.27379548</v>
      </c>
      <c r="K1587" s="64" t="n">
        <v>-2113963.27958314</v>
      </c>
      <c r="L1587" s="64" t="n">
        <v>-2144949.2489353</v>
      </c>
      <c r="M1587" s="64" t="n">
        <v>-2164648.43518554</v>
      </c>
      <c r="N1587" s="64" t="n">
        <v>-1807332.64189298</v>
      </c>
      <c r="O1587" s="64" t="n">
        <v>-2369988.26563911</v>
      </c>
      <c r="P1587" s="64" t="n">
        <v>-1849371.48062393</v>
      </c>
      <c r="Q1587" s="64" t="n">
        <v>-2401822.19821342</v>
      </c>
      <c r="R1587" s="64" t="n">
        <v>-2286059.30563092</v>
      </c>
      <c r="S1587" s="64" t="n">
        <v>-1829657.99062648</v>
      </c>
      <c r="T1587" s="64" t="n">
        <v>-1917552.41959945</v>
      </c>
      <c r="U1587" s="64" t="n">
        <v>-2579940.63587949</v>
      </c>
      <c r="V1587" s="64" t="n">
        <v>-3469740.21918375</v>
      </c>
      <c r="W1587" s="65"/>
    </row>
    <row r="1588" customFormat="false" ht="12.75" hidden="false" customHeight="false" outlineLevel="0" collapsed="false">
      <c r="A1588" s="2"/>
      <c r="B1588" s="117" t="s">
        <v>22</v>
      </c>
      <c r="C1588" s="118" t="n">
        <v>0</v>
      </c>
      <c r="D1588" s="64" t="n">
        <v>-32661.7090080074</v>
      </c>
      <c r="E1588" s="64" t="n">
        <v>-40135.6775724515</v>
      </c>
      <c r="F1588" s="64" t="n">
        <v>-36577.7327054883</v>
      </c>
      <c r="G1588" s="64" t="n">
        <v>-37291.0192306743</v>
      </c>
      <c r="H1588" s="64" t="n">
        <v>-55519.9475241794</v>
      </c>
      <c r="I1588" s="64" t="n">
        <v>-60077.8360407795</v>
      </c>
      <c r="J1588" s="64" t="n">
        <v>-54305.2243555372</v>
      </c>
      <c r="K1588" s="64" t="n">
        <v>-92448.621863654</v>
      </c>
      <c r="L1588" s="64" t="n">
        <v>-93901.6765103815</v>
      </c>
      <c r="M1588" s="64" t="n">
        <v>-92184.2757817093</v>
      </c>
      <c r="N1588" s="64" t="n">
        <v>-77753.0217352276</v>
      </c>
      <c r="O1588" s="64" t="n">
        <v>-103672.418069196</v>
      </c>
      <c r="P1588" s="64" t="n">
        <v>-79173.0054831921</v>
      </c>
      <c r="Q1588" s="64" t="n">
        <v>-103660.33471007</v>
      </c>
      <c r="R1588" s="64" t="n">
        <v>-92744.7741585407</v>
      </c>
      <c r="S1588" s="64" t="n">
        <v>-72717.0238983293</v>
      </c>
      <c r="T1588" s="64" t="n">
        <v>-75426.8056957475</v>
      </c>
      <c r="U1588" s="64" t="n">
        <v>-97037.3296261892</v>
      </c>
      <c r="V1588" s="64" t="n">
        <v>-129811.473285114</v>
      </c>
      <c r="W1588" s="65"/>
    </row>
    <row r="1589" customFormat="false" ht="12.75" hidden="false" customHeight="false" outlineLevel="0" collapsed="false">
      <c r="A1589" s="2"/>
      <c r="B1589" s="117" t="s">
        <v>23</v>
      </c>
      <c r="C1589" s="118" t="n">
        <v>0</v>
      </c>
      <c r="D1589" s="64" t="n">
        <v>0</v>
      </c>
      <c r="E1589" s="64" t="n">
        <v>0</v>
      </c>
      <c r="F1589" s="64" t="n">
        <v>0</v>
      </c>
      <c r="G1589" s="64" t="n">
        <v>0</v>
      </c>
      <c r="H1589" s="64" t="n">
        <v>0</v>
      </c>
      <c r="I1589" s="64" t="n">
        <v>-21176.6601055912</v>
      </c>
      <c r="J1589" s="64" t="n">
        <v>-20791.1767115738</v>
      </c>
      <c r="K1589" s="64" t="n">
        <v>-39807.1182142091</v>
      </c>
      <c r="L1589" s="64" t="n">
        <v>-41915.0703940037</v>
      </c>
      <c r="M1589" s="64" t="n">
        <v>-44865.4378172086</v>
      </c>
      <c r="N1589" s="64" t="n">
        <v>-40876.0879067188</v>
      </c>
      <c r="O1589" s="64" t="n">
        <v>-59183.9157275491</v>
      </c>
      <c r="P1589" s="64" t="n">
        <v>-49630.0670649997</v>
      </c>
      <c r="Q1589" s="64" t="n">
        <v>-70963.9903628276</v>
      </c>
      <c r="R1589" s="64" t="n">
        <v>-68907.7154950137</v>
      </c>
      <c r="S1589" s="64" t="n">
        <v>-58073.264535055</v>
      </c>
      <c r="T1589" s="64" t="n">
        <v>-58137.8249434724</v>
      </c>
      <c r="U1589" s="64" t="n">
        <v>-62643.3146552775</v>
      </c>
      <c r="V1589" s="64" t="n">
        <v>-85243.084360859</v>
      </c>
      <c r="W1589" s="65"/>
    </row>
    <row r="1590" customFormat="false" ht="13.5" hidden="false" customHeight="false" outlineLevel="0" collapsed="false">
      <c r="A1590" s="2"/>
      <c r="B1590" s="119" t="s">
        <v>24</v>
      </c>
      <c r="C1590" s="120" t="n">
        <v>0</v>
      </c>
      <c r="D1590" s="68" t="n">
        <v>0</v>
      </c>
      <c r="E1590" s="68" t="n">
        <v>0</v>
      </c>
      <c r="F1590" s="68" t="n">
        <v>0</v>
      </c>
      <c r="G1590" s="68" t="n">
        <v>0</v>
      </c>
      <c r="H1590" s="68" t="n">
        <v>0</v>
      </c>
      <c r="I1590" s="68" t="n">
        <v>-21176.6601055912</v>
      </c>
      <c r="J1590" s="68" t="n">
        <v>-20791.1767115738</v>
      </c>
      <c r="K1590" s="68" t="n">
        <v>-39807.1182142091</v>
      </c>
      <c r="L1590" s="68" t="n">
        <v>-41915.0703940037</v>
      </c>
      <c r="M1590" s="68" t="n">
        <v>-44865.4378172086</v>
      </c>
      <c r="N1590" s="68" t="n">
        <v>-40876.0879067188</v>
      </c>
      <c r="O1590" s="68" t="n">
        <v>-59183.9157275491</v>
      </c>
      <c r="P1590" s="68" t="n">
        <v>-49630.0670649997</v>
      </c>
      <c r="Q1590" s="68" t="n">
        <v>-70963.9903628276</v>
      </c>
      <c r="R1590" s="68" t="n">
        <v>-68907.7154950137</v>
      </c>
      <c r="S1590" s="68" t="n">
        <v>-58073.264535055</v>
      </c>
      <c r="T1590" s="68" t="n">
        <v>-58137.8249434724</v>
      </c>
      <c r="U1590" s="68" t="n">
        <v>-62643.3146552775</v>
      </c>
      <c r="V1590" s="68" t="n">
        <v>-85243.084360859</v>
      </c>
      <c r="W1590" s="65"/>
    </row>
    <row r="1591" customFormat="false" ht="13.5" hidden="false" customHeight="false" outlineLevel="0" collapsed="false">
      <c r="A1591" s="2"/>
      <c r="B1591" s="121" t="s">
        <v>25</v>
      </c>
      <c r="C1591" s="122" t="n">
        <v>0</v>
      </c>
      <c r="D1591" s="71" t="n">
        <v>3125781.67605799</v>
      </c>
      <c r="E1591" s="71" t="n">
        <v>2193218.46601211</v>
      </c>
      <c r="F1591" s="71" t="n">
        <v>1774270.43216267</v>
      </c>
      <c r="G1591" s="71" t="n">
        <v>1457466.5752505</v>
      </c>
      <c r="H1591" s="71" t="n">
        <v>1437668.86208099</v>
      </c>
      <c r="I1591" s="71" t="n">
        <v>1100183.78956128</v>
      </c>
      <c r="J1591" s="71" t="n">
        <v>1220127.92620049</v>
      </c>
      <c r="K1591" s="71" t="n">
        <v>1813225.5874162</v>
      </c>
      <c r="L1591" s="71" t="n">
        <v>1828206.26422014</v>
      </c>
      <c r="M1591" s="71" t="n">
        <v>2036657.12784123</v>
      </c>
      <c r="N1591" s="71" t="n">
        <v>1460737.85849266</v>
      </c>
      <c r="O1591" s="71" t="n">
        <v>1768623.78367654</v>
      </c>
      <c r="P1591" s="71" t="n">
        <v>1705484.41852944</v>
      </c>
      <c r="Q1591" s="71" t="n">
        <v>2115092.54740589</v>
      </c>
      <c r="R1591" s="71" t="n">
        <v>1716924.93114086</v>
      </c>
      <c r="S1591" s="71" t="n">
        <v>1326389.07700595</v>
      </c>
      <c r="T1591" s="71" t="n">
        <v>1547090.67045093</v>
      </c>
      <c r="U1591" s="71" t="n">
        <v>1908474.74320387</v>
      </c>
      <c r="V1591" s="71" t="n">
        <v>1547004.24459235</v>
      </c>
      <c r="W1591" s="65"/>
    </row>
    <row r="1592" customFormat="false" ht="12.75" hidden="false" customHeight="false" outlineLevel="0" collapsed="false">
      <c r="A1592" s="2"/>
      <c r="B1592" s="117" t="s">
        <v>26</v>
      </c>
      <c r="C1592" s="118" t="n">
        <v>0</v>
      </c>
      <c r="D1592" s="64" t="n">
        <v>-91566.2713789447</v>
      </c>
      <c r="E1592" s="64" t="n">
        <v>-93397.5968065236</v>
      </c>
      <c r="F1592" s="64" t="n">
        <v>-95265.548742654</v>
      </c>
      <c r="G1592" s="64" t="n">
        <v>-97170.8597175071</v>
      </c>
      <c r="H1592" s="64" t="n">
        <v>-99114.2769118573</v>
      </c>
      <c r="I1592" s="64" t="n">
        <v>-101096.562450094</v>
      </c>
      <c r="J1592" s="64" t="n">
        <v>-103118.493699096</v>
      </c>
      <c r="K1592" s="64" t="n">
        <v>-105180.863573078</v>
      </c>
      <c r="L1592" s="64" t="n">
        <v>-107284.48084454</v>
      </c>
      <c r="M1592" s="64" t="n">
        <v>-109430.170461431</v>
      </c>
      <c r="N1592" s="64" t="n">
        <v>-111618.773870659</v>
      </c>
      <c r="O1592" s="64" t="n">
        <v>-113851.149348072</v>
      </c>
      <c r="P1592" s="64" t="n">
        <v>-116128.172335034</v>
      </c>
      <c r="Q1592" s="64" t="n">
        <v>-118450.735781735</v>
      </c>
      <c r="R1592" s="64" t="n">
        <v>-120819.750497369</v>
      </c>
      <c r="S1592" s="64" t="n">
        <v>-123236.145507317</v>
      </c>
      <c r="T1592" s="64" t="n">
        <v>-125700.868417463</v>
      </c>
      <c r="U1592" s="64" t="n">
        <v>-128214.885785812</v>
      </c>
      <c r="V1592" s="64" t="n">
        <v>-130779.183501528</v>
      </c>
      <c r="W1592" s="65"/>
    </row>
    <row r="1593" customFormat="false" ht="12.75" hidden="false" customHeight="false" outlineLevel="0" collapsed="false">
      <c r="A1593" s="2"/>
      <c r="B1593" s="117" t="s">
        <v>27</v>
      </c>
      <c r="C1593" s="118" t="n">
        <v>0</v>
      </c>
      <c r="D1593" s="64" t="n">
        <v>-45161.410471875</v>
      </c>
      <c r="E1593" s="64" t="n">
        <v>-45161.410471875</v>
      </c>
      <c r="F1593" s="64" t="n">
        <v>-45161.410471875</v>
      </c>
      <c r="G1593" s="64" t="n">
        <v>-45161.410471875</v>
      </c>
      <c r="H1593" s="64" t="n">
        <v>-45161.410471875</v>
      </c>
      <c r="I1593" s="64" t="n">
        <v>-45161.410471875</v>
      </c>
      <c r="J1593" s="64" t="n">
        <v>-45161.410471875</v>
      </c>
      <c r="K1593" s="64" t="n">
        <v>-45161.410471875</v>
      </c>
      <c r="L1593" s="64" t="n">
        <v>-45161.410471875</v>
      </c>
      <c r="M1593" s="64" t="n">
        <v>-45161.410471875</v>
      </c>
      <c r="N1593" s="64" t="n">
        <v>-45161.410471875</v>
      </c>
      <c r="O1593" s="64" t="n">
        <v>-45161.410471875</v>
      </c>
      <c r="P1593" s="64" t="n">
        <v>-45161.410471875</v>
      </c>
      <c r="Q1593" s="64" t="n">
        <v>-45161.410471875</v>
      </c>
      <c r="R1593" s="64" t="n">
        <v>-45161.410471875</v>
      </c>
      <c r="S1593" s="64" t="n">
        <v>-45161.410471875</v>
      </c>
      <c r="T1593" s="64" t="n">
        <v>-45161.410471875</v>
      </c>
      <c r="U1593" s="64" t="n">
        <v>-45161.410471875</v>
      </c>
      <c r="V1593" s="64" t="n">
        <v>-45161.410471875</v>
      </c>
      <c r="W1593" s="65"/>
    </row>
    <row r="1594" customFormat="false" ht="13.5" hidden="false" customHeight="false" outlineLevel="0" collapsed="false">
      <c r="A1594" s="2"/>
      <c r="B1594" s="119" t="s">
        <v>28</v>
      </c>
      <c r="C1594" s="120" t="n">
        <v>0</v>
      </c>
      <c r="D1594" s="68" t="n">
        <v>-4145.66288470289</v>
      </c>
      <c r="E1594" s="68" t="n">
        <v>-4233.13637157014</v>
      </c>
      <c r="F1594" s="68" t="n">
        <v>-4325.84205810753</v>
      </c>
      <c r="G1594" s="68" t="n">
        <v>-4423.60608862073</v>
      </c>
      <c r="H1594" s="68" t="n">
        <v>-4528.88791352991</v>
      </c>
      <c r="I1594" s="68" t="n">
        <v>-4642.38229994021</v>
      </c>
      <c r="J1594" s="68" t="n">
        <v>-4757.52631405997</v>
      </c>
      <c r="K1594" s="68" t="n">
        <v>-4877.94913684999</v>
      </c>
      <c r="L1594" s="68" t="n">
        <v>-4998.43448053019</v>
      </c>
      <c r="M1594" s="68" t="n">
        <v>-5125.8945597837</v>
      </c>
      <c r="N1594" s="68" t="n">
        <v>-5249.94120813049</v>
      </c>
      <c r="O1594" s="68" t="n">
        <v>-5382.23972657536</v>
      </c>
      <c r="P1594" s="68" t="n">
        <v>-5518.94861563036</v>
      </c>
      <c r="Q1594" s="68" t="n">
        <v>-5656.92233102112</v>
      </c>
      <c r="R1594" s="68" t="n">
        <v>-5798.91108152975</v>
      </c>
      <c r="S1594" s="68" t="n">
        <v>-5943.883858568</v>
      </c>
      <c r="T1594" s="68" t="n">
        <v>-6091.29217826048</v>
      </c>
      <c r="U1594" s="68" t="n">
        <v>-6244.18361193483</v>
      </c>
      <c r="V1594" s="68" t="n">
        <v>-6400.91262059439</v>
      </c>
      <c r="W1594" s="65"/>
    </row>
    <row r="1595" customFormat="false" ht="13.5" hidden="false" customHeight="false" outlineLevel="0" collapsed="false">
      <c r="A1595" s="2"/>
      <c r="B1595" s="121" t="s">
        <v>29</v>
      </c>
      <c r="C1595" s="123" t="n">
        <v>0</v>
      </c>
      <c r="D1595" s="73" t="n">
        <v>2984908.33132247</v>
      </c>
      <c r="E1595" s="73" t="n">
        <v>2050426.32236214</v>
      </c>
      <c r="F1595" s="73" t="n">
        <v>1629517.63089003</v>
      </c>
      <c r="G1595" s="73" t="n">
        <v>1310710.69897249</v>
      </c>
      <c r="H1595" s="73" t="n">
        <v>1288864.28678373</v>
      </c>
      <c r="I1595" s="73" t="n">
        <v>949283.43433937</v>
      </c>
      <c r="J1595" s="73" t="n">
        <v>1067090.49571546</v>
      </c>
      <c r="K1595" s="73" t="n">
        <v>1658005.3642344</v>
      </c>
      <c r="L1595" s="73" t="n">
        <v>1670761.93842319</v>
      </c>
      <c r="M1595" s="73" t="n">
        <v>1876939.65234814</v>
      </c>
      <c r="N1595" s="73" t="n">
        <v>1298707.732942</v>
      </c>
      <c r="O1595" s="73" t="n">
        <v>1604228.98413002</v>
      </c>
      <c r="P1595" s="73" t="n">
        <v>1538675.88710691</v>
      </c>
      <c r="Q1595" s="73" t="n">
        <v>1945823.47882126</v>
      </c>
      <c r="R1595" s="73" t="n">
        <v>1545144.85909009</v>
      </c>
      <c r="S1595" s="73" t="n">
        <v>1152047.63716819</v>
      </c>
      <c r="T1595" s="73" t="n">
        <v>1370137.09938333</v>
      </c>
      <c r="U1595" s="73" t="n">
        <v>1728854.26333425</v>
      </c>
      <c r="V1595" s="73" t="n">
        <v>1364662.73799835</v>
      </c>
      <c r="W1595" s="65"/>
    </row>
    <row r="1596" customFormat="false" ht="12.75" hidden="false" customHeight="false" outlineLevel="0" collapsed="false">
      <c r="A1596" s="2"/>
      <c r="B1596" s="117" t="s">
        <v>30</v>
      </c>
      <c r="C1596" s="118" t="n">
        <v>0</v>
      </c>
      <c r="D1596" s="64" t="n">
        <v>-256373.487376777</v>
      </c>
      <c r="E1596" s="64" t="n">
        <v>-235299.637814816</v>
      </c>
      <c r="F1596" s="64" t="n">
        <v>-205307.079458943</v>
      </c>
      <c r="G1596" s="64" t="n">
        <v>-174904.471258869</v>
      </c>
      <c r="H1596" s="64" t="n">
        <v>-160607.069422842</v>
      </c>
      <c r="I1596" s="64" t="n">
        <v>-156554.005204633</v>
      </c>
      <c r="J1596" s="64" t="n">
        <v>-163690.991805296</v>
      </c>
      <c r="K1596" s="64" t="n">
        <v>-170232.886172733</v>
      </c>
      <c r="L1596" s="64" t="n">
        <v>-176826.656843896</v>
      </c>
      <c r="M1596" s="64" t="n">
        <v>-182884.160105948</v>
      </c>
      <c r="N1596" s="64" t="n">
        <v>-175467.770212185</v>
      </c>
      <c r="O1596" s="64" t="n">
        <v>-167517.175362176</v>
      </c>
      <c r="P1596" s="64" t="n">
        <v>-173658.161518404</v>
      </c>
      <c r="Q1596" s="64" t="n">
        <v>-120623.725777227</v>
      </c>
      <c r="R1596" s="64" t="n">
        <v>-67973.1770576182</v>
      </c>
      <c r="S1596" s="64" t="n">
        <v>-74465.2692840387</v>
      </c>
      <c r="T1596" s="64" t="n">
        <v>-81152.1242772519</v>
      </c>
      <c r="U1596" s="64" t="n">
        <v>-88039.5849202614</v>
      </c>
      <c r="V1596" s="64" t="n">
        <v>-95133.6693825613</v>
      </c>
      <c r="W1596" s="65"/>
    </row>
    <row r="1597" customFormat="false" ht="13.5" hidden="false" customHeight="false" outlineLevel="0" collapsed="false">
      <c r="A1597" s="2"/>
      <c r="B1597" s="119" t="s">
        <v>70</v>
      </c>
      <c r="C1597" s="120" t="n">
        <v>0</v>
      </c>
      <c r="D1597" s="68" t="n">
        <v>-1091413.93757828</v>
      </c>
      <c r="E1597" s="68" t="n">
        <v>-726050.673818931</v>
      </c>
      <c r="F1597" s="68" t="n">
        <v>-569684.220572437</v>
      </c>
      <c r="G1597" s="68" t="n">
        <v>-454322.491085449</v>
      </c>
      <c r="H1597" s="68" t="n">
        <v>-451302.886944354</v>
      </c>
      <c r="I1597" s="68" t="n">
        <v>-317091.771653895</v>
      </c>
      <c r="J1597" s="68" t="n">
        <v>-361359.801564065</v>
      </c>
      <c r="K1597" s="68" t="n">
        <v>-595108.991224667</v>
      </c>
      <c r="L1597" s="68" t="n">
        <v>-597574.112631718</v>
      </c>
      <c r="M1597" s="68" t="n">
        <v>-677622.196896877</v>
      </c>
      <c r="N1597" s="68" t="n">
        <v>-449295.985091926</v>
      </c>
      <c r="O1597" s="68" t="n">
        <v>-574684.723507138</v>
      </c>
      <c r="P1597" s="68" t="n">
        <v>-546007.0902354</v>
      </c>
      <c r="Q1597" s="68" t="n">
        <v>-730079.901217612</v>
      </c>
      <c r="R1597" s="68" t="n">
        <v>-590868.672812988</v>
      </c>
      <c r="S1597" s="68" t="n">
        <v>-431032.947153662</v>
      </c>
      <c r="T1597" s="68" t="n">
        <v>-515593.990042433</v>
      </c>
      <c r="U1597" s="68" t="n">
        <v>-656325.871365596</v>
      </c>
      <c r="V1597" s="68" t="n">
        <v>-507811.627446315</v>
      </c>
      <c r="W1597" s="65"/>
    </row>
    <row r="1598" customFormat="false" ht="13.5" hidden="false" customHeight="false" outlineLevel="0" collapsed="false">
      <c r="A1598" s="2"/>
      <c r="B1598" s="121" t="s">
        <v>32</v>
      </c>
      <c r="C1598" s="123" t="n">
        <v>0</v>
      </c>
      <c r="D1598" s="73" t="n">
        <v>1637120.90636742</v>
      </c>
      <c r="E1598" s="73" t="n">
        <v>1089076.0107284</v>
      </c>
      <c r="F1598" s="73" t="n">
        <v>854526.330858655</v>
      </c>
      <c r="G1598" s="73" t="n">
        <v>681483.736628174</v>
      </c>
      <c r="H1598" s="73" t="n">
        <v>676954.330416531</v>
      </c>
      <c r="I1598" s="73" t="n">
        <v>475637.657480842</v>
      </c>
      <c r="J1598" s="73" t="n">
        <v>542039.702346098</v>
      </c>
      <c r="K1598" s="73" t="n">
        <v>892663.486837</v>
      </c>
      <c r="L1598" s="73" t="n">
        <v>896361.168947577</v>
      </c>
      <c r="M1598" s="73" t="n">
        <v>1016433.29534531</v>
      </c>
      <c r="N1598" s="73" t="n">
        <v>673943.977637889</v>
      </c>
      <c r="O1598" s="73" t="n">
        <v>862027.085260707</v>
      </c>
      <c r="P1598" s="73" t="n">
        <v>819010.6353531</v>
      </c>
      <c r="Q1598" s="73" t="n">
        <v>1095119.85182642</v>
      </c>
      <c r="R1598" s="73" t="n">
        <v>886303.009219482</v>
      </c>
      <c r="S1598" s="73" t="n">
        <v>646549.420730493</v>
      </c>
      <c r="T1598" s="73" t="n">
        <v>773390.98506365</v>
      </c>
      <c r="U1598" s="73" t="n">
        <v>984488.807048394</v>
      </c>
      <c r="V1598" s="73" t="n">
        <v>761717.441169473</v>
      </c>
      <c r="W1598" s="65"/>
    </row>
    <row r="1599" customFormat="false" ht="12.75" hidden="false" customHeight="false" outlineLevel="0" collapsed="false">
      <c r="A1599" s="2"/>
      <c r="B1599" s="117" t="s">
        <v>30</v>
      </c>
      <c r="C1599" s="118" t="n">
        <v>0</v>
      </c>
      <c r="D1599" s="64" t="n">
        <v>256373.487376777</v>
      </c>
      <c r="E1599" s="64" t="n">
        <v>235299.637814816</v>
      </c>
      <c r="F1599" s="64" t="n">
        <v>205307.079458943</v>
      </c>
      <c r="G1599" s="64" t="n">
        <v>174904.471258869</v>
      </c>
      <c r="H1599" s="64" t="n">
        <v>160607.069422842</v>
      </c>
      <c r="I1599" s="64" t="n">
        <v>156554.005204633</v>
      </c>
      <c r="J1599" s="64" t="n">
        <v>163690.991805296</v>
      </c>
      <c r="K1599" s="64" t="n">
        <v>170232.886172733</v>
      </c>
      <c r="L1599" s="64" t="n">
        <v>176826.656843896</v>
      </c>
      <c r="M1599" s="64" t="n">
        <v>182884.160105948</v>
      </c>
      <c r="N1599" s="64" t="n">
        <v>175467.770212185</v>
      </c>
      <c r="O1599" s="64" t="n">
        <v>167517.175362176</v>
      </c>
      <c r="P1599" s="64" t="n">
        <v>173658.161518404</v>
      </c>
      <c r="Q1599" s="64" t="n">
        <v>120623.725777227</v>
      </c>
      <c r="R1599" s="64" t="n">
        <v>67973.1770576182</v>
      </c>
      <c r="S1599" s="64" t="n">
        <v>74465.2692840387</v>
      </c>
      <c r="T1599" s="64" t="n">
        <v>81152.1242772519</v>
      </c>
      <c r="U1599" s="64" t="n">
        <v>88039.5849202614</v>
      </c>
      <c r="V1599" s="64" t="n">
        <v>95133.6693825613</v>
      </c>
      <c r="W1599" s="65"/>
    </row>
    <row r="1600" customFormat="false" ht="12.75" hidden="false" customHeight="false" outlineLevel="0" collapsed="false">
      <c r="A1600" s="2"/>
      <c r="B1600" s="117" t="s">
        <v>33</v>
      </c>
      <c r="C1600" s="118" t="n">
        <v>0</v>
      </c>
      <c r="D1600" s="64" t="n">
        <v>-1423.58</v>
      </c>
      <c r="E1600" s="64" t="n">
        <v>-1481.02</v>
      </c>
      <c r="F1600" s="64" t="n">
        <v>-1540.83</v>
      </c>
      <c r="G1600" s="64" t="n">
        <v>-1609.33</v>
      </c>
      <c r="H1600" s="64" t="n">
        <v>-100000</v>
      </c>
      <c r="I1600" s="64" t="n">
        <v>-103000</v>
      </c>
      <c r="J1600" s="64" t="n">
        <v>-106090</v>
      </c>
      <c r="K1600" s="64" t="n">
        <v>-109272.7</v>
      </c>
      <c r="L1600" s="64" t="n">
        <v>-112550.881</v>
      </c>
      <c r="M1600" s="64" t="n">
        <v>-115927.40743</v>
      </c>
      <c r="N1600" s="64" t="n">
        <v>-119405.2296529</v>
      </c>
      <c r="O1600" s="64" t="n">
        <v>-122987.386542487</v>
      </c>
      <c r="P1600" s="64" t="n">
        <v>-126677.008138762</v>
      </c>
      <c r="Q1600" s="64" t="n">
        <v>-130477.318382924</v>
      </c>
      <c r="R1600" s="64" t="n">
        <v>-134391.637934412</v>
      </c>
      <c r="S1600" s="64" t="n">
        <v>-138423.387072445</v>
      </c>
      <c r="T1600" s="64" t="n">
        <v>-142576.088684618</v>
      </c>
      <c r="U1600" s="64" t="n">
        <v>-146853.371345156</v>
      </c>
      <c r="V1600" s="64" t="n">
        <v>-151258.972485511</v>
      </c>
      <c r="W1600" s="65"/>
    </row>
    <row r="1601" customFormat="false" ht="13.5" hidden="false" customHeight="false" outlineLevel="0" collapsed="false">
      <c r="A1601" s="2"/>
      <c r="B1601" s="119" t="s">
        <v>34</v>
      </c>
      <c r="C1601" s="120" t="n">
        <v>0</v>
      </c>
      <c r="D1601" s="68" t="n">
        <v>0</v>
      </c>
      <c r="E1601" s="68" t="n">
        <v>0</v>
      </c>
      <c r="F1601" s="68" t="n">
        <v>0</v>
      </c>
      <c r="G1601" s="68" t="n">
        <v>0</v>
      </c>
      <c r="H1601" s="68" t="n">
        <v>0</v>
      </c>
      <c r="I1601" s="68" t="n">
        <v>0</v>
      </c>
      <c r="J1601" s="68" t="n">
        <v>0</v>
      </c>
      <c r="K1601" s="68" t="n">
        <v>0</v>
      </c>
      <c r="L1601" s="68" t="n">
        <v>0</v>
      </c>
      <c r="M1601" s="68" t="n">
        <v>0</v>
      </c>
      <c r="N1601" s="68" t="n">
        <v>0</v>
      </c>
      <c r="O1601" s="68" t="n">
        <v>0</v>
      </c>
      <c r="P1601" s="68" t="n">
        <v>0</v>
      </c>
      <c r="Q1601" s="68" t="n">
        <v>0</v>
      </c>
      <c r="R1601" s="68" t="n">
        <v>0</v>
      </c>
      <c r="S1601" s="68" t="n">
        <v>0</v>
      </c>
      <c r="T1601" s="68" t="n">
        <v>0</v>
      </c>
      <c r="U1601" s="68" t="n">
        <v>0</v>
      </c>
      <c r="V1601" s="68" t="n">
        <v>0</v>
      </c>
      <c r="W1601" s="65"/>
    </row>
    <row r="1602" customFormat="false" ht="13.5" hidden="false" customHeight="false" outlineLevel="0" collapsed="false">
      <c r="A1602" s="2"/>
      <c r="B1602" s="117"/>
      <c r="C1602" s="124"/>
      <c r="D1602" s="65"/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5"/>
      <c r="V1602" s="65"/>
      <c r="W1602" s="65"/>
    </row>
    <row r="1603" customFormat="false" ht="12.75" hidden="false" customHeight="false" outlineLevel="0" collapsed="false">
      <c r="A1603" s="2"/>
      <c r="B1603" s="121" t="s">
        <v>35</v>
      </c>
      <c r="C1603" s="123" t="n">
        <v>0</v>
      </c>
      <c r="D1603" s="73" t="n">
        <v>1892070.81374419</v>
      </c>
      <c r="E1603" s="73" t="n">
        <v>1322894.62854321</v>
      </c>
      <c r="F1603" s="73" t="n">
        <v>1058292.5803176</v>
      </c>
      <c r="G1603" s="73" t="n">
        <v>854778.877887044</v>
      </c>
      <c r="H1603" s="73" t="n">
        <v>737561.399839373</v>
      </c>
      <c r="I1603" s="73" t="n">
        <v>529191.662685475</v>
      </c>
      <c r="J1603" s="73" t="n">
        <v>599640.694151393</v>
      </c>
      <c r="K1603" s="73" t="n">
        <v>953623.673009733</v>
      </c>
      <c r="L1603" s="73" t="n">
        <v>960636.944791472</v>
      </c>
      <c r="M1603" s="73" t="n">
        <v>1083390.04802126</v>
      </c>
      <c r="N1603" s="73" t="n">
        <v>730006.518197174</v>
      </c>
      <c r="O1603" s="73" t="n">
        <v>906556.874080396</v>
      </c>
      <c r="P1603" s="73" t="n">
        <v>865991.788732743</v>
      </c>
      <c r="Q1603" s="73" t="n">
        <v>1085266.25922072</v>
      </c>
      <c r="R1603" s="73" t="n">
        <v>819884.548342688</v>
      </c>
      <c r="S1603" s="73" t="n">
        <v>582591.302942087</v>
      </c>
      <c r="T1603" s="73" t="n">
        <v>711967.020656284</v>
      </c>
      <c r="U1603" s="73" t="n">
        <v>925675.020623499</v>
      </c>
      <c r="V1603" s="73" t="n">
        <v>705592.138066523</v>
      </c>
      <c r="W1603" s="71" t="n">
        <v>5171833.90962287</v>
      </c>
    </row>
    <row r="1604" customFormat="false" ht="12.75" hidden="false" customHeight="false" outlineLevel="0" collapsed="false">
      <c r="A1604" s="2"/>
      <c r="B1604" s="125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</row>
    <row r="1605" customFormat="false" ht="12.75" hidden="false" customHeight="false" outlineLevel="0" collapsed="false">
      <c r="A1605" s="48" t="s">
        <v>36</v>
      </c>
      <c r="B1605" s="126" t="s">
        <v>37</v>
      </c>
      <c r="C1605" s="76" t="n">
        <v>4650269.67649583</v>
      </c>
      <c r="D1605" s="2"/>
      <c r="E1605" s="127" t="s">
        <v>38</v>
      </c>
      <c r="F1605" s="128" t="s">
        <v>37</v>
      </c>
      <c r="G1605" s="79" t="n">
        <v>4650269.67649583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</row>
    <row r="1606" customFormat="false" ht="12.75" hidden="false" customHeight="false" outlineLevel="0" collapsed="false">
      <c r="A1606" s="2"/>
      <c r="B1606" s="126" t="s">
        <v>39</v>
      </c>
      <c r="C1606" s="76" t="n">
        <v>3703529.06682512</v>
      </c>
      <c r="D1606" s="2"/>
      <c r="E1606" s="129"/>
      <c r="F1606" s="128" t="s">
        <v>39</v>
      </c>
      <c r="G1606" s="79" t="n">
        <v>3703529.06682512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</row>
    <row r="1607" customFormat="false" ht="13.5" hidden="false" customHeight="false" outlineLevel="0" collapsed="false">
      <c r="A1607" s="2"/>
      <c r="B1607" s="130" t="s">
        <v>40</v>
      </c>
      <c r="C1607" s="82" t="n">
        <v>768760.155864634</v>
      </c>
      <c r="D1607" s="131"/>
      <c r="E1607" s="129"/>
      <c r="F1607" s="128" t="s">
        <v>40</v>
      </c>
      <c r="G1607" s="79" t="n">
        <v>768760.155864634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</row>
    <row r="1608" customFormat="false" ht="14.25" hidden="false" customHeight="false" outlineLevel="0" collapsed="false">
      <c r="A1608" s="2"/>
      <c r="B1608" s="126" t="s">
        <v>41</v>
      </c>
      <c r="C1608" s="76" t="n">
        <v>9122558.89918559</v>
      </c>
      <c r="D1608" s="132"/>
      <c r="E1608" s="129"/>
      <c r="F1608" s="133" t="s">
        <v>42</v>
      </c>
      <c r="G1608" s="85" t="n">
        <v>0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</row>
    <row r="1609" customFormat="false" ht="13.5" hidden="false" customHeight="false" outlineLevel="0" collapsed="false">
      <c r="A1609" s="2"/>
      <c r="B1609" s="125"/>
      <c r="C1609" s="134"/>
      <c r="D1609" s="2"/>
      <c r="E1609" s="135"/>
      <c r="F1609" s="128" t="s">
        <v>41</v>
      </c>
      <c r="G1609" s="79" t="n">
        <v>9122558.89918559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</row>
    <row r="1610" customFormat="false" ht="12.75" hidden="false" customHeight="false" outlineLevel="0" collapsed="false">
      <c r="A1610" s="2"/>
      <c r="B1610" s="125"/>
      <c r="C1610" s="134"/>
      <c r="D1610" s="2"/>
      <c r="E1610" s="135"/>
      <c r="F1610" s="128"/>
      <c r="G1610" s="136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</row>
    <row r="1611" customFormat="false" ht="12.75" hidden="false" customHeight="false" outlineLevel="0" collapsed="false">
      <c r="A1611" s="2"/>
      <c r="B1611" s="125"/>
      <c r="C1611" s="134"/>
      <c r="D1611" s="2"/>
      <c r="E1611" s="135"/>
      <c r="F1611" s="128"/>
      <c r="G1611" s="136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</row>
    <row r="1612" customFormat="false" ht="12.75" hidden="false" customHeight="false" outlineLevel="0" collapsed="false">
      <c r="A1612" s="2"/>
      <c r="B1612" s="137" t="s">
        <v>43</v>
      </c>
      <c r="C1612" s="134"/>
      <c r="D1612" s="2"/>
      <c r="E1612" s="135"/>
      <c r="F1612" s="128"/>
      <c r="G1612" s="136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</row>
    <row r="1613" customFormat="false" ht="12.75" hidden="false" customHeight="false" outlineLevel="0" collapsed="false">
      <c r="A1613" s="87" t="s">
        <v>44</v>
      </c>
      <c r="B1613" s="137" t="s">
        <v>45</v>
      </c>
      <c r="C1613" s="138"/>
      <c r="D1613" s="88" t="n">
        <v>1637120.90636742</v>
      </c>
      <c r="E1613" s="88" t="n">
        <v>1089076.0107284</v>
      </c>
      <c r="F1613" s="88" t="n">
        <v>854526.330858655</v>
      </c>
      <c r="G1613" s="88" t="n">
        <v>681483.736628174</v>
      </c>
      <c r="H1613" s="88" t="n">
        <v>676954.330416531</v>
      </c>
      <c r="I1613" s="88" t="n">
        <v>475637.657480842</v>
      </c>
      <c r="J1613" s="88" t="n">
        <v>542039.702346098</v>
      </c>
      <c r="K1613" s="88" t="n">
        <v>892663.486837</v>
      </c>
      <c r="L1613" s="88" t="n">
        <v>896361.168947577</v>
      </c>
      <c r="M1613" s="88" t="n">
        <v>1016433.29534531</v>
      </c>
      <c r="N1613" s="88" t="n">
        <v>673943.977637889</v>
      </c>
      <c r="O1613" s="88" t="n">
        <v>862027.085260707</v>
      </c>
      <c r="P1613" s="88" t="n">
        <v>819010.6353531</v>
      </c>
      <c r="Q1613" s="88" t="n">
        <v>1095119.85182642</v>
      </c>
      <c r="R1613" s="88" t="n">
        <v>886303.009219482</v>
      </c>
      <c r="S1613" s="88" t="n">
        <v>646549.420730493</v>
      </c>
      <c r="T1613" s="88" t="n">
        <v>773390.98506365</v>
      </c>
      <c r="U1613" s="88" t="n">
        <v>984488.807048394</v>
      </c>
      <c r="V1613" s="88" t="n">
        <v>761717.441169473</v>
      </c>
      <c r="W1613" s="2"/>
    </row>
    <row r="1614" customFormat="false" ht="12.75" hidden="false" customHeight="false" outlineLevel="0" collapsed="false">
      <c r="A1614" s="2"/>
      <c r="B1614" s="125" t="s">
        <v>46</v>
      </c>
      <c r="C1614" s="134"/>
      <c r="D1614" s="65" t="n">
        <v>1091413.93757828</v>
      </c>
      <c r="E1614" s="65" t="n">
        <v>726050.673818931</v>
      </c>
      <c r="F1614" s="65" t="n">
        <v>569684.220572437</v>
      </c>
      <c r="G1614" s="65" t="n">
        <v>454322.491085449</v>
      </c>
      <c r="H1614" s="65" t="n">
        <v>451302.886944354</v>
      </c>
      <c r="I1614" s="65" t="n">
        <v>317091.771653895</v>
      </c>
      <c r="J1614" s="65" t="n">
        <v>361359.801564065</v>
      </c>
      <c r="K1614" s="65" t="n">
        <v>595108.991224667</v>
      </c>
      <c r="L1614" s="65" t="n">
        <v>597574.112631718</v>
      </c>
      <c r="M1614" s="65" t="n">
        <v>677622.196896877</v>
      </c>
      <c r="N1614" s="65" t="n">
        <v>449295.985091926</v>
      </c>
      <c r="O1614" s="65" t="n">
        <v>574684.723507138</v>
      </c>
      <c r="P1614" s="65" t="n">
        <v>546007.0902354</v>
      </c>
      <c r="Q1614" s="65" t="n">
        <v>730079.901217612</v>
      </c>
      <c r="R1614" s="65" t="n">
        <v>590868.672812988</v>
      </c>
      <c r="S1614" s="65" t="n">
        <v>431032.947153662</v>
      </c>
      <c r="T1614" s="65" t="n">
        <v>515593.990042433</v>
      </c>
      <c r="U1614" s="65" t="n">
        <v>656325.871365596</v>
      </c>
      <c r="V1614" s="65" t="n">
        <v>507811.627446315</v>
      </c>
      <c r="W1614" s="2"/>
    </row>
    <row r="1615" customFormat="false" ht="12.75" hidden="false" customHeight="false" outlineLevel="0" collapsed="false">
      <c r="A1615" s="2"/>
      <c r="B1615" s="139" t="s">
        <v>47</v>
      </c>
      <c r="C1615" s="140"/>
      <c r="D1615" s="65" t="n">
        <v>256373.487376777</v>
      </c>
      <c r="E1615" s="65" t="n">
        <v>235299.637814816</v>
      </c>
      <c r="F1615" s="65" t="n">
        <v>205307.079458943</v>
      </c>
      <c r="G1615" s="65" t="n">
        <v>174904.471258869</v>
      </c>
      <c r="H1615" s="65" t="n">
        <v>160607.069422842</v>
      </c>
      <c r="I1615" s="65" t="n">
        <v>156554.005204633</v>
      </c>
      <c r="J1615" s="65" t="n">
        <v>163690.991805296</v>
      </c>
      <c r="K1615" s="65" t="n">
        <v>170232.886172733</v>
      </c>
      <c r="L1615" s="65" t="n">
        <v>176826.656843896</v>
      </c>
      <c r="M1615" s="65" t="n">
        <v>182884.160105948</v>
      </c>
      <c r="N1615" s="65" t="n">
        <v>175467.770212185</v>
      </c>
      <c r="O1615" s="65" t="n">
        <v>167517.175362176</v>
      </c>
      <c r="P1615" s="65" t="n">
        <v>173658.161518404</v>
      </c>
      <c r="Q1615" s="65" t="n">
        <v>120623.725777227</v>
      </c>
      <c r="R1615" s="65" t="n">
        <v>67973.1770576182</v>
      </c>
      <c r="S1615" s="65" t="n">
        <v>74465.2692840387</v>
      </c>
      <c r="T1615" s="65" t="n">
        <v>81152.1242772519</v>
      </c>
      <c r="U1615" s="65" t="n">
        <v>88039.5849202614</v>
      </c>
      <c r="V1615" s="65" t="n">
        <v>95133.6693825613</v>
      </c>
      <c r="W1615" s="2"/>
    </row>
    <row r="1616" customFormat="false" ht="13.5" hidden="false" customHeight="false" outlineLevel="0" collapsed="false">
      <c r="A1616" s="2"/>
      <c r="B1616" s="141" t="s">
        <v>48</v>
      </c>
      <c r="C1616" s="142"/>
      <c r="D1616" s="93" t="n">
        <v>2984908.33132247</v>
      </c>
      <c r="E1616" s="93" t="n">
        <v>2050426.32236214</v>
      </c>
      <c r="F1616" s="93" t="n">
        <v>1629517.63089003</v>
      </c>
      <c r="G1616" s="93" t="n">
        <v>1310710.69897249</v>
      </c>
      <c r="H1616" s="93" t="n">
        <v>1288864.28678373</v>
      </c>
      <c r="I1616" s="93" t="n">
        <v>949283.43433937</v>
      </c>
      <c r="J1616" s="93" t="n">
        <v>1067090.49571546</v>
      </c>
      <c r="K1616" s="93" t="n">
        <v>1658005.3642344</v>
      </c>
      <c r="L1616" s="93" t="n">
        <v>1670761.93842319</v>
      </c>
      <c r="M1616" s="93" t="n">
        <v>1876939.65234814</v>
      </c>
      <c r="N1616" s="93" t="n">
        <v>1298707.732942</v>
      </c>
      <c r="O1616" s="93" t="n">
        <v>1604228.98413002</v>
      </c>
      <c r="P1616" s="93" t="n">
        <v>1538675.88710691</v>
      </c>
      <c r="Q1616" s="93" t="n">
        <v>1945823.47882126</v>
      </c>
      <c r="R1616" s="93" t="n">
        <v>1545144.85909009</v>
      </c>
      <c r="S1616" s="93" t="n">
        <v>1152047.63716819</v>
      </c>
      <c r="T1616" s="93" t="n">
        <v>1370137.09938333</v>
      </c>
      <c r="U1616" s="93" t="n">
        <v>1728854.26333425</v>
      </c>
      <c r="V1616" s="93" t="n">
        <v>1364662.73799835</v>
      </c>
      <c r="W1616" s="2"/>
    </row>
    <row r="1617" customFormat="false" ht="13.5" hidden="false" customHeight="false" outlineLevel="0" collapsed="false">
      <c r="A1617" s="87" t="s">
        <v>49</v>
      </c>
      <c r="B1617" s="125" t="s">
        <v>50</v>
      </c>
      <c r="C1617" s="134"/>
      <c r="D1617" s="65" t="n">
        <v>-572072.685698323</v>
      </c>
      <c r="E1617" s="65" t="n">
        <v>-571105.994308152</v>
      </c>
      <c r="F1617" s="65" t="n">
        <v>-567419.223154391</v>
      </c>
      <c r="G1617" s="65" t="n">
        <v>-551343.674610459</v>
      </c>
      <c r="H1617" s="65" t="n">
        <v>-509959.226511037</v>
      </c>
      <c r="I1617" s="65" t="n">
        <v>-515109.226511037</v>
      </c>
      <c r="J1617" s="65" t="n">
        <v>-297727.48179906</v>
      </c>
      <c r="K1617" s="65" t="n">
        <v>-109683.597234149</v>
      </c>
      <c r="L1617" s="65" t="n">
        <v>-115116.44440495</v>
      </c>
      <c r="M1617" s="65" t="n">
        <v>-113527.919556791</v>
      </c>
      <c r="N1617" s="65" t="n">
        <v>-63875.9276846459</v>
      </c>
      <c r="O1617" s="65" t="n">
        <v>-70025.2970117703</v>
      </c>
      <c r="P1617" s="65" t="n">
        <v>-76359.1474187083</v>
      </c>
      <c r="Q1617" s="65" t="n">
        <v>-82883.0133378546</v>
      </c>
      <c r="R1617" s="65" t="n">
        <v>-89602.5952345752</v>
      </c>
      <c r="S1617" s="65" t="n">
        <v>-96173.3772123575</v>
      </c>
      <c r="T1617" s="65" t="n">
        <v>-102354.939623377</v>
      </c>
      <c r="U1617" s="65" t="n">
        <v>-109697.608190635</v>
      </c>
      <c r="V1617" s="65" t="n">
        <v>-117260.556814911</v>
      </c>
      <c r="W1617" s="2"/>
    </row>
    <row r="1618" customFormat="false" ht="12.75" hidden="false" customHeight="false" outlineLevel="0" collapsed="false">
      <c r="A1618" s="2"/>
      <c r="B1618" s="125" t="s">
        <v>51</v>
      </c>
      <c r="C1618" s="134"/>
      <c r="D1618" s="65" t="n">
        <v>0</v>
      </c>
      <c r="E1618" s="65" t="n">
        <v>0</v>
      </c>
      <c r="F1618" s="65" t="n">
        <v>0</v>
      </c>
      <c r="G1618" s="65" t="n">
        <v>0</v>
      </c>
      <c r="H1618" s="65" t="n">
        <v>0</v>
      </c>
      <c r="I1618" s="65" t="n">
        <v>0</v>
      </c>
      <c r="J1618" s="65" t="n">
        <v>0</v>
      </c>
      <c r="K1618" s="65" t="n">
        <v>0</v>
      </c>
      <c r="L1618" s="65" t="n">
        <v>0</v>
      </c>
      <c r="M1618" s="65" t="n">
        <v>0</v>
      </c>
      <c r="N1618" s="65" t="n">
        <v>0</v>
      </c>
      <c r="O1618" s="65" t="n">
        <v>0</v>
      </c>
      <c r="P1618" s="65" t="n">
        <v>0</v>
      </c>
      <c r="Q1618" s="65" t="n">
        <v>0</v>
      </c>
      <c r="R1618" s="65" t="n">
        <v>0</v>
      </c>
      <c r="S1618" s="65" t="n">
        <v>0</v>
      </c>
      <c r="T1618" s="65" t="n">
        <v>0</v>
      </c>
      <c r="U1618" s="65" t="n">
        <v>0</v>
      </c>
      <c r="V1618" s="65" t="n">
        <v>0</v>
      </c>
      <c r="W1618" s="2"/>
    </row>
    <row r="1619" customFormat="false" ht="12.75" hidden="false" customHeight="false" outlineLevel="0" collapsed="false">
      <c r="A1619" s="2"/>
      <c r="B1619" s="137" t="s">
        <v>52</v>
      </c>
      <c r="C1619" s="138"/>
      <c r="D1619" s="88" t="n">
        <v>2412835.64562415</v>
      </c>
      <c r="E1619" s="88" t="n">
        <v>1479320.32805399</v>
      </c>
      <c r="F1619" s="88" t="n">
        <v>1062098.40773564</v>
      </c>
      <c r="G1619" s="88" t="n">
        <v>759367.024362034</v>
      </c>
      <c r="H1619" s="88" t="n">
        <v>778905.06027269</v>
      </c>
      <c r="I1619" s="88" t="n">
        <v>434174.207828333</v>
      </c>
      <c r="J1619" s="88" t="n">
        <v>769363.013916398</v>
      </c>
      <c r="K1619" s="88" t="n">
        <v>1548321.76700025</v>
      </c>
      <c r="L1619" s="88" t="n">
        <v>1555645.49401824</v>
      </c>
      <c r="M1619" s="88" t="n">
        <v>1763411.73279135</v>
      </c>
      <c r="N1619" s="88" t="n">
        <v>1234831.80525735</v>
      </c>
      <c r="O1619" s="88" t="n">
        <v>1534203.68711825</v>
      </c>
      <c r="P1619" s="88" t="n">
        <v>1462316.7396882</v>
      </c>
      <c r="Q1619" s="88" t="n">
        <v>1862940.4654834</v>
      </c>
      <c r="R1619" s="88" t="n">
        <v>1455542.26385551</v>
      </c>
      <c r="S1619" s="88" t="n">
        <v>1055874.25995584</v>
      </c>
      <c r="T1619" s="88" t="n">
        <v>1267782.15975996</v>
      </c>
      <c r="U1619" s="88" t="n">
        <v>1619156.65514362</v>
      </c>
      <c r="V1619" s="88" t="n">
        <v>1247402.18118344</v>
      </c>
      <c r="W1619" s="2"/>
    </row>
    <row r="1620" customFormat="false" ht="13.5" hidden="false" customHeight="false" outlineLevel="0" collapsed="false">
      <c r="A1620" s="2"/>
      <c r="B1620" s="143" t="s">
        <v>53</v>
      </c>
      <c r="C1620" s="144"/>
      <c r="D1620" s="96" t="n">
        <v>-965134.258249659</v>
      </c>
      <c r="E1620" s="96" t="n">
        <v>-591728.131221597</v>
      </c>
      <c r="F1620" s="96" t="n">
        <v>-424839.363094257</v>
      </c>
      <c r="G1620" s="96" t="n">
        <v>-303746.809744814</v>
      </c>
      <c r="H1620" s="96" t="n">
        <v>-311562.024109076</v>
      </c>
      <c r="I1620" s="96" t="n">
        <v>-173669.683131333</v>
      </c>
      <c r="J1620" s="96" t="n">
        <v>-307745.205566559</v>
      </c>
      <c r="K1620" s="96" t="n">
        <v>-619328.7068001</v>
      </c>
      <c r="L1620" s="96" t="n">
        <v>-622258.197607296</v>
      </c>
      <c r="M1620" s="96" t="n">
        <v>-705364.693116539</v>
      </c>
      <c r="N1620" s="96" t="n">
        <v>-493932.722102942</v>
      </c>
      <c r="O1620" s="96" t="n">
        <v>-613681.4748473</v>
      </c>
      <c r="P1620" s="96" t="n">
        <v>-584926.695875279</v>
      </c>
      <c r="Q1620" s="96" t="n">
        <v>-745176.186193361</v>
      </c>
      <c r="R1620" s="96" t="n">
        <v>-582216.905542205</v>
      </c>
      <c r="S1620" s="96" t="n">
        <v>-422349.703982335</v>
      </c>
      <c r="T1620" s="96" t="n">
        <v>-507112.863903983</v>
      </c>
      <c r="U1620" s="96" t="n">
        <v>-647662.662057447</v>
      </c>
      <c r="V1620" s="96" t="n">
        <v>-498960.872473375</v>
      </c>
      <c r="W1620" s="2"/>
    </row>
    <row r="1621" customFormat="false" ht="13.5" hidden="false" customHeight="false" outlineLevel="0" collapsed="false">
      <c r="A1621" s="2"/>
      <c r="B1621" s="137" t="s">
        <v>54</v>
      </c>
      <c r="C1621" s="138"/>
      <c r="D1621" s="88" t="n">
        <v>1447701.38737449</v>
      </c>
      <c r="E1621" s="88" t="n">
        <v>887592.196832395</v>
      </c>
      <c r="F1621" s="88" t="n">
        <v>637259.044641386</v>
      </c>
      <c r="G1621" s="88" t="n">
        <v>455620.21461722</v>
      </c>
      <c r="H1621" s="88" t="n">
        <v>467343.036163614</v>
      </c>
      <c r="I1621" s="88" t="n">
        <v>260504.524697</v>
      </c>
      <c r="J1621" s="88" t="n">
        <v>461617.808349839</v>
      </c>
      <c r="K1621" s="88" t="n">
        <v>928993.06020015</v>
      </c>
      <c r="L1621" s="88" t="n">
        <v>933387.296410944</v>
      </c>
      <c r="M1621" s="88" t="n">
        <v>1058047.03967481</v>
      </c>
      <c r="N1621" s="88" t="n">
        <v>740899.083154412</v>
      </c>
      <c r="O1621" s="88" t="n">
        <v>920522.21227095</v>
      </c>
      <c r="P1621" s="88" t="n">
        <v>877390.043812918</v>
      </c>
      <c r="Q1621" s="88" t="n">
        <v>1117764.27929004</v>
      </c>
      <c r="R1621" s="88" t="n">
        <v>873325.358313308</v>
      </c>
      <c r="S1621" s="88" t="n">
        <v>633524.555973502</v>
      </c>
      <c r="T1621" s="88" t="n">
        <v>760669.295855974</v>
      </c>
      <c r="U1621" s="88" t="n">
        <v>971493.99308617</v>
      </c>
      <c r="V1621" s="88" t="n">
        <v>748441.308710063</v>
      </c>
      <c r="W1621" s="2"/>
    </row>
    <row r="1622" customFormat="false" ht="12.75" hidden="false" customHeight="false" outlineLevel="0" collapsed="false">
      <c r="A1622" s="2"/>
      <c r="B1622" s="2"/>
      <c r="C1622" s="134"/>
      <c r="D1622" s="2"/>
      <c r="E1622" s="135"/>
      <c r="F1622" s="128"/>
      <c r="G1622" s="136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</row>
    <row r="1623" customFormat="false" ht="15.75" hidden="false" customHeight="false" outlineLevel="0" collapsed="false">
      <c r="A1623" s="97" t="s">
        <v>55</v>
      </c>
      <c r="B1623" s="145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</row>
    <row r="1624" customFormat="false" ht="12.75" hidden="false" customHeight="false" outlineLevel="0" collapsed="false">
      <c r="A1624" s="99" t="s">
        <v>56</v>
      </c>
      <c r="B1624" s="49"/>
      <c r="C1624" s="101" t="n">
        <v>0</v>
      </c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</row>
    <row r="1625" customFormat="false" ht="12.75" hidden="false" customHeight="false" outlineLevel="0" collapsed="false">
      <c r="A1625" s="99" t="s">
        <v>57</v>
      </c>
      <c r="B1625" s="49"/>
      <c r="C1625" s="146" t="n">
        <v>0</v>
      </c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</row>
    <row r="1626" customFormat="false" ht="12.75" hidden="false" customHeight="false" outlineLevel="0" collapsed="false">
      <c r="A1626" s="99" t="s">
        <v>58</v>
      </c>
      <c r="B1626" s="49"/>
      <c r="C1626" s="99" t="n">
        <v>15</v>
      </c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</row>
    <row r="1627" customFormat="false" ht="12.75" hidden="false" customHeight="false" outlineLevel="0" collapsed="false">
      <c r="A1627" s="99" t="s">
        <v>59</v>
      </c>
      <c r="B1627" s="49"/>
      <c r="C1627" s="146" t="n">
        <v>0</v>
      </c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</row>
    <row r="1628" customFormat="false" ht="12.75" hidden="false" customHeight="false" outlineLevel="0" collapsed="false">
      <c r="A1628" s="99" t="s">
        <v>60</v>
      </c>
      <c r="B1628" s="49"/>
      <c r="C1628" s="147" t="n">
        <v>0.0875</v>
      </c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</row>
    <row r="1629" customFormat="false" ht="12.75" hidden="false" customHeight="false" outlineLevel="0" collapsed="false">
      <c r="A1629" s="99"/>
      <c r="B1629" s="49"/>
      <c r="C1629" s="107"/>
      <c r="D1629" s="58" t="n">
        <v>2001</v>
      </c>
      <c r="E1629" s="58" t="n">
        <v>2002</v>
      </c>
      <c r="F1629" s="58" t="n">
        <v>2003</v>
      </c>
      <c r="G1629" s="58" t="n">
        <v>2004</v>
      </c>
      <c r="H1629" s="58" t="n">
        <v>2005</v>
      </c>
      <c r="I1629" s="58" t="n">
        <v>2006</v>
      </c>
      <c r="J1629" s="58" t="n">
        <v>2007</v>
      </c>
      <c r="K1629" s="58" t="n">
        <v>2008</v>
      </c>
      <c r="L1629" s="58" t="n">
        <v>2009</v>
      </c>
      <c r="M1629" s="58" t="n">
        <v>2010</v>
      </c>
      <c r="N1629" s="58" t="n">
        <v>2011</v>
      </c>
      <c r="O1629" s="58" t="n">
        <v>2012</v>
      </c>
      <c r="P1629" s="58" t="n">
        <v>2013</v>
      </c>
      <c r="Q1629" s="58" t="n">
        <v>2014</v>
      </c>
      <c r="R1629" s="58" t="n">
        <v>2015</v>
      </c>
      <c r="S1629" s="58" t="n">
        <v>2016</v>
      </c>
      <c r="T1629" s="58" t="n">
        <v>2017</v>
      </c>
      <c r="U1629" s="58" t="n">
        <v>2018</v>
      </c>
      <c r="V1629" s="58" t="n">
        <v>2019</v>
      </c>
      <c r="W1629" s="58" t="s">
        <v>19</v>
      </c>
    </row>
    <row r="1630" customFormat="false" ht="12.75" hidden="false" customHeight="false" outlineLevel="0" collapsed="false">
      <c r="A1630" s="99" t="s">
        <v>61</v>
      </c>
      <c r="B1630" s="49"/>
      <c r="C1630" s="107"/>
      <c r="D1630" s="102" t="n">
        <v>0</v>
      </c>
      <c r="E1630" s="102" t="n">
        <v>0</v>
      </c>
      <c r="F1630" s="102" t="n">
        <v>0</v>
      </c>
      <c r="G1630" s="102" t="n">
        <v>0</v>
      </c>
      <c r="H1630" s="102" t="n">
        <v>0</v>
      </c>
      <c r="I1630" s="102" t="n">
        <v>0</v>
      </c>
      <c r="J1630" s="102" t="n">
        <v>0</v>
      </c>
      <c r="K1630" s="102" t="n">
        <v>0</v>
      </c>
      <c r="L1630" s="102" t="n">
        <v>0</v>
      </c>
      <c r="M1630" s="102" t="n">
        <v>0</v>
      </c>
      <c r="N1630" s="102" t="n">
        <v>0</v>
      </c>
      <c r="O1630" s="102" t="n">
        <v>0</v>
      </c>
      <c r="P1630" s="102" t="n">
        <v>0</v>
      </c>
      <c r="Q1630" s="102" t="n">
        <v>0</v>
      </c>
      <c r="R1630" s="102" t="n">
        <v>0</v>
      </c>
      <c r="S1630" s="102" t="n">
        <v>0</v>
      </c>
      <c r="T1630" s="102" t="n">
        <v>0</v>
      </c>
      <c r="U1630" s="102" t="n">
        <v>0</v>
      </c>
      <c r="V1630" s="102" t="n">
        <v>0</v>
      </c>
      <c r="W1630" s="102" t="n">
        <v>0</v>
      </c>
    </row>
    <row r="1631" customFormat="false" ht="12.75" hidden="false" customHeight="false" outlineLevel="0" collapsed="false">
      <c r="A1631" s="99" t="s">
        <v>62</v>
      </c>
      <c r="B1631" s="49"/>
      <c r="C1631" s="107"/>
      <c r="D1631" s="102" t="n">
        <v>0</v>
      </c>
      <c r="E1631" s="102" t="n">
        <v>0</v>
      </c>
      <c r="F1631" s="102" t="n">
        <v>0</v>
      </c>
      <c r="G1631" s="102" t="n">
        <v>0</v>
      </c>
      <c r="H1631" s="102" t="n">
        <v>0</v>
      </c>
      <c r="I1631" s="102" t="n">
        <v>0</v>
      </c>
      <c r="J1631" s="102" t="n">
        <v>0</v>
      </c>
      <c r="K1631" s="102" t="n">
        <v>0</v>
      </c>
      <c r="L1631" s="102" t="n">
        <v>0</v>
      </c>
      <c r="M1631" s="102" t="n">
        <v>0</v>
      </c>
      <c r="N1631" s="102" t="n">
        <v>0</v>
      </c>
      <c r="O1631" s="102" t="n">
        <v>0</v>
      </c>
      <c r="P1631" s="102" t="n">
        <v>0</v>
      </c>
      <c r="Q1631" s="102" t="n">
        <v>0</v>
      </c>
      <c r="R1631" s="102" t="n">
        <v>0</v>
      </c>
      <c r="S1631" s="102" t="n">
        <v>0</v>
      </c>
      <c r="T1631" s="102" t="n">
        <v>0</v>
      </c>
      <c r="U1631" s="102" t="n">
        <v>0</v>
      </c>
      <c r="V1631" s="102" t="n">
        <v>0</v>
      </c>
      <c r="W1631" s="102" t="n">
        <v>0</v>
      </c>
    </row>
    <row r="1632" customFormat="false" ht="12.75" hidden="false" customHeight="false" outlineLevel="0" collapsed="false">
      <c r="A1632" s="99" t="s">
        <v>63</v>
      </c>
      <c r="B1632" s="49"/>
      <c r="C1632" s="107"/>
      <c r="D1632" s="102" t="n">
        <v>0</v>
      </c>
      <c r="E1632" s="102" t="n">
        <v>0</v>
      </c>
      <c r="F1632" s="102" t="n">
        <v>0</v>
      </c>
      <c r="G1632" s="102" t="n">
        <v>0</v>
      </c>
      <c r="H1632" s="102" t="n">
        <v>0</v>
      </c>
      <c r="I1632" s="102" t="n">
        <v>0</v>
      </c>
      <c r="J1632" s="102" t="n">
        <v>0</v>
      </c>
      <c r="K1632" s="102" t="n">
        <v>0</v>
      </c>
      <c r="L1632" s="102" t="n">
        <v>0</v>
      </c>
      <c r="M1632" s="102" t="n">
        <v>0</v>
      </c>
      <c r="N1632" s="102" t="n">
        <v>0</v>
      </c>
      <c r="O1632" s="102" t="n">
        <v>0</v>
      </c>
      <c r="P1632" s="102" t="n">
        <v>0</v>
      </c>
      <c r="Q1632" s="102" t="n">
        <v>0</v>
      </c>
      <c r="R1632" s="102" t="n">
        <v>0</v>
      </c>
      <c r="S1632" s="102" t="n">
        <v>0</v>
      </c>
      <c r="T1632" s="102" t="n">
        <v>0</v>
      </c>
      <c r="U1632" s="102" t="n">
        <v>0</v>
      </c>
      <c r="V1632" s="102" t="n">
        <v>0</v>
      </c>
      <c r="W1632" s="102" t="n">
        <v>0</v>
      </c>
    </row>
    <row r="1633" customFormat="false" ht="12.75" hidden="false" customHeight="false" outlineLevel="0" collapsed="false">
      <c r="A1633" s="99" t="s">
        <v>64</v>
      </c>
      <c r="B1633" s="49"/>
      <c r="C1633" s="107"/>
      <c r="D1633" s="105" t="n">
        <v>0</v>
      </c>
      <c r="E1633" s="105" t="n">
        <v>0</v>
      </c>
      <c r="F1633" s="105" t="n">
        <v>0</v>
      </c>
      <c r="G1633" s="105" t="n">
        <v>0</v>
      </c>
      <c r="H1633" s="105" t="n">
        <v>0</v>
      </c>
      <c r="I1633" s="105" t="n">
        <v>0</v>
      </c>
      <c r="J1633" s="105" t="n">
        <v>0</v>
      </c>
      <c r="K1633" s="105" t="n">
        <v>0</v>
      </c>
      <c r="L1633" s="105" t="n">
        <v>0</v>
      </c>
      <c r="M1633" s="105" t="n">
        <v>0</v>
      </c>
      <c r="N1633" s="105" t="n">
        <v>0</v>
      </c>
      <c r="O1633" s="105" t="n">
        <v>0</v>
      </c>
      <c r="P1633" s="105" t="n">
        <v>0</v>
      </c>
      <c r="Q1633" s="105" t="n">
        <v>0</v>
      </c>
      <c r="R1633" s="105" t="n">
        <v>0</v>
      </c>
      <c r="S1633" s="105" t="n">
        <v>0</v>
      </c>
      <c r="T1633" s="105" t="n">
        <v>0</v>
      </c>
      <c r="U1633" s="105" t="n">
        <v>0</v>
      </c>
      <c r="V1633" s="105" t="n">
        <v>0</v>
      </c>
      <c r="W1633" s="105" t="n">
        <v>0</v>
      </c>
    </row>
    <row r="1634" customFormat="false" ht="13.5" hidden="false" customHeight="false" outlineLevel="0" collapsed="false">
      <c r="A1634" s="99" t="s">
        <v>65</v>
      </c>
      <c r="B1634" s="49"/>
      <c r="C1634" s="107"/>
      <c r="D1634" s="106" t="n">
        <v>0</v>
      </c>
      <c r="E1634" s="106" t="n">
        <v>0</v>
      </c>
      <c r="F1634" s="106" t="n">
        <v>0</v>
      </c>
      <c r="G1634" s="106" t="n">
        <v>0</v>
      </c>
      <c r="H1634" s="106" t="n">
        <v>0</v>
      </c>
      <c r="I1634" s="106" t="n">
        <v>0</v>
      </c>
      <c r="J1634" s="106" t="n">
        <v>0</v>
      </c>
      <c r="K1634" s="106" t="n">
        <v>0</v>
      </c>
      <c r="L1634" s="106" t="n">
        <v>0</v>
      </c>
      <c r="M1634" s="106" t="n">
        <v>0</v>
      </c>
      <c r="N1634" s="106" t="n">
        <v>0</v>
      </c>
      <c r="O1634" s="106" t="n">
        <v>0</v>
      </c>
      <c r="P1634" s="106" t="n">
        <v>0</v>
      </c>
      <c r="Q1634" s="106" t="n">
        <v>0</v>
      </c>
      <c r="R1634" s="106" t="n">
        <v>0</v>
      </c>
      <c r="S1634" s="106" t="n">
        <v>0</v>
      </c>
      <c r="T1634" s="106" t="n">
        <v>0</v>
      </c>
      <c r="U1634" s="106" t="n">
        <v>0</v>
      </c>
      <c r="V1634" s="106" t="n">
        <v>0</v>
      </c>
      <c r="W1634" s="106" t="n">
        <v>0</v>
      </c>
    </row>
    <row r="1635" customFormat="false" ht="13.5" hidden="false" customHeight="false" outlineLevel="0" collapsed="false">
      <c r="A1635" s="99"/>
      <c r="B1635" s="49"/>
      <c r="C1635" s="107"/>
      <c r="D1635" s="102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102"/>
    </row>
    <row r="1636" customFormat="false" ht="12.75" hidden="false" customHeight="false" outlineLevel="0" collapsed="false">
      <c r="A1636" s="99" t="s">
        <v>66</v>
      </c>
      <c r="B1636" s="49"/>
      <c r="C1636" s="107"/>
      <c r="D1636" s="102" t="n">
        <v>0</v>
      </c>
      <c r="E1636" s="102" t="n">
        <v>0</v>
      </c>
      <c r="F1636" s="102" t="n">
        <v>0</v>
      </c>
      <c r="G1636" s="102" t="n">
        <v>0</v>
      </c>
      <c r="H1636" s="102" t="n">
        <v>0</v>
      </c>
      <c r="I1636" s="102" t="n">
        <v>0</v>
      </c>
      <c r="J1636" s="102" t="n">
        <v>0</v>
      </c>
      <c r="K1636" s="102" t="n">
        <v>0</v>
      </c>
      <c r="L1636" s="102" t="n">
        <v>0</v>
      </c>
      <c r="M1636" s="102" t="n">
        <v>0</v>
      </c>
      <c r="N1636" s="102" t="n">
        <v>0</v>
      </c>
      <c r="O1636" s="102" t="n">
        <v>0</v>
      </c>
      <c r="P1636" s="102" t="n">
        <v>0</v>
      </c>
      <c r="Q1636" s="102" t="n">
        <v>0</v>
      </c>
      <c r="R1636" s="102" t="n">
        <v>0</v>
      </c>
      <c r="S1636" s="102" t="n">
        <v>0</v>
      </c>
      <c r="T1636" s="102" t="n">
        <v>0</v>
      </c>
      <c r="U1636" s="102" t="n">
        <v>0</v>
      </c>
      <c r="V1636" s="102" t="n">
        <v>0</v>
      </c>
      <c r="W1636" s="102" t="n">
        <v>0</v>
      </c>
    </row>
    <row r="1637" customFormat="false" ht="12.75" hidden="false" customHeight="false" outlineLevel="0" collapsed="false">
      <c r="A1637" s="99"/>
      <c r="B1637" s="49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</row>
    <row r="1638" customFormat="false" ht="12.75" hidden="false" customHeight="false" outlineLevel="0" collapsed="false">
      <c r="A1638" s="99" t="s">
        <v>67</v>
      </c>
      <c r="B1638" s="49"/>
      <c r="C1638" s="107"/>
      <c r="D1638" s="102" t="n">
        <v>0</v>
      </c>
      <c r="E1638" s="102" t="n">
        <v>0</v>
      </c>
      <c r="F1638" s="102" t="n">
        <v>0</v>
      </c>
      <c r="G1638" s="102" t="n">
        <v>0</v>
      </c>
      <c r="H1638" s="102" t="n">
        <v>0</v>
      </c>
      <c r="I1638" s="102" t="n">
        <v>0</v>
      </c>
      <c r="J1638" s="102" t="n">
        <v>0</v>
      </c>
      <c r="K1638" s="102" t="n">
        <v>0</v>
      </c>
      <c r="L1638" s="102" t="n">
        <v>0</v>
      </c>
      <c r="M1638" s="102" t="n">
        <v>0</v>
      </c>
      <c r="N1638" s="102" t="n">
        <v>0</v>
      </c>
      <c r="O1638" s="102" t="n">
        <v>0</v>
      </c>
      <c r="P1638" s="102" t="n">
        <v>0</v>
      </c>
      <c r="Q1638" s="102" t="n">
        <v>0</v>
      </c>
      <c r="R1638" s="102" t="n">
        <v>0</v>
      </c>
      <c r="S1638" s="102" t="n">
        <v>0</v>
      </c>
      <c r="T1638" s="102" t="n">
        <v>0</v>
      </c>
      <c r="U1638" s="102" t="n">
        <v>0</v>
      </c>
      <c r="V1638" s="102" t="n">
        <v>0</v>
      </c>
      <c r="W1638" s="102" t="n">
        <v>0</v>
      </c>
    </row>
    <row r="1639" customFormat="false" ht="12.75" hidden="false" customHeight="false" outlineLevel="0" collapsed="false">
      <c r="A1639" s="107"/>
      <c r="B1639" s="49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</row>
    <row r="1640" customFormat="false" ht="12.75" hidden="false" customHeight="false" outlineLevel="0" collapsed="false">
      <c r="A1640" s="107"/>
      <c r="B1640" s="49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</row>
    <row r="1641" customFormat="false" ht="12.75" hidden="false" customHeight="false" outlineLevel="0" collapsed="false">
      <c r="A1641" s="99" t="s">
        <v>68</v>
      </c>
      <c r="B1641" s="148"/>
      <c r="C1641" s="149"/>
      <c r="D1641" s="79" t="n">
        <v>1892070.81374419</v>
      </c>
      <c r="E1641" s="79" t="n">
        <v>1322894.62854321</v>
      </c>
      <c r="F1641" s="79" t="n">
        <v>1058292.5803176</v>
      </c>
      <c r="G1641" s="79" t="n">
        <v>854778.877887044</v>
      </c>
      <c r="H1641" s="79" t="n">
        <v>737561.399839373</v>
      </c>
      <c r="I1641" s="79" t="n">
        <v>529191.662685475</v>
      </c>
      <c r="J1641" s="79" t="n">
        <v>599640.694151393</v>
      </c>
      <c r="K1641" s="79" t="n">
        <v>953623.673009733</v>
      </c>
      <c r="L1641" s="79" t="n">
        <v>960636.944791472</v>
      </c>
      <c r="M1641" s="79" t="n">
        <v>1083390.04802126</v>
      </c>
      <c r="N1641" s="79" t="n">
        <v>730006.518197174</v>
      </c>
      <c r="O1641" s="79" t="n">
        <v>906556.874080396</v>
      </c>
      <c r="P1641" s="79" t="n">
        <v>865991.788732743</v>
      </c>
      <c r="Q1641" s="79" t="n">
        <v>1085266.25922072</v>
      </c>
      <c r="R1641" s="79" t="n">
        <v>819884.548342688</v>
      </c>
      <c r="S1641" s="79" t="n">
        <v>582591.302942087</v>
      </c>
      <c r="T1641" s="79" t="n">
        <v>711967.020656284</v>
      </c>
      <c r="U1641" s="79" t="n">
        <v>925675.020623499</v>
      </c>
      <c r="V1641" s="79" t="n">
        <v>705592.138066523</v>
      </c>
      <c r="W1641" s="79" t="n">
        <v>5171833.90962287</v>
      </c>
    </row>
    <row r="1642" customFormat="false" ht="12.75" hidden="false" customHeight="false" outlineLevel="0" collapsed="false">
      <c r="A1642" s="2"/>
      <c r="B1642" s="31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</row>
    <row r="1643" customFormat="false" ht="12.75" hidden="false" customHeight="false" outlineLevel="0" collapsed="false">
      <c r="A1643" s="169"/>
      <c r="B1643" s="115"/>
      <c r="C1643" s="171"/>
      <c r="D1643" s="170"/>
      <c r="E1643" s="170"/>
      <c r="F1643" s="170"/>
      <c r="G1643" s="170"/>
      <c r="H1643" s="170"/>
      <c r="I1643" s="170"/>
      <c r="J1643" s="170"/>
      <c r="K1643" s="170"/>
      <c r="L1643" s="170"/>
      <c r="M1643" s="170"/>
      <c r="N1643" s="170"/>
      <c r="O1643" s="170"/>
      <c r="P1643" s="170"/>
      <c r="Q1643" s="170"/>
      <c r="R1643" s="170"/>
      <c r="S1643" s="170"/>
      <c r="T1643" s="170"/>
      <c r="U1643" s="170"/>
      <c r="V1643" s="170"/>
      <c r="W1643" s="170"/>
    </row>
    <row r="1644" customFormat="false" ht="12.75" hidden="false" customHeight="false" outlineLevel="0" collapsed="false">
      <c r="A1644" s="169"/>
      <c r="B1644" s="115"/>
      <c r="C1644" s="147"/>
      <c r="D1644" s="170"/>
      <c r="E1644" s="170"/>
      <c r="F1644" s="170"/>
      <c r="G1644" s="170"/>
      <c r="H1644" s="170"/>
      <c r="I1644" s="170"/>
      <c r="J1644" s="170"/>
      <c r="K1644" s="170"/>
      <c r="L1644" s="170"/>
      <c r="M1644" s="170"/>
      <c r="N1644" s="170"/>
      <c r="O1644" s="170"/>
      <c r="P1644" s="170"/>
      <c r="Q1644" s="170"/>
      <c r="R1644" s="170"/>
      <c r="S1644" s="170"/>
      <c r="T1644" s="170"/>
      <c r="U1644" s="170"/>
      <c r="V1644" s="170"/>
      <c r="W1644" s="170"/>
    </row>
    <row r="1645" customFormat="false" ht="12.75" hidden="false" customHeight="false" outlineLevel="0" collapsed="false">
      <c r="A1645" s="169"/>
      <c r="B1645" s="115"/>
      <c r="C1645" s="170"/>
      <c r="D1645" s="152"/>
      <c r="E1645" s="152"/>
      <c r="F1645" s="152"/>
      <c r="G1645" s="152"/>
      <c r="H1645" s="152"/>
      <c r="I1645" s="152"/>
      <c r="J1645" s="152"/>
      <c r="K1645" s="152"/>
      <c r="L1645" s="152"/>
      <c r="M1645" s="152"/>
      <c r="N1645" s="152"/>
      <c r="O1645" s="152"/>
      <c r="P1645" s="152"/>
      <c r="Q1645" s="152"/>
      <c r="R1645" s="152"/>
      <c r="S1645" s="152"/>
      <c r="T1645" s="152"/>
      <c r="U1645" s="152"/>
      <c r="V1645" s="152"/>
      <c r="W1645" s="152"/>
    </row>
    <row r="1646" customFormat="false" ht="12.75" hidden="false" customHeight="false" outlineLevel="0" collapsed="false">
      <c r="A1646" s="169"/>
      <c r="B1646" s="115"/>
      <c r="C1646" s="170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customFormat="false" ht="12.75" hidden="false" customHeight="false" outlineLevel="0" collapsed="false">
      <c r="A1647" s="169"/>
      <c r="B1647" s="115"/>
      <c r="C1647" s="170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customFormat="false" ht="12.75" hidden="false" customHeight="false" outlineLevel="0" collapsed="false">
      <c r="A1648" s="169"/>
      <c r="B1648" s="115"/>
      <c r="C1648" s="170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customFormat="false" ht="12.75" hidden="false" customHeight="false" outlineLevel="0" collapsed="false">
      <c r="A1649" s="169"/>
      <c r="B1649" s="115"/>
      <c r="C1649" s="170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customFormat="false" ht="15.75" hidden="false" customHeight="false" outlineLevel="0" collapsed="false">
      <c r="A1650" s="48" t="s">
        <v>17</v>
      </c>
      <c r="B1650" s="57" t="s">
        <v>94</v>
      </c>
      <c r="C1650" s="58" t="n">
        <v>2000</v>
      </c>
      <c r="D1650" s="58" t="n">
        <v>2001</v>
      </c>
      <c r="E1650" s="58" t="n">
        <v>2002</v>
      </c>
      <c r="F1650" s="58" t="n">
        <v>2003</v>
      </c>
      <c r="G1650" s="58" t="n">
        <v>2004</v>
      </c>
      <c r="H1650" s="58" t="n">
        <v>2005</v>
      </c>
      <c r="I1650" s="58" t="n">
        <v>2006</v>
      </c>
      <c r="J1650" s="58" t="n">
        <v>2007</v>
      </c>
      <c r="K1650" s="58" t="n">
        <v>2008</v>
      </c>
      <c r="L1650" s="58" t="n">
        <v>2009</v>
      </c>
      <c r="M1650" s="58" t="n">
        <v>2010</v>
      </c>
      <c r="N1650" s="58" t="n">
        <v>2011</v>
      </c>
      <c r="O1650" s="58" t="n">
        <v>2012</v>
      </c>
      <c r="P1650" s="58" t="n">
        <v>2013</v>
      </c>
      <c r="Q1650" s="58" t="n">
        <v>2014</v>
      </c>
      <c r="R1650" s="58" t="n">
        <v>2015</v>
      </c>
      <c r="S1650" s="58" t="n">
        <v>2016</v>
      </c>
      <c r="T1650" s="58" t="n">
        <v>2017</v>
      </c>
      <c r="U1650" s="58" t="n">
        <v>2018</v>
      </c>
      <c r="V1650" s="58" t="n">
        <v>2019</v>
      </c>
      <c r="W1650" s="58" t="s">
        <v>19</v>
      </c>
    </row>
    <row r="1651" customFormat="false" ht="12.75" hidden="false" customHeight="false" outlineLevel="0" collapsed="false">
      <c r="A1651" s="48" t="s">
        <v>5</v>
      </c>
      <c r="B1651" s="49" t="n">
        <v>51.225</v>
      </c>
      <c r="C1651" s="61"/>
      <c r="D1651" s="61"/>
      <c r="E1651" s="61"/>
      <c r="F1651" s="61"/>
      <c r="G1651" s="61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</row>
    <row r="1652" customFormat="false" ht="12.75" hidden="false" customHeight="false" outlineLevel="0" collapsed="false">
      <c r="A1652" s="2"/>
      <c r="B1652" s="117" t="s">
        <v>20</v>
      </c>
      <c r="C1652" s="118" t="n">
        <v>0</v>
      </c>
      <c r="D1652" s="64" t="n">
        <v>4173272.13547362</v>
      </c>
      <c r="E1652" s="64" t="n">
        <v>3336543.81939016</v>
      </c>
      <c r="F1652" s="64" t="n">
        <v>2771530.81170323</v>
      </c>
      <c r="G1652" s="64" t="n">
        <v>2486417.30099253</v>
      </c>
      <c r="H1652" s="64" t="n">
        <v>2957557.51019355</v>
      </c>
      <c r="I1652" s="64" t="n">
        <v>2731177.54087981</v>
      </c>
      <c r="J1652" s="64" t="n">
        <v>2671668.77777465</v>
      </c>
      <c r="K1652" s="64" t="n">
        <v>4099251.72529141</v>
      </c>
      <c r="L1652" s="64" t="n">
        <v>4150887.33045383</v>
      </c>
      <c r="M1652" s="64" t="n">
        <v>4383220.71444289</v>
      </c>
      <c r="N1652" s="64" t="n">
        <v>3427575.69793431</v>
      </c>
      <c r="O1652" s="64" t="n">
        <v>4360652.29883995</v>
      </c>
      <c r="P1652" s="64" t="n">
        <v>3733289.03876656</v>
      </c>
      <c r="Q1652" s="64" t="n">
        <v>4762503.06105503</v>
      </c>
      <c r="R1652" s="64" t="n">
        <v>4233544.44192035</v>
      </c>
      <c r="S1652" s="64" t="n">
        <v>3344910.62060087</v>
      </c>
      <c r="T1652" s="64" t="n">
        <v>3656345.54563308</v>
      </c>
      <c r="U1652" s="64" t="n">
        <v>4710739.3380201</v>
      </c>
      <c r="V1652" s="64" t="n">
        <v>5317042.10578293</v>
      </c>
      <c r="W1652" s="65"/>
    </row>
    <row r="1653" customFormat="false" ht="12.75" hidden="false" customHeight="false" outlineLevel="0" collapsed="false">
      <c r="A1653" s="2"/>
      <c r="B1653" s="117" t="s">
        <v>21</v>
      </c>
      <c r="C1653" s="118" t="n">
        <v>0</v>
      </c>
      <c r="D1653" s="64" t="n">
        <v>-1014828.75040762</v>
      </c>
      <c r="E1653" s="64" t="n">
        <v>-1103189.6758056</v>
      </c>
      <c r="F1653" s="64" t="n">
        <v>-960682.646835074</v>
      </c>
      <c r="G1653" s="64" t="n">
        <v>-991659.706511363</v>
      </c>
      <c r="H1653" s="64" t="n">
        <v>-1464368.70058838</v>
      </c>
      <c r="I1653" s="64" t="n">
        <v>-1528562.59506656</v>
      </c>
      <c r="J1653" s="64" t="n">
        <v>-1355653.27379548</v>
      </c>
      <c r="K1653" s="64" t="n">
        <v>-2113963.27958314</v>
      </c>
      <c r="L1653" s="64" t="n">
        <v>-2144949.2489353</v>
      </c>
      <c r="M1653" s="64" t="n">
        <v>-2164648.43518554</v>
      </c>
      <c r="N1653" s="64" t="n">
        <v>-1807332.64189298</v>
      </c>
      <c r="O1653" s="64" t="n">
        <v>-2369988.26563911</v>
      </c>
      <c r="P1653" s="64" t="n">
        <v>-1849371.48062393</v>
      </c>
      <c r="Q1653" s="64" t="n">
        <v>-2401822.19821342</v>
      </c>
      <c r="R1653" s="64" t="n">
        <v>-2286059.30563092</v>
      </c>
      <c r="S1653" s="64" t="n">
        <v>-1829657.99062648</v>
      </c>
      <c r="T1653" s="64" t="n">
        <v>-1917552.41959945</v>
      </c>
      <c r="U1653" s="64" t="n">
        <v>-2579940.63587949</v>
      </c>
      <c r="V1653" s="64" t="n">
        <v>-3469740.21918375</v>
      </c>
      <c r="W1653" s="65"/>
    </row>
    <row r="1654" customFormat="false" ht="12.75" hidden="false" customHeight="false" outlineLevel="0" collapsed="false">
      <c r="A1654" s="2"/>
      <c r="B1654" s="117" t="s">
        <v>22</v>
      </c>
      <c r="C1654" s="118" t="n">
        <v>0</v>
      </c>
      <c r="D1654" s="64" t="n">
        <v>-32661.7090080074</v>
      </c>
      <c r="E1654" s="64" t="n">
        <v>-40135.6775724515</v>
      </c>
      <c r="F1654" s="64" t="n">
        <v>-36577.7327054883</v>
      </c>
      <c r="G1654" s="64" t="n">
        <v>-37291.0192306743</v>
      </c>
      <c r="H1654" s="64" t="n">
        <v>-55519.9475241794</v>
      </c>
      <c r="I1654" s="64" t="n">
        <v>-60077.8360407795</v>
      </c>
      <c r="J1654" s="64" t="n">
        <v>-54305.2243555372</v>
      </c>
      <c r="K1654" s="64" t="n">
        <v>-92448.621863654</v>
      </c>
      <c r="L1654" s="64" t="n">
        <v>-93901.6765103815</v>
      </c>
      <c r="M1654" s="64" t="n">
        <v>-92184.2757817093</v>
      </c>
      <c r="N1654" s="64" t="n">
        <v>-77753.0217352276</v>
      </c>
      <c r="O1654" s="64" t="n">
        <v>-103672.418069196</v>
      </c>
      <c r="P1654" s="64" t="n">
        <v>-79173.0054831921</v>
      </c>
      <c r="Q1654" s="64" t="n">
        <v>-103660.33471007</v>
      </c>
      <c r="R1654" s="64" t="n">
        <v>-92744.7741585407</v>
      </c>
      <c r="S1654" s="64" t="n">
        <v>-72717.0238983293</v>
      </c>
      <c r="T1654" s="64" t="n">
        <v>-75426.8056957475</v>
      </c>
      <c r="U1654" s="64" t="n">
        <v>-97037.3296261892</v>
      </c>
      <c r="V1654" s="64" t="n">
        <v>-129811.473285114</v>
      </c>
      <c r="W1654" s="65"/>
    </row>
    <row r="1655" customFormat="false" ht="12.75" hidden="false" customHeight="false" outlineLevel="0" collapsed="false">
      <c r="A1655" s="2"/>
      <c r="B1655" s="117" t="s">
        <v>23</v>
      </c>
      <c r="C1655" s="118" t="n">
        <v>0</v>
      </c>
      <c r="D1655" s="64" t="n">
        <v>0</v>
      </c>
      <c r="E1655" s="64" t="n">
        <v>0</v>
      </c>
      <c r="F1655" s="64" t="n">
        <v>0</v>
      </c>
      <c r="G1655" s="64" t="n">
        <v>0</v>
      </c>
      <c r="H1655" s="64" t="n">
        <v>0</v>
      </c>
      <c r="I1655" s="64" t="n">
        <v>-21176.6601055912</v>
      </c>
      <c r="J1655" s="64" t="n">
        <v>-20791.1767115738</v>
      </c>
      <c r="K1655" s="64" t="n">
        <v>-39807.1182142091</v>
      </c>
      <c r="L1655" s="64" t="n">
        <v>-41915.0703940037</v>
      </c>
      <c r="M1655" s="64" t="n">
        <v>-44865.4378172086</v>
      </c>
      <c r="N1655" s="64" t="n">
        <v>-40876.0879067188</v>
      </c>
      <c r="O1655" s="64" t="n">
        <v>-59183.9157275491</v>
      </c>
      <c r="P1655" s="64" t="n">
        <v>-49630.0670649997</v>
      </c>
      <c r="Q1655" s="64" t="n">
        <v>-70963.9903628276</v>
      </c>
      <c r="R1655" s="64" t="n">
        <v>-68907.7154950137</v>
      </c>
      <c r="S1655" s="64" t="n">
        <v>-58073.264535055</v>
      </c>
      <c r="T1655" s="64" t="n">
        <v>-58137.8249434724</v>
      </c>
      <c r="U1655" s="64" t="n">
        <v>-62643.3146552775</v>
      </c>
      <c r="V1655" s="64" t="n">
        <v>-85243.084360859</v>
      </c>
      <c r="W1655" s="65"/>
    </row>
    <row r="1656" customFormat="false" ht="13.5" hidden="false" customHeight="false" outlineLevel="0" collapsed="false">
      <c r="A1656" s="2"/>
      <c r="B1656" s="119" t="s">
        <v>24</v>
      </c>
      <c r="C1656" s="120" t="n">
        <v>0</v>
      </c>
      <c r="D1656" s="68" t="n">
        <v>0</v>
      </c>
      <c r="E1656" s="68" t="n">
        <v>0</v>
      </c>
      <c r="F1656" s="68" t="n">
        <v>0</v>
      </c>
      <c r="G1656" s="68" t="n">
        <v>0</v>
      </c>
      <c r="H1656" s="68" t="n">
        <v>0</v>
      </c>
      <c r="I1656" s="68" t="n">
        <v>-21176.6601055912</v>
      </c>
      <c r="J1656" s="68" t="n">
        <v>-20791.1767115738</v>
      </c>
      <c r="K1656" s="68" t="n">
        <v>-39807.1182142091</v>
      </c>
      <c r="L1656" s="68" t="n">
        <v>-41915.0703940037</v>
      </c>
      <c r="M1656" s="68" t="n">
        <v>-44865.4378172086</v>
      </c>
      <c r="N1656" s="68" t="n">
        <v>-40876.0879067188</v>
      </c>
      <c r="O1656" s="68" t="n">
        <v>-59183.9157275491</v>
      </c>
      <c r="P1656" s="68" t="n">
        <v>-49630.0670649997</v>
      </c>
      <c r="Q1656" s="68" t="n">
        <v>-70963.9903628276</v>
      </c>
      <c r="R1656" s="68" t="n">
        <v>-68907.7154950137</v>
      </c>
      <c r="S1656" s="68" t="n">
        <v>-58073.264535055</v>
      </c>
      <c r="T1656" s="68" t="n">
        <v>-58137.8249434724</v>
      </c>
      <c r="U1656" s="68" t="n">
        <v>-62643.3146552775</v>
      </c>
      <c r="V1656" s="68" t="n">
        <v>-85243.084360859</v>
      </c>
      <c r="W1656" s="65"/>
    </row>
    <row r="1657" customFormat="false" ht="13.5" hidden="false" customHeight="false" outlineLevel="0" collapsed="false">
      <c r="A1657" s="2"/>
      <c r="B1657" s="121" t="s">
        <v>25</v>
      </c>
      <c r="C1657" s="122" t="n">
        <v>0</v>
      </c>
      <c r="D1657" s="71" t="n">
        <v>3125781.67605799</v>
      </c>
      <c r="E1657" s="71" t="n">
        <v>2193218.46601211</v>
      </c>
      <c r="F1657" s="71" t="n">
        <v>1774270.43216267</v>
      </c>
      <c r="G1657" s="71" t="n">
        <v>1457466.5752505</v>
      </c>
      <c r="H1657" s="71" t="n">
        <v>1437668.86208099</v>
      </c>
      <c r="I1657" s="71" t="n">
        <v>1100183.78956128</v>
      </c>
      <c r="J1657" s="71" t="n">
        <v>1220127.92620049</v>
      </c>
      <c r="K1657" s="71" t="n">
        <v>1813225.5874162</v>
      </c>
      <c r="L1657" s="71" t="n">
        <v>1828206.26422014</v>
      </c>
      <c r="M1657" s="71" t="n">
        <v>2036657.12784123</v>
      </c>
      <c r="N1657" s="71" t="n">
        <v>1460737.85849266</v>
      </c>
      <c r="O1657" s="71" t="n">
        <v>1768623.78367654</v>
      </c>
      <c r="P1657" s="71" t="n">
        <v>1705484.41852944</v>
      </c>
      <c r="Q1657" s="71" t="n">
        <v>2115092.54740589</v>
      </c>
      <c r="R1657" s="71" t="n">
        <v>1716924.93114086</v>
      </c>
      <c r="S1657" s="71" t="n">
        <v>1326389.07700595</v>
      </c>
      <c r="T1657" s="71" t="n">
        <v>1547090.67045093</v>
      </c>
      <c r="U1657" s="71" t="n">
        <v>1908474.74320387</v>
      </c>
      <c r="V1657" s="71" t="n">
        <v>1547004.24459235</v>
      </c>
      <c r="W1657" s="65"/>
    </row>
    <row r="1658" customFormat="false" ht="12.75" hidden="false" customHeight="false" outlineLevel="0" collapsed="false">
      <c r="A1658" s="2"/>
      <c r="B1658" s="117" t="s">
        <v>26</v>
      </c>
      <c r="C1658" s="118" t="n">
        <v>0</v>
      </c>
      <c r="D1658" s="64" t="n">
        <v>-91566.2713789447</v>
      </c>
      <c r="E1658" s="64" t="n">
        <v>-93397.5968065236</v>
      </c>
      <c r="F1658" s="64" t="n">
        <v>-95265.548742654</v>
      </c>
      <c r="G1658" s="64" t="n">
        <v>-97170.8597175071</v>
      </c>
      <c r="H1658" s="64" t="n">
        <v>-99114.2769118573</v>
      </c>
      <c r="I1658" s="64" t="n">
        <v>-101096.562450094</v>
      </c>
      <c r="J1658" s="64" t="n">
        <v>-103118.493699096</v>
      </c>
      <c r="K1658" s="64" t="n">
        <v>-105180.863573078</v>
      </c>
      <c r="L1658" s="64" t="n">
        <v>-107284.48084454</v>
      </c>
      <c r="M1658" s="64" t="n">
        <v>-109430.170461431</v>
      </c>
      <c r="N1658" s="64" t="n">
        <v>-111618.773870659</v>
      </c>
      <c r="O1658" s="64" t="n">
        <v>-113851.149348072</v>
      </c>
      <c r="P1658" s="64" t="n">
        <v>-116128.172335034</v>
      </c>
      <c r="Q1658" s="64" t="n">
        <v>-118450.735781735</v>
      </c>
      <c r="R1658" s="64" t="n">
        <v>-120819.750497369</v>
      </c>
      <c r="S1658" s="64" t="n">
        <v>-123236.145507317</v>
      </c>
      <c r="T1658" s="64" t="n">
        <v>-125700.868417463</v>
      </c>
      <c r="U1658" s="64" t="n">
        <v>-128214.885785812</v>
      </c>
      <c r="V1658" s="64" t="n">
        <v>-130779.183501528</v>
      </c>
      <c r="W1658" s="65"/>
    </row>
    <row r="1659" customFormat="false" ht="12.75" hidden="false" customHeight="false" outlineLevel="0" collapsed="false">
      <c r="A1659" s="2"/>
      <c r="B1659" s="117" t="s">
        <v>27</v>
      </c>
      <c r="C1659" s="118" t="n">
        <v>0</v>
      </c>
      <c r="D1659" s="64" t="n">
        <v>-45161.410471875</v>
      </c>
      <c r="E1659" s="64" t="n">
        <v>-45161.410471875</v>
      </c>
      <c r="F1659" s="64" t="n">
        <v>-45161.410471875</v>
      </c>
      <c r="G1659" s="64" t="n">
        <v>-45161.410471875</v>
      </c>
      <c r="H1659" s="64" t="n">
        <v>-45161.410471875</v>
      </c>
      <c r="I1659" s="64" t="n">
        <v>-45161.410471875</v>
      </c>
      <c r="J1659" s="64" t="n">
        <v>-45161.410471875</v>
      </c>
      <c r="K1659" s="64" t="n">
        <v>-45161.410471875</v>
      </c>
      <c r="L1659" s="64" t="n">
        <v>-45161.410471875</v>
      </c>
      <c r="M1659" s="64" t="n">
        <v>-45161.410471875</v>
      </c>
      <c r="N1659" s="64" t="n">
        <v>-45161.410471875</v>
      </c>
      <c r="O1659" s="64" t="n">
        <v>-45161.410471875</v>
      </c>
      <c r="P1659" s="64" t="n">
        <v>-45161.410471875</v>
      </c>
      <c r="Q1659" s="64" t="n">
        <v>-45161.410471875</v>
      </c>
      <c r="R1659" s="64" t="n">
        <v>-45161.410471875</v>
      </c>
      <c r="S1659" s="64" t="n">
        <v>-45161.410471875</v>
      </c>
      <c r="T1659" s="64" t="n">
        <v>-45161.410471875</v>
      </c>
      <c r="U1659" s="64" t="n">
        <v>-45161.410471875</v>
      </c>
      <c r="V1659" s="64" t="n">
        <v>-45161.410471875</v>
      </c>
      <c r="W1659" s="65"/>
    </row>
    <row r="1660" customFormat="false" ht="13.5" hidden="false" customHeight="false" outlineLevel="0" collapsed="false">
      <c r="A1660" s="2"/>
      <c r="B1660" s="119" t="s">
        <v>28</v>
      </c>
      <c r="C1660" s="120" t="n">
        <v>0</v>
      </c>
      <c r="D1660" s="68" t="n">
        <v>-4145.66288470289</v>
      </c>
      <c r="E1660" s="68" t="n">
        <v>-4233.13637157014</v>
      </c>
      <c r="F1660" s="68" t="n">
        <v>-4325.84205810753</v>
      </c>
      <c r="G1660" s="68" t="n">
        <v>-4423.60608862073</v>
      </c>
      <c r="H1660" s="68" t="n">
        <v>-4528.88791352991</v>
      </c>
      <c r="I1660" s="68" t="n">
        <v>-4642.38229994021</v>
      </c>
      <c r="J1660" s="68" t="n">
        <v>-4757.52631405997</v>
      </c>
      <c r="K1660" s="68" t="n">
        <v>-4877.94913684999</v>
      </c>
      <c r="L1660" s="68" t="n">
        <v>-4998.43448053019</v>
      </c>
      <c r="M1660" s="68" t="n">
        <v>-5125.8945597837</v>
      </c>
      <c r="N1660" s="68" t="n">
        <v>-5249.94120813049</v>
      </c>
      <c r="O1660" s="68" t="n">
        <v>-5382.23972657536</v>
      </c>
      <c r="P1660" s="68" t="n">
        <v>-5518.94861563036</v>
      </c>
      <c r="Q1660" s="68" t="n">
        <v>-5656.92233102112</v>
      </c>
      <c r="R1660" s="68" t="n">
        <v>-5798.91108152975</v>
      </c>
      <c r="S1660" s="68" t="n">
        <v>-5943.883858568</v>
      </c>
      <c r="T1660" s="68" t="n">
        <v>-6091.29217826048</v>
      </c>
      <c r="U1660" s="68" t="n">
        <v>-6244.18361193483</v>
      </c>
      <c r="V1660" s="68" t="n">
        <v>-6400.91262059439</v>
      </c>
      <c r="W1660" s="65"/>
    </row>
    <row r="1661" customFormat="false" ht="13.5" hidden="false" customHeight="false" outlineLevel="0" collapsed="false">
      <c r="A1661" s="2"/>
      <c r="B1661" s="121" t="s">
        <v>29</v>
      </c>
      <c r="C1661" s="123" t="n">
        <v>0</v>
      </c>
      <c r="D1661" s="73" t="n">
        <v>2984908.33132247</v>
      </c>
      <c r="E1661" s="73" t="n">
        <v>2050426.32236214</v>
      </c>
      <c r="F1661" s="73" t="n">
        <v>1629517.63089003</v>
      </c>
      <c r="G1661" s="73" t="n">
        <v>1310710.69897249</v>
      </c>
      <c r="H1661" s="73" t="n">
        <v>1288864.28678373</v>
      </c>
      <c r="I1661" s="73" t="n">
        <v>949283.43433937</v>
      </c>
      <c r="J1661" s="73" t="n">
        <v>1067090.49571546</v>
      </c>
      <c r="K1661" s="73" t="n">
        <v>1658005.3642344</v>
      </c>
      <c r="L1661" s="73" t="n">
        <v>1670761.93842319</v>
      </c>
      <c r="M1661" s="73" t="n">
        <v>1876939.65234814</v>
      </c>
      <c r="N1661" s="73" t="n">
        <v>1298707.732942</v>
      </c>
      <c r="O1661" s="73" t="n">
        <v>1604228.98413002</v>
      </c>
      <c r="P1661" s="73" t="n">
        <v>1538675.88710691</v>
      </c>
      <c r="Q1661" s="73" t="n">
        <v>1945823.47882126</v>
      </c>
      <c r="R1661" s="73" t="n">
        <v>1545144.85909009</v>
      </c>
      <c r="S1661" s="73" t="n">
        <v>1152047.63716819</v>
      </c>
      <c r="T1661" s="73" t="n">
        <v>1370137.09938333</v>
      </c>
      <c r="U1661" s="73" t="n">
        <v>1728854.26333425</v>
      </c>
      <c r="V1661" s="73" t="n">
        <v>1364662.73799835</v>
      </c>
      <c r="W1661" s="65"/>
    </row>
    <row r="1662" customFormat="false" ht="12.75" hidden="false" customHeight="false" outlineLevel="0" collapsed="false">
      <c r="A1662" s="2"/>
      <c r="B1662" s="117" t="s">
        <v>30</v>
      </c>
      <c r="C1662" s="118" t="n">
        <v>0</v>
      </c>
      <c r="D1662" s="64" t="n">
        <v>-256373.487376777</v>
      </c>
      <c r="E1662" s="64" t="n">
        <v>-235299.637814816</v>
      </c>
      <c r="F1662" s="64" t="n">
        <v>-205307.079458943</v>
      </c>
      <c r="G1662" s="64" t="n">
        <v>-174904.471258869</v>
      </c>
      <c r="H1662" s="64" t="n">
        <v>-160607.069422842</v>
      </c>
      <c r="I1662" s="64" t="n">
        <v>-156554.005204633</v>
      </c>
      <c r="J1662" s="64" t="n">
        <v>-163690.991805296</v>
      </c>
      <c r="K1662" s="64" t="n">
        <v>-170232.886172733</v>
      </c>
      <c r="L1662" s="64" t="n">
        <v>-176826.656843896</v>
      </c>
      <c r="M1662" s="64" t="n">
        <v>-182884.160105948</v>
      </c>
      <c r="N1662" s="64" t="n">
        <v>-175467.770212185</v>
      </c>
      <c r="O1662" s="64" t="n">
        <v>-167517.175362176</v>
      </c>
      <c r="P1662" s="64" t="n">
        <v>-173658.161518404</v>
      </c>
      <c r="Q1662" s="64" t="n">
        <v>-120623.725777227</v>
      </c>
      <c r="R1662" s="64" t="n">
        <v>-67973.1770576182</v>
      </c>
      <c r="S1662" s="64" t="n">
        <v>-74465.2692840387</v>
      </c>
      <c r="T1662" s="64" t="n">
        <v>-81152.1242772519</v>
      </c>
      <c r="U1662" s="64" t="n">
        <v>-88039.5849202614</v>
      </c>
      <c r="V1662" s="64" t="n">
        <v>-95133.6693825613</v>
      </c>
      <c r="W1662" s="65"/>
    </row>
    <row r="1663" customFormat="false" ht="13.5" hidden="false" customHeight="false" outlineLevel="0" collapsed="false">
      <c r="A1663" s="2"/>
      <c r="B1663" s="119" t="s">
        <v>70</v>
      </c>
      <c r="C1663" s="120" t="n">
        <v>0</v>
      </c>
      <c r="D1663" s="68" t="n">
        <v>-1091413.93757828</v>
      </c>
      <c r="E1663" s="68" t="n">
        <v>-726050.673818931</v>
      </c>
      <c r="F1663" s="68" t="n">
        <v>-569684.220572437</v>
      </c>
      <c r="G1663" s="68" t="n">
        <v>-454322.491085449</v>
      </c>
      <c r="H1663" s="68" t="n">
        <v>-451302.886944354</v>
      </c>
      <c r="I1663" s="68" t="n">
        <v>-317091.771653895</v>
      </c>
      <c r="J1663" s="68" t="n">
        <v>-361359.801564065</v>
      </c>
      <c r="K1663" s="68" t="n">
        <v>-595108.991224667</v>
      </c>
      <c r="L1663" s="68" t="n">
        <v>-597574.112631718</v>
      </c>
      <c r="M1663" s="68" t="n">
        <v>-677622.196896877</v>
      </c>
      <c r="N1663" s="68" t="n">
        <v>-449295.985091926</v>
      </c>
      <c r="O1663" s="68" t="n">
        <v>-574684.723507138</v>
      </c>
      <c r="P1663" s="68" t="n">
        <v>-546007.0902354</v>
      </c>
      <c r="Q1663" s="68" t="n">
        <v>-730079.901217612</v>
      </c>
      <c r="R1663" s="68" t="n">
        <v>-590868.672812988</v>
      </c>
      <c r="S1663" s="68" t="n">
        <v>-431032.947153662</v>
      </c>
      <c r="T1663" s="68" t="n">
        <v>-515593.990042433</v>
      </c>
      <c r="U1663" s="68" t="n">
        <v>-656325.871365596</v>
      </c>
      <c r="V1663" s="68" t="n">
        <v>-507811.627446315</v>
      </c>
      <c r="W1663" s="65"/>
    </row>
    <row r="1664" customFormat="false" ht="13.5" hidden="false" customHeight="false" outlineLevel="0" collapsed="false">
      <c r="A1664" s="2"/>
      <c r="B1664" s="121" t="s">
        <v>32</v>
      </c>
      <c r="C1664" s="123" t="n">
        <v>0</v>
      </c>
      <c r="D1664" s="73" t="n">
        <v>1637120.90636742</v>
      </c>
      <c r="E1664" s="73" t="n">
        <v>1089076.0107284</v>
      </c>
      <c r="F1664" s="73" t="n">
        <v>854526.330858655</v>
      </c>
      <c r="G1664" s="73" t="n">
        <v>681483.736628174</v>
      </c>
      <c r="H1664" s="73" t="n">
        <v>676954.330416531</v>
      </c>
      <c r="I1664" s="73" t="n">
        <v>475637.657480842</v>
      </c>
      <c r="J1664" s="73" t="n">
        <v>542039.702346098</v>
      </c>
      <c r="K1664" s="73" t="n">
        <v>892663.486837</v>
      </c>
      <c r="L1664" s="73" t="n">
        <v>896361.168947577</v>
      </c>
      <c r="M1664" s="73" t="n">
        <v>1016433.29534531</v>
      </c>
      <c r="N1664" s="73" t="n">
        <v>673943.977637889</v>
      </c>
      <c r="O1664" s="73" t="n">
        <v>862027.085260707</v>
      </c>
      <c r="P1664" s="73" t="n">
        <v>819010.6353531</v>
      </c>
      <c r="Q1664" s="73" t="n">
        <v>1095119.85182642</v>
      </c>
      <c r="R1664" s="73" t="n">
        <v>886303.009219482</v>
      </c>
      <c r="S1664" s="73" t="n">
        <v>646549.420730493</v>
      </c>
      <c r="T1664" s="73" t="n">
        <v>773390.98506365</v>
      </c>
      <c r="U1664" s="73" t="n">
        <v>984488.807048394</v>
      </c>
      <c r="V1664" s="73" t="n">
        <v>761717.441169473</v>
      </c>
      <c r="W1664" s="65"/>
    </row>
    <row r="1665" customFormat="false" ht="12.75" hidden="false" customHeight="false" outlineLevel="0" collapsed="false">
      <c r="A1665" s="2"/>
      <c r="B1665" s="117" t="s">
        <v>30</v>
      </c>
      <c r="C1665" s="118" t="n">
        <v>0</v>
      </c>
      <c r="D1665" s="64" t="n">
        <v>256373.487376777</v>
      </c>
      <c r="E1665" s="64" t="n">
        <v>235299.637814816</v>
      </c>
      <c r="F1665" s="64" t="n">
        <v>205307.079458943</v>
      </c>
      <c r="G1665" s="64" t="n">
        <v>174904.471258869</v>
      </c>
      <c r="H1665" s="64" t="n">
        <v>160607.069422842</v>
      </c>
      <c r="I1665" s="64" t="n">
        <v>156554.005204633</v>
      </c>
      <c r="J1665" s="64" t="n">
        <v>163690.991805296</v>
      </c>
      <c r="K1665" s="64" t="n">
        <v>170232.886172733</v>
      </c>
      <c r="L1665" s="64" t="n">
        <v>176826.656843896</v>
      </c>
      <c r="M1665" s="64" t="n">
        <v>182884.160105948</v>
      </c>
      <c r="N1665" s="64" t="n">
        <v>175467.770212185</v>
      </c>
      <c r="O1665" s="64" t="n">
        <v>167517.175362176</v>
      </c>
      <c r="P1665" s="64" t="n">
        <v>173658.161518404</v>
      </c>
      <c r="Q1665" s="64" t="n">
        <v>120623.725777227</v>
      </c>
      <c r="R1665" s="64" t="n">
        <v>67973.1770576182</v>
      </c>
      <c r="S1665" s="64" t="n">
        <v>74465.2692840387</v>
      </c>
      <c r="T1665" s="64" t="n">
        <v>81152.1242772519</v>
      </c>
      <c r="U1665" s="64" t="n">
        <v>88039.5849202614</v>
      </c>
      <c r="V1665" s="64" t="n">
        <v>95133.6693825613</v>
      </c>
      <c r="W1665" s="65"/>
    </row>
    <row r="1666" customFormat="false" ht="12.75" hidden="false" customHeight="false" outlineLevel="0" collapsed="false">
      <c r="A1666" s="2"/>
      <c r="B1666" s="117" t="s">
        <v>33</v>
      </c>
      <c r="C1666" s="118" t="n">
        <v>0</v>
      </c>
      <c r="D1666" s="64" t="n">
        <v>-1423.58</v>
      </c>
      <c r="E1666" s="64" t="n">
        <v>-1481.02</v>
      </c>
      <c r="F1666" s="64" t="n">
        <v>-1540.83</v>
      </c>
      <c r="G1666" s="64" t="n">
        <v>-1609.33</v>
      </c>
      <c r="H1666" s="64" t="n">
        <v>-100000</v>
      </c>
      <c r="I1666" s="64" t="n">
        <v>-103000</v>
      </c>
      <c r="J1666" s="64" t="n">
        <v>-106090</v>
      </c>
      <c r="K1666" s="64" t="n">
        <v>-109272.7</v>
      </c>
      <c r="L1666" s="64" t="n">
        <v>-112550.881</v>
      </c>
      <c r="M1666" s="64" t="n">
        <v>-115927.40743</v>
      </c>
      <c r="N1666" s="64" t="n">
        <v>-119405.2296529</v>
      </c>
      <c r="O1666" s="64" t="n">
        <v>-122987.386542487</v>
      </c>
      <c r="P1666" s="64" t="n">
        <v>-126677.008138762</v>
      </c>
      <c r="Q1666" s="64" t="n">
        <v>-130477.318382924</v>
      </c>
      <c r="R1666" s="64" t="n">
        <v>-134391.637934412</v>
      </c>
      <c r="S1666" s="64" t="n">
        <v>-138423.387072445</v>
      </c>
      <c r="T1666" s="64" t="n">
        <v>-142576.088684618</v>
      </c>
      <c r="U1666" s="64" t="n">
        <v>-146853.371345156</v>
      </c>
      <c r="V1666" s="64" t="n">
        <v>-151258.972485511</v>
      </c>
      <c r="W1666" s="65"/>
    </row>
    <row r="1667" customFormat="false" ht="13.5" hidden="false" customHeight="false" outlineLevel="0" collapsed="false">
      <c r="A1667" s="2"/>
      <c r="B1667" s="119" t="s">
        <v>34</v>
      </c>
      <c r="C1667" s="120" t="n">
        <v>0</v>
      </c>
      <c r="D1667" s="68" t="n">
        <v>0</v>
      </c>
      <c r="E1667" s="68" t="n">
        <v>0</v>
      </c>
      <c r="F1667" s="68" t="n">
        <v>0</v>
      </c>
      <c r="G1667" s="68" t="n">
        <v>0</v>
      </c>
      <c r="H1667" s="68" t="n">
        <v>0</v>
      </c>
      <c r="I1667" s="68" t="n">
        <v>0</v>
      </c>
      <c r="J1667" s="68" t="n">
        <v>0</v>
      </c>
      <c r="K1667" s="68" t="n">
        <v>0</v>
      </c>
      <c r="L1667" s="68" t="n">
        <v>0</v>
      </c>
      <c r="M1667" s="68" t="n">
        <v>0</v>
      </c>
      <c r="N1667" s="68" t="n">
        <v>0</v>
      </c>
      <c r="O1667" s="68" t="n">
        <v>0</v>
      </c>
      <c r="P1667" s="68" t="n">
        <v>0</v>
      </c>
      <c r="Q1667" s="68" t="n">
        <v>0</v>
      </c>
      <c r="R1667" s="68" t="n">
        <v>0</v>
      </c>
      <c r="S1667" s="68" t="n">
        <v>0</v>
      </c>
      <c r="T1667" s="68" t="n">
        <v>0</v>
      </c>
      <c r="U1667" s="68" t="n">
        <v>0</v>
      </c>
      <c r="V1667" s="68" t="n">
        <v>0</v>
      </c>
      <c r="W1667" s="65"/>
    </row>
    <row r="1668" customFormat="false" ht="13.5" hidden="false" customHeight="false" outlineLevel="0" collapsed="false">
      <c r="A1668" s="2"/>
      <c r="B1668" s="117"/>
      <c r="C1668" s="124"/>
      <c r="D1668" s="65"/>
      <c r="E1668" s="65"/>
      <c r="F1668" s="65"/>
      <c r="G1668" s="65"/>
      <c r="H1668" s="65"/>
      <c r="I1668" s="65"/>
      <c r="J1668" s="65"/>
      <c r="K1668" s="65"/>
      <c r="L1668" s="65"/>
      <c r="M1668" s="65"/>
      <c r="N1668" s="65"/>
      <c r="O1668" s="65"/>
      <c r="P1668" s="65"/>
      <c r="Q1668" s="65"/>
      <c r="R1668" s="65"/>
      <c r="S1668" s="65"/>
      <c r="T1668" s="65"/>
      <c r="U1668" s="65"/>
      <c r="V1668" s="65"/>
      <c r="W1668" s="65"/>
    </row>
    <row r="1669" customFormat="false" ht="12.75" hidden="false" customHeight="false" outlineLevel="0" collapsed="false">
      <c r="A1669" s="2"/>
      <c r="B1669" s="121" t="s">
        <v>35</v>
      </c>
      <c r="C1669" s="123" t="n">
        <v>0</v>
      </c>
      <c r="D1669" s="73" t="n">
        <v>1892070.81374419</v>
      </c>
      <c r="E1669" s="73" t="n">
        <v>1322894.62854321</v>
      </c>
      <c r="F1669" s="73" t="n">
        <v>1058292.5803176</v>
      </c>
      <c r="G1669" s="73" t="n">
        <v>854778.877887044</v>
      </c>
      <c r="H1669" s="73" t="n">
        <v>737561.399839373</v>
      </c>
      <c r="I1669" s="73" t="n">
        <v>529191.662685475</v>
      </c>
      <c r="J1669" s="73" t="n">
        <v>599640.694151393</v>
      </c>
      <c r="K1669" s="73" t="n">
        <v>953623.673009733</v>
      </c>
      <c r="L1669" s="73" t="n">
        <v>960636.944791472</v>
      </c>
      <c r="M1669" s="73" t="n">
        <v>1083390.04802126</v>
      </c>
      <c r="N1669" s="73" t="n">
        <v>730006.518197174</v>
      </c>
      <c r="O1669" s="73" t="n">
        <v>906556.874080396</v>
      </c>
      <c r="P1669" s="73" t="n">
        <v>865991.788732743</v>
      </c>
      <c r="Q1669" s="73" t="n">
        <v>1085266.25922072</v>
      </c>
      <c r="R1669" s="73" t="n">
        <v>819884.548342688</v>
      </c>
      <c r="S1669" s="73" t="n">
        <v>582591.302942087</v>
      </c>
      <c r="T1669" s="73" t="n">
        <v>711967.020656284</v>
      </c>
      <c r="U1669" s="73" t="n">
        <v>925675.020623499</v>
      </c>
      <c r="V1669" s="73" t="n">
        <v>705592.138066523</v>
      </c>
      <c r="W1669" s="71" t="n">
        <v>5171833.90962287</v>
      </c>
    </row>
    <row r="1670" customFormat="false" ht="12.75" hidden="false" customHeight="false" outlineLevel="0" collapsed="false">
      <c r="A1670" s="2"/>
      <c r="B1670" s="125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</row>
    <row r="1671" customFormat="false" ht="12.75" hidden="false" customHeight="false" outlineLevel="0" collapsed="false">
      <c r="A1671" s="48" t="s">
        <v>36</v>
      </c>
      <c r="B1671" s="126" t="s">
        <v>37</v>
      </c>
      <c r="C1671" s="76" t="n">
        <v>4650269.67649583</v>
      </c>
      <c r="D1671" s="2"/>
      <c r="E1671" s="127" t="s">
        <v>38</v>
      </c>
      <c r="F1671" s="128" t="s">
        <v>37</v>
      </c>
      <c r="G1671" s="79" t="n">
        <v>4650269.67649583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</row>
    <row r="1672" customFormat="false" ht="12.75" hidden="false" customHeight="false" outlineLevel="0" collapsed="false">
      <c r="A1672" s="2"/>
      <c r="B1672" s="126" t="s">
        <v>39</v>
      </c>
      <c r="C1672" s="76" t="n">
        <v>3703529.06682512</v>
      </c>
      <c r="D1672" s="2"/>
      <c r="E1672" s="129"/>
      <c r="F1672" s="128" t="s">
        <v>39</v>
      </c>
      <c r="G1672" s="79" t="n">
        <v>3703529.06682512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</row>
    <row r="1673" customFormat="false" ht="13.5" hidden="false" customHeight="false" outlineLevel="0" collapsed="false">
      <c r="A1673" s="2"/>
      <c r="B1673" s="130" t="s">
        <v>40</v>
      </c>
      <c r="C1673" s="82" t="n">
        <v>768760.155864634</v>
      </c>
      <c r="D1673" s="131"/>
      <c r="E1673" s="129"/>
      <c r="F1673" s="128" t="s">
        <v>40</v>
      </c>
      <c r="G1673" s="79" t="n">
        <v>768760.155864634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</row>
    <row r="1674" customFormat="false" ht="14.25" hidden="false" customHeight="false" outlineLevel="0" collapsed="false">
      <c r="A1674" s="2"/>
      <c r="B1674" s="126" t="s">
        <v>41</v>
      </c>
      <c r="C1674" s="76" t="n">
        <v>9122558.89918559</v>
      </c>
      <c r="D1674" s="132"/>
      <c r="E1674" s="129"/>
      <c r="F1674" s="133" t="s">
        <v>42</v>
      </c>
      <c r="G1674" s="85" t="n">
        <v>0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</row>
    <row r="1675" customFormat="false" ht="13.5" hidden="false" customHeight="false" outlineLevel="0" collapsed="false">
      <c r="A1675" s="2"/>
      <c r="B1675" s="125"/>
      <c r="C1675" s="134"/>
      <c r="D1675" s="2"/>
      <c r="E1675" s="135"/>
      <c r="F1675" s="128" t="s">
        <v>41</v>
      </c>
      <c r="G1675" s="79" t="n">
        <v>9122558.89918559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</row>
    <row r="1676" customFormat="false" ht="12.75" hidden="false" customHeight="false" outlineLevel="0" collapsed="false">
      <c r="A1676" s="2"/>
      <c r="B1676" s="125"/>
      <c r="C1676" s="134"/>
      <c r="D1676" s="2"/>
      <c r="E1676" s="135"/>
      <c r="F1676" s="128"/>
      <c r="G1676" s="136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</row>
    <row r="1677" customFormat="false" ht="12.75" hidden="false" customHeight="false" outlineLevel="0" collapsed="false">
      <c r="A1677" s="2"/>
      <c r="B1677" s="125"/>
      <c r="C1677" s="134"/>
      <c r="D1677" s="2"/>
      <c r="E1677" s="135"/>
      <c r="F1677" s="128"/>
      <c r="G1677" s="136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</row>
    <row r="1678" customFormat="false" ht="12.75" hidden="false" customHeight="false" outlineLevel="0" collapsed="false">
      <c r="A1678" s="2"/>
      <c r="B1678" s="137" t="s">
        <v>43</v>
      </c>
      <c r="C1678" s="134"/>
      <c r="D1678" s="2"/>
      <c r="E1678" s="135"/>
      <c r="F1678" s="128"/>
      <c r="G1678" s="136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</row>
    <row r="1679" customFormat="false" ht="12.75" hidden="false" customHeight="false" outlineLevel="0" collapsed="false">
      <c r="A1679" s="87" t="s">
        <v>44</v>
      </c>
      <c r="B1679" s="137" t="s">
        <v>45</v>
      </c>
      <c r="C1679" s="138"/>
      <c r="D1679" s="88" t="n">
        <v>1637120.90636742</v>
      </c>
      <c r="E1679" s="88" t="n">
        <v>1089076.0107284</v>
      </c>
      <c r="F1679" s="88" t="n">
        <v>854526.330858655</v>
      </c>
      <c r="G1679" s="88" t="n">
        <v>681483.736628174</v>
      </c>
      <c r="H1679" s="88" t="n">
        <v>676954.330416531</v>
      </c>
      <c r="I1679" s="88" t="n">
        <v>475637.657480842</v>
      </c>
      <c r="J1679" s="88" t="n">
        <v>542039.702346098</v>
      </c>
      <c r="K1679" s="88" t="n">
        <v>892663.486837</v>
      </c>
      <c r="L1679" s="88" t="n">
        <v>896361.168947577</v>
      </c>
      <c r="M1679" s="88" t="n">
        <v>1016433.29534531</v>
      </c>
      <c r="N1679" s="88" t="n">
        <v>673943.977637889</v>
      </c>
      <c r="O1679" s="88" t="n">
        <v>862027.085260707</v>
      </c>
      <c r="P1679" s="88" t="n">
        <v>819010.6353531</v>
      </c>
      <c r="Q1679" s="88" t="n">
        <v>1095119.85182642</v>
      </c>
      <c r="R1679" s="88" t="n">
        <v>886303.009219482</v>
      </c>
      <c r="S1679" s="88" t="n">
        <v>646549.420730493</v>
      </c>
      <c r="T1679" s="88" t="n">
        <v>773390.98506365</v>
      </c>
      <c r="U1679" s="88" t="n">
        <v>984488.807048394</v>
      </c>
      <c r="V1679" s="88" t="n">
        <v>761717.441169473</v>
      </c>
      <c r="W1679" s="2"/>
    </row>
    <row r="1680" customFormat="false" ht="12.75" hidden="false" customHeight="false" outlineLevel="0" collapsed="false">
      <c r="A1680" s="2"/>
      <c r="B1680" s="125" t="s">
        <v>46</v>
      </c>
      <c r="C1680" s="134"/>
      <c r="D1680" s="65" t="n">
        <v>1091413.93757828</v>
      </c>
      <c r="E1680" s="65" t="n">
        <v>726050.673818931</v>
      </c>
      <c r="F1680" s="65" t="n">
        <v>569684.220572437</v>
      </c>
      <c r="G1680" s="65" t="n">
        <v>454322.491085449</v>
      </c>
      <c r="H1680" s="65" t="n">
        <v>451302.886944354</v>
      </c>
      <c r="I1680" s="65" t="n">
        <v>317091.771653895</v>
      </c>
      <c r="J1680" s="65" t="n">
        <v>361359.801564065</v>
      </c>
      <c r="K1680" s="65" t="n">
        <v>595108.991224667</v>
      </c>
      <c r="L1680" s="65" t="n">
        <v>597574.112631718</v>
      </c>
      <c r="M1680" s="65" t="n">
        <v>677622.196896877</v>
      </c>
      <c r="N1680" s="65" t="n">
        <v>449295.985091926</v>
      </c>
      <c r="O1680" s="65" t="n">
        <v>574684.723507138</v>
      </c>
      <c r="P1680" s="65" t="n">
        <v>546007.0902354</v>
      </c>
      <c r="Q1680" s="65" t="n">
        <v>730079.901217612</v>
      </c>
      <c r="R1680" s="65" t="n">
        <v>590868.672812988</v>
      </c>
      <c r="S1680" s="65" t="n">
        <v>431032.947153662</v>
      </c>
      <c r="T1680" s="65" t="n">
        <v>515593.990042433</v>
      </c>
      <c r="U1680" s="65" t="n">
        <v>656325.871365596</v>
      </c>
      <c r="V1680" s="65" t="n">
        <v>507811.627446315</v>
      </c>
      <c r="W1680" s="2"/>
    </row>
    <row r="1681" customFormat="false" ht="12.75" hidden="false" customHeight="false" outlineLevel="0" collapsed="false">
      <c r="A1681" s="2"/>
      <c r="B1681" s="139" t="s">
        <v>47</v>
      </c>
      <c r="C1681" s="140"/>
      <c r="D1681" s="65" t="n">
        <v>256373.487376777</v>
      </c>
      <c r="E1681" s="65" t="n">
        <v>235299.637814816</v>
      </c>
      <c r="F1681" s="65" t="n">
        <v>205307.079458943</v>
      </c>
      <c r="G1681" s="65" t="n">
        <v>174904.471258869</v>
      </c>
      <c r="H1681" s="65" t="n">
        <v>160607.069422842</v>
      </c>
      <c r="I1681" s="65" t="n">
        <v>156554.005204633</v>
      </c>
      <c r="J1681" s="65" t="n">
        <v>163690.991805296</v>
      </c>
      <c r="K1681" s="65" t="n">
        <v>170232.886172733</v>
      </c>
      <c r="L1681" s="65" t="n">
        <v>176826.656843896</v>
      </c>
      <c r="M1681" s="65" t="n">
        <v>182884.160105948</v>
      </c>
      <c r="N1681" s="65" t="n">
        <v>175467.770212185</v>
      </c>
      <c r="O1681" s="65" t="n">
        <v>167517.175362176</v>
      </c>
      <c r="P1681" s="65" t="n">
        <v>173658.161518404</v>
      </c>
      <c r="Q1681" s="65" t="n">
        <v>120623.725777227</v>
      </c>
      <c r="R1681" s="65" t="n">
        <v>67973.1770576182</v>
      </c>
      <c r="S1681" s="65" t="n">
        <v>74465.2692840387</v>
      </c>
      <c r="T1681" s="65" t="n">
        <v>81152.1242772519</v>
      </c>
      <c r="U1681" s="65" t="n">
        <v>88039.5849202614</v>
      </c>
      <c r="V1681" s="65" t="n">
        <v>95133.6693825613</v>
      </c>
      <c r="W1681" s="2"/>
    </row>
    <row r="1682" customFormat="false" ht="13.5" hidden="false" customHeight="false" outlineLevel="0" collapsed="false">
      <c r="A1682" s="2"/>
      <c r="B1682" s="141" t="s">
        <v>48</v>
      </c>
      <c r="C1682" s="142"/>
      <c r="D1682" s="93" t="n">
        <v>2984908.33132247</v>
      </c>
      <c r="E1682" s="93" t="n">
        <v>2050426.32236214</v>
      </c>
      <c r="F1682" s="93" t="n">
        <v>1629517.63089003</v>
      </c>
      <c r="G1682" s="93" t="n">
        <v>1310710.69897249</v>
      </c>
      <c r="H1682" s="93" t="n">
        <v>1288864.28678373</v>
      </c>
      <c r="I1682" s="93" t="n">
        <v>949283.43433937</v>
      </c>
      <c r="J1682" s="93" t="n">
        <v>1067090.49571546</v>
      </c>
      <c r="K1682" s="93" t="n">
        <v>1658005.3642344</v>
      </c>
      <c r="L1682" s="93" t="n">
        <v>1670761.93842319</v>
      </c>
      <c r="M1682" s="93" t="n">
        <v>1876939.65234814</v>
      </c>
      <c r="N1682" s="93" t="n">
        <v>1298707.732942</v>
      </c>
      <c r="O1682" s="93" t="n">
        <v>1604228.98413002</v>
      </c>
      <c r="P1682" s="93" t="n">
        <v>1538675.88710691</v>
      </c>
      <c r="Q1682" s="93" t="n">
        <v>1945823.47882126</v>
      </c>
      <c r="R1682" s="93" t="n">
        <v>1545144.85909009</v>
      </c>
      <c r="S1682" s="93" t="n">
        <v>1152047.63716819</v>
      </c>
      <c r="T1682" s="93" t="n">
        <v>1370137.09938333</v>
      </c>
      <c r="U1682" s="93" t="n">
        <v>1728854.26333425</v>
      </c>
      <c r="V1682" s="93" t="n">
        <v>1364662.73799835</v>
      </c>
      <c r="W1682" s="2"/>
    </row>
    <row r="1683" customFormat="false" ht="13.5" hidden="false" customHeight="false" outlineLevel="0" collapsed="false">
      <c r="A1683" s="87" t="s">
        <v>49</v>
      </c>
      <c r="B1683" s="125" t="s">
        <v>50</v>
      </c>
      <c r="C1683" s="134"/>
      <c r="D1683" s="65" t="n">
        <v>-572072.685698323</v>
      </c>
      <c r="E1683" s="65" t="n">
        <v>-571105.994308152</v>
      </c>
      <c r="F1683" s="65" t="n">
        <v>-567419.223154391</v>
      </c>
      <c r="G1683" s="65" t="n">
        <v>-551343.674610459</v>
      </c>
      <c r="H1683" s="65" t="n">
        <v>-509959.226511037</v>
      </c>
      <c r="I1683" s="65" t="n">
        <v>-515109.226511037</v>
      </c>
      <c r="J1683" s="65" t="n">
        <v>-297727.48179906</v>
      </c>
      <c r="K1683" s="65" t="n">
        <v>-109683.597234149</v>
      </c>
      <c r="L1683" s="65" t="n">
        <v>-115116.44440495</v>
      </c>
      <c r="M1683" s="65" t="n">
        <v>-113527.919556791</v>
      </c>
      <c r="N1683" s="65" t="n">
        <v>-63875.9276846459</v>
      </c>
      <c r="O1683" s="65" t="n">
        <v>-70025.2970117703</v>
      </c>
      <c r="P1683" s="65" t="n">
        <v>-76359.1474187083</v>
      </c>
      <c r="Q1683" s="65" t="n">
        <v>-82883.0133378546</v>
      </c>
      <c r="R1683" s="65" t="n">
        <v>-89602.5952345752</v>
      </c>
      <c r="S1683" s="65" t="n">
        <v>-96173.3772123575</v>
      </c>
      <c r="T1683" s="65" t="n">
        <v>-102354.939623377</v>
      </c>
      <c r="U1683" s="65" t="n">
        <v>-109697.608190635</v>
      </c>
      <c r="V1683" s="65" t="n">
        <v>-117260.556814911</v>
      </c>
      <c r="W1683" s="2"/>
    </row>
    <row r="1684" customFormat="false" ht="12.75" hidden="false" customHeight="false" outlineLevel="0" collapsed="false">
      <c r="A1684" s="2"/>
      <c r="B1684" s="125" t="s">
        <v>51</v>
      </c>
      <c r="C1684" s="134"/>
      <c r="D1684" s="65" t="n">
        <v>0</v>
      </c>
      <c r="E1684" s="65" t="n">
        <v>0</v>
      </c>
      <c r="F1684" s="65" t="n">
        <v>0</v>
      </c>
      <c r="G1684" s="65" t="n">
        <v>0</v>
      </c>
      <c r="H1684" s="65" t="n">
        <v>0</v>
      </c>
      <c r="I1684" s="65" t="n">
        <v>0</v>
      </c>
      <c r="J1684" s="65" t="n">
        <v>0</v>
      </c>
      <c r="K1684" s="65" t="n">
        <v>0</v>
      </c>
      <c r="L1684" s="65" t="n">
        <v>0</v>
      </c>
      <c r="M1684" s="65" t="n">
        <v>0</v>
      </c>
      <c r="N1684" s="65" t="n">
        <v>0</v>
      </c>
      <c r="O1684" s="65" t="n">
        <v>0</v>
      </c>
      <c r="P1684" s="65" t="n">
        <v>0</v>
      </c>
      <c r="Q1684" s="65" t="n">
        <v>0</v>
      </c>
      <c r="R1684" s="65" t="n">
        <v>0</v>
      </c>
      <c r="S1684" s="65" t="n">
        <v>0</v>
      </c>
      <c r="T1684" s="65" t="n">
        <v>0</v>
      </c>
      <c r="U1684" s="65" t="n">
        <v>0</v>
      </c>
      <c r="V1684" s="65" t="n">
        <v>0</v>
      </c>
      <c r="W1684" s="2"/>
    </row>
    <row r="1685" customFormat="false" ht="12.75" hidden="false" customHeight="false" outlineLevel="0" collapsed="false">
      <c r="A1685" s="2"/>
      <c r="B1685" s="137" t="s">
        <v>52</v>
      </c>
      <c r="C1685" s="138"/>
      <c r="D1685" s="88" t="n">
        <v>2412835.64562415</v>
      </c>
      <c r="E1685" s="88" t="n">
        <v>1479320.32805399</v>
      </c>
      <c r="F1685" s="88" t="n">
        <v>1062098.40773564</v>
      </c>
      <c r="G1685" s="88" t="n">
        <v>759367.024362034</v>
      </c>
      <c r="H1685" s="88" t="n">
        <v>778905.06027269</v>
      </c>
      <c r="I1685" s="88" t="n">
        <v>434174.207828333</v>
      </c>
      <c r="J1685" s="88" t="n">
        <v>769363.013916398</v>
      </c>
      <c r="K1685" s="88" t="n">
        <v>1548321.76700025</v>
      </c>
      <c r="L1685" s="88" t="n">
        <v>1555645.49401824</v>
      </c>
      <c r="M1685" s="88" t="n">
        <v>1763411.73279135</v>
      </c>
      <c r="N1685" s="88" t="n">
        <v>1234831.80525735</v>
      </c>
      <c r="O1685" s="88" t="n">
        <v>1534203.68711825</v>
      </c>
      <c r="P1685" s="88" t="n">
        <v>1462316.7396882</v>
      </c>
      <c r="Q1685" s="88" t="n">
        <v>1862940.4654834</v>
      </c>
      <c r="R1685" s="88" t="n">
        <v>1455542.26385551</v>
      </c>
      <c r="S1685" s="88" t="n">
        <v>1055874.25995584</v>
      </c>
      <c r="T1685" s="88" t="n">
        <v>1267782.15975996</v>
      </c>
      <c r="U1685" s="88" t="n">
        <v>1619156.65514362</v>
      </c>
      <c r="V1685" s="88" t="n">
        <v>1247402.18118344</v>
      </c>
      <c r="W1685" s="2"/>
    </row>
    <row r="1686" customFormat="false" ht="13.5" hidden="false" customHeight="false" outlineLevel="0" collapsed="false">
      <c r="A1686" s="2"/>
      <c r="B1686" s="143" t="s">
        <v>53</v>
      </c>
      <c r="C1686" s="144"/>
      <c r="D1686" s="96" t="n">
        <v>-965134.258249659</v>
      </c>
      <c r="E1686" s="96" t="n">
        <v>-591728.131221597</v>
      </c>
      <c r="F1686" s="96" t="n">
        <v>-424839.363094257</v>
      </c>
      <c r="G1686" s="96" t="n">
        <v>-303746.809744814</v>
      </c>
      <c r="H1686" s="96" t="n">
        <v>-311562.024109076</v>
      </c>
      <c r="I1686" s="96" t="n">
        <v>-173669.683131333</v>
      </c>
      <c r="J1686" s="96" t="n">
        <v>-307745.205566559</v>
      </c>
      <c r="K1686" s="96" t="n">
        <v>-619328.7068001</v>
      </c>
      <c r="L1686" s="96" t="n">
        <v>-622258.197607296</v>
      </c>
      <c r="M1686" s="96" t="n">
        <v>-705364.693116539</v>
      </c>
      <c r="N1686" s="96" t="n">
        <v>-493932.722102942</v>
      </c>
      <c r="O1686" s="96" t="n">
        <v>-613681.4748473</v>
      </c>
      <c r="P1686" s="96" t="n">
        <v>-584926.695875279</v>
      </c>
      <c r="Q1686" s="96" t="n">
        <v>-745176.186193361</v>
      </c>
      <c r="R1686" s="96" t="n">
        <v>-582216.905542205</v>
      </c>
      <c r="S1686" s="96" t="n">
        <v>-422349.703982335</v>
      </c>
      <c r="T1686" s="96" t="n">
        <v>-507112.863903983</v>
      </c>
      <c r="U1686" s="96" t="n">
        <v>-647662.662057447</v>
      </c>
      <c r="V1686" s="96" t="n">
        <v>-498960.872473375</v>
      </c>
      <c r="W1686" s="2"/>
    </row>
    <row r="1687" customFormat="false" ht="13.5" hidden="false" customHeight="false" outlineLevel="0" collapsed="false">
      <c r="A1687" s="2"/>
      <c r="B1687" s="137" t="s">
        <v>54</v>
      </c>
      <c r="C1687" s="138"/>
      <c r="D1687" s="88" t="n">
        <v>1447701.38737449</v>
      </c>
      <c r="E1687" s="88" t="n">
        <v>887592.196832395</v>
      </c>
      <c r="F1687" s="88" t="n">
        <v>637259.044641386</v>
      </c>
      <c r="G1687" s="88" t="n">
        <v>455620.21461722</v>
      </c>
      <c r="H1687" s="88" t="n">
        <v>467343.036163614</v>
      </c>
      <c r="I1687" s="88" t="n">
        <v>260504.524697</v>
      </c>
      <c r="J1687" s="88" t="n">
        <v>461617.808349839</v>
      </c>
      <c r="K1687" s="88" t="n">
        <v>928993.06020015</v>
      </c>
      <c r="L1687" s="88" t="n">
        <v>933387.296410944</v>
      </c>
      <c r="M1687" s="88" t="n">
        <v>1058047.03967481</v>
      </c>
      <c r="N1687" s="88" t="n">
        <v>740899.083154412</v>
      </c>
      <c r="O1687" s="88" t="n">
        <v>920522.21227095</v>
      </c>
      <c r="P1687" s="88" t="n">
        <v>877390.043812918</v>
      </c>
      <c r="Q1687" s="88" t="n">
        <v>1117764.27929004</v>
      </c>
      <c r="R1687" s="88" t="n">
        <v>873325.358313308</v>
      </c>
      <c r="S1687" s="88" t="n">
        <v>633524.555973502</v>
      </c>
      <c r="T1687" s="88" t="n">
        <v>760669.295855974</v>
      </c>
      <c r="U1687" s="88" t="n">
        <v>971493.99308617</v>
      </c>
      <c r="V1687" s="88" t="n">
        <v>748441.308710063</v>
      </c>
      <c r="W1687" s="2"/>
    </row>
    <row r="1688" customFormat="false" ht="12.75" hidden="false" customHeight="false" outlineLevel="0" collapsed="false">
      <c r="A1688" s="2"/>
      <c r="B1688" s="2"/>
      <c r="C1688" s="134"/>
      <c r="D1688" s="2"/>
      <c r="E1688" s="135"/>
      <c r="F1688" s="128"/>
      <c r="G1688" s="136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</row>
    <row r="1689" customFormat="false" ht="15.75" hidden="false" customHeight="false" outlineLevel="0" collapsed="false">
      <c r="A1689" s="97" t="s">
        <v>55</v>
      </c>
      <c r="B1689" s="145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</row>
    <row r="1690" customFormat="false" ht="12.75" hidden="false" customHeight="false" outlineLevel="0" collapsed="false">
      <c r="A1690" s="99" t="s">
        <v>56</v>
      </c>
      <c r="B1690" s="49"/>
      <c r="C1690" s="101" t="n">
        <v>0</v>
      </c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</row>
    <row r="1691" customFormat="false" ht="12.75" hidden="false" customHeight="false" outlineLevel="0" collapsed="false">
      <c r="A1691" s="99" t="s">
        <v>57</v>
      </c>
      <c r="B1691" s="49"/>
      <c r="C1691" s="146" t="n">
        <v>0</v>
      </c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</row>
    <row r="1692" customFormat="false" ht="12.75" hidden="false" customHeight="false" outlineLevel="0" collapsed="false">
      <c r="A1692" s="99" t="s">
        <v>58</v>
      </c>
      <c r="B1692" s="49"/>
      <c r="C1692" s="99" t="n">
        <v>15</v>
      </c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</row>
    <row r="1693" customFormat="false" ht="12.75" hidden="false" customHeight="false" outlineLevel="0" collapsed="false">
      <c r="A1693" s="99" t="s">
        <v>59</v>
      </c>
      <c r="B1693" s="49"/>
      <c r="C1693" s="146" t="n">
        <v>0</v>
      </c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</row>
    <row r="1694" customFormat="false" ht="12.75" hidden="false" customHeight="false" outlineLevel="0" collapsed="false">
      <c r="A1694" s="99" t="s">
        <v>60</v>
      </c>
      <c r="B1694" s="49"/>
      <c r="C1694" s="147" t="n">
        <v>0.0875</v>
      </c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</row>
    <row r="1695" customFormat="false" ht="12.75" hidden="false" customHeight="false" outlineLevel="0" collapsed="false">
      <c r="A1695" s="99"/>
      <c r="B1695" s="49"/>
      <c r="C1695" s="107"/>
      <c r="D1695" s="58" t="n">
        <v>2001</v>
      </c>
      <c r="E1695" s="58" t="n">
        <v>2002</v>
      </c>
      <c r="F1695" s="58" t="n">
        <v>2003</v>
      </c>
      <c r="G1695" s="58" t="n">
        <v>2004</v>
      </c>
      <c r="H1695" s="58" t="n">
        <v>2005</v>
      </c>
      <c r="I1695" s="58" t="n">
        <v>2006</v>
      </c>
      <c r="J1695" s="58" t="n">
        <v>2007</v>
      </c>
      <c r="K1695" s="58" t="n">
        <v>2008</v>
      </c>
      <c r="L1695" s="58" t="n">
        <v>2009</v>
      </c>
      <c r="M1695" s="58" t="n">
        <v>2010</v>
      </c>
      <c r="N1695" s="58" t="n">
        <v>2011</v>
      </c>
      <c r="O1695" s="58" t="n">
        <v>2012</v>
      </c>
      <c r="P1695" s="58" t="n">
        <v>2013</v>
      </c>
      <c r="Q1695" s="58" t="n">
        <v>2014</v>
      </c>
      <c r="R1695" s="58" t="n">
        <v>2015</v>
      </c>
      <c r="S1695" s="58" t="n">
        <v>2016</v>
      </c>
      <c r="T1695" s="58" t="n">
        <v>2017</v>
      </c>
      <c r="U1695" s="58" t="n">
        <v>2018</v>
      </c>
      <c r="V1695" s="58" t="n">
        <v>2019</v>
      </c>
      <c r="W1695" s="58" t="s">
        <v>19</v>
      </c>
    </row>
    <row r="1696" customFormat="false" ht="12.75" hidden="false" customHeight="false" outlineLevel="0" collapsed="false">
      <c r="A1696" s="99" t="s">
        <v>61</v>
      </c>
      <c r="B1696" s="49"/>
      <c r="C1696" s="107"/>
      <c r="D1696" s="102" t="n">
        <v>0</v>
      </c>
      <c r="E1696" s="102" t="n">
        <v>0</v>
      </c>
      <c r="F1696" s="102" t="n">
        <v>0</v>
      </c>
      <c r="G1696" s="102" t="n">
        <v>0</v>
      </c>
      <c r="H1696" s="102" t="n">
        <v>0</v>
      </c>
      <c r="I1696" s="102" t="n">
        <v>0</v>
      </c>
      <c r="J1696" s="102" t="n">
        <v>0</v>
      </c>
      <c r="K1696" s="102" t="n">
        <v>0</v>
      </c>
      <c r="L1696" s="102" t="n">
        <v>0</v>
      </c>
      <c r="M1696" s="102" t="n">
        <v>0</v>
      </c>
      <c r="N1696" s="102" t="n">
        <v>0</v>
      </c>
      <c r="O1696" s="102" t="n">
        <v>0</v>
      </c>
      <c r="P1696" s="102" t="n">
        <v>0</v>
      </c>
      <c r="Q1696" s="102" t="n">
        <v>0</v>
      </c>
      <c r="R1696" s="102" t="n">
        <v>0</v>
      </c>
      <c r="S1696" s="102" t="n">
        <v>0</v>
      </c>
      <c r="T1696" s="102" t="n">
        <v>0</v>
      </c>
      <c r="U1696" s="102" t="n">
        <v>0</v>
      </c>
      <c r="V1696" s="102" t="n">
        <v>0</v>
      </c>
      <c r="W1696" s="102" t="n">
        <v>0</v>
      </c>
    </row>
    <row r="1697" customFormat="false" ht="12.75" hidden="false" customHeight="false" outlineLevel="0" collapsed="false">
      <c r="A1697" s="99" t="s">
        <v>62</v>
      </c>
      <c r="B1697" s="49"/>
      <c r="C1697" s="107"/>
      <c r="D1697" s="102" t="n">
        <v>0</v>
      </c>
      <c r="E1697" s="102" t="n">
        <v>0</v>
      </c>
      <c r="F1697" s="102" t="n">
        <v>0</v>
      </c>
      <c r="G1697" s="102" t="n">
        <v>0</v>
      </c>
      <c r="H1697" s="102" t="n">
        <v>0</v>
      </c>
      <c r="I1697" s="102" t="n">
        <v>0</v>
      </c>
      <c r="J1697" s="102" t="n">
        <v>0</v>
      </c>
      <c r="K1697" s="102" t="n">
        <v>0</v>
      </c>
      <c r="L1697" s="102" t="n">
        <v>0</v>
      </c>
      <c r="M1697" s="102" t="n">
        <v>0</v>
      </c>
      <c r="N1697" s="102" t="n">
        <v>0</v>
      </c>
      <c r="O1697" s="102" t="n">
        <v>0</v>
      </c>
      <c r="P1697" s="102" t="n">
        <v>0</v>
      </c>
      <c r="Q1697" s="102" t="n">
        <v>0</v>
      </c>
      <c r="R1697" s="102" t="n">
        <v>0</v>
      </c>
      <c r="S1697" s="102" t="n">
        <v>0</v>
      </c>
      <c r="T1697" s="102" t="n">
        <v>0</v>
      </c>
      <c r="U1697" s="102" t="n">
        <v>0</v>
      </c>
      <c r="V1697" s="102" t="n">
        <v>0</v>
      </c>
      <c r="W1697" s="102" t="n">
        <v>0</v>
      </c>
    </row>
    <row r="1698" customFormat="false" ht="12.75" hidden="false" customHeight="false" outlineLevel="0" collapsed="false">
      <c r="A1698" s="99" t="s">
        <v>63</v>
      </c>
      <c r="B1698" s="49"/>
      <c r="C1698" s="107"/>
      <c r="D1698" s="102" t="n">
        <v>0</v>
      </c>
      <c r="E1698" s="102" t="n">
        <v>0</v>
      </c>
      <c r="F1698" s="102" t="n">
        <v>0</v>
      </c>
      <c r="G1698" s="102" t="n">
        <v>0</v>
      </c>
      <c r="H1698" s="102" t="n">
        <v>0</v>
      </c>
      <c r="I1698" s="102" t="n">
        <v>0</v>
      </c>
      <c r="J1698" s="102" t="n">
        <v>0</v>
      </c>
      <c r="K1698" s="102" t="n">
        <v>0</v>
      </c>
      <c r="L1698" s="102" t="n">
        <v>0</v>
      </c>
      <c r="M1698" s="102" t="n">
        <v>0</v>
      </c>
      <c r="N1698" s="102" t="n">
        <v>0</v>
      </c>
      <c r="O1698" s="102" t="n">
        <v>0</v>
      </c>
      <c r="P1698" s="102" t="n">
        <v>0</v>
      </c>
      <c r="Q1698" s="102" t="n">
        <v>0</v>
      </c>
      <c r="R1698" s="102" t="n">
        <v>0</v>
      </c>
      <c r="S1698" s="102" t="n">
        <v>0</v>
      </c>
      <c r="T1698" s="102" t="n">
        <v>0</v>
      </c>
      <c r="U1698" s="102" t="n">
        <v>0</v>
      </c>
      <c r="V1698" s="102" t="n">
        <v>0</v>
      </c>
      <c r="W1698" s="102" t="n">
        <v>0</v>
      </c>
    </row>
    <row r="1699" customFormat="false" ht="12.75" hidden="false" customHeight="false" outlineLevel="0" collapsed="false">
      <c r="A1699" s="99" t="s">
        <v>64</v>
      </c>
      <c r="B1699" s="49"/>
      <c r="C1699" s="107"/>
      <c r="D1699" s="105" t="n">
        <v>0</v>
      </c>
      <c r="E1699" s="105" t="n">
        <v>0</v>
      </c>
      <c r="F1699" s="105" t="n">
        <v>0</v>
      </c>
      <c r="G1699" s="105" t="n">
        <v>0</v>
      </c>
      <c r="H1699" s="105" t="n">
        <v>0</v>
      </c>
      <c r="I1699" s="105" t="n">
        <v>0</v>
      </c>
      <c r="J1699" s="105" t="n">
        <v>0</v>
      </c>
      <c r="K1699" s="105" t="n">
        <v>0</v>
      </c>
      <c r="L1699" s="105" t="n">
        <v>0</v>
      </c>
      <c r="M1699" s="105" t="n">
        <v>0</v>
      </c>
      <c r="N1699" s="105" t="n">
        <v>0</v>
      </c>
      <c r="O1699" s="105" t="n">
        <v>0</v>
      </c>
      <c r="P1699" s="105" t="n">
        <v>0</v>
      </c>
      <c r="Q1699" s="105" t="n">
        <v>0</v>
      </c>
      <c r="R1699" s="105" t="n">
        <v>0</v>
      </c>
      <c r="S1699" s="105" t="n">
        <v>0</v>
      </c>
      <c r="T1699" s="105" t="n">
        <v>0</v>
      </c>
      <c r="U1699" s="105" t="n">
        <v>0</v>
      </c>
      <c r="V1699" s="105" t="n">
        <v>0</v>
      </c>
      <c r="W1699" s="105" t="n">
        <v>0</v>
      </c>
    </row>
    <row r="1700" customFormat="false" ht="13.5" hidden="false" customHeight="false" outlineLevel="0" collapsed="false">
      <c r="A1700" s="99" t="s">
        <v>65</v>
      </c>
      <c r="B1700" s="49"/>
      <c r="C1700" s="107"/>
      <c r="D1700" s="106" t="n">
        <v>0</v>
      </c>
      <c r="E1700" s="106" t="n">
        <v>0</v>
      </c>
      <c r="F1700" s="106" t="n">
        <v>0</v>
      </c>
      <c r="G1700" s="106" t="n">
        <v>0</v>
      </c>
      <c r="H1700" s="106" t="n">
        <v>0</v>
      </c>
      <c r="I1700" s="106" t="n">
        <v>0</v>
      </c>
      <c r="J1700" s="106" t="n">
        <v>0</v>
      </c>
      <c r="K1700" s="106" t="n">
        <v>0</v>
      </c>
      <c r="L1700" s="106" t="n">
        <v>0</v>
      </c>
      <c r="M1700" s="106" t="n">
        <v>0</v>
      </c>
      <c r="N1700" s="106" t="n">
        <v>0</v>
      </c>
      <c r="O1700" s="106" t="n">
        <v>0</v>
      </c>
      <c r="P1700" s="106" t="n">
        <v>0</v>
      </c>
      <c r="Q1700" s="106" t="n">
        <v>0</v>
      </c>
      <c r="R1700" s="106" t="n">
        <v>0</v>
      </c>
      <c r="S1700" s="106" t="n">
        <v>0</v>
      </c>
      <c r="T1700" s="106" t="n">
        <v>0</v>
      </c>
      <c r="U1700" s="106" t="n">
        <v>0</v>
      </c>
      <c r="V1700" s="106" t="n">
        <v>0</v>
      </c>
      <c r="W1700" s="106" t="n">
        <v>0</v>
      </c>
    </row>
    <row r="1701" customFormat="false" ht="13.5" hidden="false" customHeight="false" outlineLevel="0" collapsed="false">
      <c r="A1701" s="99"/>
      <c r="B1701" s="49"/>
      <c r="C1701" s="107"/>
      <c r="D1701" s="102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  <c r="W1701" s="102"/>
    </row>
    <row r="1702" customFormat="false" ht="12.75" hidden="false" customHeight="false" outlineLevel="0" collapsed="false">
      <c r="A1702" s="99" t="s">
        <v>66</v>
      </c>
      <c r="B1702" s="49"/>
      <c r="C1702" s="107"/>
      <c r="D1702" s="102" t="n">
        <v>0</v>
      </c>
      <c r="E1702" s="102" t="n">
        <v>0</v>
      </c>
      <c r="F1702" s="102" t="n">
        <v>0</v>
      </c>
      <c r="G1702" s="102" t="n">
        <v>0</v>
      </c>
      <c r="H1702" s="102" t="n">
        <v>0</v>
      </c>
      <c r="I1702" s="102" t="n">
        <v>0</v>
      </c>
      <c r="J1702" s="102" t="n">
        <v>0</v>
      </c>
      <c r="K1702" s="102" t="n">
        <v>0</v>
      </c>
      <c r="L1702" s="102" t="n">
        <v>0</v>
      </c>
      <c r="M1702" s="102" t="n">
        <v>0</v>
      </c>
      <c r="N1702" s="102" t="n">
        <v>0</v>
      </c>
      <c r="O1702" s="102" t="n">
        <v>0</v>
      </c>
      <c r="P1702" s="102" t="n">
        <v>0</v>
      </c>
      <c r="Q1702" s="102" t="n">
        <v>0</v>
      </c>
      <c r="R1702" s="102" t="n">
        <v>0</v>
      </c>
      <c r="S1702" s="102" t="n">
        <v>0</v>
      </c>
      <c r="T1702" s="102" t="n">
        <v>0</v>
      </c>
      <c r="U1702" s="102" t="n">
        <v>0</v>
      </c>
      <c r="V1702" s="102" t="n">
        <v>0</v>
      </c>
      <c r="W1702" s="102" t="n">
        <v>0</v>
      </c>
    </row>
    <row r="1703" customFormat="false" ht="12.75" hidden="false" customHeight="false" outlineLevel="0" collapsed="false">
      <c r="A1703" s="99"/>
      <c r="B1703" s="49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</row>
    <row r="1704" customFormat="false" ht="12.75" hidden="false" customHeight="false" outlineLevel="0" collapsed="false">
      <c r="A1704" s="99" t="s">
        <v>67</v>
      </c>
      <c r="B1704" s="49"/>
      <c r="C1704" s="107"/>
      <c r="D1704" s="102" t="n">
        <v>0</v>
      </c>
      <c r="E1704" s="102" t="n">
        <v>0</v>
      </c>
      <c r="F1704" s="102" t="n">
        <v>0</v>
      </c>
      <c r="G1704" s="102" t="n">
        <v>0</v>
      </c>
      <c r="H1704" s="102" t="n">
        <v>0</v>
      </c>
      <c r="I1704" s="102" t="n">
        <v>0</v>
      </c>
      <c r="J1704" s="102" t="n">
        <v>0</v>
      </c>
      <c r="K1704" s="102" t="n">
        <v>0</v>
      </c>
      <c r="L1704" s="102" t="n">
        <v>0</v>
      </c>
      <c r="M1704" s="102" t="n">
        <v>0</v>
      </c>
      <c r="N1704" s="102" t="n">
        <v>0</v>
      </c>
      <c r="O1704" s="102" t="n">
        <v>0</v>
      </c>
      <c r="P1704" s="102" t="n">
        <v>0</v>
      </c>
      <c r="Q1704" s="102" t="n">
        <v>0</v>
      </c>
      <c r="R1704" s="102" t="n">
        <v>0</v>
      </c>
      <c r="S1704" s="102" t="n">
        <v>0</v>
      </c>
      <c r="T1704" s="102" t="n">
        <v>0</v>
      </c>
      <c r="U1704" s="102" t="n">
        <v>0</v>
      </c>
      <c r="V1704" s="102" t="n">
        <v>0</v>
      </c>
      <c r="W1704" s="102" t="n">
        <v>0</v>
      </c>
    </row>
    <row r="1705" customFormat="false" ht="12.75" hidden="false" customHeight="false" outlineLevel="0" collapsed="false">
      <c r="A1705" s="107"/>
      <c r="B1705" s="49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</row>
    <row r="1706" customFormat="false" ht="12.75" hidden="false" customHeight="false" outlineLevel="0" collapsed="false">
      <c r="A1706" s="107"/>
      <c r="B1706" s="49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</row>
    <row r="1707" customFormat="false" ht="12.75" hidden="false" customHeight="false" outlineLevel="0" collapsed="false">
      <c r="A1707" s="99" t="s">
        <v>68</v>
      </c>
      <c r="B1707" s="148"/>
      <c r="C1707" s="149"/>
      <c r="D1707" s="79" t="n">
        <v>1892070.81374419</v>
      </c>
      <c r="E1707" s="79" t="n">
        <v>1322894.62854321</v>
      </c>
      <c r="F1707" s="79" t="n">
        <v>1058292.5803176</v>
      </c>
      <c r="G1707" s="79" t="n">
        <v>854778.877887044</v>
      </c>
      <c r="H1707" s="79" t="n">
        <v>737561.399839373</v>
      </c>
      <c r="I1707" s="79" t="n">
        <v>529191.662685475</v>
      </c>
      <c r="J1707" s="79" t="n">
        <v>599640.694151393</v>
      </c>
      <c r="K1707" s="79" t="n">
        <v>953623.673009733</v>
      </c>
      <c r="L1707" s="79" t="n">
        <v>960636.944791472</v>
      </c>
      <c r="M1707" s="79" t="n">
        <v>1083390.04802126</v>
      </c>
      <c r="N1707" s="79" t="n">
        <v>730006.518197174</v>
      </c>
      <c r="O1707" s="79" t="n">
        <v>906556.874080396</v>
      </c>
      <c r="P1707" s="79" t="n">
        <v>865991.788732743</v>
      </c>
      <c r="Q1707" s="79" t="n">
        <v>1085266.25922072</v>
      </c>
      <c r="R1707" s="79" t="n">
        <v>819884.548342688</v>
      </c>
      <c r="S1707" s="79" t="n">
        <v>582591.302942087</v>
      </c>
      <c r="T1707" s="79" t="n">
        <v>711967.020656284</v>
      </c>
      <c r="U1707" s="79" t="n">
        <v>925675.020623499</v>
      </c>
      <c r="V1707" s="79" t="n">
        <v>705592.138066523</v>
      </c>
      <c r="W1707" s="79" t="n">
        <v>5171833.90962287</v>
      </c>
    </row>
    <row r="1708" customFormat="false" ht="12.75" hidden="false" customHeight="false" outlineLevel="0" collapsed="false">
      <c r="A1708" s="2"/>
      <c r="B1708" s="31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</row>
    <row r="1709" customFormat="false" ht="12.75" hidden="false" customHeight="false" outlineLevel="0" collapsed="false">
      <c r="A1709" s="169"/>
      <c r="B1709" s="115"/>
      <c r="C1709" s="170"/>
      <c r="D1709" s="152"/>
      <c r="E1709" s="152"/>
      <c r="F1709" s="152"/>
      <c r="G1709" s="152"/>
      <c r="H1709" s="152"/>
      <c r="I1709" s="152"/>
      <c r="J1709" s="152"/>
      <c r="K1709" s="152"/>
      <c r="L1709" s="152"/>
      <c r="M1709" s="152"/>
      <c r="N1709" s="152"/>
      <c r="O1709" s="152"/>
      <c r="P1709" s="152"/>
      <c r="Q1709" s="152"/>
      <c r="R1709" s="152"/>
      <c r="S1709" s="152"/>
      <c r="T1709" s="152"/>
      <c r="U1709" s="152"/>
      <c r="V1709" s="152"/>
      <c r="W1709" s="152"/>
    </row>
    <row r="1710" customFormat="false" ht="12.75" hidden="false" customHeight="false" outlineLevel="0" collapsed="false">
      <c r="A1710" s="169"/>
      <c r="B1710" s="115"/>
      <c r="C1710" s="170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customFormat="false" ht="12.75" hidden="false" customHeight="false" outlineLevel="0" collapsed="false">
      <c r="A1711" s="169"/>
      <c r="B1711" s="115"/>
      <c r="C1711" s="170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customFormat="false" ht="12.75" hidden="false" customHeight="false" outlineLevel="0" collapsed="false">
      <c r="A1712" s="169"/>
      <c r="B1712" s="115"/>
      <c r="C1712" s="170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customFormat="false" ht="12.75" hidden="false" customHeight="false" outlineLevel="0" collapsed="false">
      <c r="A1713" s="169"/>
      <c r="B1713" s="115"/>
      <c r="C1713" s="170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customFormat="false" ht="12.75" hidden="false" customHeight="false" outlineLevel="0" collapsed="false">
      <c r="A1714" s="169"/>
      <c r="B1714" s="115"/>
      <c r="C1714" s="170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customFormat="false" ht="12.75" hidden="false" customHeight="false" outlineLevel="0" collapsed="false">
      <c r="A1715" s="169"/>
      <c r="B1715" s="115"/>
      <c r="C1715" s="170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customFormat="false" ht="15.75" hidden="false" customHeight="false" outlineLevel="0" collapsed="false">
      <c r="A1716" s="48" t="s">
        <v>17</v>
      </c>
      <c r="B1716" s="57" t="s">
        <v>95</v>
      </c>
      <c r="C1716" s="58" t="n">
        <v>2000</v>
      </c>
      <c r="D1716" s="58" t="n">
        <v>2001</v>
      </c>
      <c r="E1716" s="58" t="n">
        <v>2002</v>
      </c>
      <c r="F1716" s="58" t="n">
        <v>2003</v>
      </c>
      <c r="G1716" s="58" t="n">
        <v>2004</v>
      </c>
      <c r="H1716" s="58" t="n">
        <v>2005</v>
      </c>
      <c r="I1716" s="58" t="n">
        <v>2006</v>
      </c>
      <c r="J1716" s="58" t="n">
        <v>2007</v>
      </c>
      <c r="K1716" s="58" t="n">
        <v>2008</v>
      </c>
      <c r="L1716" s="58" t="n">
        <v>2009</v>
      </c>
      <c r="M1716" s="58" t="n">
        <v>2010</v>
      </c>
      <c r="N1716" s="58" t="n">
        <v>2011</v>
      </c>
      <c r="O1716" s="58" t="n">
        <v>2012</v>
      </c>
      <c r="P1716" s="58" t="n">
        <v>2013</v>
      </c>
      <c r="Q1716" s="58" t="n">
        <v>2014</v>
      </c>
      <c r="R1716" s="58" t="n">
        <v>2015</v>
      </c>
      <c r="S1716" s="58" t="n">
        <v>2016</v>
      </c>
      <c r="T1716" s="58" t="n">
        <v>2017</v>
      </c>
      <c r="U1716" s="58" t="n">
        <v>2018</v>
      </c>
      <c r="V1716" s="58" t="n">
        <v>2019</v>
      </c>
      <c r="W1716" s="58" t="s">
        <v>19</v>
      </c>
    </row>
    <row r="1717" customFormat="false" ht="12.75" hidden="false" customHeight="false" outlineLevel="0" collapsed="false">
      <c r="A1717" s="48" t="s">
        <v>5</v>
      </c>
      <c r="B1717" s="49" t="n">
        <v>51.225</v>
      </c>
      <c r="C1717" s="61"/>
      <c r="D1717" s="61"/>
      <c r="E1717" s="61"/>
      <c r="F1717" s="61"/>
      <c r="G1717" s="61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</row>
    <row r="1718" customFormat="false" ht="12.75" hidden="false" customHeight="false" outlineLevel="0" collapsed="false">
      <c r="A1718" s="2"/>
      <c r="B1718" s="117" t="s">
        <v>20</v>
      </c>
      <c r="C1718" s="118" t="n">
        <v>0</v>
      </c>
      <c r="D1718" s="64" t="n">
        <v>4173272.13547362</v>
      </c>
      <c r="E1718" s="64" t="n">
        <v>3336543.81939016</v>
      </c>
      <c r="F1718" s="64" t="n">
        <v>2771530.81170323</v>
      </c>
      <c r="G1718" s="64" t="n">
        <v>2486417.30099253</v>
      </c>
      <c r="H1718" s="64" t="n">
        <v>2957557.51019355</v>
      </c>
      <c r="I1718" s="64" t="n">
        <v>2731177.54087981</v>
      </c>
      <c r="J1718" s="64" t="n">
        <v>2671668.77777465</v>
      </c>
      <c r="K1718" s="64" t="n">
        <v>4099251.72529141</v>
      </c>
      <c r="L1718" s="64" t="n">
        <v>4150887.33045383</v>
      </c>
      <c r="M1718" s="64" t="n">
        <v>4383220.71444289</v>
      </c>
      <c r="N1718" s="64" t="n">
        <v>3427575.69793431</v>
      </c>
      <c r="O1718" s="64" t="n">
        <v>4360652.29883995</v>
      </c>
      <c r="P1718" s="64" t="n">
        <v>3733289.03876656</v>
      </c>
      <c r="Q1718" s="64" t="n">
        <v>4762503.06105503</v>
      </c>
      <c r="R1718" s="64" t="n">
        <v>4233544.44192035</v>
      </c>
      <c r="S1718" s="64" t="n">
        <v>3344910.62060087</v>
      </c>
      <c r="T1718" s="64" t="n">
        <v>3656345.54563308</v>
      </c>
      <c r="U1718" s="64" t="n">
        <v>4710739.3380201</v>
      </c>
      <c r="V1718" s="64" t="n">
        <v>5317042.10578293</v>
      </c>
      <c r="W1718" s="65"/>
    </row>
    <row r="1719" customFormat="false" ht="12.75" hidden="false" customHeight="false" outlineLevel="0" collapsed="false">
      <c r="A1719" s="2"/>
      <c r="B1719" s="117" t="s">
        <v>21</v>
      </c>
      <c r="C1719" s="118" t="n">
        <v>0</v>
      </c>
      <c r="D1719" s="64" t="n">
        <v>-1014828.75040762</v>
      </c>
      <c r="E1719" s="64" t="n">
        <v>-1103189.6758056</v>
      </c>
      <c r="F1719" s="64" t="n">
        <v>-960682.646835074</v>
      </c>
      <c r="G1719" s="64" t="n">
        <v>-991659.706511363</v>
      </c>
      <c r="H1719" s="64" t="n">
        <v>-1464368.70058838</v>
      </c>
      <c r="I1719" s="64" t="n">
        <v>-1528562.59506656</v>
      </c>
      <c r="J1719" s="64" t="n">
        <v>-1355653.27379548</v>
      </c>
      <c r="K1719" s="64" t="n">
        <v>-2113963.27958314</v>
      </c>
      <c r="L1719" s="64" t="n">
        <v>-2144949.2489353</v>
      </c>
      <c r="M1719" s="64" t="n">
        <v>-2164648.43518554</v>
      </c>
      <c r="N1719" s="64" t="n">
        <v>-1807332.64189298</v>
      </c>
      <c r="O1719" s="64" t="n">
        <v>-2369988.26563911</v>
      </c>
      <c r="P1719" s="64" t="n">
        <v>-1849371.48062393</v>
      </c>
      <c r="Q1719" s="64" t="n">
        <v>-2401822.19821342</v>
      </c>
      <c r="R1719" s="64" t="n">
        <v>-2286059.30563092</v>
      </c>
      <c r="S1719" s="64" t="n">
        <v>-1829657.99062648</v>
      </c>
      <c r="T1719" s="64" t="n">
        <v>-1917552.41959945</v>
      </c>
      <c r="U1719" s="64" t="n">
        <v>-2579940.63587949</v>
      </c>
      <c r="V1719" s="64" t="n">
        <v>-3469740.21918375</v>
      </c>
      <c r="W1719" s="65"/>
    </row>
    <row r="1720" customFormat="false" ht="12.75" hidden="false" customHeight="false" outlineLevel="0" collapsed="false">
      <c r="A1720" s="2"/>
      <c r="B1720" s="117" t="s">
        <v>22</v>
      </c>
      <c r="C1720" s="118" t="n">
        <v>0</v>
      </c>
      <c r="D1720" s="64" t="n">
        <v>-32661.7090080074</v>
      </c>
      <c r="E1720" s="64" t="n">
        <v>-40135.6775724515</v>
      </c>
      <c r="F1720" s="64" t="n">
        <v>-36577.7327054883</v>
      </c>
      <c r="G1720" s="64" t="n">
        <v>-37291.0192306743</v>
      </c>
      <c r="H1720" s="64" t="n">
        <v>-55519.9475241794</v>
      </c>
      <c r="I1720" s="64" t="n">
        <v>-60077.8360407795</v>
      </c>
      <c r="J1720" s="64" t="n">
        <v>-54305.2243555372</v>
      </c>
      <c r="K1720" s="64" t="n">
        <v>-92448.621863654</v>
      </c>
      <c r="L1720" s="64" t="n">
        <v>-93901.6765103815</v>
      </c>
      <c r="M1720" s="64" t="n">
        <v>-92184.2757817093</v>
      </c>
      <c r="N1720" s="64" t="n">
        <v>-77753.0217352276</v>
      </c>
      <c r="O1720" s="64" t="n">
        <v>-103672.418069196</v>
      </c>
      <c r="P1720" s="64" t="n">
        <v>-79173.0054831921</v>
      </c>
      <c r="Q1720" s="64" t="n">
        <v>-103660.33471007</v>
      </c>
      <c r="R1720" s="64" t="n">
        <v>-92744.7741585407</v>
      </c>
      <c r="S1720" s="64" t="n">
        <v>-72717.0238983293</v>
      </c>
      <c r="T1720" s="64" t="n">
        <v>-75426.8056957475</v>
      </c>
      <c r="U1720" s="64" t="n">
        <v>-97037.3296261892</v>
      </c>
      <c r="V1720" s="64" t="n">
        <v>-129811.473285114</v>
      </c>
      <c r="W1720" s="65"/>
    </row>
    <row r="1721" customFormat="false" ht="12.75" hidden="false" customHeight="false" outlineLevel="0" collapsed="false">
      <c r="A1721" s="2"/>
      <c r="B1721" s="117" t="s">
        <v>23</v>
      </c>
      <c r="C1721" s="118" t="n">
        <v>0</v>
      </c>
      <c r="D1721" s="64" t="n">
        <v>0</v>
      </c>
      <c r="E1721" s="64" t="n">
        <v>0</v>
      </c>
      <c r="F1721" s="64" t="n">
        <v>0</v>
      </c>
      <c r="G1721" s="64" t="n">
        <v>0</v>
      </c>
      <c r="H1721" s="64" t="n">
        <v>0</v>
      </c>
      <c r="I1721" s="64" t="n">
        <v>-21176.6601055912</v>
      </c>
      <c r="J1721" s="64" t="n">
        <v>-20791.1767115738</v>
      </c>
      <c r="K1721" s="64" t="n">
        <v>-39807.1182142091</v>
      </c>
      <c r="L1721" s="64" t="n">
        <v>-41915.0703940037</v>
      </c>
      <c r="M1721" s="64" t="n">
        <v>-44865.4378172086</v>
      </c>
      <c r="N1721" s="64" t="n">
        <v>-40876.0879067188</v>
      </c>
      <c r="O1721" s="64" t="n">
        <v>-59183.9157275491</v>
      </c>
      <c r="P1721" s="64" t="n">
        <v>-49630.0670649997</v>
      </c>
      <c r="Q1721" s="64" t="n">
        <v>-70963.9903628276</v>
      </c>
      <c r="R1721" s="64" t="n">
        <v>-68907.7154950137</v>
      </c>
      <c r="S1721" s="64" t="n">
        <v>-58073.264535055</v>
      </c>
      <c r="T1721" s="64" t="n">
        <v>-58137.8249434724</v>
      </c>
      <c r="U1721" s="64" t="n">
        <v>-62643.3146552775</v>
      </c>
      <c r="V1721" s="64" t="n">
        <v>-85243.084360859</v>
      </c>
      <c r="W1721" s="65"/>
    </row>
    <row r="1722" customFormat="false" ht="13.5" hidden="false" customHeight="false" outlineLevel="0" collapsed="false">
      <c r="A1722" s="2"/>
      <c r="B1722" s="119" t="s">
        <v>24</v>
      </c>
      <c r="C1722" s="120" t="n">
        <v>0</v>
      </c>
      <c r="D1722" s="68" t="n">
        <v>0</v>
      </c>
      <c r="E1722" s="68" t="n">
        <v>0</v>
      </c>
      <c r="F1722" s="68" t="n">
        <v>0</v>
      </c>
      <c r="G1722" s="68" t="n">
        <v>0</v>
      </c>
      <c r="H1722" s="68" t="n">
        <v>0</v>
      </c>
      <c r="I1722" s="68" t="n">
        <v>-21176.6601055912</v>
      </c>
      <c r="J1722" s="68" t="n">
        <v>-20791.1767115738</v>
      </c>
      <c r="K1722" s="68" t="n">
        <v>-39807.1182142091</v>
      </c>
      <c r="L1722" s="68" t="n">
        <v>-41915.0703940037</v>
      </c>
      <c r="M1722" s="68" t="n">
        <v>-44865.4378172086</v>
      </c>
      <c r="N1722" s="68" t="n">
        <v>-40876.0879067188</v>
      </c>
      <c r="O1722" s="68" t="n">
        <v>-59183.9157275491</v>
      </c>
      <c r="P1722" s="68" t="n">
        <v>-49630.0670649997</v>
      </c>
      <c r="Q1722" s="68" t="n">
        <v>-70963.9903628276</v>
      </c>
      <c r="R1722" s="68" t="n">
        <v>-68907.7154950137</v>
      </c>
      <c r="S1722" s="68" t="n">
        <v>-58073.264535055</v>
      </c>
      <c r="T1722" s="68" t="n">
        <v>-58137.8249434724</v>
      </c>
      <c r="U1722" s="68" t="n">
        <v>-62643.3146552775</v>
      </c>
      <c r="V1722" s="68" t="n">
        <v>-85243.084360859</v>
      </c>
      <c r="W1722" s="65"/>
    </row>
    <row r="1723" customFormat="false" ht="13.5" hidden="false" customHeight="false" outlineLevel="0" collapsed="false">
      <c r="A1723" s="2"/>
      <c r="B1723" s="121" t="s">
        <v>25</v>
      </c>
      <c r="C1723" s="122" t="n">
        <v>0</v>
      </c>
      <c r="D1723" s="71" t="n">
        <v>3125781.67605799</v>
      </c>
      <c r="E1723" s="71" t="n">
        <v>2193218.46601211</v>
      </c>
      <c r="F1723" s="71" t="n">
        <v>1774270.43216267</v>
      </c>
      <c r="G1723" s="71" t="n">
        <v>1457466.5752505</v>
      </c>
      <c r="H1723" s="71" t="n">
        <v>1437668.86208099</v>
      </c>
      <c r="I1723" s="71" t="n">
        <v>1100183.78956128</v>
      </c>
      <c r="J1723" s="71" t="n">
        <v>1220127.92620049</v>
      </c>
      <c r="K1723" s="71" t="n">
        <v>1813225.5874162</v>
      </c>
      <c r="L1723" s="71" t="n">
        <v>1828206.26422014</v>
      </c>
      <c r="M1723" s="71" t="n">
        <v>2036657.12784123</v>
      </c>
      <c r="N1723" s="71" t="n">
        <v>1460737.85849266</v>
      </c>
      <c r="O1723" s="71" t="n">
        <v>1768623.78367654</v>
      </c>
      <c r="P1723" s="71" t="n">
        <v>1705484.41852944</v>
      </c>
      <c r="Q1723" s="71" t="n">
        <v>2115092.54740589</v>
      </c>
      <c r="R1723" s="71" t="n">
        <v>1716924.93114086</v>
      </c>
      <c r="S1723" s="71" t="n">
        <v>1326389.07700595</v>
      </c>
      <c r="T1723" s="71" t="n">
        <v>1547090.67045093</v>
      </c>
      <c r="U1723" s="71" t="n">
        <v>1908474.74320387</v>
      </c>
      <c r="V1723" s="71" t="n">
        <v>1547004.24459235</v>
      </c>
      <c r="W1723" s="65"/>
    </row>
    <row r="1724" customFormat="false" ht="12.75" hidden="false" customHeight="false" outlineLevel="0" collapsed="false">
      <c r="A1724" s="2"/>
      <c r="B1724" s="117" t="s">
        <v>26</v>
      </c>
      <c r="C1724" s="118" t="n">
        <v>0</v>
      </c>
      <c r="D1724" s="64" t="n">
        <v>-91566.2713789447</v>
      </c>
      <c r="E1724" s="64" t="n">
        <v>-93397.5968065236</v>
      </c>
      <c r="F1724" s="64" t="n">
        <v>-95265.548742654</v>
      </c>
      <c r="G1724" s="64" t="n">
        <v>-97170.8597175071</v>
      </c>
      <c r="H1724" s="64" t="n">
        <v>-99114.2769118573</v>
      </c>
      <c r="I1724" s="64" t="n">
        <v>-101096.562450094</v>
      </c>
      <c r="J1724" s="64" t="n">
        <v>-103118.493699096</v>
      </c>
      <c r="K1724" s="64" t="n">
        <v>-105180.863573078</v>
      </c>
      <c r="L1724" s="64" t="n">
        <v>-107284.48084454</v>
      </c>
      <c r="M1724" s="64" t="n">
        <v>-109430.170461431</v>
      </c>
      <c r="N1724" s="64" t="n">
        <v>-111618.773870659</v>
      </c>
      <c r="O1724" s="64" t="n">
        <v>-113851.149348072</v>
      </c>
      <c r="P1724" s="64" t="n">
        <v>-116128.172335034</v>
      </c>
      <c r="Q1724" s="64" t="n">
        <v>-118450.735781735</v>
      </c>
      <c r="R1724" s="64" t="n">
        <v>-120819.750497369</v>
      </c>
      <c r="S1724" s="64" t="n">
        <v>-123236.145507317</v>
      </c>
      <c r="T1724" s="64" t="n">
        <v>-125700.868417463</v>
      </c>
      <c r="U1724" s="64" t="n">
        <v>-128214.885785812</v>
      </c>
      <c r="V1724" s="64" t="n">
        <v>-130779.183501528</v>
      </c>
      <c r="W1724" s="65"/>
    </row>
    <row r="1725" customFormat="false" ht="12.75" hidden="false" customHeight="false" outlineLevel="0" collapsed="false">
      <c r="A1725" s="2"/>
      <c r="B1725" s="117" t="s">
        <v>27</v>
      </c>
      <c r="C1725" s="118" t="n">
        <v>0</v>
      </c>
      <c r="D1725" s="64" t="n">
        <v>-45161.410471875</v>
      </c>
      <c r="E1725" s="64" t="n">
        <v>-45161.410471875</v>
      </c>
      <c r="F1725" s="64" t="n">
        <v>-45161.410471875</v>
      </c>
      <c r="G1725" s="64" t="n">
        <v>-45161.410471875</v>
      </c>
      <c r="H1725" s="64" t="n">
        <v>-45161.410471875</v>
      </c>
      <c r="I1725" s="64" t="n">
        <v>-45161.410471875</v>
      </c>
      <c r="J1725" s="64" t="n">
        <v>-45161.410471875</v>
      </c>
      <c r="K1725" s="64" t="n">
        <v>-45161.410471875</v>
      </c>
      <c r="L1725" s="64" t="n">
        <v>-45161.410471875</v>
      </c>
      <c r="M1725" s="64" t="n">
        <v>-45161.410471875</v>
      </c>
      <c r="N1725" s="64" t="n">
        <v>-45161.410471875</v>
      </c>
      <c r="O1725" s="64" t="n">
        <v>-45161.410471875</v>
      </c>
      <c r="P1725" s="64" t="n">
        <v>-45161.410471875</v>
      </c>
      <c r="Q1725" s="64" t="n">
        <v>-45161.410471875</v>
      </c>
      <c r="R1725" s="64" t="n">
        <v>-45161.410471875</v>
      </c>
      <c r="S1725" s="64" t="n">
        <v>-45161.410471875</v>
      </c>
      <c r="T1725" s="64" t="n">
        <v>-45161.410471875</v>
      </c>
      <c r="U1725" s="64" t="n">
        <v>-45161.410471875</v>
      </c>
      <c r="V1725" s="64" t="n">
        <v>-45161.410471875</v>
      </c>
      <c r="W1725" s="65"/>
    </row>
    <row r="1726" customFormat="false" ht="13.5" hidden="false" customHeight="false" outlineLevel="0" collapsed="false">
      <c r="A1726" s="2"/>
      <c r="B1726" s="119" t="s">
        <v>28</v>
      </c>
      <c r="C1726" s="120" t="n">
        <v>0</v>
      </c>
      <c r="D1726" s="68" t="n">
        <v>-4145.66288470289</v>
      </c>
      <c r="E1726" s="68" t="n">
        <v>-4233.13637157014</v>
      </c>
      <c r="F1726" s="68" t="n">
        <v>-4325.84205810753</v>
      </c>
      <c r="G1726" s="68" t="n">
        <v>-4423.60608862073</v>
      </c>
      <c r="H1726" s="68" t="n">
        <v>-4528.88791352991</v>
      </c>
      <c r="I1726" s="68" t="n">
        <v>-4642.38229994021</v>
      </c>
      <c r="J1726" s="68" t="n">
        <v>-4757.52631405997</v>
      </c>
      <c r="K1726" s="68" t="n">
        <v>-4877.94913684999</v>
      </c>
      <c r="L1726" s="68" t="n">
        <v>-4998.43448053019</v>
      </c>
      <c r="M1726" s="68" t="n">
        <v>-5125.8945597837</v>
      </c>
      <c r="N1726" s="68" t="n">
        <v>-5249.94120813049</v>
      </c>
      <c r="O1726" s="68" t="n">
        <v>-5382.23972657536</v>
      </c>
      <c r="P1726" s="68" t="n">
        <v>-5518.94861563036</v>
      </c>
      <c r="Q1726" s="68" t="n">
        <v>-5656.92233102112</v>
      </c>
      <c r="R1726" s="68" t="n">
        <v>-5798.91108152975</v>
      </c>
      <c r="S1726" s="68" t="n">
        <v>-5943.883858568</v>
      </c>
      <c r="T1726" s="68" t="n">
        <v>-6091.29217826048</v>
      </c>
      <c r="U1726" s="68" t="n">
        <v>-6244.18361193483</v>
      </c>
      <c r="V1726" s="68" t="n">
        <v>-6400.91262059439</v>
      </c>
      <c r="W1726" s="65"/>
    </row>
    <row r="1727" customFormat="false" ht="13.5" hidden="false" customHeight="false" outlineLevel="0" collapsed="false">
      <c r="A1727" s="2"/>
      <c r="B1727" s="121" t="s">
        <v>29</v>
      </c>
      <c r="C1727" s="123" t="n">
        <v>0</v>
      </c>
      <c r="D1727" s="73" t="n">
        <v>2984908.33132247</v>
      </c>
      <c r="E1727" s="73" t="n">
        <v>2050426.32236214</v>
      </c>
      <c r="F1727" s="73" t="n">
        <v>1629517.63089003</v>
      </c>
      <c r="G1727" s="73" t="n">
        <v>1310710.69897249</v>
      </c>
      <c r="H1727" s="73" t="n">
        <v>1288864.28678373</v>
      </c>
      <c r="I1727" s="73" t="n">
        <v>949283.43433937</v>
      </c>
      <c r="J1727" s="73" t="n">
        <v>1067090.49571546</v>
      </c>
      <c r="K1727" s="73" t="n">
        <v>1658005.3642344</v>
      </c>
      <c r="L1727" s="73" t="n">
        <v>1670761.93842319</v>
      </c>
      <c r="M1727" s="73" t="n">
        <v>1876939.65234814</v>
      </c>
      <c r="N1727" s="73" t="n">
        <v>1298707.732942</v>
      </c>
      <c r="O1727" s="73" t="n">
        <v>1604228.98413002</v>
      </c>
      <c r="P1727" s="73" t="n">
        <v>1538675.88710691</v>
      </c>
      <c r="Q1727" s="73" t="n">
        <v>1945823.47882126</v>
      </c>
      <c r="R1727" s="73" t="n">
        <v>1545144.85909009</v>
      </c>
      <c r="S1727" s="73" t="n">
        <v>1152047.63716819</v>
      </c>
      <c r="T1727" s="73" t="n">
        <v>1370137.09938333</v>
      </c>
      <c r="U1727" s="73" t="n">
        <v>1728854.26333425</v>
      </c>
      <c r="V1727" s="73" t="n">
        <v>1364662.73799835</v>
      </c>
      <c r="W1727" s="65"/>
    </row>
    <row r="1728" customFormat="false" ht="12.75" hidden="false" customHeight="false" outlineLevel="0" collapsed="false">
      <c r="A1728" s="2"/>
      <c r="B1728" s="117" t="s">
        <v>30</v>
      </c>
      <c r="C1728" s="118" t="n">
        <v>0</v>
      </c>
      <c r="D1728" s="64" t="n">
        <v>-256373.487376777</v>
      </c>
      <c r="E1728" s="64" t="n">
        <v>-235299.637814816</v>
      </c>
      <c r="F1728" s="64" t="n">
        <v>-205307.079458943</v>
      </c>
      <c r="G1728" s="64" t="n">
        <v>-174904.471258869</v>
      </c>
      <c r="H1728" s="64" t="n">
        <v>-160607.069422842</v>
      </c>
      <c r="I1728" s="64" t="n">
        <v>-156554.005204633</v>
      </c>
      <c r="J1728" s="64" t="n">
        <v>-163690.991805296</v>
      </c>
      <c r="K1728" s="64" t="n">
        <v>-170232.886172733</v>
      </c>
      <c r="L1728" s="64" t="n">
        <v>-176826.656843896</v>
      </c>
      <c r="M1728" s="64" t="n">
        <v>-182884.160105948</v>
      </c>
      <c r="N1728" s="64" t="n">
        <v>-175467.770212185</v>
      </c>
      <c r="O1728" s="64" t="n">
        <v>-167517.175362176</v>
      </c>
      <c r="P1728" s="64" t="n">
        <v>-173658.161518404</v>
      </c>
      <c r="Q1728" s="64" t="n">
        <v>-120623.725777227</v>
      </c>
      <c r="R1728" s="64" t="n">
        <v>-67973.1770576182</v>
      </c>
      <c r="S1728" s="64" t="n">
        <v>-74465.2692840387</v>
      </c>
      <c r="T1728" s="64" t="n">
        <v>-81152.1242772519</v>
      </c>
      <c r="U1728" s="64" t="n">
        <v>-88039.5849202614</v>
      </c>
      <c r="V1728" s="64" t="n">
        <v>-95133.6693825613</v>
      </c>
      <c r="W1728" s="65"/>
    </row>
    <row r="1729" customFormat="false" ht="13.5" hidden="false" customHeight="false" outlineLevel="0" collapsed="false">
      <c r="A1729" s="2"/>
      <c r="B1729" s="119" t="s">
        <v>70</v>
      </c>
      <c r="C1729" s="120" t="n">
        <v>0</v>
      </c>
      <c r="D1729" s="68" t="n">
        <v>-1091413.93757828</v>
      </c>
      <c r="E1729" s="68" t="n">
        <v>-726050.673818931</v>
      </c>
      <c r="F1729" s="68" t="n">
        <v>-569684.220572437</v>
      </c>
      <c r="G1729" s="68" t="n">
        <v>-454322.491085449</v>
      </c>
      <c r="H1729" s="68" t="n">
        <v>-451302.886944354</v>
      </c>
      <c r="I1729" s="68" t="n">
        <v>-317091.771653895</v>
      </c>
      <c r="J1729" s="68" t="n">
        <v>-361359.801564065</v>
      </c>
      <c r="K1729" s="68" t="n">
        <v>-595108.991224667</v>
      </c>
      <c r="L1729" s="68" t="n">
        <v>-597574.112631718</v>
      </c>
      <c r="M1729" s="68" t="n">
        <v>-677622.196896877</v>
      </c>
      <c r="N1729" s="68" t="n">
        <v>-449295.985091926</v>
      </c>
      <c r="O1729" s="68" t="n">
        <v>-574684.723507138</v>
      </c>
      <c r="P1729" s="68" t="n">
        <v>-546007.0902354</v>
      </c>
      <c r="Q1729" s="68" t="n">
        <v>-730079.901217612</v>
      </c>
      <c r="R1729" s="68" t="n">
        <v>-590868.672812988</v>
      </c>
      <c r="S1729" s="68" t="n">
        <v>-431032.947153662</v>
      </c>
      <c r="T1729" s="68" t="n">
        <v>-515593.990042433</v>
      </c>
      <c r="U1729" s="68" t="n">
        <v>-656325.871365596</v>
      </c>
      <c r="V1729" s="68" t="n">
        <v>-507811.627446315</v>
      </c>
      <c r="W1729" s="65"/>
    </row>
    <row r="1730" customFormat="false" ht="13.5" hidden="false" customHeight="false" outlineLevel="0" collapsed="false">
      <c r="A1730" s="2"/>
      <c r="B1730" s="121" t="s">
        <v>32</v>
      </c>
      <c r="C1730" s="123" t="n">
        <v>0</v>
      </c>
      <c r="D1730" s="73" t="n">
        <v>1637120.90636742</v>
      </c>
      <c r="E1730" s="73" t="n">
        <v>1089076.0107284</v>
      </c>
      <c r="F1730" s="73" t="n">
        <v>854526.330858655</v>
      </c>
      <c r="G1730" s="73" t="n">
        <v>681483.736628174</v>
      </c>
      <c r="H1730" s="73" t="n">
        <v>676954.330416531</v>
      </c>
      <c r="I1730" s="73" t="n">
        <v>475637.657480842</v>
      </c>
      <c r="J1730" s="73" t="n">
        <v>542039.702346098</v>
      </c>
      <c r="K1730" s="73" t="n">
        <v>892663.486837</v>
      </c>
      <c r="L1730" s="73" t="n">
        <v>896361.168947577</v>
      </c>
      <c r="M1730" s="73" t="n">
        <v>1016433.29534531</v>
      </c>
      <c r="N1730" s="73" t="n">
        <v>673943.977637889</v>
      </c>
      <c r="O1730" s="73" t="n">
        <v>862027.085260707</v>
      </c>
      <c r="P1730" s="73" t="n">
        <v>819010.6353531</v>
      </c>
      <c r="Q1730" s="73" t="n">
        <v>1095119.85182642</v>
      </c>
      <c r="R1730" s="73" t="n">
        <v>886303.009219482</v>
      </c>
      <c r="S1730" s="73" t="n">
        <v>646549.420730493</v>
      </c>
      <c r="T1730" s="73" t="n">
        <v>773390.98506365</v>
      </c>
      <c r="U1730" s="73" t="n">
        <v>984488.807048394</v>
      </c>
      <c r="V1730" s="73" t="n">
        <v>761717.441169473</v>
      </c>
      <c r="W1730" s="65"/>
    </row>
    <row r="1731" customFormat="false" ht="12.75" hidden="false" customHeight="false" outlineLevel="0" collapsed="false">
      <c r="A1731" s="2"/>
      <c r="B1731" s="117" t="s">
        <v>30</v>
      </c>
      <c r="C1731" s="118" t="n">
        <v>0</v>
      </c>
      <c r="D1731" s="64" t="n">
        <v>256373.487376777</v>
      </c>
      <c r="E1731" s="64" t="n">
        <v>235299.637814816</v>
      </c>
      <c r="F1731" s="64" t="n">
        <v>205307.079458943</v>
      </c>
      <c r="G1731" s="64" t="n">
        <v>174904.471258869</v>
      </c>
      <c r="H1731" s="64" t="n">
        <v>160607.069422842</v>
      </c>
      <c r="I1731" s="64" t="n">
        <v>156554.005204633</v>
      </c>
      <c r="J1731" s="64" t="n">
        <v>163690.991805296</v>
      </c>
      <c r="K1731" s="64" t="n">
        <v>170232.886172733</v>
      </c>
      <c r="L1731" s="64" t="n">
        <v>176826.656843896</v>
      </c>
      <c r="M1731" s="64" t="n">
        <v>182884.160105948</v>
      </c>
      <c r="N1731" s="64" t="n">
        <v>175467.770212185</v>
      </c>
      <c r="O1731" s="64" t="n">
        <v>167517.175362176</v>
      </c>
      <c r="P1731" s="64" t="n">
        <v>173658.161518404</v>
      </c>
      <c r="Q1731" s="64" t="n">
        <v>120623.725777227</v>
      </c>
      <c r="R1731" s="64" t="n">
        <v>67973.1770576182</v>
      </c>
      <c r="S1731" s="64" t="n">
        <v>74465.2692840387</v>
      </c>
      <c r="T1731" s="64" t="n">
        <v>81152.1242772519</v>
      </c>
      <c r="U1731" s="64" t="n">
        <v>88039.5849202614</v>
      </c>
      <c r="V1731" s="64" t="n">
        <v>95133.6693825613</v>
      </c>
      <c r="W1731" s="65"/>
    </row>
    <row r="1732" customFormat="false" ht="12.75" hidden="false" customHeight="false" outlineLevel="0" collapsed="false">
      <c r="A1732" s="2"/>
      <c r="B1732" s="117" t="s">
        <v>33</v>
      </c>
      <c r="C1732" s="118" t="n">
        <v>0</v>
      </c>
      <c r="D1732" s="64" t="n">
        <v>-1423.58</v>
      </c>
      <c r="E1732" s="64" t="n">
        <v>-1481.02</v>
      </c>
      <c r="F1732" s="64" t="n">
        <v>-1540.83</v>
      </c>
      <c r="G1732" s="64" t="n">
        <v>-1609.33</v>
      </c>
      <c r="H1732" s="64" t="n">
        <v>-100000</v>
      </c>
      <c r="I1732" s="64" t="n">
        <v>-103000</v>
      </c>
      <c r="J1732" s="64" t="n">
        <v>-106090</v>
      </c>
      <c r="K1732" s="64" t="n">
        <v>-109272.7</v>
      </c>
      <c r="L1732" s="64" t="n">
        <v>-112550.881</v>
      </c>
      <c r="M1732" s="64" t="n">
        <v>-115927.40743</v>
      </c>
      <c r="N1732" s="64" t="n">
        <v>-119405.2296529</v>
      </c>
      <c r="O1732" s="64" t="n">
        <v>-122987.386542487</v>
      </c>
      <c r="P1732" s="64" t="n">
        <v>-126677.008138762</v>
      </c>
      <c r="Q1732" s="64" t="n">
        <v>-130477.318382924</v>
      </c>
      <c r="R1732" s="64" t="n">
        <v>-134391.637934412</v>
      </c>
      <c r="S1732" s="64" t="n">
        <v>-138423.387072445</v>
      </c>
      <c r="T1732" s="64" t="n">
        <v>-142576.088684618</v>
      </c>
      <c r="U1732" s="64" t="n">
        <v>-146853.371345156</v>
      </c>
      <c r="V1732" s="64" t="n">
        <v>-151258.972485511</v>
      </c>
      <c r="W1732" s="65"/>
    </row>
    <row r="1733" customFormat="false" ht="13.5" hidden="false" customHeight="false" outlineLevel="0" collapsed="false">
      <c r="A1733" s="2"/>
      <c r="B1733" s="119" t="s">
        <v>34</v>
      </c>
      <c r="C1733" s="120" t="n">
        <v>0</v>
      </c>
      <c r="D1733" s="68" t="n">
        <v>0</v>
      </c>
      <c r="E1733" s="68" t="n">
        <v>0</v>
      </c>
      <c r="F1733" s="68" t="n">
        <v>0</v>
      </c>
      <c r="G1733" s="68" t="n">
        <v>0</v>
      </c>
      <c r="H1733" s="68" t="n">
        <v>0</v>
      </c>
      <c r="I1733" s="68" t="n">
        <v>0</v>
      </c>
      <c r="J1733" s="68" t="n">
        <v>0</v>
      </c>
      <c r="K1733" s="68" t="n">
        <v>0</v>
      </c>
      <c r="L1733" s="68" t="n">
        <v>0</v>
      </c>
      <c r="M1733" s="68" t="n">
        <v>0</v>
      </c>
      <c r="N1733" s="68" t="n">
        <v>0</v>
      </c>
      <c r="O1733" s="68" t="n">
        <v>0</v>
      </c>
      <c r="P1733" s="68" t="n">
        <v>0</v>
      </c>
      <c r="Q1733" s="68" t="n">
        <v>0</v>
      </c>
      <c r="R1733" s="68" t="n">
        <v>0</v>
      </c>
      <c r="S1733" s="68" t="n">
        <v>0</v>
      </c>
      <c r="T1733" s="68" t="n">
        <v>0</v>
      </c>
      <c r="U1733" s="68" t="n">
        <v>0</v>
      </c>
      <c r="V1733" s="68" t="n">
        <v>0</v>
      </c>
      <c r="W1733" s="65"/>
    </row>
    <row r="1734" customFormat="false" ht="13.5" hidden="false" customHeight="false" outlineLevel="0" collapsed="false">
      <c r="A1734" s="2"/>
      <c r="B1734" s="117"/>
      <c r="C1734" s="124"/>
      <c r="D1734" s="65"/>
      <c r="E1734" s="65"/>
      <c r="F1734" s="65"/>
      <c r="G1734" s="65"/>
      <c r="H1734" s="65"/>
      <c r="I1734" s="65"/>
      <c r="J1734" s="65"/>
      <c r="K1734" s="65"/>
      <c r="L1734" s="65"/>
      <c r="M1734" s="65"/>
      <c r="N1734" s="65"/>
      <c r="O1734" s="65"/>
      <c r="P1734" s="65"/>
      <c r="Q1734" s="65"/>
      <c r="R1734" s="65"/>
      <c r="S1734" s="65"/>
      <c r="T1734" s="65"/>
      <c r="U1734" s="65"/>
      <c r="V1734" s="65"/>
      <c r="W1734" s="65"/>
    </row>
    <row r="1735" customFormat="false" ht="12.75" hidden="false" customHeight="false" outlineLevel="0" collapsed="false">
      <c r="A1735" s="2"/>
      <c r="B1735" s="121" t="s">
        <v>35</v>
      </c>
      <c r="C1735" s="123" t="n">
        <v>0</v>
      </c>
      <c r="D1735" s="73" t="n">
        <v>1892070.81374419</v>
      </c>
      <c r="E1735" s="73" t="n">
        <v>1322894.62854321</v>
      </c>
      <c r="F1735" s="73" t="n">
        <v>1058292.5803176</v>
      </c>
      <c r="G1735" s="73" t="n">
        <v>854778.877887044</v>
      </c>
      <c r="H1735" s="73" t="n">
        <v>737561.399839373</v>
      </c>
      <c r="I1735" s="73" t="n">
        <v>529191.662685475</v>
      </c>
      <c r="J1735" s="73" t="n">
        <v>599640.694151393</v>
      </c>
      <c r="K1735" s="73" t="n">
        <v>953623.673009733</v>
      </c>
      <c r="L1735" s="73" t="n">
        <v>960636.944791472</v>
      </c>
      <c r="M1735" s="73" t="n">
        <v>1083390.04802126</v>
      </c>
      <c r="N1735" s="73" t="n">
        <v>730006.518197174</v>
      </c>
      <c r="O1735" s="73" t="n">
        <v>906556.874080396</v>
      </c>
      <c r="P1735" s="73" t="n">
        <v>865991.788732743</v>
      </c>
      <c r="Q1735" s="73" t="n">
        <v>1085266.25922072</v>
      </c>
      <c r="R1735" s="73" t="n">
        <v>819884.548342688</v>
      </c>
      <c r="S1735" s="73" t="n">
        <v>582591.302942087</v>
      </c>
      <c r="T1735" s="73" t="n">
        <v>711967.020656284</v>
      </c>
      <c r="U1735" s="73" t="n">
        <v>925675.020623499</v>
      </c>
      <c r="V1735" s="73" t="n">
        <v>705592.138066523</v>
      </c>
      <c r="W1735" s="71" t="n">
        <v>5171833.90962287</v>
      </c>
    </row>
    <row r="1736" customFormat="false" ht="12.75" hidden="false" customHeight="false" outlineLevel="0" collapsed="false">
      <c r="A1736" s="2"/>
      <c r="B1736" s="125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</row>
    <row r="1737" customFormat="false" ht="12.75" hidden="false" customHeight="false" outlineLevel="0" collapsed="false">
      <c r="A1737" s="48" t="s">
        <v>36</v>
      </c>
      <c r="B1737" s="126" t="s">
        <v>37</v>
      </c>
      <c r="C1737" s="76" t="n">
        <v>4650269.67649583</v>
      </c>
      <c r="D1737" s="2"/>
      <c r="E1737" s="127" t="s">
        <v>38</v>
      </c>
      <c r="F1737" s="128" t="s">
        <v>37</v>
      </c>
      <c r="G1737" s="79" t="n">
        <v>4650269.67649583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</row>
    <row r="1738" customFormat="false" ht="12.75" hidden="false" customHeight="false" outlineLevel="0" collapsed="false">
      <c r="A1738" s="2"/>
      <c r="B1738" s="126" t="s">
        <v>39</v>
      </c>
      <c r="C1738" s="76" t="n">
        <v>3703529.06682512</v>
      </c>
      <c r="D1738" s="2"/>
      <c r="E1738" s="129"/>
      <c r="F1738" s="128" t="s">
        <v>39</v>
      </c>
      <c r="G1738" s="79" t="n">
        <v>3703529.06682512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</row>
    <row r="1739" customFormat="false" ht="13.5" hidden="false" customHeight="false" outlineLevel="0" collapsed="false">
      <c r="A1739" s="2"/>
      <c r="B1739" s="130" t="s">
        <v>40</v>
      </c>
      <c r="C1739" s="82" t="n">
        <v>768760.155864634</v>
      </c>
      <c r="D1739" s="131"/>
      <c r="E1739" s="129"/>
      <c r="F1739" s="128" t="s">
        <v>40</v>
      </c>
      <c r="G1739" s="79" t="n">
        <v>768760.155864634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customFormat="false" ht="14.25" hidden="false" customHeight="false" outlineLevel="0" collapsed="false">
      <c r="A1740" s="2"/>
      <c r="B1740" s="126" t="s">
        <v>41</v>
      </c>
      <c r="C1740" s="76" t="n">
        <v>9122558.89918559</v>
      </c>
      <c r="D1740" s="132"/>
      <c r="E1740" s="129"/>
      <c r="F1740" s="133" t="s">
        <v>42</v>
      </c>
      <c r="G1740" s="85" t="n">
        <v>0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customFormat="false" ht="13.5" hidden="false" customHeight="false" outlineLevel="0" collapsed="false">
      <c r="A1741" s="2"/>
      <c r="B1741" s="125"/>
      <c r="C1741" s="134"/>
      <c r="D1741" s="2"/>
      <c r="E1741" s="135"/>
      <c r="F1741" s="128" t="s">
        <v>41</v>
      </c>
      <c r="G1741" s="79" t="n">
        <v>9122558.89918559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</row>
    <row r="1742" customFormat="false" ht="12.75" hidden="false" customHeight="false" outlineLevel="0" collapsed="false">
      <c r="A1742" s="2"/>
      <c r="B1742" s="125"/>
      <c r="C1742" s="134"/>
      <c r="D1742" s="2"/>
      <c r="E1742" s="135"/>
      <c r="F1742" s="128"/>
      <c r="G1742" s="136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</row>
    <row r="1743" customFormat="false" ht="12.75" hidden="false" customHeight="false" outlineLevel="0" collapsed="false">
      <c r="A1743" s="2"/>
      <c r="B1743" s="125"/>
      <c r="C1743" s="134"/>
      <c r="D1743" s="2"/>
      <c r="E1743" s="135"/>
      <c r="F1743" s="128"/>
      <c r="G1743" s="136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</row>
    <row r="1744" customFormat="false" ht="12.75" hidden="false" customHeight="false" outlineLevel="0" collapsed="false">
      <c r="A1744" s="2"/>
      <c r="B1744" s="137" t="s">
        <v>43</v>
      </c>
      <c r="C1744" s="134"/>
      <c r="D1744" s="2"/>
      <c r="E1744" s="135"/>
      <c r="F1744" s="128"/>
      <c r="G1744" s="136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</row>
    <row r="1745" customFormat="false" ht="12.75" hidden="false" customHeight="false" outlineLevel="0" collapsed="false">
      <c r="A1745" s="87" t="s">
        <v>44</v>
      </c>
      <c r="B1745" s="137" t="s">
        <v>45</v>
      </c>
      <c r="C1745" s="138"/>
      <c r="D1745" s="88" t="n">
        <v>1637120.90636742</v>
      </c>
      <c r="E1745" s="88" t="n">
        <v>1089076.0107284</v>
      </c>
      <c r="F1745" s="88" t="n">
        <v>854526.330858655</v>
      </c>
      <c r="G1745" s="88" t="n">
        <v>681483.736628174</v>
      </c>
      <c r="H1745" s="88" t="n">
        <v>676954.330416531</v>
      </c>
      <c r="I1745" s="88" t="n">
        <v>475637.657480842</v>
      </c>
      <c r="J1745" s="88" t="n">
        <v>542039.702346098</v>
      </c>
      <c r="K1745" s="88" t="n">
        <v>892663.486837</v>
      </c>
      <c r="L1745" s="88" t="n">
        <v>896361.168947577</v>
      </c>
      <c r="M1745" s="88" t="n">
        <v>1016433.29534531</v>
      </c>
      <c r="N1745" s="88" t="n">
        <v>673943.977637889</v>
      </c>
      <c r="O1745" s="88" t="n">
        <v>862027.085260707</v>
      </c>
      <c r="P1745" s="88" t="n">
        <v>819010.6353531</v>
      </c>
      <c r="Q1745" s="88" t="n">
        <v>1095119.85182642</v>
      </c>
      <c r="R1745" s="88" t="n">
        <v>886303.009219482</v>
      </c>
      <c r="S1745" s="88" t="n">
        <v>646549.420730493</v>
      </c>
      <c r="T1745" s="88" t="n">
        <v>773390.98506365</v>
      </c>
      <c r="U1745" s="88" t="n">
        <v>984488.807048394</v>
      </c>
      <c r="V1745" s="88" t="n">
        <v>761717.441169473</v>
      </c>
      <c r="W1745" s="2"/>
    </row>
    <row r="1746" customFormat="false" ht="12.75" hidden="false" customHeight="false" outlineLevel="0" collapsed="false">
      <c r="A1746" s="2"/>
      <c r="B1746" s="125" t="s">
        <v>46</v>
      </c>
      <c r="C1746" s="134"/>
      <c r="D1746" s="65" t="n">
        <v>1091413.93757828</v>
      </c>
      <c r="E1746" s="65" t="n">
        <v>726050.673818931</v>
      </c>
      <c r="F1746" s="65" t="n">
        <v>569684.220572437</v>
      </c>
      <c r="G1746" s="65" t="n">
        <v>454322.491085449</v>
      </c>
      <c r="H1746" s="65" t="n">
        <v>451302.886944354</v>
      </c>
      <c r="I1746" s="65" t="n">
        <v>317091.771653895</v>
      </c>
      <c r="J1746" s="65" t="n">
        <v>361359.801564065</v>
      </c>
      <c r="K1746" s="65" t="n">
        <v>595108.991224667</v>
      </c>
      <c r="L1746" s="65" t="n">
        <v>597574.112631718</v>
      </c>
      <c r="M1746" s="65" t="n">
        <v>677622.196896877</v>
      </c>
      <c r="N1746" s="65" t="n">
        <v>449295.985091926</v>
      </c>
      <c r="O1746" s="65" t="n">
        <v>574684.723507138</v>
      </c>
      <c r="P1746" s="65" t="n">
        <v>546007.0902354</v>
      </c>
      <c r="Q1746" s="65" t="n">
        <v>730079.901217612</v>
      </c>
      <c r="R1746" s="65" t="n">
        <v>590868.672812988</v>
      </c>
      <c r="S1746" s="65" t="n">
        <v>431032.947153662</v>
      </c>
      <c r="T1746" s="65" t="n">
        <v>515593.990042433</v>
      </c>
      <c r="U1746" s="65" t="n">
        <v>656325.871365596</v>
      </c>
      <c r="V1746" s="65" t="n">
        <v>507811.627446315</v>
      </c>
      <c r="W1746" s="2"/>
    </row>
    <row r="1747" customFormat="false" ht="12.75" hidden="false" customHeight="false" outlineLevel="0" collapsed="false">
      <c r="A1747" s="2"/>
      <c r="B1747" s="139" t="s">
        <v>47</v>
      </c>
      <c r="C1747" s="140"/>
      <c r="D1747" s="65" t="n">
        <v>256373.487376777</v>
      </c>
      <c r="E1747" s="65" t="n">
        <v>235299.637814816</v>
      </c>
      <c r="F1747" s="65" t="n">
        <v>205307.079458943</v>
      </c>
      <c r="G1747" s="65" t="n">
        <v>174904.471258869</v>
      </c>
      <c r="H1747" s="65" t="n">
        <v>160607.069422842</v>
      </c>
      <c r="I1747" s="65" t="n">
        <v>156554.005204633</v>
      </c>
      <c r="J1747" s="65" t="n">
        <v>163690.991805296</v>
      </c>
      <c r="K1747" s="65" t="n">
        <v>170232.886172733</v>
      </c>
      <c r="L1747" s="65" t="n">
        <v>176826.656843896</v>
      </c>
      <c r="M1747" s="65" t="n">
        <v>182884.160105948</v>
      </c>
      <c r="N1747" s="65" t="n">
        <v>175467.770212185</v>
      </c>
      <c r="O1747" s="65" t="n">
        <v>167517.175362176</v>
      </c>
      <c r="P1747" s="65" t="n">
        <v>173658.161518404</v>
      </c>
      <c r="Q1747" s="65" t="n">
        <v>120623.725777227</v>
      </c>
      <c r="R1747" s="65" t="n">
        <v>67973.1770576182</v>
      </c>
      <c r="S1747" s="65" t="n">
        <v>74465.2692840387</v>
      </c>
      <c r="T1747" s="65" t="n">
        <v>81152.1242772519</v>
      </c>
      <c r="U1747" s="65" t="n">
        <v>88039.5849202614</v>
      </c>
      <c r="V1747" s="65" t="n">
        <v>95133.6693825613</v>
      </c>
      <c r="W1747" s="2"/>
    </row>
    <row r="1748" customFormat="false" ht="13.5" hidden="false" customHeight="false" outlineLevel="0" collapsed="false">
      <c r="A1748" s="2"/>
      <c r="B1748" s="141" t="s">
        <v>48</v>
      </c>
      <c r="C1748" s="142"/>
      <c r="D1748" s="93" t="n">
        <v>2984908.33132247</v>
      </c>
      <c r="E1748" s="93" t="n">
        <v>2050426.32236214</v>
      </c>
      <c r="F1748" s="93" t="n">
        <v>1629517.63089003</v>
      </c>
      <c r="G1748" s="93" t="n">
        <v>1310710.69897249</v>
      </c>
      <c r="H1748" s="93" t="n">
        <v>1288864.28678373</v>
      </c>
      <c r="I1748" s="93" t="n">
        <v>949283.43433937</v>
      </c>
      <c r="J1748" s="93" t="n">
        <v>1067090.49571546</v>
      </c>
      <c r="K1748" s="93" t="n">
        <v>1658005.3642344</v>
      </c>
      <c r="L1748" s="93" t="n">
        <v>1670761.93842319</v>
      </c>
      <c r="M1748" s="93" t="n">
        <v>1876939.65234814</v>
      </c>
      <c r="N1748" s="93" t="n">
        <v>1298707.732942</v>
      </c>
      <c r="O1748" s="93" t="n">
        <v>1604228.98413002</v>
      </c>
      <c r="P1748" s="93" t="n">
        <v>1538675.88710691</v>
      </c>
      <c r="Q1748" s="93" t="n">
        <v>1945823.47882126</v>
      </c>
      <c r="R1748" s="93" t="n">
        <v>1545144.85909009</v>
      </c>
      <c r="S1748" s="93" t="n">
        <v>1152047.63716819</v>
      </c>
      <c r="T1748" s="93" t="n">
        <v>1370137.09938333</v>
      </c>
      <c r="U1748" s="93" t="n">
        <v>1728854.26333425</v>
      </c>
      <c r="V1748" s="93" t="n">
        <v>1364662.73799835</v>
      </c>
      <c r="W1748" s="2"/>
    </row>
    <row r="1749" customFormat="false" ht="13.5" hidden="false" customHeight="false" outlineLevel="0" collapsed="false">
      <c r="A1749" s="87" t="s">
        <v>49</v>
      </c>
      <c r="B1749" s="125" t="s">
        <v>50</v>
      </c>
      <c r="C1749" s="134"/>
      <c r="D1749" s="65" t="n">
        <v>-572072.685698323</v>
      </c>
      <c r="E1749" s="65" t="n">
        <v>-571105.994308152</v>
      </c>
      <c r="F1749" s="65" t="n">
        <v>-567419.223154391</v>
      </c>
      <c r="G1749" s="65" t="n">
        <v>-551343.674610459</v>
      </c>
      <c r="H1749" s="65" t="n">
        <v>-509959.226511037</v>
      </c>
      <c r="I1749" s="65" t="n">
        <v>-515109.226511037</v>
      </c>
      <c r="J1749" s="65" t="n">
        <v>-297727.48179906</v>
      </c>
      <c r="K1749" s="65" t="n">
        <v>-109683.597234149</v>
      </c>
      <c r="L1749" s="65" t="n">
        <v>-115116.44440495</v>
      </c>
      <c r="M1749" s="65" t="n">
        <v>-113527.919556791</v>
      </c>
      <c r="N1749" s="65" t="n">
        <v>-63875.9276846459</v>
      </c>
      <c r="O1749" s="65" t="n">
        <v>-70025.2970117703</v>
      </c>
      <c r="P1749" s="65" t="n">
        <v>-76359.1474187083</v>
      </c>
      <c r="Q1749" s="65" t="n">
        <v>-82883.0133378546</v>
      </c>
      <c r="R1749" s="65" t="n">
        <v>-89602.5952345752</v>
      </c>
      <c r="S1749" s="65" t="n">
        <v>-96173.3772123575</v>
      </c>
      <c r="T1749" s="65" t="n">
        <v>-102354.939623377</v>
      </c>
      <c r="U1749" s="65" t="n">
        <v>-109697.608190635</v>
      </c>
      <c r="V1749" s="65" t="n">
        <v>-117260.556814911</v>
      </c>
      <c r="W1749" s="2"/>
    </row>
    <row r="1750" customFormat="false" ht="12.75" hidden="false" customHeight="false" outlineLevel="0" collapsed="false">
      <c r="A1750" s="2"/>
      <c r="B1750" s="125" t="s">
        <v>51</v>
      </c>
      <c r="C1750" s="134"/>
      <c r="D1750" s="65" t="n">
        <v>0</v>
      </c>
      <c r="E1750" s="65" t="n">
        <v>0</v>
      </c>
      <c r="F1750" s="65" t="n">
        <v>0</v>
      </c>
      <c r="G1750" s="65" t="n">
        <v>0</v>
      </c>
      <c r="H1750" s="65" t="n">
        <v>0</v>
      </c>
      <c r="I1750" s="65" t="n">
        <v>0</v>
      </c>
      <c r="J1750" s="65" t="n">
        <v>0</v>
      </c>
      <c r="K1750" s="65" t="n">
        <v>0</v>
      </c>
      <c r="L1750" s="65" t="n">
        <v>0</v>
      </c>
      <c r="M1750" s="65" t="n">
        <v>0</v>
      </c>
      <c r="N1750" s="65" t="n">
        <v>0</v>
      </c>
      <c r="O1750" s="65" t="n">
        <v>0</v>
      </c>
      <c r="P1750" s="65" t="n">
        <v>0</v>
      </c>
      <c r="Q1750" s="65" t="n">
        <v>0</v>
      </c>
      <c r="R1750" s="65" t="n">
        <v>0</v>
      </c>
      <c r="S1750" s="65" t="n">
        <v>0</v>
      </c>
      <c r="T1750" s="65" t="n">
        <v>0</v>
      </c>
      <c r="U1750" s="65" t="n">
        <v>0</v>
      </c>
      <c r="V1750" s="65" t="n">
        <v>0</v>
      </c>
      <c r="W1750" s="2"/>
    </row>
    <row r="1751" customFormat="false" ht="12.75" hidden="false" customHeight="false" outlineLevel="0" collapsed="false">
      <c r="A1751" s="2"/>
      <c r="B1751" s="137" t="s">
        <v>52</v>
      </c>
      <c r="C1751" s="138"/>
      <c r="D1751" s="88" t="n">
        <v>2412835.64562415</v>
      </c>
      <c r="E1751" s="88" t="n">
        <v>1479320.32805399</v>
      </c>
      <c r="F1751" s="88" t="n">
        <v>1062098.40773564</v>
      </c>
      <c r="G1751" s="88" t="n">
        <v>759367.024362034</v>
      </c>
      <c r="H1751" s="88" t="n">
        <v>778905.06027269</v>
      </c>
      <c r="I1751" s="88" t="n">
        <v>434174.207828333</v>
      </c>
      <c r="J1751" s="88" t="n">
        <v>769363.013916398</v>
      </c>
      <c r="K1751" s="88" t="n">
        <v>1548321.76700025</v>
      </c>
      <c r="L1751" s="88" t="n">
        <v>1555645.49401824</v>
      </c>
      <c r="M1751" s="88" t="n">
        <v>1763411.73279135</v>
      </c>
      <c r="N1751" s="88" t="n">
        <v>1234831.80525735</v>
      </c>
      <c r="O1751" s="88" t="n">
        <v>1534203.68711825</v>
      </c>
      <c r="P1751" s="88" t="n">
        <v>1462316.7396882</v>
      </c>
      <c r="Q1751" s="88" t="n">
        <v>1862940.4654834</v>
      </c>
      <c r="R1751" s="88" t="n">
        <v>1455542.26385551</v>
      </c>
      <c r="S1751" s="88" t="n">
        <v>1055874.25995584</v>
      </c>
      <c r="T1751" s="88" t="n">
        <v>1267782.15975996</v>
      </c>
      <c r="U1751" s="88" t="n">
        <v>1619156.65514362</v>
      </c>
      <c r="V1751" s="88" t="n">
        <v>1247402.18118344</v>
      </c>
      <c r="W1751" s="2"/>
    </row>
    <row r="1752" customFormat="false" ht="13.5" hidden="false" customHeight="false" outlineLevel="0" collapsed="false">
      <c r="A1752" s="2"/>
      <c r="B1752" s="143" t="s">
        <v>53</v>
      </c>
      <c r="C1752" s="144"/>
      <c r="D1752" s="96" t="n">
        <v>-965134.258249659</v>
      </c>
      <c r="E1752" s="96" t="n">
        <v>-591728.131221597</v>
      </c>
      <c r="F1752" s="96" t="n">
        <v>-424839.363094257</v>
      </c>
      <c r="G1752" s="96" t="n">
        <v>-303746.809744814</v>
      </c>
      <c r="H1752" s="96" t="n">
        <v>-311562.024109076</v>
      </c>
      <c r="I1752" s="96" t="n">
        <v>-173669.683131333</v>
      </c>
      <c r="J1752" s="96" t="n">
        <v>-307745.205566559</v>
      </c>
      <c r="K1752" s="96" t="n">
        <v>-619328.7068001</v>
      </c>
      <c r="L1752" s="96" t="n">
        <v>-622258.197607296</v>
      </c>
      <c r="M1752" s="96" t="n">
        <v>-705364.693116539</v>
      </c>
      <c r="N1752" s="96" t="n">
        <v>-493932.722102942</v>
      </c>
      <c r="O1752" s="96" t="n">
        <v>-613681.4748473</v>
      </c>
      <c r="P1752" s="96" t="n">
        <v>-584926.695875279</v>
      </c>
      <c r="Q1752" s="96" t="n">
        <v>-745176.186193361</v>
      </c>
      <c r="R1752" s="96" t="n">
        <v>-582216.905542205</v>
      </c>
      <c r="S1752" s="96" t="n">
        <v>-422349.703982335</v>
      </c>
      <c r="T1752" s="96" t="n">
        <v>-507112.863903983</v>
      </c>
      <c r="U1752" s="96" t="n">
        <v>-647662.662057447</v>
      </c>
      <c r="V1752" s="96" t="n">
        <v>-498960.872473375</v>
      </c>
      <c r="W1752" s="2"/>
    </row>
    <row r="1753" customFormat="false" ht="13.5" hidden="false" customHeight="false" outlineLevel="0" collapsed="false">
      <c r="A1753" s="2"/>
      <c r="B1753" s="137" t="s">
        <v>54</v>
      </c>
      <c r="C1753" s="138"/>
      <c r="D1753" s="88" t="n">
        <v>1447701.38737449</v>
      </c>
      <c r="E1753" s="88" t="n">
        <v>887592.196832395</v>
      </c>
      <c r="F1753" s="88" t="n">
        <v>637259.044641386</v>
      </c>
      <c r="G1753" s="88" t="n">
        <v>455620.21461722</v>
      </c>
      <c r="H1753" s="88" t="n">
        <v>467343.036163614</v>
      </c>
      <c r="I1753" s="88" t="n">
        <v>260504.524697</v>
      </c>
      <c r="J1753" s="88" t="n">
        <v>461617.808349839</v>
      </c>
      <c r="K1753" s="88" t="n">
        <v>928993.06020015</v>
      </c>
      <c r="L1753" s="88" t="n">
        <v>933387.296410944</v>
      </c>
      <c r="M1753" s="88" t="n">
        <v>1058047.03967481</v>
      </c>
      <c r="N1753" s="88" t="n">
        <v>740899.083154412</v>
      </c>
      <c r="O1753" s="88" t="n">
        <v>920522.21227095</v>
      </c>
      <c r="P1753" s="88" t="n">
        <v>877390.043812918</v>
      </c>
      <c r="Q1753" s="88" t="n">
        <v>1117764.27929004</v>
      </c>
      <c r="R1753" s="88" t="n">
        <v>873325.358313308</v>
      </c>
      <c r="S1753" s="88" t="n">
        <v>633524.555973502</v>
      </c>
      <c r="T1753" s="88" t="n">
        <v>760669.295855974</v>
      </c>
      <c r="U1753" s="88" t="n">
        <v>971493.99308617</v>
      </c>
      <c r="V1753" s="88" t="n">
        <v>748441.308710063</v>
      </c>
      <c r="W1753" s="2"/>
    </row>
    <row r="1754" customFormat="false" ht="12.75" hidden="false" customHeight="false" outlineLevel="0" collapsed="false">
      <c r="A1754" s="2"/>
      <c r="B1754" s="2"/>
      <c r="C1754" s="134"/>
      <c r="D1754" s="2"/>
      <c r="E1754" s="135"/>
      <c r="F1754" s="128"/>
      <c r="G1754" s="136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</row>
    <row r="1755" customFormat="false" ht="15.75" hidden="false" customHeight="false" outlineLevel="0" collapsed="false">
      <c r="A1755" s="97" t="s">
        <v>55</v>
      </c>
      <c r="B1755" s="145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</row>
    <row r="1756" customFormat="false" ht="12.75" hidden="false" customHeight="false" outlineLevel="0" collapsed="false">
      <c r="A1756" s="99" t="s">
        <v>56</v>
      </c>
      <c r="B1756" s="49"/>
      <c r="C1756" s="101" t="n">
        <v>0</v>
      </c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</row>
    <row r="1757" customFormat="false" ht="12.75" hidden="false" customHeight="false" outlineLevel="0" collapsed="false">
      <c r="A1757" s="99" t="s">
        <v>57</v>
      </c>
      <c r="B1757" s="49"/>
      <c r="C1757" s="146" t="n">
        <v>0</v>
      </c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</row>
    <row r="1758" customFormat="false" ht="12.75" hidden="false" customHeight="false" outlineLevel="0" collapsed="false">
      <c r="A1758" s="99" t="s">
        <v>58</v>
      </c>
      <c r="B1758" s="49"/>
      <c r="C1758" s="99" t="n">
        <v>15</v>
      </c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</row>
    <row r="1759" customFormat="false" ht="12.75" hidden="false" customHeight="false" outlineLevel="0" collapsed="false">
      <c r="A1759" s="99" t="s">
        <v>59</v>
      </c>
      <c r="B1759" s="49"/>
      <c r="C1759" s="146" t="n">
        <v>0</v>
      </c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</row>
    <row r="1760" customFormat="false" ht="12.75" hidden="false" customHeight="false" outlineLevel="0" collapsed="false">
      <c r="A1760" s="99" t="s">
        <v>60</v>
      </c>
      <c r="B1760" s="49"/>
      <c r="C1760" s="147" t="n">
        <v>0.0875</v>
      </c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</row>
    <row r="1761" customFormat="false" ht="12.75" hidden="false" customHeight="false" outlineLevel="0" collapsed="false">
      <c r="A1761" s="99"/>
      <c r="B1761" s="49"/>
      <c r="C1761" s="107"/>
      <c r="D1761" s="58" t="n">
        <v>2001</v>
      </c>
      <c r="E1761" s="58" t="n">
        <v>2002</v>
      </c>
      <c r="F1761" s="58" t="n">
        <v>2003</v>
      </c>
      <c r="G1761" s="58" t="n">
        <v>2004</v>
      </c>
      <c r="H1761" s="58" t="n">
        <v>2005</v>
      </c>
      <c r="I1761" s="58" t="n">
        <v>2006</v>
      </c>
      <c r="J1761" s="58" t="n">
        <v>2007</v>
      </c>
      <c r="K1761" s="58" t="n">
        <v>2008</v>
      </c>
      <c r="L1761" s="58" t="n">
        <v>2009</v>
      </c>
      <c r="M1761" s="58" t="n">
        <v>2010</v>
      </c>
      <c r="N1761" s="58" t="n">
        <v>2011</v>
      </c>
      <c r="O1761" s="58" t="n">
        <v>2012</v>
      </c>
      <c r="P1761" s="58" t="n">
        <v>2013</v>
      </c>
      <c r="Q1761" s="58" t="n">
        <v>2014</v>
      </c>
      <c r="R1761" s="58" t="n">
        <v>2015</v>
      </c>
      <c r="S1761" s="58" t="n">
        <v>2016</v>
      </c>
      <c r="T1761" s="58" t="n">
        <v>2017</v>
      </c>
      <c r="U1761" s="58" t="n">
        <v>2018</v>
      </c>
      <c r="V1761" s="58" t="n">
        <v>2019</v>
      </c>
      <c r="W1761" s="58" t="s">
        <v>19</v>
      </c>
    </row>
    <row r="1762" customFormat="false" ht="12.75" hidden="false" customHeight="false" outlineLevel="0" collapsed="false">
      <c r="A1762" s="99" t="s">
        <v>61</v>
      </c>
      <c r="B1762" s="49"/>
      <c r="C1762" s="107"/>
      <c r="D1762" s="102" t="n">
        <v>0</v>
      </c>
      <c r="E1762" s="102" t="n">
        <v>0</v>
      </c>
      <c r="F1762" s="102" t="n">
        <v>0</v>
      </c>
      <c r="G1762" s="102" t="n">
        <v>0</v>
      </c>
      <c r="H1762" s="102" t="n">
        <v>0</v>
      </c>
      <c r="I1762" s="102" t="n">
        <v>0</v>
      </c>
      <c r="J1762" s="102" t="n">
        <v>0</v>
      </c>
      <c r="K1762" s="102" t="n">
        <v>0</v>
      </c>
      <c r="L1762" s="102" t="n">
        <v>0</v>
      </c>
      <c r="M1762" s="102" t="n">
        <v>0</v>
      </c>
      <c r="N1762" s="102" t="n">
        <v>0</v>
      </c>
      <c r="O1762" s="102" t="n">
        <v>0</v>
      </c>
      <c r="P1762" s="102" t="n">
        <v>0</v>
      </c>
      <c r="Q1762" s="102" t="n">
        <v>0</v>
      </c>
      <c r="R1762" s="102" t="n">
        <v>0</v>
      </c>
      <c r="S1762" s="102" t="n">
        <v>0</v>
      </c>
      <c r="T1762" s="102" t="n">
        <v>0</v>
      </c>
      <c r="U1762" s="102" t="n">
        <v>0</v>
      </c>
      <c r="V1762" s="102" t="n">
        <v>0</v>
      </c>
      <c r="W1762" s="102" t="n">
        <v>0</v>
      </c>
    </row>
    <row r="1763" customFormat="false" ht="12.75" hidden="false" customHeight="false" outlineLevel="0" collapsed="false">
      <c r="A1763" s="99" t="s">
        <v>62</v>
      </c>
      <c r="B1763" s="49"/>
      <c r="C1763" s="107"/>
      <c r="D1763" s="102" t="n">
        <v>0</v>
      </c>
      <c r="E1763" s="102" t="n">
        <v>0</v>
      </c>
      <c r="F1763" s="102" t="n">
        <v>0</v>
      </c>
      <c r="G1763" s="102" t="n">
        <v>0</v>
      </c>
      <c r="H1763" s="102" t="n">
        <v>0</v>
      </c>
      <c r="I1763" s="102" t="n">
        <v>0</v>
      </c>
      <c r="J1763" s="102" t="n">
        <v>0</v>
      </c>
      <c r="K1763" s="102" t="n">
        <v>0</v>
      </c>
      <c r="L1763" s="102" t="n">
        <v>0</v>
      </c>
      <c r="M1763" s="102" t="n">
        <v>0</v>
      </c>
      <c r="N1763" s="102" t="n">
        <v>0</v>
      </c>
      <c r="O1763" s="102" t="n">
        <v>0</v>
      </c>
      <c r="P1763" s="102" t="n">
        <v>0</v>
      </c>
      <c r="Q1763" s="102" t="n">
        <v>0</v>
      </c>
      <c r="R1763" s="102" t="n">
        <v>0</v>
      </c>
      <c r="S1763" s="102" t="n">
        <v>0</v>
      </c>
      <c r="T1763" s="102" t="n">
        <v>0</v>
      </c>
      <c r="U1763" s="102" t="n">
        <v>0</v>
      </c>
      <c r="V1763" s="102" t="n">
        <v>0</v>
      </c>
      <c r="W1763" s="102" t="n">
        <v>0</v>
      </c>
    </row>
    <row r="1764" customFormat="false" ht="12.75" hidden="false" customHeight="false" outlineLevel="0" collapsed="false">
      <c r="A1764" s="99" t="s">
        <v>63</v>
      </c>
      <c r="B1764" s="49"/>
      <c r="C1764" s="107"/>
      <c r="D1764" s="102" t="n">
        <v>0</v>
      </c>
      <c r="E1764" s="102" t="n">
        <v>0</v>
      </c>
      <c r="F1764" s="102" t="n">
        <v>0</v>
      </c>
      <c r="G1764" s="102" t="n">
        <v>0</v>
      </c>
      <c r="H1764" s="102" t="n">
        <v>0</v>
      </c>
      <c r="I1764" s="102" t="n">
        <v>0</v>
      </c>
      <c r="J1764" s="102" t="n">
        <v>0</v>
      </c>
      <c r="K1764" s="102" t="n">
        <v>0</v>
      </c>
      <c r="L1764" s="102" t="n">
        <v>0</v>
      </c>
      <c r="M1764" s="102" t="n">
        <v>0</v>
      </c>
      <c r="N1764" s="102" t="n">
        <v>0</v>
      </c>
      <c r="O1764" s="102" t="n">
        <v>0</v>
      </c>
      <c r="P1764" s="102" t="n">
        <v>0</v>
      </c>
      <c r="Q1764" s="102" t="n">
        <v>0</v>
      </c>
      <c r="R1764" s="102" t="n">
        <v>0</v>
      </c>
      <c r="S1764" s="102" t="n">
        <v>0</v>
      </c>
      <c r="T1764" s="102" t="n">
        <v>0</v>
      </c>
      <c r="U1764" s="102" t="n">
        <v>0</v>
      </c>
      <c r="V1764" s="102" t="n">
        <v>0</v>
      </c>
      <c r="W1764" s="102" t="n">
        <v>0</v>
      </c>
    </row>
    <row r="1765" customFormat="false" ht="12.75" hidden="false" customHeight="false" outlineLevel="0" collapsed="false">
      <c r="A1765" s="99" t="s">
        <v>64</v>
      </c>
      <c r="B1765" s="49"/>
      <c r="C1765" s="107"/>
      <c r="D1765" s="105" t="n">
        <v>0</v>
      </c>
      <c r="E1765" s="105" t="n">
        <v>0</v>
      </c>
      <c r="F1765" s="105" t="n">
        <v>0</v>
      </c>
      <c r="G1765" s="105" t="n">
        <v>0</v>
      </c>
      <c r="H1765" s="105" t="n">
        <v>0</v>
      </c>
      <c r="I1765" s="105" t="n">
        <v>0</v>
      </c>
      <c r="J1765" s="105" t="n">
        <v>0</v>
      </c>
      <c r="K1765" s="105" t="n">
        <v>0</v>
      </c>
      <c r="L1765" s="105" t="n">
        <v>0</v>
      </c>
      <c r="M1765" s="105" t="n">
        <v>0</v>
      </c>
      <c r="N1765" s="105" t="n">
        <v>0</v>
      </c>
      <c r="O1765" s="105" t="n">
        <v>0</v>
      </c>
      <c r="P1765" s="105" t="n">
        <v>0</v>
      </c>
      <c r="Q1765" s="105" t="n">
        <v>0</v>
      </c>
      <c r="R1765" s="105" t="n">
        <v>0</v>
      </c>
      <c r="S1765" s="105" t="n">
        <v>0</v>
      </c>
      <c r="T1765" s="105" t="n">
        <v>0</v>
      </c>
      <c r="U1765" s="105" t="n">
        <v>0</v>
      </c>
      <c r="V1765" s="105" t="n">
        <v>0</v>
      </c>
      <c r="W1765" s="105" t="n">
        <v>0</v>
      </c>
    </row>
    <row r="1766" customFormat="false" ht="13.5" hidden="false" customHeight="false" outlineLevel="0" collapsed="false">
      <c r="A1766" s="99" t="s">
        <v>65</v>
      </c>
      <c r="B1766" s="49"/>
      <c r="C1766" s="107"/>
      <c r="D1766" s="106" t="n">
        <v>0</v>
      </c>
      <c r="E1766" s="106" t="n">
        <v>0</v>
      </c>
      <c r="F1766" s="106" t="n">
        <v>0</v>
      </c>
      <c r="G1766" s="106" t="n">
        <v>0</v>
      </c>
      <c r="H1766" s="106" t="n">
        <v>0</v>
      </c>
      <c r="I1766" s="106" t="n">
        <v>0</v>
      </c>
      <c r="J1766" s="106" t="n">
        <v>0</v>
      </c>
      <c r="K1766" s="106" t="n">
        <v>0</v>
      </c>
      <c r="L1766" s="106" t="n">
        <v>0</v>
      </c>
      <c r="M1766" s="106" t="n">
        <v>0</v>
      </c>
      <c r="N1766" s="106" t="n">
        <v>0</v>
      </c>
      <c r="O1766" s="106" t="n">
        <v>0</v>
      </c>
      <c r="P1766" s="106" t="n">
        <v>0</v>
      </c>
      <c r="Q1766" s="106" t="n">
        <v>0</v>
      </c>
      <c r="R1766" s="106" t="n">
        <v>0</v>
      </c>
      <c r="S1766" s="106" t="n">
        <v>0</v>
      </c>
      <c r="T1766" s="106" t="n">
        <v>0</v>
      </c>
      <c r="U1766" s="106" t="n">
        <v>0</v>
      </c>
      <c r="V1766" s="106" t="n">
        <v>0</v>
      </c>
      <c r="W1766" s="106" t="n">
        <v>0</v>
      </c>
    </row>
    <row r="1767" customFormat="false" ht="13.5" hidden="false" customHeight="false" outlineLevel="0" collapsed="false">
      <c r="A1767" s="99"/>
      <c r="B1767" s="49"/>
      <c r="C1767" s="107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  <c r="W1767" s="102"/>
    </row>
    <row r="1768" customFormat="false" ht="12.75" hidden="false" customHeight="false" outlineLevel="0" collapsed="false">
      <c r="A1768" s="99" t="s">
        <v>66</v>
      </c>
      <c r="B1768" s="49"/>
      <c r="C1768" s="107"/>
      <c r="D1768" s="102" t="n">
        <v>0</v>
      </c>
      <c r="E1768" s="102" t="n">
        <v>0</v>
      </c>
      <c r="F1768" s="102" t="n">
        <v>0</v>
      </c>
      <c r="G1768" s="102" t="n">
        <v>0</v>
      </c>
      <c r="H1768" s="102" t="n">
        <v>0</v>
      </c>
      <c r="I1768" s="102" t="n">
        <v>0</v>
      </c>
      <c r="J1768" s="102" t="n">
        <v>0</v>
      </c>
      <c r="K1768" s="102" t="n">
        <v>0</v>
      </c>
      <c r="L1768" s="102" t="n">
        <v>0</v>
      </c>
      <c r="M1768" s="102" t="n">
        <v>0</v>
      </c>
      <c r="N1768" s="102" t="n">
        <v>0</v>
      </c>
      <c r="O1768" s="102" t="n">
        <v>0</v>
      </c>
      <c r="P1768" s="102" t="n">
        <v>0</v>
      </c>
      <c r="Q1768" s="102" t="n">
        <v>0</v>
      </c>
      <c r="R1768" s="102" t="n">
        <v>0</v>
      </c>
      <c r="S1768" s="102" t="n">
        <v>0</v>
      </c>
      <c r="T1768" s="102" t="n">
        <v>0</v>
      </c>
      <c r="U1768" s="102" t="n">
        <v>0</v>
      </c>
      <c r="V1768" s="102" t="n">
        <v>0</v>
      </c>
      <c r="W1768" s="102" t="n">
        <v>0</v>
      </c>
    </row>
    <row r="1769" customFormat="false" ht="12.75" hidden="false" customHeight="false" outlineLevel="0" collapsed="false">
      <c r="A1769" s="99"/>
      <c r="B1769" s="49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</row>
    <row r="1770" customFormat="false" ht="12.75" hidden="false" customHeight="false" outlineLevel="0" collapsed="false">
      <c r="A1770" s="99" t="s">
        <v>67</v>
      </c>
      <c r="B1770" s="49"/>
      <c r="C1770" s="107"/>
      <c r="D1770" s="102" t="n">
        <v>0</v>
      </c>
      <c r="E1770" s="102" t="n">
        <v>0</v>
      </c>
      <c r="F1770" s="102" t="n">
        <v>0</v>
      </c>
      <c r="G1770" s="102" t="n">
        <v>0</v>
      </c>
      <c r="H1770" s="102" t="n">
        <v>0</v>
      </c>
      <c r="I1770" s="102" t="n">
        <v>0</v>
      </c>
      <c r="J1770" s="102" t="n">
        <v>0</v>
      </c>
      <c r="K1770" s="102" t="n">
        <v>0</v>
      </c>
      <c r="L1770" s="102" t="n">
        <v>0</v>
      </c>
      <c r="M1770" s="102" t="n">
        <v>0</v>
      </c>
      <c r="N1770" s="102" t="n">
        <v>0</v>
      </c>
      <c r="O1770" s="102" t="n">
        <v>0</v>
      </c>
      <c r="P1770" s="102" t="n">
        <v>0</v>
      </c>
      <c r="Q1770" s="102" t="n">
        <v>0</v>
      </c>
      <c r="R1770" s="102" t="n">
        <v>0</v>
      </c>
      <c r="S1770" s="102" t="n">
        <v>0</v>
      </c>
      <c r="T1770" s="102" t="n">
        <v>0</v>
      </c>
      <c r="U1770" s="102" t="n">
        <v>0</v>
      </c>
      <c r="V1770" s="102" t="n">
        <v>0</v>
      </c>
      <c r="W1770" s="102" t="n">
        <v>0</v>
      </c>
    </row>
    <row r="1771" customFormat="false" ht="12.75" hidden="false" customHeight="false" outlineLevel="0" collapsed="false">
      <c r="A1771" s="107"/>
      <c r="B1771" s="49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</row>
    <row r="1772" customFormat="false" ht="12.75" hidden="false" customHeight="false" outlineLevel="0" collapsed="false">
      <c r="A1772" s="107"/>
      <c r="B1772" s="49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</row>
    <row r="1773" customFormat="false" ht="12.75" hidden="false" customHeight="false" outlineLevel="0" collapsed="false">
      <c r="A1773" s="99" t="s">
        <v>68</v>
      </c>
      <c r="B1773" s="148"/>
      <c r="C1773" s="149"/>
      <c r="D1773" s="79" t="n">
        <v>1892070.81374419</v>
      </c>
      <c r="E1773" s="79" t="n">
        <v>1322894.62854321</v>
      </c>
      <c r="F1773" s="79" t="n">
        <v>1058292.5803176</v>
      </c>
      <c r="G1773" s="79" t="n">
        <v>854778.877887044</v>
      </c>
      <c r="H1773" s="79" t="n">
        <v>737561.399839373</v>
      </c>
      <c r="I1773" s="79" t="n">
        <v>529191.662685475</v>
      </c>
      <c r="J1773" s="79" t="n">
        <v>599640.694151393</v>
      </c>
      <c r="K1773" s="79" t="n">
        <v>953623.673009733</v>
      </c>
      <c r="L1773" s="79" t="n">
        <v>960636.944791472</v>
      </c>
      <c r="M1773" s="79" t="n">
        <v>1083390.04802126</v>
      </c>
      <c r="N1773" s="79" t="n">
        <v>730006.518197174</v>
      </c>
      <c r="O1773" s="79" t="n">
        <v>906556.874080396</v>
      </c>
      <c r="P1773" s="79" t="n">
        <v>865991.788732743</v>
      </c>
      <c r="Q1773" s="79" t="n">
        <v>1085266.25922072</v>
      </c>
      <c r="R1773" s="79" t="n">
        <v>819884.548342688</v>
      </c>
      <c r="S1773" s="79" t="n">
        <v>582591.302942087</v>
      </c>
      <c r="T1773" s="79" t="n">
        <v>711967.020656284</v>
      </c>
      <c r="U1773" s="79" t="n">
        <v>925675.020623499</v>
      </c>
      <c r="V1773" s="79" t="n">
        <v>705592.138066523</v>
      </c>
      <c r="W1773" s="79" t="n">
        <v>5171833.90962287</v>
      </c>
    </row>
    <row r="1774" customFormat="false" ht="12.75" hidden="false" customHeight="false" outlineLevel="0" collapsed="false">
      <c r="A1774" s="2"/>
      <c r="B1774" s="31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</row>
    <row r="1775" customFormat="false" ht="12.75" hidden="false" customHeight="false" outlineLevel="0" collapsed="false">
      <c r="A1775" s="169"/>
      <c r="B1775" s="115"/>
      <c r="C1775" s="170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customFormat="false" ht="12.75" hidden="false" customHeight="false" outlineLevel="0" collapsed="false">
      <c r="A1776" s="169"/>
      <c r="B1776" s="115"/>
      <c r="C1776" s="170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customFormat="false" ht="12.75" hidden="false" customHeight="false" outlineLevel="0" collapsed="false">
      <c r="A1777" s="169"/>
      <c r="B1777" s="115"/>
      <c r="C1777" s="170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customFormat="false" ht="12.75" hidden="false" customHeight="false" outlineLevel="0" collapsed="false">
      <c r="A1778" s="169"/>
      <c r="B1778" s="115"/>
      <c r="C1778" s="170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customFormat="false" ht="12.75" hidden="false" customHeight="false" outlineLevel="0" collapsed="false">
      <c r="A1779" s="169"/>
      <c r="B1779" s="115"/>
      <c r="C1779" s="170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customFormat="false" ht="12.75" hidden="false" customHeight="false" outlineLevel="0" collapsed="false">
      <c r="A1780" s="169"/>
      <c r="B1780" s="115"/>
      <c r="C1780" s="170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customFormat="false" ht="12.75" hidden="false" customHeight="false" outlineLevel="0" collapsed="false">
      <c r="A1781" s="169"/>
      <c r="B1781" s="115"/>
      <c r="C1781" s="170"/>
      <c r="D1781" s="170"/>
      <c r="E1781" s="170"/>
      <c r="F1781" s="170"/>
      <c r="G1781" s="170"/>
      <c r="H1781" s="170"/>
      <c r="I1781" s="170"/>
      <c r="J1781" s="170"/>
      <c r="K1781" s="170"/>
      <c r="L1781" s="170"/>
      <c r="M1781" s="170"/>
      <c r="N1781" s="170"/>
      <c r="O1781" s="170"/>
      <c r="P1781" s="170"/>
      <c r="Q1781" s="170"/>
      <c r="R1781" s="170"/>
      <c r="S1781" s="170"/>
      <c r="T1781" s="170"/>
      <c r="U1781" s="170"/>
      <c r="V1781" s="170"/>
      <c r="W1781" s="170"/>
    </row>
    <row r="1782" customFormat="false" ht="15.75" hidden="false" customHeight="false" outlineLevel="0" collapsed="false">
      <c r="A1782" s="48" t="s">
        <v>17</v>
      </c>
      <c r="B1782" s="57" t="s">
        <v>96</v>
      </c>
      <c r="C1782" s="58" t="n">
        <v>2000</v>
      </c>
      <c r="D1782" s="58" t="n">
        <v>2001</v>
      </c>
      <c r="E1782" s="58" t="n">
        <v>2002</v>
      </c>
      <c r="F1782" s="58" t="n">
        <v>2003</v>
      </c>
      <c r="G1782" s="58" t="n">
        <v>2004</v>
      </c>
      <c r="H1782" s="58" t="n">
        <v>2005</v>
      </c>
      <c r="I1782" s="58" t="n">
        <v>2006</v>
      </c>
      <c r="J1782" s="58" t="n">
        <v>2007</v>
      </c>
      <c r="K1782" s="58" t="n">
        <v>2008</v>
      </c>
      <c r="L1782" s="58" t="n">
        <v>2009</v>
      </c>
      <c r="M1782" s="58" t="n">
        <v>2010</v>
      </c>
      <c r="N1782" s="58" t="n">
        <v>2011</v>
      </c>
      <c r="O1782" s="58" t="n">
        <v>2012</v>
      </c>
      <c r="P1782" s="58" t="n">
        <v>2013</v>
      </c>
      <c r="Q1782" s="58" t="n">
        <v>2014</v>
      </c>
      <c r="R1782" s="58" t="n">
        <v>2015</v>
      </c>
      <c r="S1782" s="58" t="n">
        <v>2016</v>
      </c>
      <c r="T1782" s="58" t="n">
        <v>2017</v>
      </c>
      <c r="U1782" s="58" t="n">
        <v>2018</v>
      </c>
      <c r="V1782" s="58" t="n">
        <v>2019</v>
      </c>
      <c r="W1782" s="58" t="s">
        <v>19</v>
      </c>
    </row>
    <row r="1783" customFormat="false" ht="12.75" hidden="false" customHeight="false" outlineLevel="0" collapsed="false">
      <c r="A1783" s="48" t="s">
        <v>5</v>
      </c>
      <c r="B1783" s="49" t="n">
        <v>83.433</v>
      </c>
      <c r="C1783" s="61"/>
      <c r="D1783" s="61"/>
      <c r="E1783" s="61"/>
      <c r="F1783" s="61"/>
      <c r="G1783" s="61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</row>
    <row r="1784" customFormat="false" ht="12.75" hidden="false" customHeight="false" outlineLevel="0" collapsed="false">
      <c r="A1784" s="2"/>
      <c r="B1784" s="117" t="s">
        <v>20</v>
      </c>
      <c r="C1784" s="118" t="n">
        <v>0</v>
      </c>
      <c r="D1784" s="64" t="n">
        <v>8202175.39141969</v>
      </c>
      <c r="E1784" s="64" t="n">
        <v>7219125.19556247</v>
      </c>
      <c r="F1784" s="64" t="n">
        <v>6975429.92891035</v>
      </c>
      <c r="G1784" s="64" t="n">
        <v>6698801.53981955</v>
      </c>
      <c r="H1784" s="64" t="n">
        <v>6877286.90124915</v>
      </c>
      <c r="I1784" s="64" t="n">
        <v>7875918.16116401</v>
      </c>
      <c r="J1784" s="64" t="n">
        <v>9532366.51234013</v>
      </c>
      <c r="K1784" s="64" t="n">
        <v>12117113.0103676</v>
      </c>
      <c r="L1784" s="64" t="n">
        <v>12861496.0661958</v>
      </c>
      <c r="M1784" s="64" t="n">
        <v>11066696.0971635</v>
      </c>
      <c r="N1784" s="64" t="n">
        <v>10846097.9980071</v>
      </c>
      <c r="O1784" s="64" t="n">
        <v>10837165.4619768</v>
      </c>
      <c r="P1784" s="64" t="n">
        <v>10010041.08074</v>
      </c>
      <c r="Q1784" s="64" t="n">
        <v>11607660.5992968</v>
      </c>
      <c r="R1784" s="64" t="n">
        <v>10822858.6762665</v>
      </c>
      <c r="S1784" s="64" t="n">
        <v>10915874.0816648</v>
      </c>
      <c r="T1784" s="64" t="n">
        <v>10065899.0774091</v>
      </c>
      <c r="U1784" s="64" t="n">
        <v>11407206.8863037</v>
      </c>
      <c r="V1784" s="64" t="n">
        <v>12342873.4841228</v>
      </c>
      <c r="W1784" s="65"/>
    </row>
    <row r="1785" customFormat="false" ht="12.75" hidden="false" customHeight="false" outlineLevel="0" collapsed="false">
      <c r="A1785" s="2"/>
      <c r="B1785" s="117" t="s">
        <v>21</v>
      </c>
      <c r="C1785" s="118" t="n">
        <v>0</v>
      </c>
      <c r="D1785" s="64" t="n">
        <v>-2443747.15095388</v>
      </c>
      <c r="E1785" s="64" t="n">
        <v>-2991581.05241517</v>
      </c>
      <c r="F1785" s="64" t="n">
        <v>-3235039.69989279</v>
      </c>
      <c r="G1785" s="64" t="n">
        <v>-3544191.97559814</v>
      </c>
      <c r="H1785" s="64" t="n">
        <v>-3794796.96567439</v>
      </c>
      <c r="I1785" s="64" t="n">
        <v>-4944426.37962473</v>
      </c>
      <c r="J1785" s="64" t="n">
        <v>-6219182.82268616</v>
      </c>
      <c r="K1785" s="64" t="n">
        <v>-7723082.37659265</v>
      </c>
      <c r="L1785" s="64" t="n">
        <v>-8284094.12252955</v>
      </c>
      <c r="M1785" s="64" t="n">
        <v>-6482347.86682114</v>
      </c>
      <c r="N1785" s="64" t="n">
        <v>-7112818.16695236</v>
      </c>
      <c r="O1785" s="64" t="n">
        <v>-6598867.18665961</v>
      </c>
      <c r="P1785" s="64" t="n">
        <v>-6033835.20069249</v>
      </c>
      <c r="Q1785" s="64" t="n">
        <v>-6785562.71861277</v>
      </c>
      <c r="R1785" s="64" t="n">
        <v>-6609183.75658588</v>
      </c>
      <c r="S1785" s="64" t="n">
        <v>-7384920.38659215</v>
      </c>
      <c r="T1785" s="64" t="n">
        <v>-6300625.62055801</v>
      </c>
      <c r="U1785" s="64" t="n">
        <v>-7074580.36023023</v>
      </c>
      <c r="V1785" s="64" t="n">
        <v>-8373327.41472128</v>
      </c>
      <c r="W1785" s="65"/>
    </row>
    <row r="1786" customFormat="false" ht="12.75" hidden="false" customHeight="false" outlineLevel="0" collapsed="false">
      <c r="A1786" s="2"/>
      <c r="B1786" s="117" t="s">
        <v>22</v>
      </c>
      <c r="C1786" s="118" t="n">
        <v>0</v>
      </c>
      <c r="D1786" s="64" t="n">
        <v>-60965.9960270487</v>
      </c>
      <c r="E1786" s="64" t="n">
        <v>-86226.8817444926</v>
      </c>
      <c r="F1786" s="64" t="n">
        <v>-98920.0929284977</v>
      </c>
      <c r="G1786" s="64" t="n">
        <v>-108302.357800399</v>
      </c>
      <c r="H1786" s="64" t="n">
        <v>-115803.715903977</v>
      </c>
      <c r="I1786" s="64" t="n">
        <v>-156864.885978719</v>
      </c>
      <c r="J1786" s="64" t="n">
        <v>-192371.530618223</v>
      </c>
      <c r="K1786" s="64" t="n">
        <v>-262154.68285511</v>
      </c>
      <c r="L1786" s="64" t="n">
        <v>-274514.626462568</v>
      </c>
      <c r="M1786" s="64" t="n">
        <v>-209035.46436537</v>
      </c>
      <c r="N1786" s="64" t="n">
        <v>-234968.360631691</v>
      </c>
      <c r="O1786" s="64" t="n">
        <v>-219679.092167691</v>
      </c>
      <c r="P1786" s="64" t="n">
        <v>-198816.527507158</v>
      </c>
      <c r="Q1786" s="64" t="n">
        <v>-222370.272894788</v>
      </c>
      <c r="R1786" s="64" t="n">
        <v>-204501.470788994</v>
      </c>
      <c r="S1786" s="64" t="n">
        <v>-224078.643657812</v>
      </c>
      <c r="T1786" s="64" t="n">
        <v>-191744.267299548</v>
      </c>
      <c r="U1786" s="64" t="n">
        <v>-202409.859650827</v>
      </c>
      <c r="V1786" s="64" t="n">
        <v>-245710.990122286</v>
      </c>
      <c r="W1786" s="65"/>
    </row>
    <row r="1787" customFormat="false" ht="12.75" hidden="false" customHeight="false" outlineLevel="0" collapsed="false">
      <c r="A1787" s="2"/>
      <c r="B1787" s="117" t="s">
        <v>23</v>
      </c>
      <c r="C1787" s="118" t="n">
        <v>0</v>
      </c>
      <c r="D1787" s="64" t="n">
        <v>0</v>
      </c>
      <c r="E1787" s="64" t="n">
        <v>0</v>
      </c>
      <c r="F1787" s="64" t="n">
        <v>0</v>
      </c>
      <c r="G1787" s="64" t="n">
        <v>0</v>
      </c>
      <c r="H1787" s="64" t="n">
        <v>0</v>
      </c>
      <c r="I1787" s="64" t="n">
        <v>93418.0233270884</v>
      </c>
      <c r="J1787" s="64" t="n">
        <v>103546.416256845</v>
      </c>
      <c r="K1787" s="64" t="n">
        <v>114259.167463377</v>
      </c>
      <c r="L1787" s="64" t="n">
        <v>125495.637715741</v>
      </c>
      <c r="M1787" s="64" t="n">
        <v>139570.444155257</v>
      </c>
      <c r="N1787" s="64" t="n">
        <v>153747.39907892</v>
      </c>
      <c r="O1787" s="64" t="n">
        <v>170347.508693033</v>
      </c>
      <c r="P1787" s="64" t="n">
        <v>191004.368814188</v>
      </c>
      <c r="Q1787" s="64" t="n">
        <v>212617.66815242</v>
      </c>
      <c r="R1787" s="64" t="n">
        <v>235515.425372474</v>
      </c>
      <c r="S1787" s="64" t="n">
        <v>258595.647431392</v>
      </c>
      <c r="T1787" s="64" t="n">
        <v>254057.616455806</v>
      </c>
      <c r="U1787" s="64" t="n">
        <v>217360.03222342</v>
      </c>
      <c r="V1787" s="64" t="n">
        <v>225362.251242398</v>
      </c>
      <c r="W1787" s="65"/>
    </row>
    <row r="1788" customFormat="false" ht="13.5" hidden="false" customHeight="false" outlineLevel="0" collapsed="false">
      <c r="A1788" s="2"/>
      <c r="B1788" s="119" t="s">
        <v>24</v>
      </c>
      <c r="C1788" s="120" t="n">
        <v>0</v>
      </c>
      <c r="D1788" s="68" t="n">
        <v>0</v>
      </c>
      <c r="E1788" s="68" t="n">
        <v>0</v>
      </c>
      <c r="F1788" s="68" t="n">
        <v>0</v>
      </c>
      <c r="G1788" s="68" t="n">
        <v>0</v>
      </c>
      <c r="H1788" s="68" t="n">
        <v>0</v>
      </c>
      <c r="I1788" s="68" t="n">
        <v>0</v>
      </c>
      <c r="J1788" s="68" t="n">
        <v>0</v>
      </c>
      <c r="K1788" s="68" t="n">
        <v>0</v>
      </c>
      <c r="L1788" s="68" t="n">
        <v>0</v>
      </c>
      <c r="M1788" s="68" t="n">
        <v>0</v>
      </c>
      <c r="N1788" s="68" t="n">
        <v>0</v>
      </c>
      <c r="O1788" s="68" t="n">
        <v>0</v>
      </c>
      <c r="P1788" s="68" t="n">
        <v>0</v>
      </c>
      <c r="Q1788" s="68" t="n">
        <v>0</v>
      </c>
      <c r="R1788" s="68" t="n">
        <v>0</v>
      </c>
      <c r="S1788" s="68" t="n">
        <v>0</v>
      </c>
      <c r="T1788" s="68" t="n">
        <v>0</v>
      </c>
      <c r="U1788" s="68" t="n">
        <v>0</v>
      </c>
      <c r="V1788" s="68" t="n">
        <v>0</v>
      </c>
      <c r="W1788" s="65"/>
    </row>
    <row r="1789" customFormat="false" ht="13.5" hidden="false" customHeight="false" outlineLevel="0" collapsed="false">
      <c r="A1789" s="2"/>
      <c r="B1789" s="121" t="s">
        <v>25</v>
      </c>
      <c r="C1789" s="122" t="n">
        <v>0</v>
      </c>
      <c r="D1789" s="71" t="n">
        <v>5697462.24443877</v>
      </c>
      <c r="E1789" s="71" t="n">
        <v>4141317.26140281</v>
      </c>
      <c r="F1789" s="71" t="n">
        <v>3641470.13608906</v>
      </c>
      <c r="G1789" s="71" t="n">
        <v>3046307.20642101</v>
      </c>
      <c r="H1789" s="71" t="n">
        <v>2966686.21967078</v>
      </c>
      <c r="I1789" s="71" t="n">
        <v>2868044.91888765</v>
      </c>
      <c r="J1789" s="71" t="n">
        <v>3224358.5752926</v>
      </c>
      <c r="K1789" s="71" t="n">
        <v>4246135.11838324</v>
      </c>
      <c r="L1789" s="71" t="n">
        <v>4428382.95491944</v>
      </c>
      <c r="M1789" s="71" t="n">
        <v>4514883.2101322</v>
      </c>
      <c r="N1789" s="71" t="n">
        <v>3652058.86950197</v>
      </c>
      <c r="O1789" s="71" t="n">
        <v>4188966.69184257</v>
      </c>
      <c r="P1789" s="71" t="n">
        <v>3968393.72135451</v>
      </c>
      <c r="Q1789" s="71" t="n">
        <v>4812345.27594165</v>
      </c>
      <c r="R1789" s="71" t="n">
        <v>4244688.87426413</v>
      </c>
      <c r="S1789" s="71" t="n">
        <v>3565470.69884627</v>
      </c>
      <c r="T1789" s="71" t="n">
        <v>3827586.80600735</v>
      </c>
      <c r="U1789" s="71" t="n">
        <v>4347576.69864609</v>
      </c>
      <c r="V1789" s="71" t="n">
        <v>3949197.33052165</v>
      </c>
      <c r="W1789" s="65"/>
    </row>
    <row r="1790" customFormat="false" ht="12.75" hidden="false" customHeight="false" outlineLevel="0" collapsed="false">
      <c r="A1790" s="2"/>
      <c r="B1790" s="117" t="s">
        <v>26</v>
      </c>
      <c r="C1790" s="118" t="n">
        <v>0</v>
      </c>
      <c r="D1790" s="64" t="n">
        <v>-355535.162770781</v>
      </c>
      <c r="E1790" s="64" t="n">
        <v>-362645.866026196</v>
      </c>
      <c r="F1790" s="64" t="n">
        <v>-369898.78334672</v>
      </c>
      <c r="G1790" s="64" t="n">
        <v>-377296.759013655</v>
      </c>
      <c r="H1790" s="64" t="n">
        <v>-384842.694193928</v>
      </c>
      <c r="I1790" s="64" t="n">
        <v>-392539.548077806</v>
      </c>
      <c r="J1790" s="64" t="n">
        <v>-400390.339039362</v>
      </c>
      <c r="K1790" s="64" t="n">
        <v>-408398.14582015</v>
      </c>
      <c r="L1790" s="64" t="n">
        <v>-416566.108736553</v>
      </c>
      <c r="M1790" s="64" t="n">
        <v>-424897.430911284</v>
      </c>
      <c r="N1790" s="64" t="n">
        <v>-433395.379529509</v>
      </c>
      <c r="O1790" s="64" t="n">
        <v>-442063.2871201</v>
      </c>
      <c r="P1790" s="64" t="n">
        <v>-450904.552862502</v>
      </c>
      <c r="Q1790" s="64" t="n">
        <v>-459922.643919752</v>
      </c>
      <c r="R1790" s="64" t="n">
        <v>-469121.096798147</v>
      </c>
      <c r="S1790" s="64" t="n">
        <v>-478503.51873411</v>
      </c>
      <c r="T1790" s="64" t="n">
        <v>-488073.589108792</v>
      </c>
      <c r="U1790" s="64" t="n">
        <v>-497835.060890968</v>
      </c>
      <c r="V1790" s="64" t="n">
        <v>-507791.762108787</v>
      </c>
      <c r="W1790" s="65"/>
    </row>
    <row r="1791" customFormat="false" ht="12.75" hidden="false" customHeight="false" outlineLevel="0" collapsed="false">
      <c r="A1791" s="2"/>
      <c r="B1791" s="117" t="s">
        <v>27</v>
      </c>
      <c r="C1791" s="118" t="n">
        <v>0</v>
      </c>
      <c r="D1791" s="64" t="n">
        <v>-171612.579296875</v>
      </c>
      <c r="E1791" s="64" t="n">
        <v>-171612.579296875</v>
      </c>
      <c r="F1791" s="64" t="n">
        <v>-171612.579296875</v>
      </c>
      <c r="G1791" s="64" t="n">
        <v>-171612.579296875</v>
      </c>
      <c r="H1791" s="64" t="n">
        <v>-171612.579296875</v>
      </c>
      <c r="I1791" s="64" t="n">
        <v>-171612.579296875</v>
      </c>
      <c r="J1791" s="64" t="n">
        <v>-171612.579296875</v>
      </c>
      <c r="K1791" s="64" t="n">
        <v>-171612.579296875</v>
      </c>
      <c r="L1791" s="64" t="n">
        <v>-171612.579296875</v>
      </c>
      <c r="M1791" s="64" t="n">
        <v>-171612.579296875</v>
      </c>
      <c r="N1791" s="64" t="n">
        <v>-171612.579296875</v>
      </c>
      <c r="O1791" s="64" t="n">
        <v>-171612.579296875</v>
      </c>
      <c r="P1791" s="64" t="n">
        <v>-171612.579296875</v>
      </c>
      <c r="Q1791" s="64" t="n">
        <v>-171612.579296875</v>
      </c>
      <c r="R1791" s="64" t="n">
        <v>-171612.579296875</v>
      </c>
      <c r="S1791" s="64" t="n">
        <v>-171612.579296875</v>
      </c>
      <c r="T1791" s="64" t="n">
        <v>-171612.579296875</v>
      </c>
      <c r="U1791" s="64" t="n">
        <v>-171612.579296875</v>
      </c>
      <c r="V1791" s="64" t="n">
        <v>-171612.579296875</v>
      </c>
      <c r="W1791" s="65"/>
    </row>
    <row r="1792" customFormat="false" ht="13.5" hidden="false" customHeight="false" outlineLevel="0" collapsed="false">
      <c r="A1792" s="2"/>
      <c r="B1792" s="119" t="s">
        <v>28</v>
      </c>
      <c r="C1792" s="120" t="n">
        <v>0</v>
      </c>
      <c r="D1792" s="68" t="n">
        <v>-34547.1907058574</v>
      </c>
      <c r="E1792" s="68" t="n">
        <v>-35276.1364297512</v>
      </c>
      <c r="F1792" s="68" t="n">
        <v>-36048.6838175628</v>
      </c>
      <c r="G1792" s="68" t="n">
        <v>-36863.3840718394</v>
      </c>
      <c r="H1792" s="68" t="n">
        <v>-37740.7326127493</v>
      </c>
      <c r="I1792" s="68" t="n">
        <v>-38686.5191661684</v>
      </c>
      <c r="J1792" s="68" t="n">
        <v>-39646.0526171664</v>
      </c>
      <c r="K1792" s="68" t="n">
        <v>-40649.5761404166</v>
      </c>
      <c r="L1792" s="68" t="n">
        <v>-41653.6206710849</v>
      </c>
      <c r="M1792" s="68" t="n">
        <v>-42715.7879981975</v>
      </c>
      <c r="N1792" s="68" t="n">
        <v>-43749.510067754</v>
      </c>
      <c r="O1792" s="68" t="n">
        <v>-44851.9977214613</v>
      </c>
      <c r="P1792" s="68" t="n">
        <v>-45991.2384635863</v>
      </c>
      <c r="Q1792" s="68" t="n">
        <v>-47141.019425176</v>
      </c>
      <c r="R1792" s="68" t="n">
        <v>-48324.2590127479</v>
      </c>
      <c r="S1792" s="68" t="n">
        <v>-49532.3654880667</v>
      </c>
      <c r="T1792" s="68" t="n">
        <v>-50760.7681521706</v>
      </c>
      <c r="U1792" s="68" t="n">
        <v>-52034.8634327902</v>
      </c>
      <c r="V1792" s="68" t="n">
        <v>-53340.9385049533</v>
      </c>
      <c r="W1792" s="65"/>
    </row>
    <row r="1793" customFormat="false" ht="13.5" hidden="false" customHeight="false" outlineLevel="0" collapsed="false">
      <c r="A1793" s="2"/>
      <c r="B1793" s="121" t="s">
        <v>29</v>
      </c>
      <c r="C1793" s="123" t="n">
        <v>0</v>
      </c>
      <c r="D1793" s="73" t="n">
        <v>5135767.31166525</v>
      </c>
      <c r="E1793" s="73" t="n">
        <v>3571782.67964998</v>
      </c>
      <c r="F1793" s="73" t="n">
        <v>3063910.08962791</v>
      </c>
      <c r="G1793" s="73" t="n">
        <v>2460534.48403864</v>
      </c>
      <c r="H1793" s="73" t="n">
        <v>2372490.21356723</v>
      </c>
      <c r="I1793" s="73" t="n">
        <v>2265206.2723468</v>
      </c>
      <c r="J1793" s="73" t="n">
        <v>2612709.60433919</v>
      </c>
      <c r="K1793" s="73" t="n">
        <v>3625474.8171258</v>
      </c>
      <c r="L1793" s="73" t="n">
        <v>3798550.64621492</v>
      </c>
      <c r="M1793" s="73" t="n">
        <v>3875657.41192585</v>
      </c>
      <c r="N1793" s="73" t="n">
        <v>3003301.40060783</v>
      </c>
      <c r="O1793" s="73" t="n">
        <v>3530438.82770413</v>
      </c>
      <c r="P1793" s="73" t="n">
        <v>3299885.35073154</v>
      </c>
      <c r="Q1793" s="73" t="n">
        <v>4133669.03329984</v>
      </c>
      <c r="R1793" s="73" t="n">
        <v>3555630.93915636</v>
      </c>
      <c r="S1793" s="73" t="n">
        <v>2865822.23532722</v>
      </c>
      <c r="T1793" s="73" t="n">
        <v>3117139.86944951</v>
      </c>
      <c r="U1793" s="73" t="n">
        <v>3626094.19502545</v>
      </c>
      <c r="V1793" s="73" t="n">
        <v>3216452.05061103</v>
      </c>
      <c r="W1793" s="65"/>
    </row>
    <row r="1794" customFormat="false" ht="12.75" hidden="false" customHeight="false" outlineLevel="0" collapsed="false">
      <c r="A1794" s="2"/>
      <c r="B1794" s="117" t="s">
        <v>30</v>
      </c>
      <c r="C1794" s="118" t="n">
        <v>0</v>
      </c>
      <c r="D1794" s="64" t="n">
        <v>-2192518.10741667</v>
      </c>
      <c r="E1794" s="64" t="n">
        <v>-2196485.7847648</v>
      </c>
      <c r="F1794" s="64" t="n">
        <v>-2208445.85119243</v>
      </c>
      <c r="G1794" s="64" t="n">
        <v>-2225236.78428623</v>
      </c>
      <c r="H1794" s="64" t="n">
        <v>-2223926.6574112</v>
      </c>
      <c r="I1794" s="64" t="n">
        <v>-2231283.1286486</v>
      </c>
      <c r="J1794" s="64" t="n">
        <v>-1261138.46276919</v>
      </c>
      <c r="K1794" s="64" t="n">
        <v>-181716.726477088</v>
      </c>
      <c r="L1794" s="64" t="n">
        <v>-61620.6901482529</v>
      </c>
      <c r="M1794" s="64" t="n">
        <v>-53309.8126783308</v>
      </c>
      <c r="N1794" s="64" t="n">
        <v>-58386.2113126701</v>
      </c>
      <c r="O1794" s="64" t="n">
        <v>-63583.0340190988</v>
      </c>
      <c r="P1794" s="64" t="n">
        <v>-68891.0501978911</v>
      </c>
      <c r="Q1794" s="64" t="n">
        <v>-74234.9635287139</v>
      </c>
      <c r="R1794" s="64" t="n">
        <v>-79743.0509261279</v>
      </c>
      <c r="S1794" s="64" t="n">
        <v>-85542.8992787978</v>
      </c>
      <c r="T1794" s="64" t="n">
        <v>-91516.7430820477</v>
      </c>
      <c r="U1794" s="64" t="n">
        <v>-97669.8021993951</v>
      </c>
      <c r="V1794" s="64" t="n">
        <v>-104007.453090263</v>
      </c>
      <c r="W1794" s="65"/>
    </row>
    <row r="1795" customFormat="false" ht="13.5" hidden="false" customHeight="false" outlineLevel="0" collapsed="false">
      <c r="A1795" s="2"/>
      <c r="B1795" s="119" t="s">
        <v>70</v>
      </c>
      <c r="C1795" s="120" t="n">
        <v>0</v>
      </c>
      <c r="D1795" s="68" t="n">
        <v>-1177299.68169943</v>
      </c>
      <c r="E1795" s="68" t="n">
        <v>-550118.757954073</v>
      </c>
      <c r="F1795" s="68" t="n">
        <v>-342185.695374189</v>
      </c>
      <c r="G1795" s="68" t="n">
        <v>-94119.0799009625</v>
      </c>
      <c r="H1795" s="68" t="n">
        <v>-59425.4224624123</v>
      </c>
      <c r="I1795" s="68" t="n">
        <v>-13569.2574792825</v>
      </c>
      <c r="J1795" s="68" t="n">
        <v>-540628.456628002</v>
      </c>
      <c r="K1795" s="68" t="n">
        <v>-1377503.23625948</v>
      </c>
      <c r="L1795" s="68" t="n">
        <v>-1494771.98242667</v>
      </c>
      <c r="M1795" s="68" t="n">
        <v>-1528939.03969901</v>
      </c>
      <c r="N1795" s="68" t="n">
        <v>-1177966.07571807</v>
      </c>
      <c r="O1795" s="68" t="n">
        <v>-1386742.31747401</v>
      </c>
      <c r="P1795" s="68" t="n">
        <v>-1292397.72021346</v>
      </c>
      <c r="Q1795" s="68" t="n">
        <v>-1623773.62790845</v>
      </c>
      <c r="R1795" s="68" t="n">
        <v>-1390355.15529209</v>
      </c>
      <c r="S1795" s="68" t="n">
        <v>-1112111.73441937</v>
      </c>
      <c r="T1795" s="68" t="n">
        <v>-1210249.25054699</v>
      </c>
      <c r="U1795" s="68" t="n">
        <v>-1411369.75713042</v>
      </c>
      <c r="V1795" s="68" t="n">
        <v>-1244977.83900831</v>
      </c>
      <c r="W1795" s="65"/>
    </row>
    <row r="1796" customFormat="false" ht="13.5" hidden="false" customHeight="false" outlineLevel="0" collapsed="false">
      <c r="A1796" s="2"/>
      <c r="B1796" s="121" t="s">
        <v>32</v>
      </c>
      <c r="C1796" s="123" t="n">
        <v>0</v>
      </c>
      <c r="D1796" s="73" t="n">
        <v>1765949.52254915</v>
      </c>
      <c r="E1796" s="73" t="n">
        <v>825178.13693111</v>
      </c>
      <c r="F1796" s="73" t="n">
        <v>513278.543061284</v>
      </c>
      <c r="G1796" s="73" t="n">
        <v>141178.619851444</v>
      </c>
      <c r="H1796" s="73" t="n">
        <v>89138.1336936185</v>
      </c>
      <c r="I1796" s="73" t="n">
        <v>20353.8862189237</v>
      </c>
      <c r="J1796" s="73" t="n">
        <v>810942.684942003</v>
      </c>
      <c r="K1796" s="73" t="n">
        <v>2066254.85438923</v>
      </c>
      <c r="L1796" s="73" t="n">
        <v>2242157.97364</v>
      </c>
      <c r="M1796" s="73" t="n">
        <v>2293408.55954851</v>
      </c>
      <c r="N1796" s="73" t="n">
        <v>1766949.1135771</v>
      </c>
      <c r="O1796" s="73" t="n">
        <v>2080113.47621102</v>
      </c>
      <c r="P1796" s="73" t="n">
        <v>1938596.58032019</v>
      </c>
      <c r="Q1796" s="73" t="n">
        <v>2435660.44186268</v>
      </c>
      <c r="R1796" s="73" t="n">
        <v>2085532.73293814</v>
      </c>
      <c r="S1796" s="73" t="n">
        <v>1668167.60162905</v>
      </c>
      <c r="T1796" s="73" t="n">
        <v>1815373.87582048</v>
      </c>
      <c r="U1796" s="73" t="n">
        <v>2117054.63569564</v>
      </c>
      <c r="V1796" s="73" t="n">
        <v>1867466.75851246</v>
      </c>
      <c r="W1796" s="65"/>
    </row>
    <row r="1797" customFormat="false" ht="12.75" hidden="false" customHeight="false" outlineLevel="0" collapsed="false">
      <c r="A1797" s="2"/>
      <c r="B1797" s="117" t="s">
        <v>30</v>
      </c>
      <c r="C1797" s="118" t="n">
        <v>0</v>
      </c>
      <c r="D1797" s="64" t="n">
        <v>2192518.10741667</v>
      </c>
      <c r="E1797" s="64" t="n">
        <v>2196485.7847648</v>
      </c>
      <c r="F1797" s="64" t="n">
        <v>2208445.85119243</v>
      </c>
      <c r="G1797" s="64" t="n">
        <v>2225236.78428623</v>
      </c>
      <c r="H1797" s="64" t="n">
        <v>2223926.6574112</v>
      </c>
      <c r="I1797" s="64" t="n">
        <v>2231283.1286486</v>
      </c>
      <c r="J1797" s="64" t="n">
        <v>1261138.46276919</v>
      </c>
      <c r="K1797" s="64" t="n">
        <v>181716.726477088</v>
      </c>
      <c r="L1797" s="64" t="n">
        <v>61620.6901482529</v>
      </c>
      <c r="M1797" s="64" t="n">
        <v>53309.8126783308</v>
      </c>
      <c r="N1797" s="64" t="n">
        <v>58386.2113126701</v>
      </c>
      <c r="O1797" s="64" t="n">
        <v>63583.0340190988</v>
      </c>
      <c r="P1797" s="64" t="n">
        <v>68891.0501978911</v>
      </c>
      <c r="Q1797" s="64" t="n">
        <v>74234.9635287139</v>
      </c>
      <c r="R1797" s="64" t="n">
        <v>79743.0509261279</v>
      </c>
      <c r="S1797" s="64" t="n">
        <v>85542.8992787978</v>
      </c>
      <c r="T1797" s="64" t="n">
        <v>91516.7430820477</v>
      </c>
      <c r="U1797" s="64" t="n">
        <v>97669.8021993951</v>
      </c>
      <c r="V1797" s="64" t="n">
        <v>104007.453090263</v>
      </c>
      <c r="W1797" s="65"/>
    </row>
    <row r="1798" customFormat="false" ht="12.75" hidden="false" customHeight="false" outlineLevel="0" collapsed="false">
      <c r="A1798" s="2"/>
      <c r="B1798" s="117" t="s">
        <v>33</v>
      </c>
      <c r="C1798" s="118" t="n">
        <v>0</v>
      </c>
      <c r="D1798" s="64" t="n">
        <v>-14278.42</v>
      </c>
      <c r="E1798" s="64" t="n">
        <v>-14707.35</v>
      </c>
      <c r="F1798" s="64" t="n">
        <v>-387074.17</v>
      </c>
      <c r="G1798" s="64" t="n">
        <v>-15661.04</v>
      </c>
      <c r="H1798" s="64" t="n">
        <v>-89337.122</v>
      </c>
      <c r="I1798" s="64" t="n">
        <v>-92017.23566</v>
      </c>
      <c r="J1798" s="64" t="n">
        <v>-94777.7527298</v>
      </c>
      <c r="K1798" s="64" t="n">
        <v>-97621.085311694</v>
      </c>
      <c r="L1798" s="64" t="n">
        <v>-100549.717871045</v>
      </c>
      <c r="M1798" s="64" t="n">
        <v>-103566.209407176</v>
      </c>
      <c r="N1798" s="64" t="n">
        <v>-106673.195689391</v>
      </c>
      <c r="O1798" s="64" t="n">
        <v>-109873.391560073</v>
      </c>
      <c r="P1798" s="64" t="n">
        <v>-113169.593306875</v>
      </c>
      <c r="Q1798" s="64" t="n">
        <v>-116564.681106082</v>
      </c>
      <c r="R1798" s="64" t="n">
        <v>-120061.621539264</v>
      </c>
      <c r="S1798" s="64" t="n">
        <v>-123663.470185442</v>
      </c>
      <c r="T1798" s="64" t="n">
        <v>-127373.374291005</v>
      </c>
      <c r="U1798" s="64" t="n">
        <v>-131194.575519736</v>
      </c>
      <c r="V1798" s="64" t="n">
        <v>-135130.412785328</v>
      </c>
      <c r="W1798" s="65"/>
    </row>
    <row r="1799" customFormat="false" ht="13.5" hidden="false" customHeight="false" outlineLevel="0" collapsed="false">
      <c r="A1799" s="2"/>
      <c r="B1799" s="119" t="s">
        <v>34</v>
      </c>
      <c r="C1799" s="120" t="n">
        <v>0</v>
      </c>
      <c r="D1799" s="68" t="n">
        <v>0</v>
      </c>
      <c r="E1799" s="68" t="n">
        <v>0</v>
      </c>
      <c r="F1799" s="68" t="n">
        <v>0</v>
      </c>
      <c r="G1799" s="68" t="n">
        <v>0</v>
      </c>
      <c r="H1799" s="68" t="n">
        <v>0</v>
      </c>
      <c r="I1799" s="68" t="n">
        <v>0</v>
      </c>
      <c r="J1799" s="68" t="n">
        <v>0</v>
      </c>
      <c r="K1799" s="68" t="n">
        <v>0</v>
      </c>
      <c r="L1799" s="68" t="n">
        <v>0</v>
      </c>
      <c r="M1799" s="68" t="n">
        <v>0</v>
      </c>
      <c r="N1799" s="68" t="n">
        <v>0</v>
      </c>
      <c r="O1799" s="68" t="n">
        <v>0</v>
      </c>
      <c r="P1799" s="68" t="n">
        <v>0</v>
      </c>
      <c r="Q1799" s="68" t="n">
        <v>0</v>
      </c>
      <c r="R1799" s="68" t="n">
        <v>0</v>
      </c>
      <c r="S1799" s="68" t="n">
        <v>0</v>
      </c>
      <c r="T1799" s="68" t="n">
        <v>0</v>
      </c>
      <c r="U1799" s="68" t="n">
        <v>0</v>
      </c>
      <c r="V1799" s="68" t="n">
        <v>0</v>
      </c>
      <c r="W1799" s="65"/>
    </row>
    <row r="1800" customFormat="false" ht="13.5" hidden="false" customHeight="false" outlineLevel="0" collapsed="false">
      <c r="A1800" s="2"/>
      <c r="B1800" s="117"/>
      <c r="C1800" s="124"/>
      <c r="D1800" s="65"/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</row>
    <row r="1801" customFormat="false" ht="12.75" hidden="false" customHeight="false" outlineLevel="0" collapsed="false">
      <c r="A1801" s="2"/>
      <c r="B1801" s="121" t="s">
        <v>35</v>
      </c>
      <c r="C1801" s="123" t="n">
        <v>0</v>
      </c>
      <c r="D1801" s="73" t="n">
        <v>3944189.20996582</v>
      </c>
      <c r="E1801" s="73" t="n">
        <v>3006956.57169591</v>
      </c>
      <c r="F1801" s="73" t="n">
        <v>2334650.22425372</v>
      </c>
      <c r="G1801" s="73" t="n">
        <v>2350754.36413768</v>
      </c>
      <c r="H1801" s="73" t="n">
        <v>2223727.66910482</v>
      </c>
      <c r="I1801" s="73" t="n">
        <v>2159619.77920752</v>
      </c>
      <c r="J1801" s="73" t="n">
        <v>1977303.39498139</v>
      </c>
      <c r="K1801" s="73" t="n">
        <v>2150350.49555462</v>
      </c>
      <c r="L1801" s="73" t="n">
        <v>2203228.94591721</v>
      </c>
      <c r="M1801" s="73" t="n">
        <v>2243152.16281966</v>
      </c>
      <c r="N1801" s="73" t="n">
        <v>1718662.12920038</v>
      </c>
      <c r="O1801" s="73" t="n">
        <v>2033823.11867005</v>
      </c>
      <c r="P1801" s="73" t="n">
        <v>1894318.03721121</v>
      </c>
      <c r="Q1801" s="73" t="n">
        <v>2393330.72428531</v>
      </c>
      <c r="R1801" s="73" t="n">
        <v>2045214.162325</v>
      </c>
      <c r="S1801" s="73" t="n">
        <v>1630047.03072241</v>
      </c>
      <c r="T1801" s="73" t="n">
        <v>1779517.24461152</v>
      </c>
      <c r="U1801" s="73" t="n">
        <v>2083529.8623753</v>
      </c>
      <c r="V1801" s="73" t="n">
        <v>1836343.7988174</v>
      </c>
      <c r="W1801" s="71" t="n">
        <v>12078952.0866195</v>
      </c>
    </row>
    <row r="1802" customFormat="false" ht="12.75" hidden="false" customHeight="false" outlineLevel="0" collapsed="false">
      <c r="A1802" s="2"/>
      <c r="B1802" s="125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</row>
    <row r="1803" customFormat="false" ht="12.75" hidden="false" customHeight="false" outlineLevel="0" collapsed="false">
      <c r="A1803" s="48" t="s">
        <v>36</v>
      </c>
      <c r="B1803" s="126" t="s">
        <v>37</v>
      </c>
      <c r="C1803" s="76" t="n">
        <v>10811128.6860941</v>
      </c>
      <c r="D1803" s="2"/>
      <c r="E1803" s="127" t="s">
        <v>38</v>
      </c>
      <c r="F1803" s="128" t="s">
        <v>37</v>
      </c>
      <c r="G1803" s="79" t="n">
        <v>10811128.6860941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</row>
    <row r="1804" customFormat="false" ht="12.75" hidden="false" customHeight="false" outlineLevel="0" collapsed="false">
      <c r="A1804" s="2"/>
      <c r="B1804" s="126" t="s">
        <v>39</v>
      </c>
      <c r="C1804" s="76" t="n">
        <v>9336883.47895621</v>
      </c>
      <c r="D1804" s="2"/>
      <c r="E1804" s="129"/>
      <c r="F1804" s="128" t="s">
        <v>39</v>
      </c>
      <c r="G1804" s="79" t="n">
        <v>9336883.47895621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</row>
    <row r="1805" customFormat="false" ht="13.5" hidden="false" customHeight="false" outlineLevel="0" collapsed="false">
      <c r="A1805" s="2"/>
      <c r="B1805" s="130" t="s">
        <v>40</v>
      </c>
      <c r="C1805" s="82" t="n">
        <v>1795459.26088492</v>
      </c>
      <c r="D1805" s="131"/>
      <c r="E1805" s="129"/>
      <c r="F1805" s="128" t="s">
        <v>40</v>
      </c>
      <c r="G1805" s="79" t="n">
        <v>1795459.26088492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</row>
    <row r="1806" customFormat="false" ht="14.25" hidden="false" customHeight="false" outlineLevel="0" collapsed="false">
      <c r="A1806" s="2"/>
      <c r="B1806" s="126" t="s">
        <v>41</v>
      </c>
      <c r="C1806" s="76" t="n">
        <v>21943471.4259353</v>
      </c>
      <c r="D1806" s="132"/>
      <c r="E1806" s="129"/>
      <c r="F1806" s="133" t="s">
        <v>42</v>
      </c>
      <c r="G1806" s="85" t="n">
        <v>0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</row>
    <row r="1807" customFormat="false" ht="13.5" hidden="false" customHeight="false" outlineLevel="0" collapsed="false">
      <c r="A1807" s="2"/>
      <c r="B1807" s="125"/>
      <c r="C1807" s="134"/>
      <c r="D1807" s="2"/>
      <c r="E1807" s="135"/>
      <c r="F1807" s="128" t="s">
        <v>41</v>
      </c>
      <c r="G1807" s="79" t="n">
        <v>21943471.4259353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</row>
    <row r="1808" customFormat="false" ht="12.75" hidden="false" customHeight="false" outlineLevel="0" collapsed="false">
      <c r="A1808" s="2"/>
      <c r="B1808" s="125"/>
      <c r="C1808" s="134"/>
      <c r="D1808" s="2"/>
      <c r="E1808" s="135"/>
      <c r="F1808" s="128"/>
      <c r="G1808" s="136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</row>
    <row r="1809" customFormat="false" ht="12.75" hidden="false" customHeight="false" outlineLevel="0" collapsed="false">
      <c r="A1809" s="2"/>
      <c r="B1809" s="125"/>
      <c r="C1809" s="134"/>
      <c r="D1809" s="2"/>
      <c r="E1809" s="135"/>
      <c r="F1809" s="128"/>
      <c r="G1809" s="136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</row>
    <row r="1810" customFormat="false" ht="12.75" hidden="false" customHeight="false" outlineLevel="0" collapsed="false">
      <c r="A1810" s="2"/>
      <c r="B1810" s="137" t="s">
        <v>43</v>
      </c>
      <c r="C1810" s="134"/>
      <c r="D1810" s="2"/>
      <c r="E1810" s="135"/>
      <c r="F1810" s="128"/>
      <c r="G1810" s="136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</row>
    <row r="1811" customFormat="false" ht="12.75" hidden="false" customHeight="false" outlineLevel="0" collapsed="false">
      <c r="A1811" s="87" t="s">
        <v>44</v>
      </c>
      <c r="B1811" s="137" t="s">
        <v>45</v>
      </c>
      <c r="C1811" s="138"/>
      <c r="D1811" s="88" t="n">
        <v>1765949.52254915</v>
      </c>
      <c r="E1811" s="88" t="n">
        <v>825178.13693111</v>
      </c>
      <c r="F1811" s="88" t="n">
        <v>513278.543061284</v>
      </c>
      <c r="G1811" s="88" t="n">
        <v>141178.619851444</v>
      </c>
      <c r="H1811" s="88" t="n">
        <v>89138.1336936185</v>
      </c>
      <c r="I1811" s="88" t="n">
        <v>20353.8862189237</v>
      </c>
      <c r="J1811" s="88" t="n">
        <v>810942.684942003</v>
      </c>
      <c r="K1811" s="88" t="n">
        <v>2066254.85438923</v>
      </c>
      <c r="L1811" s="88" t="n">
        <v>2242157.97364</v>
      </c>
      <c r="M1811" s="88" t="n">
        <v>2293408.55954851</v>
      </c>
      <c r="N1811" s="88" t="n">
        <v>1766949.1135771</v>
      </c>
      <c r="O1811" s="88" t="n">
        <v>2080113.47621102</v>
      </c>
      <c r="P1811" s="88" t="n">
        <v>1938596.58032019</v>
      </c>
      <c r="Q1811" s="88" t="n">
        <v>2435660.44186268</v>
      </c>
      <c r="R1811" s="88" t="n">
        <v>2085532.73293814</v>
      </c>
      <c r="S1811" s="88" t="n">
        <v>1668167.60162905</v>
      </c>
      <c r="T1811" s="88" t="n">
        <v>1815373.87582048</v>
      </c>
      <c r="U1811" s="88" t="n">
        <v>2117054.63569564</v>
      </c>
      <c r="V1811" s="88" t="n">
        <v>1867466.75851246</v>
      </c>
      <c r="W1811" s="2"/>
    </row>
    <row r="1812" customFormat="false" ht="12.75" hidden="false" customHeight="false" outlineLevel="0" collapsed="false">
      <c r="A1812" s="2"/>
      <c r="B1812" s="125" t="s">
        <v>46</v>
      </c>
      <c r="C1812" s="134"/>
      <c r="D1812" s="65" t="n">
        <v>1177299.68169943</v>
      </c>
      <c r="E1812" s="65" t="n">
        <v>550118.757954073</v>
      </c>
      <c r="F1812" s="65" t="n">
        <v>342185.695374189</v>
      </c>
      <c r="G1812" s="65" t="n">
        <v>94119.0799009625</v>
      </c>
      <c r="H1812" s="65" t="n">
        <v>59425.4224624123</v>
      </c>
      <c r="I1812" s="65" t="n">
        <v>13569.2574792825</v>
      </c>
      <c r="J1812" s="65" t="n">
        <v>540628.456628002</v>
      </c>
      <c r="K1812" s="65" t="n">
        <v>1377503.23625948</v>
      </c>
      <c r="L1812" s="65" t="n">
        <v>1494771.98242667</v>
      </c>
      <c r="M1812" s="65" t="n">
        <v>1528939.03969901</v>
      </c>
      <c r="N1812" s="65" t="n">
        <v>1177966.07571807</v>
      </c>
      <c r="O1812" s="65" t="n">
        <v>1386742.31747401</v>
      </c>
      <c r="P1812" s="65" t="n">
        <v>1292397.72021346</v>
      </c>
      <c r="Q1812" s="65" t="n">
        <v>1623773.62790845</v>
      </c>
      <c r="R1812" s="65" t="n">
        <v>1390355.15529209</v>
      </c>
      <c r="S1812" s="65" t="n">
        <v>1112111.73441937</v>
      </c>
      <c r="T1812" s="65" t="n">
        <v>1210249.25054699</v>
      </c>
      <c r="U1812" s="65" t="n">
        <v>1411369.75713042</v>
      </c>
      <c r="V1812" s="65" t="n">
        <v>1244977.83900831</v>
      </c>
      <c r="W1812" s="2"/>
    </row>
    <row r="1813" customFormat="false" ht="12.75" hidden="false" customHeight="false" outlineLevel="0" collapsed="false">
      <c r="A1813" s="2"/>
      <c r="B1813" s="139" t="s">
        <v>47</v>
      </c>
      <c r="C1813" s="140"/>
      <c r="D1813" s="65" t="n">
        <v>2192518.10741667</v>
      </c>
      <c r="E1813" s="65" t="n">
        <v>2196485.7847648</v>
      </c>
      <c r="F1813" s="65" t="n">
        <v>2208445.85119243</v>
      </c>
      <c r="G1813" s="65" t="n">
        <v>2225236.78428623</v>
      </c>
      <c r="H1813" s="65" t="n">
        <v>2223926.6574112</v>
      </c>
      <c r="I1813" s="65" t="n">
        <v>2231283.1286486</v>
      </c>
      <c r="J1813" s="65" t="n">
        <v>1261138.46276919</v>
      </c>
      <c r="K1813" s="65" t="n">
        <v>181716.726477088</v>
      </c>
      <c r="L1813" s="65" t="n">
        <v>61620.6901482529</v>
      </c>
      <c r="M1813" s="65" t="n">
        <v>53309.8126783308</v>
      </c>
      <c r="N1813" s="65" t="n">
        <v>58386.2113126701</v>
      </c>
      <c r="O1813" s="65" t="n">
        <v>63583.0340190988</v>
      </c>
      <c r="P1813" s="65" t="n">
        <v>68891.0501978911</v>
      </c>
      <c r="Q1813" s="65" t="n">
        <v>74234.9635287139</v>
      </c>
      <c r="R1813" s="65" t="n">
        <v>79743.0509261279</v>
      </c>
      <c r="S1813" s="65" t="n">
        <v>85542.8992787978</v>
      </c>
      <c r="T1813" s="65" t="n">
        <v>91516.7430820477</v>
      </c>
      <c r="U1813" s="65" t="n">
        <v>97669.8021993951</v>
      </c>
      <c r="V1813" s="65" t="n">
        <v>104007.453090263</v>
      </c>
      <c r="W1813" s="2"/>
    </row>
    <row r="1814" customFormat="false" ht="13.5" hidden="false" customHeight="false" outlineLevel="0" collapsed="false">
      <c r="A1814" s="2"/>
      <c r="B1814" s="141" t="s">
        <v>48</v>
      </c>
      <c r="C1814" s="142"/>
      <c r="D1814" s="93" t="n">
        <v>5135767.31166525</v>
      </c>
      <c r="E1814" s="93" t="n">
        <v>3571782.67964998</v>
      </c>
      <c r="F1814" s="93" t="n">
        <v>3063910.08962791</v>
      </c>
      <c r="G1814" s="93" t="n">
        <v>2460534.48403864</v>
      </c>
      <c r="H1814" s="93" t="n">
        <v>2372490.21356723</v>
      </c>
      <c r="I1814" s="93" t="n">
        <v>2265206.2723468</v>
      </c>
      <c r="J1814" s="93" t="n">
        <v>2612709.60433919</v>
      </c>
      <c r="K1814" s="93" t="n">
        <v>3625474.8171258</v>
      </c>
      <c r="L1814" s="93" t="n">
        <v>3798550.64621492</v>
      </c>
      <c r="M1814" s="93" t="n">
        <v>3875657.41192585</v>
      </c>
      <c r="N1814" s="93" t="n">
        <v>3003301.40060783</v>
      </c>
      <c r="O1814" s="93" t="n">
        <v>3530438.82770413</v>
      </c>
      <c r="P1814" s="93" t="n">
        <v>3299885.35073154</v>
      </c>
      <c r="Q1814" s="93" t="n">
        <v>4133669.03329984</v>
      </c>
      <c r="R1814" s="93" t="n">
        <v>3555630.93915636</v>
      </c>
      <c r="S1814" s="93" t="n">
        <v>2865822.23532722</v>
      </c>
      <c r="T1814" s="93" t="n">
        <v>3117139.86944951</v>
      </c>
      <c r="U1814" s="93" t="n">
        <v>3626094.19502545</v>
      </c>
      <c r="V1814" s="93" t="n">
        <v>3216452.05061103</v>
      </c>
      <c r="W1814" s="2"/>
    </row>
    <row r="1815" customFormat="false" ht="13.5" hidden="false" customHeight="false" outlineLevel="0" collapsed="false">
      <c r="A1815" s="87" t="s">
        <v>49</v>
      </c>
      <c r="B1815" s="125" t="s">
        <v>50</v>
      </c>
      <c r="C1815" s="134"/>
      <c r="D1815" s="65" t="n">
        <v>-1830936.40253087</v>
      </c>
      <c r="E1815" s="65" t="n">
        <v>-1831671.77003087</v>
      </c>
      <c r="F1815" s="65" t="n">
        <v>-1851025.47853087</v>
      </c>
      <c r="G1815" s="65" t="n">
        <v>-1851808.53053087</v>
      </c>
      <c r="H1815" s="65" t="n">
        <v>-1856275.38663087</v>
      </c>
      <c r="I1815" s="65" t="n">
        <v>-1860876.24841387</v>
      </c>
      <c r="J1815" s="65" t="n">
        <v>-1865615.13605036</v>
      </c>
      <c r="K1815" s="65" t="n">
        <v>-1870496.19031594</v>
      </c>
      <c r="L1815" s="65" t="n">
        <v>-1875523.67620949</v>
      </c>
      <c r="M1815" s="65" t="n">
        <v>-1880701.98667985</v>
      </c>
      <c r="N1815" s="65" t="n">
        <v>-1886035.64646432</v>
      </c>
      <c r="O1815" s="65" t="n">
        <v>-1891529.31604233</v>
      </c>
      <c r="P1815" s="65" t="n">
        <v>-1897187.79570767</v>
      </c>
      <c r="Q1815" s="65" t="n">
        <v>-1903016.02976297</v>
      </c>
      <c r="R1815" s="65" t="n">
        <v>-545622.147506608</v>
      </c>
      <c r="S1815" s="65" t="n">
        <v>-163064.451015875</v>
      </c>
      <c r="T1815" s="65" t="n">
        <v>-169433.119730426</v>
      </c>
      <c r="U1815" s="65" t="n">
        <v>-175992.848506412</v>
      </c>
      <c r="V1815" s="65" t="n">
        <v>-182749.369145679</v>
      </c>
      <c r="W1815" s="2"/>
    </row>
    <row r="1816" customFormat="false" ht="12.75" hidden="false" customHeight="false" outlineLevel="0" collapsed="false">
      <c r="A1816" s="2"/>
      <c r="B1816" s="125" t="s">
        <v>51</v>
      </c>
      <c r="C1816" s="134"/>
      <c r="D1816" s="65" t="n">
        <v>0</v>
      </c>
      <c r="E1816" s="65" t="n">
        <v>0</v>
      </c>
      <c r="F1816" s="65" t="n">
        <v>0</v>
      </c>
      <c r="G1816" s="65" t="n">
        <v>0</v>
      </c>
      <c r="H1816" s="65" t="n">
        <v>0</v>
      </c>
      <c r="I1816" s="65" t="n">
        <v>0</v>
      </c>
      <c r="J1816" s="65" t="n">
        <v>0</v>
      </c>
      <c r="K1816" s="65" t="n">
        <v>0</v>
      </c>
      <c r="L1816" s="65" t="n">
        <v>0</v>
      </c>
      <c r="M1816" s="65" t="n">
        <v>0</v>
      </c>
      <c r="N1816" s="65" t="n">
        <v>0</v>
      </c>
      <c r="O1816" s="65" t="n">
        <v>0</v>
      </c>
      <c r="P1816" s="65" t="n">
        <v>0</v>
      </c>
      <c r="Q1816" s="65" t="n">
        <v>0</v>
      </c>
      <c r="R1816" s="65" t="n">
        <v>0</v>
      </c>
      <c r="S1816" s="65" t="n">
        <v>0</v>
      </c>
      <c r="T1816" s="65" t="n">
        <v>0</v>
      </c>
      <c r="U1816" s="65" t="n">
        <v>0</v>
      </c>
      <c r="V1816" s="65" t="n">
        <v>0</v>
      </c>
      <c r="W1816" s="2"/>
    </row>
    <row r="1817" customFormat="false" ht="12.75" hidden="false" customHeight="false" outlineLevel="0" collapsed="false">
      <c r="A1817" s="2"/>
      <c r="B1817" s="137" t="s">
        <v>52</v>
      </c>
      <c r="C1817" s="138"/>
      <c r="D1817" s="88" t="n">
        <v>3304830.90913439</v>
      </c>
      <c r="E1817" s="88" t="n">
        <v>1740110.90961912</v>
      </c>
      <c r="F1817" s="88" t="n">
        <v>1212884.61109704</v>
      </c>
      <c r="G1817" s="88" t="n">
        <v>608725.953507773</v>
      </c>
      <c r="H1817" s="88" t="n">
        <v>516214.826936364</v>
      </c>
      <c r="I1817" s="88" t="n">
        <v>404330.023932936</v>
      </c>
      <c r="J1817" s="88" t="n">
        <v>747094.468288838</v>
      </c>
      <c r="K1817" s="88" t="n">
        <v>1754978.62680986</v>
      </c>
      <c r="L1817" s="88" t="n">
        <v>1923026.97000543</v>
      </c>
      <c r="M1817" s="88" t="n">
        <v>1994955.425246</v>
      </c>
      <c r="N1817" s="88" t="n">
        <v>1117265.75414351</v>
      </c>
      <c r="O1817" s="88" t="n">
        <v>1638909.51166181</v>
      </c>
      <c r="P1817" s="88" t="n">
        <v>1402697.55502387</v>
      </c>
      <c r="Q1817" s="88" t="n">
        <v>2230653.00353687</v>
      </c>
      <c r="R1817" s="88" t="n">
        <v>3010008.79164975</v>
      </c>
      <c r="S1817" s="88" t="n">
        <v>2702757.78431135</v>
      </c>
      <c r="T1817" s="88" t="n">
        <v>2947706.74971909</v>
      </c>
      <c r="U1817" s="88" t="n">
        <v>3450101.34651904</v>
      </c>
      <c r="V1817" s="88" t="n">
        <v>3033702.68146535</v>
      </c>
      <c r="W1817" s="2"/>
    </row>
    <row r="1818" customFormat="false" ht="13.5" hidden="false" customHeight="false" outlineLevel="0" collapsed="false">
      <c r="A1818" s="2"/>
      <c r="B1818" s="143" t="s">
        <v>53</v>
      </c>
      <c r="C1818" s="144"/>
      <c r="D1818" s="96" t="n">
        <v>-1321932.36365375</v>
      </c>
      <c r="E1818" s="96" t="n">
        <v>-696044.363847647</v>
      </c>
      <c r="F1818" s="96" t="n">
        <v>-485153.844438816</v>
      </c>
      <c r="G1818" s="96" t="n">
        <v>-243490.381403109</v>
      </c>
      <c r="H1818" s="96" t="n">
        <v>-206485.930774546</v>
      </c>
      <c r="I1818" s="96" t="n">
        <v>-161732.009573174</v>
      </c>
      <c r="J1818" s="96" t="n">
        <v>-298837.787315535</v>
      </c>
      <c r="K1818" s="96" t="n">
        <v>-701991.450723942</v>
      </c>
      <c r="L1818" s="96" t="n">
        <v>-769210.788002172</v>
      </c>
      <c r="M1818" s="96" t="n">
        <v>-797982.170098398</v>
      </c>
      <c r="N1818" s="96" t="n">
        <v>-446906.301657404</v>
      </c>
      <c r="O1818" s="96" t="n">
        <v>-655563.804664723</v>
      </c>
      <c r="P1818" s="96" t="n">
        <v>-561079.022009549</v>
      </c>
      <c r="Q1818" s="96" t="n">
        <v>-892261.201414748</v>
      </c>
      <c r="R1818" s="96" t="n">
        <v>-1204003.5166599</v>
      </c>
      <c r="S1818" s="96" t="n">
        <v>-1081103.11372454</v>
      </c>
      <c r="T1818" s="96" t="n">
        <v>-1179082.69988763</v>
      </c>
      <c r="U1818" s="96" t="n">
        <v>-1380040.53860762</v>
      </c>
      <c r="V1818" s="96" t="n">
        <v>-1213481.07258614</v>
      </c>
      <c r="W1818" s="2"/>
    </row>
    <row r="1819" customFormat="false" ht="13.5" hidden="false" customHeight="false" outlineLevel="0" collapsed="false">
      <c r="A1819" s="2"/>
      <c r="B1819" s="137" t="s">
        <v>54</v>
      </c>
      <c r="C1819" s="138"/>
      <c r="D1819" s="88" t="n">
        <v>1982898.54548063</v>
      </c>
      <c r="E1819" s="88" t="n">
        <v>1044066.54577147</v>
      </c>
      <c r="F1819" s="88" t="n">
        <v>727730.766658224</v>
      </c>
      <c r="G1819" s="88" t="n">
        <v>365235.572104664</v>
      </c>
      <c r="H1819" s="88" t="n">
        <v>309728.896161819</v>
      </c>
      <c r="I1819" s="88" t="n">
        <v>242598.014359762</v>
      </c>
      <c r="J1819" s="88" t="n">
        <v>448256.680973302</v>
      </c>
      <c r="K1819" s="88" t="n">
        <v>1052987.17608591</v>
      </c>
      <c r="L1819" s="88" t="n">
        <v>1153816.18200326</v>
      </c>
      <c r="M1819" s="88" t="n">
        <v>1196973.2551476</v>
      </c>
      <c r="N1819" s="88" t="n">
        <v>670359.452486106</v>
      </c>
      <c r="O1819" s="88" t="n">
        <v>983345.706997085</v>
      </c>
      <c r="P1819" s="88" t="n">
        <v>841618.533014324</v>
      </c>
      <c r="Q1819" s="88" t="n">
        <v>1338391.80212212</v>
      </c>
      <c r="R1819" s="88" t="n">
        <v>1806005.27498985</v>
      </c>
      <c r="S1819" s="88" t="n">
        <v>1621654.67058681</v>
      </c>
      <c r="T1819" s="88" t="n">
        <v>1768624.04983145</v>
      </c>
      <c r="U1819" s="88" t="n">
        <v>2070060.80791143</v>
      </c>
      <c r="V1819" s="88" t="n">
        <v>1820221.60887921</v>
      </c>
      <c r="W1819" s="2"/>
    </row>
    <row r="1820" customFormat="false" ht="12.75" hidden="false" customHeight="false" outlineLevel="0" collapsed="false">
      <c r="A1820" s="2"/>
      <c r="B1820" s="2"/>
      <c r="C1820" s="134"/>
      <c r="D1820" s="2"/>
      <c r="E1820" s="135"/>
      <c r="F1820" s="128"/>
      <c r="G1820" s="136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</row>
    <row r="1821" customFormat="false" ht="15.75" hidden="false" customHeight="false" outlineLevel="0" collapsed="false">
      <c r="A1821" s="97" t="s">
        <v>55</v>
      </c>
      <c r="B1821" s="145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</row>
    <row r="1822" customFormat="false" ht="12.75" hidden="false" customHeight="false" outlineLevel="0" collapsed="false">
      <c r="A1822" s="99" t="s">
        <v>56</v>
      </c>
      <c r="B1822" s="49"/>
      <c r="C1822" s="101" t="n">
        <v>0</v>
      </c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</row>
    <row r="1823" customFormat="false" ht="12.75" hidden="false" customHeight="false" outlineLevel="0" collapsed="false">
      <c r="A1823" s="99" t="s">
        <v>57</v>
      </c>
      <c r="B1823" s="49"/>
      <c r="C1823" s="146" t="n">
        <v>0</v>
      </c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</row>
    <row r="1824" customFormat="false" ht="12.75" hidden="false" customHeight="false" outlineLevel="0" collapsed="false">
      <c r="A1824" s="99" t="s">
        <v>58</v>
      </c>
      <c r="B1824" s="49"/>
      <c r="C1824" s="99" t="n">
        <v>15</v>
      </c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</row>
    <row r="1825" customFormat="false" ht="12.75" hidden="false" customHeight="false" outlineLevel="0" collapsed="false">
      <c r="A1825" s="99" t="s">
        <v>59</v>
      </c>
      <c r="B1825" s="49"/>
      <c r="C1825" s="146" t="n">
        <v>0</v>
      </c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</row>
    <row r="1826" customFormat="false" ht="12.75" hidden="false" customHeight="false" outlineLevel="0" collapsed="false">
      <c r="A1826" s="99" t="s">
        <v>60</v>
      </c>
      <c r="B1826" s="49"/>
      <c r="C1826" s="147" t="n">
        <v>0.0875</v>
      </c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</row>
    <row r="1827" customFormat="false" ht="12.75" hidden="false" customHeight="false" outlineLevel="0" collapsed="false">
      <c r="A1827" s="99"/>
      <c r="B1827" s="49"/>
      <c r="C1827" s="107"/>
      <c r="D1827" s="58" t="n">
        <v>2001</v>
      </c>
      <c r="E1827" s="58" t="n">
        <v>2002</v>
      </c>
      <c r="F1827" s="58" t="n">
        <v>2003</v>
      </c>
      <c r="G1827" s="58" t="n">
        <v>2004</v>
      </c>
      <c r="H1827" s="58" t="n">
        <v>2005</v>
      </c>
      <c r="I1827" s="58" t="n">
        <v>2006</v>
      </c>
      <c r="J1827" s="58" t="n">
        <v>2007</v>
      </c>
      <c r="K1827" s="58" t="n">
        <v>2008</v>
      </c>
      <c r="L1827" s="58" t="n">
        <v>2009</v>
      </c>
      <c r="M1827" s="58" t="n">
        <v>2010</v>
      </c>
      <c r="N1827" s="58" t="n">
        <v>2011</v>
      </c>
      <c r="O1827" s="58" t="n">
        <v>2012</v>
      </c>
      <c r="P1827" s="58" t="n">
        <v>2013</v>
      </c>
      <c r="Q1827" s="58" t="n">
        <v>2014</v>
      </c>
      <c r="R1827" s="58" t="n">
        <v>2015</v>
      </c>
      <c r="S1827" s="58" t="n">
        <v>2016</v>
      </c>
      <c r="T1827" s="58" t="n">
        <v>2017</v>
      </c>
      <c r="U1827" s="58" t="n">
        <v>2018</v>
      </c>
      <c r="V1827" s="58" t="n">
        <v>2019</v>
      </c>
      <c r="W1827" s="58" t="s">
        <v>19</v>
      </c>
    </row>
    <row r="1828" customFormat="false" ht="12.75" hidden="false" customHeight="false" outlineLevel="0" collapsed="false">
      <c r="A1828" s="99" t="s">
        <v>61</v>
      </c>
      <c r="B1828" s="49"/>
      <c r="C1828" s="107"/>
      <c r="D1828" s="102" t="n">
        <v>0</v>
      </c>
      <c r="E1828" s="102" t="n">
        <v>0</v>
      </c>
      <c r="F1828" s="102" t="n">
        <v>0</v>
      </c>
      <c r="G1828" s="102" t="n">
        <v>0</v>
      </c>
      <c r="H1828" s="102" t="n">
        <v>0</v>
      </c>
      <c r="I1828" s="102" t="n">
        <v>0</v>
      </c>
      <c r="J1828" s="102" t="n">
        <v>0</v>
      </c>
      <c r="K1828" s="102" t="n">
        <v>0</v>
      </c>
      <c r="L1828" s="102" t="n">
        <v>0</v>
      </c>
      <c r="M1828" s="102" t="n">
        <v>0</v>
      </c>
      <c r="N1828" s="102" t="n">
        <v>0</v>
      </c>
      <c r="O1828" s="102" t="n">
        <v>0</v>
      </c>
      <c r="P1828" s="102" t="n">
        <v>0</v>
      </c>
      <c r="Q1828" s="102" t="n">
        <v>0</v>
      </c>
      <c r="R1828" s="102" t="n">
        <v>0</v>
      </c>
      <c r="S1828" s="102" t="n">
        <v>0</v>
      </c>
      <c r="T1828" s="102" t="n">
        <v>0</v>
      </c>
      <c r="U1828" s="102" t="n">
        <v>0</v>
      </c>
      <c r="V1828" s="102" t="n">
        <v>0</v>
      </c>
      <c r="W1828" s="102" t="n">
        <v>0</v>
      </c>
    </row>
    <row r="1829" customFormat="false" ht="12.75" hidden="false" customHeight="false" outlineLevel="0" collapsed="false">
      <c r="A1829" s="99" t="s">
        <v>62</v>
      </c>
      <c r="B1829" s="49"/>
      <c r="C1829" s="107"/>
      <c r="D1829" s="102" t="n">
        <v>0</v>
      </c>
      <c r="E1829" s="102" t="n">
        <v>0</v>
      </c>
      <c r="F1829" s="102" t="n">
        <v>0</v>
      </c>
      <c r="G1829" s="102" t="n">
        <v>0</v>
      </c>
      <c r="H1829" s="102" t="n">
        <v>0</v>
      </c>
      <c r="I1829" s="102" t="n">
        <v>0</v>
      </c>
      <c r="J1829" s="102" t="n">
        <v>0</v>
      </c>
      <c r="K1829" s="102" t="n">
        <v>0</v>
      </c>
      <c r="L1829" s="102" t="n">
        <v>0</v>
      </c>
      <c r="M1829" s="102" t="n">
        <v>0</v>
      </c>
      <c r="N1829" s="102" t="n">
        <v>0</v>
      </c>
      <c r="O1829" s="102" t="n">
        <v>0</v>
      </c>
      <c r="P1829" s="102" t="n">
        <v>0</v>
      </c>
      <c r="Q1829" s="102" t="n">
        <v>0</v>
      </c>
      <c r="R1829" s="102" t="n">
        <v>0</v>
      </c>
      <c r="S1829" s="102" t="n">
        <v>0</v>
      </c>
      <c r="T1829" s="102" t="n">
        <v>0</v>
      </c>
      <c r="U1829" s="102" t="n">
        <v>0</v>
      </c>
      <c r="V1829" s="102" t="n">
        <v>0</v>
      </c>
      <c r="W1829" s="102" t="n">
        <v>0</v>
      </c>
    </row>
    <row r="1830" customFormat="false" ht="12.75" hidden="false" customHeight="false" outlineLevel="0" collapsed="false">
      <c r="A1830" s="99" t="s">
        <v>63</v>
      </c>
      <c r="B1830" s="49"/>
      <c r="C1830" s="107"/>
      <c r="D1830" s="102" t="n">
        <v>0</v>
      </c>
      <c r="E1830" s="102" t="n">
        <v>0</v>
      </c>
      <c r="F1830" s="102" t="n">
        <v>0</v>
      </c>
      <c r="G1830" s="102" t="n">
        <v>0</v>
      </c>
      <c r="H1830" s="102" t="n">
        <v>0</v>
      </c>
      <c r="I1830" s="102" t="n">
        <v>0</v>
      </c>
      <c r="J1830" s="102" t="n">
        <v>0</v>
      </c>
      <c r="K1830" s="102" t="n">
        <v>0</v>
      </c>
      <c r="L1830" s="102" t="n">
        <v>0</v>
      </c>
      <c r="M1830" s="102" t="n">
        <v>0</v>
      </c>
      <c r="N1830" s="102" t="n">
        <v>0</v>
      </c>
      <c r="O1830" s="102" t="n">
        <v>0</v>
      </c>
      <c r="P1830" s="102" t="n">
        <v>0</v>
      </c>
      <c r="Q1830" s="102" t="n">
        <v>0</v>
      </c>
      <c r="R1830" s="102" t="n">
        <v>0</v>
      </c>
      <c r="S1830" s="102" t="n">
        <v>0</v>
      </c>
      <c r="T1830" s="102" t="n">
        <v>0</v>
      </c>
      <c r="U1830" s="102" t="n">
        <v>0</v>
      </c>
      <c r="V1830" s="102" t="n">
        <v>0</v>
      </c>
      <c r="W1830" s="102" t="n">
        <v>0</v>
      </c>
    </row>
    <row r="1831" customFormat="false" ht="12.75" hidden="false" customHeight="false" outlineLevel="0" collapsed="false">
      <c r="A1831" s="99" t="s">
        <v>64</v>
      </c>
      <c r="B1831" s="49"/>
      <c r="C1831" s="107"/>
      <c r="D1831" s="105" t="n">
        <v>0</v>
      </c>
      <c r="E1831" s="105" t="n">
        <v>0</v>
      </c>
      <c r="F1831" s="105" t="n">
        <v>0</v>
      </c>
      <c r="G1831" s="105" t="n">
        <v>0</v>
      </c>
      <c r="H1831" s="105" t="n">
        <v>0</v>
      </c>
      <c r="I1831" s="105" t="n">
        <v>0</v>
      </c>
      <c r="J1831" s="105" t="n">
        <v>0</v>
      </c>
      <c r="K1831" s="105" t="n">
        <v>0</v>
      </c>
      <c r="L1831" s="105" t="n">
        <v>0</v>
      </c>
      <c r="M1831" s="105" t="n">
        <v>0</v>
      </c>
      <c r="N1831" s="105" t="n">
        <v>0</v>
      </c>
      <c r="O1831" s="105" t="n">
        <v>0</v>
      </c>
      <c r="P1831" s="105" t="n">
        <v>0</v>
      </c>
      <c r="Q1831" s="105" t="n">
        <v>0</v>
      </c>
      <c r="R1831" s="105" t="n">
        <v>0</v>
      </c>
      <c r="S1831" s="105" t="n">
        <v>0</v>
      </c>
      <c r="T1831" s="105" t="n">
        <v>0</v>
      </c>
      <c r="U1831" s="105" t="n">
        <v>0</v>
      </c>
      <c r="V1831" s="105" t="n">
        <v>0</v>
      </c>
      <c r="W1831" s="105" t="n">
        <v>0</v>
      </c>
    </row>
    <row r="1832" customFormat="false" ht="13.5" hidden="false" customHeight="false" outlineLevel="0" collapsed="false">
      <c r="A1832" s="99" t="s">
        <v>65</v>
      </c>
      <c r="B1832" s="49"/>
      <c r="C1832" s="107"/>
      <c r="D1832" s="106" t="n">
        <v>0</v>
      </c>
      <c r="E1832" s="106" t="n">
        <v>0</v>
      </c>
      <c r="F1832" s="106" t="n">
        <v>0</v>
      </c>
      <c r="G1832" s="106" t="n">
        <v>0</v>
      </c>
      <c r="H1832" s="106" t="n">
        <v>0</v>
      </c>
      <c r="I1832" s="106" t="n">
        <v>0</v>
      </c>
      <c r="J1832" s="106" t="n">
        <v>0</v>
      </c>
      <c r="K1832" s="106" t="n">
        <v>0</v>
      </c>
      <c r="L1832" s="106" t="n">
        <v>0</v>
      </c>
      <c r="M1832" s="106" t="n">
        <v>0</v>
      </c>
      <c r="N1832" s="106" t="n">
        <v>0</v>
      </c>
      <c r="O1832" s="106" t="n">
        <v>0</v>
      </c>
      <c r="P1832" s="106" t="n">
        <v>0</v>
      </c>
      <c r="Q1832" s="106" t="n">
        <v>0</v>
      </c>
      <c r="R1832" s="106" t="n">
        <v>0</v>
      </c>
      <c r="S1832" s="106" t="n">
        <v>0</v>
      </c>
      <c r="T1832" s="106" t="n">
        <v>0</v>
      </c>
      <c r="U1832" s="106" t="n">
        <v>0</v>
      </c>
      <c r="V1832" s="106" t="n">
        <v>0</v>
      </c>
      <c r="W1832" s="106" t="n">
        <v>0</v>
      </c>
    </row>
    <row r="1833" customFormat="false" ht="13.5" hidden="false" customHeight="false" outlineLevel="0" collapsed="false">
      <c r="A1833" s="99"/>
      <c r="B1833" s="49"/>
      <c r="C1833" s="107"/>
      <c r="D1833" s="102"/>
      <c r="E1833" s="102"/>
      <c r="F1833" s="102"/>
      <c r="G1833" s="102"/>
      <c r="H1833" s="102"/>
      <c r="I1833" s="102"/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102"/>
    </row>
    <row r="1834" customFormat="false" ht="12.75" hidden="false" customHeight="false" outlineLevel="0" collapsed="false">
      <c r="A1834" s="99" t="s">
        <v>66</v>
      </c>
      <c r="B1834" s="49"/>
      <c r="C1834" s="107"/>
      <c r="D1834" s="102" t="n">
        <v>0</v>
      </c>
      <c r="E1834" s="102" t="n">
        <v>0</v>
      </c>
      <c r="F1834" s="102" t="n">
        <v>0</v>
      </c>
      <c r="G1834" s="102" t="n">
        <v>0</v>
      </c>
      <c r="H1834" s="102" t="n">
        <v>0</v>
      </c>
      <c r="I1834" s="102" t="n">
        <v>0</v>
      </c>
      <c r="J1834" s="102" t="n">
        <v>0</v>
      </c>
      <c r="K1834" s="102" t="n">
        <v>0</v>
      </c>
      <c r="L1834" s="102" t="n">
        <v>0</v>
      </c>
      <c r="M1834" s="102" t="n">
        <v>0</v>
      </c>
      <c r="N1834" s="102" t="n">
        <v>0</v>
      </c>
      <c r="O1834" s="102" t="n">
        <v>0</v>
      </c>
      <c r="P1834" s="102" t="n">
        <v>0</v>
      </c>
      <c r="Q1834" s="102" t="n">
        <v>0</v>
      </c>
      <c r="R1834" s="102" t="n">
        <v>0</v>
      </c>
      <c r="S1834" s="102" t="n">
        <v>0</v>
      </c>
      <c r="T1834" s="102" t="n">
        <v>0</v>
      </c>
      <c r="U1834" s="102" t="n">
        <v>0</v>
      </c>
      <c r="V1834" s="102" t="n">
        <v>0</v>
      </c>
      <c r="W1834" s="102" t="n">
        <v>0</v>
      </c>
    </row>
    <row r="1835" customFormat="false" ht="12.75" hidden="false" customHeight="false" outlineLevel="0" collapsed="false">
      <c r="A1835" s="99"/>
      <c r="B1835" s="49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</row>
    <row r="1836" customFormat="false" ht="12.75" hidden="false" customHeight="false" outlineLevel="0" collapsed="false">
      <c r="A1836" s="99" t="s">
        <v>67</v>
      </c>
      <c r="B1836" s="49"/>
      <c r="C1836" s="107"/>
      <c r="D1836" s="102" t="n">
        <v>0</v>
      </c>
      <c r="E1836" s="102" t="n">
        <v>0</v>
      </c>
      <c r="F1836" s="102" t="n">
        <v>0</v>
      </c>
      <c r="G1836" s="102" t="n">
        <v>0</v>
      </c>
      <c r="H1836" s="102" t="n">
        <v>0</v>
      </c>
      <c r="I1836" s="102" t="n">
        <v>0</v>
      </c>
      <c r="J1836" s="102" t="n">
        <v>0</v>
      </c>
      <c r="K1836" s="102" t="n">
        <v>0</v>
      </c>
      <c r="L1836" s="102" t="n">
        <v>0</v>
      </c>
      <c r="M1836" s="102" t="n">
        <v>0</v>
      </c>
      <c r="N1836" s="102" t="n">
        <v>0</v>
      </c>
      <c r="O1836" s="102" t="n">
        <v>0</v>
      </c>
      <c r="P1836" s="102" t="n">
        <v>0</v>
      </c>
      <c r="Q1836" s="102" t="n">
        <v>0</v>
      </c>
      <c r="R1836" s="102" t="n">
        <v>0</v>
      </c>
      <c r="S1836" s="102" t="n">
        <v>0</v>
      </c>
      <c r="T1836" s="102" t="n">
        <v>0</v>
      </c>
      <c r="U1836" s="102" t="n">
        <v>0</v>
      </c>
      <c r="V1836" s="102" t="n">
        <v>0</v>
      </c>
      <c r="W1836" s="102" t="n">
        <v>0</v>
      </c>
    </row>
    <row r="1837" customFormat="false" ht="12.75" hidden="false" customHeight="false" outlineLevel="0" collapsed="false">
      <c r="A1837" s="107"/>
      <c r="B1837" s="49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</row>
    <row r="1838" customFormat="false" ht="12.75" hidden="false" customHeight="false" outlineLevel="0" collapsed="false">
      <c r="A1838" s="107"/>
      <c r="B1838" s="49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</row>
    <row r="1839" customFormat="false" ht="12.75" hidden="false" customHeight="false" outlineLevel="0" collapsed="false">
      <c r="A1839" s="99" t="s">
        <v>68</v>
      </c>
      <c r="B1839" s="148"/>
      <c r="C1839" s="149"/>
      <c r="D1839" s="79" t="n">
        <v>3944189.20996582</v>
      </c>
      <c r="E1839" s="79" t="n">
        <v>3006956.57169591</v>
      </c>
      <c r="F1839" s="79" t="n">
        <v>2334650.22425372</v>
      </c>
      <c r="G1839" s="79" t="n">
        <v>2350754.36413768</v>
      </c>
      <c r="H1839" s="79" t="n">
        <v>2223727.66910482</v>
      </c>
      <c r="I1839" s="79" t="n">
        <v>2159619.77920752</v>
      </c>
      <c r="J1839" s="79" t="n">
        <v>1977303.39498139</v>
      </c>
      <c r="K1839" s="79" t="n">
        <v>2150350.49555462</v>
      </c>
      <c r="L1839" s="79" t="n">
        <v>2203228.94591721</v>
      </c>
      <c r="M1839" s="79" t="n">
        <v>2243152.16281966</v>
      </c>
      <c r="N1839" s="79" t="n">
        <v>1718662.12920038</v>
      </c>
      <c r="O1839" s="79" t="n">
        <v>2033823.11867005</v>
      </c>
      <c r="P1839" s="79" t="n">
        <v>1894318.03721121</v>
      </c>
      <c r="Q1839" s="79" t="n">
        <v>2393330.72428531</v>
      </c>
      <c r="R1839" s="79" t="n">
        <v>2045214.162325</v>
      </c>
      <c r="S1839" s="79" t="n">
        <v>1630047.03072241</v>
      </c>
      <c r="T1839" s="79" t="n">
        <v>1779517.24461152</v>
      </c>
      <c r="U1839" s="79" t="n">
        <v>2083529.8623753</v>
      </c>
      <c r="V1839" s="79" t="n">
        <v>1836343.7988174</v>
      </c>
      <c r="W1839" s="79" t="n">
        <v>12078952.0866195</v>
      </c>
    </row>
    <row r="1840" customFormat="false" ht="12.75" hidden="false" customHeight="false" outlineLevel="0" collapsed="false">
      <c r="A1840" s="2"/>
      <c r="B1840" s="31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</row>
    <row r="1841" customFormat="false" ht="12.75" hidden="false" customHeight="false" outlineLevel="0" collapsed="false">
      <c r="A1841" s="169"/>
      <c r="B1841" s="115"/>
      <c r="C1841" s="170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customFormat="false" ht="12.75" hidden="false" customHeight="false" outlineLevel="0" collapsed="false">
      <c r="A1842" s="169"/>
      <c r="B1842" s="115"/>
      <c r="C1842" s="170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customFormat="false" ht="12.75" hidden="false" customHeight="false" outlineLevel="0" collapsed="false">
      <c r="A1843" s="169"/>
      <c r="B1843" s="115"/>
      <c r="C1843" s="170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customFormat="false" ht="12.75" hidden="false" customHeight="false" outlineLevel="0" collapsed="false">
      <c r="A1844" s="169"/>
      <c r="B1844" s="115"/>
      <c r="C1844" s="170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customFormat="false" ht="12.75" hidden="false" customHeight="false" outlineLevel="0" collapsed="false">
      <c r="A1845" s="169"/>
      <c r="B1845" s="115"/>
      <c r="C1845" s="170"/>
      <c r="D1845" s="170"/>
      <c r="E1845" s="170"/>
      <c r="F1845" s="170"/>
      <c r="G1845" s="170"/>
      <c r="H1845" s="170"/>
      <c r="I1845" s="170"/>
      <c r="J1845" s="170"/>
      <c r="K1845" s="170"/>
      <c r="L1845" s="170"/>
      <c r="M1845" s="170"/>
      <c r="N1845" s="170"/>
      <c r="O1845" s="170"/>
      <c r="P1845" s="170"/>
      <c r="Q1845" s="170"/>
      <c r="R1845" s="170"/>
      <c r="S1845" s="170"/>
      <c r="T1845" s="170"/>
      <c r="U1845" s="170"/>
      <c r="V1845" s="170"/>
      <c r="W1845" s="170"/>
    </row>
    <row r="1846" customFormat="false" ht="12.75" hidden="false" customHeight="false" outlineLevel="0" collapsed="false">
      <c r="A1846" s="169"/>
      <c r="B1846" s="115"/>
      <c r="C1846" s="170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customFormat="false" ht="12.75" hidden="false" customHeight="false" outlineLevel="0" collapsed="false">
      <c r="A1847" s="170"/>
      <c r="B1847" s="115"/>
      <c r="C1847" s="170"/>
      <c r="D1847" s="170"/>
      <c r="E1847" s="170"/>
      <c r="F1847" s="170"/>
      <c r="G1847" s="170"/>
      <c r="H1847" s="170"/>
      <c r="I1847" s="170"/>
      <c r="J1847" s="170"/>
      <c r="K1847" s="170"/>
      <c r="L1847" s="170"/>
      <c r="M1847" s="170"/>
      <c r="N1847" s="170"/>
      <c r="O1847" s="170"/>
      <c r="P1847" s="170"/>
      <c r="Q1847" s="170"/>
      <c r="R1847" s="170"/>
      <c r="S1847" s="170"/>
      <c r="T1847" s="170"/>
      <c r="U1847" s="170"/>
      <c r="V1847" s="170"/>
      <c r="W1847" s="170"/>
    </row>
    <row r="1848" customFormat="false" ht="15.75" hidden="false" customHeight="false" outlineLevel="0" collapsed="false">
      <c r="A1848" s="48" t="s">
        <v>17</v>
      </c>
      <c r="B1848" s="57" t="s">
        <v>97</v>
      </c>
      <c r="C1848" s="58" t="n">
        <v>2000</v>
      </c>
      <c r="D1848" s="58" t="n">
        <v>2001</v>
      </c>
      <c r="E1848" s="58" t="n">
        <v>2002</v>
      </c>
      <c r="F1848" s="58" t="n">
        <v>2003</v>
      </c>
      <c r="G1848" s="58" t="n">
        <v>2004</v>
      </c>
      <c r="H1848" s="58" t="n">
        <v>2005</v>
      </c>
      <c r="I1848" s="58" t="n">
        <v>2006</v>
      </c>
      <c r="J1848" s="58" t="n">
        <v>2007</v>
      </c>
      <c r="K1848" s="58" t="n">
        <v>2008</v>
      </c>
      <c r="L1848" s="58" t="n">
        <v>2009</v>
      </c>
      <c r="M1848" s="58" t="n">
        <v>2010</v>
      </c>
      <c r="N1848" s="58" t="n">
        <v>2011</v>
      </c>
      <c r="O1848" s="58" t="n">
        <v>2012</v>
      </c>
      <c r="P1848" s="58" t="n">
        <v>2013</v>
      </c>
      <c r="Q1848" s="58" t="n">
        <v>2014</v>
      </c>
      <c r="R1848" s="58" t="n">
        <v>2015</v>
      </c>
      <c r="S1848" s="58" t="n">
        <v>2016</v>
      </c>
      <c r="T1848" s="58" t="n">
        <v>2017</v>
      </c>
      <c r="U1848" s="58" t="n">
        <v>2018</v>
      </c>
      <c r="V1848" s="58" t="n">
        <v>2019</v>
      </c>
      <c r="W1848" s="58" t="s">
        <v>19</v>
      </c>
    </row>
    <row r="1849" customFormat="false" ht="12.75" hidden="false" customHeight="false" outlineLevel="0" collapsed="false">
      <c r="A1849" s="48" t="s">
        <v>5</v>
      </c>
      <c r="B1849" s="49" t="n">
        <v>83.433</v>
      </c>
      <c r="C1849" s="61"/>
      <c r="D1849" s="61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</row>
    <row r="1850" customFormat="false" ht="12.75" hidden="false" customHeight="false" outlineLevel="0" collapsed="false">
      <c r="A1850" s="2"/>
      <c r="B1850" s="117" t="s">
        <v>20</v>
      </c>
      <c r="C1850" s="118" t="n">
        <v>0</v>
      </c>
      <c r="D1850" s="64" t="n">
        <v>8202175.39141969</v>
      </c>
      <c r="E1850" s="64" t="n">
        <v>7219125.19556247</v>
      </c>
      <c r="F1850" s="64" t="n">
        <v>6975429.92891035</v>
      </c>
      <c r="G1850" s="64" t="n">
        <v>6698801.53981955</v>
      </c>
      <c r="H1850" s="64" t="n">
        <v>6877286.90124915</v>
      </c>
      <c r="I1850" s="64" t="n">
        <v>7875918.16116401</v>
      </c>
      <c r="J1850" s="64" t="n">
        <v>9532366.51234013</v>
      </c>
      <c r="K1850" s="64" t="n">
        <v>12117113.0103676</v>
      </c>
      <c r="L1850" s="64" t="n">
        <v>12861496.0661958</v>
      </c>
      <c r="M1850" s="64" t="n">
        <v>11066696.0971635</v>
      </c>
      <c r="N1850" s="64" t="n">
        <v>10846097.9980071</v>
      </c>
      <c r="O1850" s="64" t="n">
        <v>10837165.4619768</v>
      </c>
      <c r="P1850" s="64" t="n">
        <v>10010041.08074</v>
      </c>
      <c r="Q1850" s="64" t="n">
        <v>11607660.5992968</v>
      </c>
      <c r="R1850" s="64" t="n">
        <v>10822858.6762665</v>
      </c>
      <c r="S1850" s="64" t="n">
        <v>10915874.0816648</v>
      </c>
      <c r="T1850" s="64" t="n">
        <v>10065899.0774091</v>
      </c>
      <c r="U1850" s="64" t="n">
        <v>11407206.8863037</v>
      </c>
      <c r="V1850" s="64" t="n">
        <v>12342873.4841228</v>
      </c>
      <c r="W1850" s="65"/>
    </row>
    <row r="1851" customFormat="false" ht="12.75" hidden="false" customHeight="false" outlineLevel="0" collapsed="false">
      <c r="A1851" s="2"/>
      <c r="B1851" s="117" t="s">
        <v>21</v>
      </c>
      <c r="C1851" s="118" t="n">
        <v>0</v>
      </c>
      <c r="D1851" s="64" t="n">
        <v>-2443747.15095388</v>
      </c>
      <c r="E1851" s="64" t="n">
        <v>-2991581.05241517</v>
      </c>
      <c r="F1851" s="64" t="n">
        <v>-3235039.69989279</v>
      </c>
      <c r="G1851" s="64" t="n">
        <v>-3544191.97559814</v>
      </c>
      <c r="H1851" s="64" t="n">
        <v>-3794796.96567439</v>
      </c>
      <c r="I1851" s="64" t="n">
        <v>-4944426.37962473</v>
      </c>
      <c r="J1851" s="64" t="n">
        <v>-6219182.82268616</v>
      </c>
      <c r="K1851" s="64" t="n">
        <v>-7723082.37659265</v>
      </c>
      <c r="L1851" s="64" t="n">
        <v>-8284094.12252955</v>
      </c>
      <c r="M1851" s="64" t="n">
        <v>-6482347.86682114</v>
      </c>
      <c r="N1851" s="64" t="n">
        <v>-7112818.16695236</v>
      </c>
      <c r="O1851" s="64" t="n">
        <v>-6598867.18665961</v>
      </c>
      <c r="P1851" s="64" t="n">
        <v>-6033835.20069249</v>
      </c>
      <c r="Q1851" s="64" t="n">
        <v>-6785562.71861277</v>
      </c>
      <c r="R1851" s="64" t="n">
        <v>-6609183.75658588</v>
      </c>
      <c r="S1851" s="64" t="n">
        <v>-7384920.38659215</v>
      </c>
      <c r="T1851" s="64" t="n">
        <v>-6300625.62055801</v>
      </c>
      <c r="U1851" s="64" t="n">
        <v>-7074580.36023023</v>
      </c>
      <c r="V1851" s="64" t="n">
        <v>-8373327.41472128</v>
      </c>
      <c r="W1851" s="65"/>
    </row>
    <row r="1852" customFormat="false" ht="12.75" hidden="false" customHeight="false" outlineLevel="0" collapsed="false">
      <c r="A1852" s="2"/>
      <c r="B1852" s="117" t="s">
        <v>22</v>
      </c>
      <c r="C1852" s="118" t="n">
        <v>0</v>
      </c>
      <c r="D1852" s="64" t="n">
        <v>-60965.9960270487</v>
      </c>
      <c r="E1852" s="64" t="n">
        <v>-86226.8817444926</v>
      </c>
      <c r="F1852" s="64" t="n">
        <v>-98920.0929284977</v>
      </c>
      <c r="G1852" s="64" t="n">
        <v>-108302.357800399</v>
      </c>
      <c r="H1852" s="64" t="n">
        <v>-115803.715903977</v>
      </c>
      <c r="I1852" s="64" t="n">
        <v>-156864.885978719</v>
      </c>
      <c r="J1852" s="64" t="n">
        <v>-192371.530618223</v>
      </c>
      <c r="K1852" s="64" t="n">
        <v>-262154.68285511</v>
      </c>
      <c r="L1852" s="64" t="n">
        <v>-274514.626462568</v>
      </c>
      <c r="M1852" s="64" t="n">
        <v>-209035.46436537</v>
      </c>
      <c r="N1852" s="64" t="n">
        <v>-234968.360631691</v>
      </c>
      <c r="O1852" s="64" t="n">
        <v>-219679.092167691</v>
      </c>
      <c r="P1852" s="64" t="n">
        <v>-198816.527507158</v>
      </c>
      <c r="Q1852" s="64" t="n">
        <v>-222370.272894788</v>
      </c>
      <c r="R1852" s="64" t="n">
        <v>-204501.470788994</v>
      </c>
      <c r="S1852" s="64" t="n">
        <v>-224078.643657812</v>
      </c>
      <c r="T1852" s="64" t="n">
        <v>-191744.267299548</v>
      </c>
      <c r="U1852" s="64" t="n">
        <v>-202409.859650827</v>
      </c>
      <c r="V1852" s="64" t="n">
        <v>-245710.990122286</v>
      </c>
      <c r="W1852" s="65"/>
    </row>
    <row r="1853" customFormat="false" ht="12.75" hidden="false" customHeight="false" outlineLevel="0" collapsed="false">
      <c r="A1853" s="2"/>
      <c r="B1853" s="117" t="s">
        <v>23</v>
      </c>
      <c r="C1853" s="118" t="n">
        <v>0</v>
      </c>
      <c r="D1853" s="64" t="n">
        <v>0</v>
      </c>
      <c r="E1853" s="64" t="n">
        <v>0</v>
      </c>
      <c r="F1853" s="64" t="n">
        <v>0</v>
      </c>
      <c r="G1853" s="64" t="n">
        <v>0</v>
      </c>
      <c r="H1853" s="64" t="n">
        <v>0</v>
      </c>
      <c r="I1853" s="64" t="n">
        <v>93418.0233270884</v>
      </c>
      <c r="J1853" s="64" t="n">
        <v>103546.416256845</v>
      </c>
      <c r="K1853" s="64" t="n">
        <v>114259.167463377</v>
      </c>
      <c r="L1853" s="64" t="n">
        <v>125495.637715741</v>
      </c>
      <c r="M1853" s="64" t="n">
        <v>139570.444155257</v>
      </c>
      <c r="N1853" s="64" t="n">
        <v>153747.39907892</v>
      </c>
      <c r="O1853" s="64" t="n">
        <v>170347.508693033</v>
      </c>
      <c r="P1853" s="64" t="n">
        <v>191004.368814188</v>
      </c>
      <c r="Q1853" s="64" t="n">
        <v>212617.66815242</v>
      </c>
      <c r="R1853" s="64" t="n">
        <v>235515.425372474</v>
      </c>
      <c r="S1853" s="64" t="n">
        <v>258595.647431392</v>
      </c>
      <c r="T1853" s="64" t="n">
        <v>254057.616455806</v>
      </c>
      <c r="U1853" s="64" t="n">
        <v>217360.03222342</v>
      </c>
      <c r="V1853" s="64" t="n">
        <v>225362.251242398</v>
      </c>
      <c r="W1853" s="65"/>
    </row>
    <row r="1854" customFormat="false" ht="13.5" hidden="false" customHeight="false" outlineLevel="0" collapsed="false">
      <c r="A1854" s="2"/>
      <c r="B1854" s="119" t="s">
        <v>24</v>
      </c>
      <c r="C1854" s="120" t="n">
        <v>0</v>
      </c>
      <c r="D1854" s="68" t="n">
        <v>0</v>
      </c>
      <c r="E1854" s="68" t="n">
        <v>0</v>
      </c>
      <c r="F1854" s="68" t="n">
        <v>0</v>
      </c>
      <c r="G1854" s="68" t="n">
        <v>0</v>
      </c>
      <c r="H1854" s="68" t="n">
        <v>0</v>
      </c>
      <c r="I1854" s="68" t="n">
        <v>0</v>
      </c>
      <c r="J1854" s="68" t="n">
        <v>0</v>
      </c>
      <c r="K1854" s="68" t="n">
        <v>0</v>
      </c>
      <c r="L1854" s="68" t="n">
        <v>0</v>
      </c>
      <c r="M1854" s="68" t="n">
        <v>0</v>
      </c>
      <c r="N1854" s="68" t="n">
        <v>0</v>
      </c>
      <c r="O1854" s="68" t="n">
        <v>0</v>
      </c>
      <c r="P1854" s="68" t="n">
        <v>0</v>
      </c>
      <c r="Q1854" s="68" t="n">
        <v>0</v>
      </c>
      <c r="R1854" s="68" t="n">
        <v>0</v>
      </c>
      <c r="S1854" s="68" t="n">
        <v>0</v>
      </c>
      <c r="T1854" s="68" t="n">
        <v>0</v>
      </c>
      <c r="U1854" s="68" t="n">
        <v>0</v>
      </c>
      <c r="V1854" s="68" t="n">
        <v>0</v>
      </c>
      <c r="W1854" s="65"/>
    </row>
    <row r="1855" customFormat="false" ht="13.5" hidden="false" customHeight="false" outlineLevel="0" collapsed="false">
      <c r="A1855" s="2"/>
      <c r="B1855" s="121" t="s">
        <v>25</v>
      </c>
      <c r="C1855" s="122" t="n">
        <v>0</v>
      </c>
      <c r="D1855" s="71" t="n">
        <v>5697462.24443877</v>
      </c>
      <c r="E1855" s="71" t="n">
        <v>4141317.26140281</v>
      </c>
      <c r="F1855" s="71" t="n">
        <v>3641470.13608906</v>
      </c>
      <c r="G1855" s="71" t="n">
        <v>3046307.20642101</v>
      </c>
      <c r="H1855" s="71" t="n">
        <v>2966686.21967078</v>
      </c>
      <c r="I1855" s="71" t="n">
        <v>2868044.91888765</v>
      </c>
      <c r="J1855" s="71" t="n">
        <v>3224358.5752926</v>
      </c>
      <c r="K1855" s="71" t="n">
        <v>4246135.11838324</v>
      </c>
      <c r="L1855" s="71" t="n">
        <v>4428382.95491944</v>
      </c>
      <c r="M1855" s="71" t="n">
        <v>4514883.2101322</v>
      </c>
      <c r="N1855" s="71" t="n">
        <v>3652058.86950197</v>
      </c>
      <c r="O1855" s="71" t="n">
        <v>4188966.69184257</v>
      </c>
      <c r="P1855" s="71" t="n">
        <v>3968393.72135451</v>
      </c>
      <c r="Q1855" s="71" t="n">
        <v>4812345.27594165</v>
      </c>
      <c r="R1855" s="71" t="n">
        <v>4244688.87426413</v>
      </c>
      <c r="S1855" s="71" t="n">
        <v>3565470.69884627</v>
      </c>
      <c r="T1855" s="71" t="n">
        <v>3827586.80600735</v>
      </c>
      <c r="U1855" s="71" t="n">
        <v>4347576.69864609</v>
      </c>
      <c r="V1855" s="71" t="n">
        <v>3949197.33052165</v>
      </c>
      <c r="W1855" s="65"/>
    </row>
    <row r="1856" customFormat="false" ht="12.75" hidden="false" customHeight="false" outlineLevel="0" collapsed="false">
      <c r="A1856" s="2"/>
      <c r="B1856" s="117" t="s">
        <v>26</v>
      </c>
      <c r="C1856" s="118" t="n">
        <v>0</v>
      </c>
      <c r="D1856" s="64" t="n">
        <v>-355535.162770781</v>
      </c>
      <c r="E1856" s="64" t="n">
        <v>-362645.866026196</v>
      </c>
      <c r="F1856" s="64" t="n">
        <v>-369898.78334672</v>
      </c>
      <c r="G1856" s="64" t="n">
        <v>-377296.759013655</v>
      </c>
      <c r="H1856" s="64" t="n">
        <v>-384842.694193928</v>
      </c>
      <c r="I1856" s="64" t="n">
        <v>-392539.548077806</v>
      </c>
      <c r="J1856" s="64" t="n">
        <v>-400390.339039362</v>
      </c>
      <c r="K1856" s="64" t="n">
        <v>-408398.14582015</v>
      </c>
      <c r="L1856" s="64" t="n">
        <v>-416566.108736553</v>
      </c>
      <c r="M1856" s="64" t="n">
        <v>-424897.430911284</v>
      </c>
      <c r="N1856" s="64" t="n">
        <v>-433395.379529509</v>
      </c>
      <c r="O1856" s="64" t="n">
        <v>-442063.2871201</v>
      </c>
      <c r="P1856" s="64" t="n">
        <v>-450904.552862502</v>
      </c>
      <c r="Q1856" s="64" t="n">
        <v>-459922.643919752</v>
      </c>
      <c r="R1856" s="64" t="n">
        <v>-469121.096798147</v>
      </c>
      <c r="S1856" s="64" t="n">
        <v>-478503.51873411</v>
      </c>
      <c r="T1856" s="64" t="n">
        <v>-488073.589108792</v>
      </c>
      <c r="U1856" s="64" t="n">
        <v>-497835.060890968</v>
      </c>
      <c r="V1856" s="64" t="n">
        <v>-507791.762108787</v>
      </c>
      <c r="W1856" s="65"/>
    </row>
    <row r="1857" customFormat="false" ht="12.75" hidden="false" customHeight="false" outlineLevel="0" collapsed="false">
      <c r="A1857" s="2"/>
      <c r="B1857" s="117" t="s">
        <v>27</v>
      </c>
      <c r="C1857" s="118" t="n">
        <v>0</v>
      </c>
      <c r="D1857" s="64" t="n">
        <v>-171612.579296875</v>
      </c>
      <c r="E1857" s="64" t="n">
        <v>-171612.579296875</v>
      </c>
      <c r="F1857" s="64" t="n">
        <v>-171612.579296875</v>
      </c>
      <c r="G1857" s="64" t="n">
        <v>-171612.579296875</v>
      </c>
      <c r="H1857" s="64" t="n">
        <v>-171612.579296875</v>
      </c>
      <c r="I1857" s="64" t="n">
        <v>-171612.579296875</v>
      </c>
      <c r="J1857" s="64" t="n">
        <v>-171612.579296875</v>
      </c>
      <c r="K1857" s="64" t="n">
        <v>-171612.579296875</v>
      </c>
      <c r="L1857" s="64" t="n">
        <v>-171612.579296875</v>
      </c>
      <c r="M1857" s="64" t="n">
        <v>-171612.579296875</v>
      </c>
      <c r="N1857" s="64" t="n">
        <v>-171612.579296875</v>
      </c>
      <c r="O1857" s="64" t="n">
        <v>-171612.579296875</v>
      </c>
      <c r="P1857" s="64" t="n">
        <v>-171612.579296875</v>
      </c>
      <c r="Q1857" s="64" t="n">
        <v>-171612.579296875</v>
      </c>
      <c r="R1857" s="64" t="n">
        <v>-171612.579296875</v>
      </c>
      <c r="S1857" s="64" t="n">
        <v>-171612.579296875</v>
      </c>
      <c r="T1857" s="64" t="n">
        <v>-171612.579296875</v>
      </c>
      <c r="U1857" s="64" t="n">
        <v>-171612.579296875</v>
      </c>
      <c r="V1857" s="64" t="n">
        <v>-171612.579296875</v>
      </c>
      <c r="W1857" s="65"/>
    </row>
    <row r="1858" customFormat="false" ht="13.5" hidden="false" customHeight="false" outlineLevel="0" collapsed="false">
      <c r="A1858" s="2"/>
      <c r="B1858" s="119" t="s">
        <v>28</v>
      </c>
      <c r="C1858" s="120" t="n">
        <v>0</v>
      </c>
      <c r="D1858" s="68" t="n">
        <v>-34547.1907058574</v>
      </c>
      <c r="E1858" s="68" t="n">
        <v>-35276.1364297512</v>
      </c>
      <c r="F1858" s="68" t="n">
        <v>-36048.6838175628</v>
      </c>
      <c r="G1858" s="68" t="n">
        <v>-36863.3840718394</v>
      </c>
      <c r="H1858" s="68" t="n">
        <v>-37740.7326127493</v>
      </c>
      <c r="I1858" s="68" t="n">
        <v>-38686.5191661684</v>
      </c>
      <c r="J1858" s="68" t="n">
        <v>-39646.0526171664</v>
      </c>
      <c r="K1858" s="68" t="n">
        <v>-40649.5761404166</v>
      </c>
      <c r="L1858" s="68" t="n">
        <v>-41653.6206710849</v>
      </c>
      <c r="M1858" s="68" t="n">
        <v>-42715.7879981975</v>
      </c>
      <c r="N1858" s="68" t="n">
        <v>-43749.510067754</v>
      </c>
      <c r="O1858" s="68" t="n">
        <v>-44851.9977214613</v>
      </c>
      <c r="P1858" s="68" t="n">
        <v>-45991.2384635863</v>
      </c>
      <c r="Q1858" s="68" t="n">
        <v>-47141.019425176</v>
      </c>
      <c r="R1858" s="68" t="n">
        <v>-48324.2590127479</v>
      </c>
      <c r="S1858" s="68" t="n">
        <v>-49532.3654880667</v>
      </c>
      <c r="T1858" s="68" t="n">
        <v>-50760.7681521706</v>
      </c>
      <c r="U1858" s="68" t="n">
        <v>-52034.8634327902</v>
      </c>
      <c r="V1858" s="68" t="n">
        <v>-53340.9385049533</v>
      </c>
      <c r="W1858" s="65"/>
    </row>
    <row r="1859" customFormat="false" ht="13.5" hidden="false" customHeight="false" outlineLevel="0" collapsed="false">
      <c r="A1859" s="2"/>
      <c r="B1859" s="121" t="s">
        <v>29</v>
      </c>
      <c r="C1859" s="123" t="n">
        <v>0</v>
      </c>
      <c r="D1859" s="73" t="n">
        <v>5135767.31166525</v>
      </c>
      <c r="E1859" s="73" t="n">
        <v>3571782.67964998</v>
      </c>
      <c r="F1859" s="73" t="n">
        <v>3063910.08962791</v>
      </c>
      <c r="G1859" s="73" t="n">
        <v>2460534.48403864</v>
      </c>
      <c r="H1859" s="73" t="n">
        <v>2372490.21356723</v>
      </c>
      <c r="I1859" s="73" t="n">
        <v>2265206.2723468</v>
      </c>
      <c r="J1859" s="73" t="n">
        <v>2612709.60433919</v>
      </c>
      <c r="K1859" s="73" t="n">
        <v>3625474.8171258</v>
      </c>
      <c r="L1859" s="73" t="n">
        <v>3798550.64621492</v>
      </c>
      <c r="M1859" s="73" t="n">
        <v>3875657.41192585</v>
      </c>
      <c r="N1859" s="73" t="n">
        <v>3003301.40060783</v>
      </c>
      <c r="O1859" s="73" t="n">
        <v>3530438.82770413</v>
      </c>
      <c r="P1859" s="73" t="n">
        <v>3299885.35073154</v>
      </c>
      <c r="Q1859" s="73" t="n">
        <v>4133669.03329984</v>
      </c>
      <c r="R1859" s="73" t="n">
        <v>3555630.93915636</v>
      </c>
      <c r="S1859" s="73" t="n">
        <v>2865822.23532722</v>
      </c>
      <c r="T1859" s="73" t="n">
        <v>3117139.86944951</v>
      </c>
      <c r="U1859" s="73" t="n">
        <v>3626094.19502545</v>
      </c>
      <c r="V1859" s="73" t="n">
        <v>3216452.05061103</v>
      </c>
      <c r="W1859" s="65"/>
    </row>
    <row r="1860" customFormat="false" ht="12.75" hidden="false" customHeight="false" outlineLevel="0" collapsed="false">
      <c r="A1860" s="2"/>
      <c r="B1860" s="117" t="s">
        <v>30</v>
      </c>
      <c r="C1860" s="118" t="n">
        <v>0</v>
      </c>
      <c r="D1860" s="64" t="n">
        <v>-2192540.63329167</v>
      </c>
      <c r="E1860" s="64" t="n">
        <v>-2196552.2388259</v>
      </c>
      <c r="F1860" s="64" t="n">
        <v>-2208433.17129123</v>
      </c>
      <c r="G1860" s="64" t="n">
        <v>-2225152.15174243</v>
      </c>
      <c r="H1860" s="64" t="n">
        <v>-2223872.161221</v>
      </c>
      <c r="I1860" s="64" t="n">
        <v>-2231231.58700304</v>
      </c>
      <c r="J1860" s="64" t="n">
        <v>-1261089.63683255</v>
      </c>
      <c r="K1860" s="64" t="n">
        <v>-181670.39447475</v>
      </c>
      <c r="L1860" s="64" t="n">
        <v>-61578.2659007228</v>
      </c>
      <c r="M1860" s="64" t="n">
        <v>-53273.0431830719</v>
      </c>
      <c r="N1860" s="64" t="n">
        <v>-58347.7879583764</v>
      </c>
      <c r="O1860" s="64" t="n">
        <v>-63543.3559182363</v>
      </c>
      <c r="P1860" s="64" t="n">
        <v>-68850.5032582727</v>
      </c>
      <c r="Q1860" s="64" t="n">
        <v>-74193.5216851769</v>
      </c>
      <c r="R1860" s="64" t="n">
        <v>-79700.6873315549</v>
      </c>
      <c r="S1860" s="64" t="n">
        <v>-85499.5862806576</v>
      </c>
      <c r="T1860" s="64" t="n">
        <v>-91472.4521982333</v>
      </c>
      <c r="U1860" s="64" t="n">
        <v>-97624.5040933363</v>
      </c>
      <c r="V1860" s="64" t="n">
        <v>-103961.117545292</v>
      </c>
      <c r="W1860" s="65"/>
    </row>
    <row r="1861" customFormat="false" ht="13.5" hidden="false" customHeight="false" outlineLevel="0" collapsed="false">
      <c r="A1861" s="2"/>
      <c r="B1861" s="119" t="s">
        <v>70</v>
      </c>
      <c r="C1861" s="120" t="n">
        <v>0</v>
      </c>
      <c r="D1861" s="68" t="n">
        <v>-1177290.67134943</v>
      </c>
      <c r="E1861" s="68" t="n">
        <v>-550092.176329633</v>
      </c>
      <c r="F1861" s="68" t="n">
        <v>-342190.767334669</v>
      </c>
      <c r="G1861" s="68" t="n">
        <v>-94152.9329184825</v>
      </c>
      <c r="H1861" s="68" t="n">
        <v>-59447.2209384924</v>
      </c>
      <c r="I1861" s="68" t="n">
        <v>-13589.8741375065</v>
      </c>
      <c r="J1861" s="68" t="n">
        <v>-540647.987002657</v>
      </c>
      <c r="K1861" s="68" t="n">
        <v>-1377521.76906042</v>
      </c>
      <c r="L1861" s="68" t="n">
        <v>-1494788.95212568</v>
      </c>
      <c r="M1861" s="68" t="n">
        <v>-1528953.74749711</v>
      </c>
      <c r="N1861" s="68" t="n">
        <v>-1177981.44505978</v>
      </c>
      <c r="O1861" s="68" t="n">
        <v>-1386758.18871436</v>
      </c>
      <c r="P1861" s="68" t="n">
        <v>-1292413.93898931</v>
      </c>
      <c r="Q1861" s="68" t="n">
        <v>-1623790.20464587</v>
      </c>
      <c r="R1861" s="68" t="n">
        <v>-1390372.10072992</v>
      </c>
      <c r="S1861" s="68" t="n">
        <v>-1112129.05961863</v>
      </c>
      <c r="T1861" s="68" t="n">
        <v>-1210266.96690051</v>
      </c>
      <c r="U1861" s="68" t="n">
        <v>-1411387.87637285</v>
      </c>
      <c r="V1861" s="68" t="n">
        <v>-1244996.3732263</v>
      </c>
      <c r="W1861" s="65"/>
    </row>
    <row r="1862" customFormat="false" ht="13.5" hidden="false" customHeight="false" outlineLevel="0" collapsed="false">
      <c r="A1862" s="2"/>
      <c r="B1862" s="121" t="s">
        <v>32</v>
      </c>
      <c r="C1862" s="123" t="n">
        <v>0</v>
      </c>
      <c r="D1862" s="73" t="n">
        <v>1765936.00702415</v>
      </c>
      <c r="E1862" s="73" t="n">
        <v>825138.26449445</v>
      </c>
      <c r="F1862" s="73" t="n">
        <v>513286.151002004</v>
      </c>
      <c r="G1862" s="73" t="n">
        <v>141229.399377724</v>
      </c>
      <c r="H1862" s="73" t="n">
        <v>89170.8314077386</v>
      </c>
      <c r="I1862" s="73" t="n">
        <v>20384.8112062597</v>
      </c>
      <c r="J1862" s="73" t="n">
        <v>810971.980503985</v>
      </c>
      <c r="K1862" s="73" t="n">
        <v>2066282.65359063</v>
      </c>
      <c r="L1862" s="73" t="n">
        <v>2242183.42818852</v>
      </c>
      <c r="M1862" s="73" t="n">
        <v>2293430.62124567</v>
      </c>
      <c r="N1862" s="73" t="n">
        <v>1766972.16758967</v>
      </c>
      <c r="O1862" s="73" t="n">
        <v>2080137.28307154</v>
      </c>
      <c r="P1862" s="73" t="n">
        <v>1938620.90848396</v>
      </c>
      <c r="Q1862" s="73" t="n">
        <v>2435685.3069688</v>
      </c>
      <c r="R1862" s="73" t="n">
        <v>2085558.15109488</v>
      </c>
      <c r="S1862" s="73" t="n">
        <v>1668193.58942794</v>
      </c>
      <c r="T1862" s="73" t="n">
        <v>1815400.45035077</v>
      </c>
      <c r="U1862" s="73" t="n">
        <v>2117081.81455927</v>
      </c>
      <c r="V1862" s="73" t="n">
        <v>1867494.55983944</v>
      </c>
      <c r="W1862" s="65"/>
    </row>
    <row r="1863" customFormat="false" ht="12.75" hidden="false" customHeight="false" outlineLevel="0" collapsed="false">
      <c r="A1863" s="2"/>
      <c r="B1863" s="117" t="s">
        <v>30</v>
      </c>
      <c r="C1863" s="118" t="n">
        <v>0</v>
      </c>
      <c r="D1863" s="64" t="n">
        <v>2192540.63329167</v>
      </c>
      <c r="E1863" s="64" t="n">
        <v>2196552.2388259</v>
      </c>
      <c r="F1863" s="64" t="n">
        <v>2208433.17129123</v>
      </c>
      <c r="G1863" s="64" t="n">
        <v>2225152.15174243</v>
      </c>
      <c r="H1863" s="64" t="n">
        <v>2223872.161221</v>
      </c>
      <c r="I1863" s="64" t="n">
        <v>2231231.58700304</v>
      </c>
      <c r="J1863" s="64" t="n">
        <v>1261089.63683255</v>
      </c>
      <c r="K1863" s="64" t="n">
        <v>181670.39447475</v>
      </c>
      <c r="L1863" s="64" t="n">
        <v>61578.2659007228</v>
      </c>
      <c r="M1863" s="64" t="n">
        <v>53273.0431830719</v>
      </c>
      <c r="N1863" s="64" t="n">
        <v>58347.7879583764</v>
      </c>
      <c r="O1863" s="64" t="n">
        <v>63543.3559182363</v>
      </c>
      <c r="P1863" s="64" t="n">
        <v>68850.5032582727</v>
      </c>
      <c r="Q1863" s="64" t="n">
        <v>74193.5216851769</v>
      </c>
      <c r="R1863" s="64" t="n">
        <v>79700.6873315549</v>
      </c>
      <c r="S1863" s="64" t="n">
        <v>85499.5862806576</v>
      </c>
      <c r="T1863" s="64" t="n">
        <v>91472.4521982333</v>
      </c>
      <c r="U1863" s="64" t="n">
        <v>97624.5040933363</v>
      </c>
      <c r="V1863" s="64" t="n">
        <v>103961.117545292</v>
      </c>
      <c r="W1863" s="65"/>
    </row>
    <row r="1864" customFormat="false" ht="12.75" hidden="false" customHeight="false" outlineLevel="0" collapsed="false">
      <c r="A1864" s="2"/>
      <c r="B1864" s="117" t="s">
        <v>33</v>
      </c>
      <c r="C1864" s="118" t="n">
        <v>0</v>
      </c>
      <c r="D1864" s="64" t="n">
        <v>-14879.11</v>
      </c>
      <c r="E1864" s="64" t="n">
        <v>-15323.09</v>
      </c>
      <c r="F1864" s="64" t="n">
        <v>-384480.99</v>
      </c>
      <c r="G1864" s="64" t="n">
        <v>-16310.09</v>
      </c>
      <c r="H1864" s="64" t="n">
        <v>-89322.498</v>
      </c>
      <c r="I1864" s="64" t="n">
        <v>-92002.17294</v>
      </c>
      <c r="J1864" s="64" t="n">
        <v>-94762.2381282</v>
      </c>
      <c r="K1864" s="64" t="n">
        <v>-97605.105272046</v>
      </c>
      <c r="L1864" s="64" t="n">
        <v>-100533.258430207</v>
      </c>
      <c r="M1864" s="64" t="n">
        <v>-103549.256183114</v>
      </c>
      <c r="N1864" s="64" t="n">
        <v>-106655.733868607</v>
      </c>
      <c r="O1864" s="64" t="n">
        <v>-109855.405884665</v>
      </c>
      <c r="P1864" s="64" t="n">
        <v>-113151.068061205</v>
      </c>
      <c r="Q1864" s="64" t="n">
        <v>-116545.600103041</v>
      </c>
      <c r="R1864" s="64" t="n">
        <v>-120041.968106133</v>
      </c>
      <c r="S1864" s="64" t="n">
        <v>-123643.227149317</v>
      </c>
      <c r="T1864" s="64" t="n">
        <v>-127352.523963796</v>
      </c>
      <c r="U1864" s="64" t="n">
        <v>-131173.09968271</v>
      </c>
      <c r="V1864" s="64" t="n">
        <v>-135108.292673191</v>
      </c>
      <c r="W1864" s="65"/>
    </row>
    <row r="1865" customFormat="false" ht="13.5" hidden="false" customHeight="false" outlineLevel="0" collapsed="false">
      <c r="A1865" s="2"/>
      <c r="B1865" s="119" t="s">
        <v>34</v>
      </c>
      <c r="C1865" s="120" t="n">
        <v>0</v>
      </c>
      <c r="D1865" s="68" t="n">
        <v>0</v>
      </c>
      <c r="E1865" s="68" t="n">
        <v>0</v>
      </c>
      <c r="F1865" s="68" t="n">
        <v>0</v>
      </c>
      <c r="G1865" s="68" t="n">
        <v>0</v>
      </c>
      <c r="H1865" s="68" t="n">
        <v>0</v>
      </c>
      <c r="I1865" s="68" t="n">
        <v>0</v>
      </c>
      <c r="J1865" s="68" t="n">
        <v>0</v>
      </c>
      <c r="K1865" s="68" t="n">
        <v>0</v>
      </c>
      <c r="L1865" s="68" t="n">
        <v>0</v>
      </c>
      <c r="M1865" s="68" t="n">
        <v>0</v>
      </c>
      <c r="N1865" s="68" t="n">
        <v>0</v>
      </c>
      <c r="O1865" s="68" t="n">
        <v>0</v>
      </c>
      <c r="P1865" s="68" t="n">
        <v>0</v>
      </c>
      <c r="Q1865" s="68" t="n">
        <v>0</v>
      </c>
      <c r="R1865" s="68" t="n">
        <v>0</v>
      </c>
      <c r="S1865" s="68" t="n">
        <v>0</v>
      </c>
      <c r="T1865" s="68" t="n">
        <v>0</v>
      </c>
      <c r="U1865" s="68" t="n">
        <v>0</v>
      </c>
      <c r="V1865" s="68" t="n">
        <v>0</v>
      </c>
      <c r="W1865" s="65"/>
    </row>
    <row r="1866" customFormat="false" ht="13.5" hidden="false" customHeight="false" outlineLevel="0" collapsed="false">
      <c r="A1866" s="2"/>
      <c r="B1866" s="117"/>
      <c r="C1866" s="124"/>
      <c r="D1866" s="65"/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5"/>
      <c r="V1866" s="65"/>
      <c r="W1866" s="65"/>
    </row>
    <row r="1867" customFormat="false" ht="12.75" hidden="false" customHeight="false" outlineLevel="0" collapsed="false">
      <c r="A1867" s="2"/>
      <c r="B1867" s="121" t="s">
        <v>35</v>
      </c>
      <c r="C1867" s="123" t="n">
        <v>0</v>
      </c>
      <c r="D1867" s="73" t="n">
        <v>3943597.53031582</v>
      </c>
      <c r="E1867" s="73" t="n">
        <v>3006367.41332035</v>
      </c>
      <c r="F1867" s="73" t="n">
        <v>2337238.33229324</v>
      </c>
      <c r="G1867" s="73" t="n">
        <v>2350071.46112016</v>
      </c>
      <c r="H1867" s="73" t="n">
        <v>2223720.49462874</v>
      </c>
      <c r="I1867" s="73" t="n">
        <v>2159614.2252693</v>
      </c>
      <c r="J1867" s="73" t="n">
        <v>1977299.37920834</v>
      </c>
      <c r="K1867" s="73" t="n">
        <v>2150347.94279333</v>
      </c>
      <c r="L1867" s="73" t="n">
        <v>2203228.43565904</v>
      </c>
      <c r="M1867" s="73" t="n">
        <v>2243154.40824562</v>
      </c>
      <c r="N1867" s="73" t="n">
        <v>1718664.22167944</v>
      </c>
      <c r="O1867" s="73" t="n">
        <v>2033825.23310511</v>
      </c>
      <c r="P1867" s="73" t="n">
        <v>1894320.34368103</v>
      </c>
      <c r="Q1867" s="73" t="n">
        <v>2393333.22855094</v>
      </c>
      <c r="R1867" s="73" t="n">
        <v>2045216.8703203</v>
      </c>
      <c r="S1867" s="73" t="n">
        <v>1630049.94855928</v>
      </c>
      <c r="T1867" s="73" t="n">
        <v>1779520.3785852</v>
      </c>
      <c r="U1867" s="73" t="n">
        <v>2083533.2189699</v>
      </c>
      <c r="V1867" s="73" t="n">
        <v>1836347.38471154</v>
      </c>
      <c r="W1867" s="71" t="n">
        <v>12078968.6556721</v>
      </c>
    </row>
    <row r="1868" customFormat="false" ht="12.75" hidden="false" customHeight="false" outlineLevel="0" collapsed="false">
      <c r="A1868" s="2"/>
      <c r="B1868" s="125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</row>
    <row r="1869" customFormat="false" ht="12.75" hidden="false" customHeight="false" outlineLevel="0" collapsed="false">
      <c r="A1869" s="48" t="s">
        <v>36</v>
      </c>
      <c r="B1869" s="126" t="s">
        <v>37</v>
      </c>
      <c r="C1869" s="76" t="n">
        <v>10811577.4848964</v>
      </c>
      <c r="D1869" s="2"/>
      <c r="E1869" s="127" t="s">
        <v>38</v>
      </c>
      <c r="F1869" s="128" t="s">
        <v>37</v>
      </c>
      <c r="G1869" s="79" t="n">
        <v>10811577.4848964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</row>
    <row r="1870" customFormat="false" ht="12.75" hidden="false" customHeight="false" outlineLevel="0" collapsed="false">
      <c r="A1870" s="2"/>
      <c r="B1870" s="126" t="s">
        <v>39</v>
      </c>
      <c r="C1870" s="76" t="n">
        <v>9336883.56963711</v>
      </c>
      <c r="D1870" s="2"/>
      <c r="E1870" s="129"/>
      <c r="F1870" s="128" t="s">
        <v>39</v>
      </c>
      <c r="G1870" s="79" t="n">
        <v>9336883.56963711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</row>
    <row r="1871" customFormat="false" ht="13.5" hidden="false" customHeight="false" outlineLevel="0" collapsed="false">
      <c r="A1871" s="2"/>
      <c r="B1871" s="130" t="s">
        <v>40</v>
      </c>
      <c r="C1871" s="82" t="n">
        <v>1795461.72376901</v>
      </c>
      <c r="D1871" s="131"/>
      <c r="E1871" s="129"/>
      <c r="F1871" s="128" t="s">
        <v>40</v>
      </c>
      <c r="G1871" s="79" t="n">
        <v>1795461.72376901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</row>
    <row r="1872" customFormat="false" ht="14.25" hidden="false" customHeight="false" outlineLevel="0" collapsed="false">
      <c r="A1872" s="2"/>
      <c r="B1872" s="126" t="s">
        <v>41</v>
      </c>
      <c r="C1872" s="76" t="n">
        <v>21943922.7783025</v>
      </c>
      <c r="D1872" s="132"/>
      <c r="E1872" s="129"/>
      <c r="F1872" s="133" t="s">
        <v>42</v>
      </c>
      <c r="G1872" s="85" t="n">
        <v>0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</row>
    <row r="1873" customFormat="false" ht="13.5" hidden="false" customHeight="false" outlineLevel="0" collapsed="false">
      <c r="A1873" s="2"/>
      <c r="B1873" s="125"/>
      <c r="C1873" s="134"/>
      <c r="D1873" s="2"/>
      <c r="E1873" s="135"/>
      <c r="F1873" s="128" t="s">
        <v>41</v>
      </c>
      <c r="G1873" s="79" t="n">
        <v>21943922.7783025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</row>
    <row r="1874" customFormat="false" ht="12.75" hidden="false" customHeight="false" outlineLevel="0" collapsed="false">
      <c r="A1874" s="2"/>
      <c r="B1874" s="125"/>
      <c r="C1874" s="134"/>
      <c r="D1874" s="2"/>
      <c r="E1874" s="135"/>
      <c r="F1874" s="128"/>
      <c r="G1874" s="136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</row>
    <row r="1875" customFormat="false" ht="12.75" hidden="false" customHeight="false" outlineLevel="0" collapsed="false">
      <c r="A1875" s="2"/>
      <c r="B1875" s="125"/>
      <c r="C1875" s="134"/>
      <c r="D1875" s="2"/>
      <c r="E1875" s="135"/>
      <c r="F1875" s="128"/>
      <c r="G1875" s="136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</row>
    <row r="1876" customFormat="false" ht="12.75" hidden="false" customHeight="false" outlineLevel="0" collapsed="false">
      <c r="A1876" s="2"/>
      <c r="B1876" s="137" t="s">
        <v>43</v>
      </c>
      <c r="C1876" s="134"/>
      <c r="D1876" s="2"/>
      <c r="E1876" s="135"/>
      <c r="F1876" s="128"/>
      <c r="G1876" s="136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</row>
    <row r="1877" customFormat="false" ht="12.75" hidden="false" customHeight="false" outlineLevel="0" collapsed="false">
      <c r="A1877" s="87" t="s">
        <v>44</v>
      </c>
      <c r="B1877" s="137" t="s">
        <v>45</v>
      </c>
      <c r="C1877" s="138"/>
      <c r="D1877" s="88" t="n">
        <v>1765936.00702415</v>
      </c>
      <c r="E1877" s="88" t="n">
        <v>825138.26449445</v>
      </c>
      <c r="F1877" s="88" t="n">
        <v>513286.151002004</v>
      </c>
      <c r="G1877" s="88" t="n">
        <v>141229.399377724</v>
      </c>
      <c r="H1877" s="88" t="n">
        <v>89170.8314077386</v>
      </c>
      <c r="I1877" s="88" t="n">
        <v>20384.8112062597</v>
      </c>
      <c r="J1877" s="88" t="n">
        <v>810971.980503985</v>
      </c>
      <c r="K1877" s="88" t="n">
        <v>2066282.65359063</v>
      </c>
      <c r="L1877" s="88" t="n">
        <v>2242183.42818852</v>
      </c>
      <c r="M1877" s="88" t="n">
        <v>2293430.62124567</v>
      </c>
      <c r="N1877" s="88" t="n">
        <v>1766972.16758967</v>
      </c>
      <c r="O1877" s="88" t="n">
        <v>2080137.28307154</v>
      </c>
      <c r="P1877" s="88" t="n">
        <v>1938620.90848396</v>
      </c>
      <c r="Q1877" s="88" t="n">
        <v>2435685.3069688</v>
      </c>
      <c r="R1877" s="88" t="n">
        <v>2085558.15109488</v>
      </c>
      <c r="S1877" s="88" t="n">
        <v>1668193.58942794</v>
      </c>
      <c r="T1877" s="88" t="n">
        <v>1815400.45035077</v>
      </c>
      <c r="U1877" s="88" t="n">
        <v>2117081.81455927</v>
      </c>
      <c r="V1877" s="88" t="n">
        <v>1867494.55983944</v>
      </c>
      <c r="W1877" s="2"/>
    </row>
    <row r="1878" customFormat="false" ht="12.75" hidden="false" customHeight="false" outlineLevel="0" collapsed="false">
      <c r="A1878" s="2"/>
      <c r="B1878" s="125" t="s">
        <v>46</v>
      </c>
      <c r="C1878" s="134"/>
      <c r="D1878" s="65" t="n">
        <v>1177290.67134943</v>
      </c>
      <c r="E1878" s="65" t="n">
        <v>550092.176329633</v>
      </c>
      <c r="F1878" s="65" t="n">
        <v>342190.767334669</v>
      </c>
      <c r="G1878" s="65" t="n">
        <v>94152.9329184825</v>
      </c>
      <c r="H1878" s="65" t="n">
        <v>59447.2209384924</v>
      </c>
      <c r="I1878" s="65" t="n">
        <v>13589.8741375065</v>
      </c>
      <c r="J1878" s="65" t="n">
        <v>540647.987002657</v>
      </c>
      <c r="K1878" s="65" t="n">
        <v>1377521.76906042</v>
      </c>
      <c r="L1878" s="65" t="n">
        <v>1494788.95212568</v>
      </c>
      <c r="M1878" s="65" t="n">
        <v>1528953.74749711</v>
      </c>
      <c r="N1878" s="65" t="n">
        <v>1177981.44505978</v>
      </c>
      <c r="O1878" s="65" t="n">
        <v>1386758.18871436</v>
      </c>
      <c r="P1878" s="65" t="n">
        <v>1292413.93898931</v>
      </c>
      <c r="Q1878" s="65" t="n">
        <v>1623790.20464587</v>
      </c>
      <c r="R1878" s="65" t="n">
        <v>1390372.10072992</v>
      </c>
      <c r="S1878" s="65" t="n">
        <v>1112129.05961863</v>
      </c>
      <c r="T1878" s="65" t="n">
        <v>1210266.96690051</v>
      </c>
      <c r="U1878" s="65" t="n">
        <v>1411387.87637285</v>
      </c>
      <c r="V1878" s="65" t="n">
        <v>1244996.3732263</v>
      </c>
      <c r="W1878" s="2"/>
    </row>
    <row r="1879" customFormat="false" ht="12.75" hidden="false" customHeight="false" outlineLevel="0" collapsed="false">
      <c r="A1879" s="2"/>
      <c r="B1879" s="139" t="s">
        <v>47</v>
      </c>
      <c r="C1879" s="140"/>
      <c r="D1879" s="65" t="n">
        <v>2192540.63329167</v>
      </c>
      <c r="E1879" s="65" t="n">
        <v>2196552.2388259</v>
      </c>
      <c r="F1879" s="65" t="n">
        <v>2208433.17129123</v>
      </c>
      <c r="G1879" s="65" t="n">
        <v>2225152.15174243</v>
      </c>
      <c r="H1879" s="65" t="n">
        <v>2223872.161221</v>
      </c>
      <c r="I1879" s="65" t="n">
        <v>2231231.58700304</v>
      </c>
      <c r="J1879" s="65" t="n">
        <v>1261089.63683255</v>
      </c>
      <c r="K1879" s="65" t="n">
        <v>181670.39447475</v>
      </c>
      <c r="L1879" s="65" t="n">
        <v>61578.2659007228</v>
      </c>
      <c r="M1879" s="65" t="n">
        <v>53273.0431830719</v>
      </c>
      <c r="N1879" s="65" t="n">
        <v>58347.7879583764</v>
      </c>
      <c r="O1879" s="65" t="n">
        <v>63543.3559182363</v>
      </c>
      <c r="P1879" s="65" t="n">
        <v>68850.5032582727</v>
      </c>
      <c r="Q1879" s="65" t="n">
        <v>74193.5216851769</v>
      </c>
      <c r="R1879" s="65" t="n">
        <v>79700.6873315549</v>
      </c>
      <c r="S1879" s="65" t="n">
        <v>85499.5862806576</v>
      </c>
      <c r="T1879" s="65" t="n">
        <v>91472.4521982333</v>
      </c>
      <c r="U1879" s="65" t="n">
        <v>97624.5040933363</v>
      </c>
      <c r="V1879" s="65" t="n">
        <v>103961.117545292</v>
      </c>
      <c r="W1879" s="2"/>
    </row>
    <row r="1880" customFormat="false" ht="13.5" hidden="false" customHeight="false" outlineLevel="0" collapsed="false">
      <c r="A1880" s="2"/>
      <c r="B1880" s="141" t="s">
        <v>48</v>
      </c>
      <c r="C1880" s="142"/>
      <c r="D1880" s="93" t="n">
        <v>5135767.31166525</v>
      </c>
      <c r="E1880" s="93" t="n">
        <v>3571782.67964998</v>
      </c>
      <c r="F1880" s="93" t="n">
        <v>3063910.08962791</v>
      </c>
      <c r="G1880" s="93" t="n">
        <v>2460534.48403864</v>
      </c>
      <c r="H1880" s="93" t="n">
        <v>2372490.21356723</v>
      </c>
      <c r="I1880" s="93" t="n">
        <v>2265206.2723468</v>
      </c>
      <c r="J1880" s="93" t="n">
        <v>2612709.60433919</v>
      </c>
      <c r="K1880" s="93" t="n">
        <v>3625474.8171258</v>
      </c>
      <c r="L1880" s="93" t="n">
        <v>3798550.64621492</v>
      </c>
      <c r="M1880" s="93" t="n">
        <v>3875657.41192585</v>
      </c>
      <c r="N1880" s="93" t="n">
        <v>3003301.40060783</v>
      </c>
      <c r="O1880" s="93" t="n">
        <v>3530438.82770413</v>
      </c>
      <c r="P1880" s="93" t="n">
        <v>3299885.35073154</v>
      </c>
      <c r="Q1880" s="93" t="n">
        <v>4133669.03329984</v>
      </c>
      <c r="R1880" s="93" t="n">
        <v>3555630.93915636</v>
      </c>
      <c r="S1880" s="93" t="n">
        <v>2865822.23532722</v>
      </c>
      <c r="T1880" s="93" t="n">
        <v>3117139.86944951</v>
      </c>
      <c r="U1880" s="93" t="n">
        <v>3626094.19502545</v>
      </c>
      <c r="V1880" s="93" t="n">
        <v>3216452.05061103</v>
      </c>
      <c r="W1880" s="2"/>
    </row>
    <row r="1881" customFormat="false" ht="13.5" hidden="false" customHeight="false" outlineLevel="0" collapsed="false">
      <c r="A1881" s="87" t="s">
        <v>49</v>
      </c>
      <c r="B1881" s="125" t="s">
        <v>50</v>
      </c>
      <c r="C1881" s="134"/>
      <c r="D1881" s="65" t="n">
        <v>-1830966.43703087</v>
      </c>
      <c r="E1881" s="65" t="n">
        <v>-1831732.59153087</v>
      </c>
      <c r="F1881" s="65" t="n">
        <v>-1850956.64103087</v>
      </c>
      <c r="G1881" s="65" t="n">
        <v>-1851772.14553087</v>
      </c>
      <c r="H1881" s="65" t="n">
        <v>-1856238.27043087</v>
      </c>
      <c r="I1881" s="65" t="n">
        <v>-1860838.37907787</v>
      </c>
      <c r="J1881" s="65" t="n">
        <v>-1865576.49098428</v>
      </c>
      <c r="K1881" s="65" t="n">
        <v>-1870456.74624788</v>
      </c>
      <c r="L1881" s="65" t="n">
        <v>-1875483.40916939</v>
      </c>
      <c r="M1881" s="65" t="n">
        <v>-1880660.87197854</v>
      </c>
      <c r="N1881" s="65" t="n">
        <v>-1885993.65867198</v>
      </c>
      <c r="O1881" s="65" t="n">
        <v>-1891486.42896621</v>
      </c>
      <c r="P1881" s="65" t="n">
        <v>-1897143.98236927</v>
      </c>
      <c r="Q1881" s="65" t="n">
        <v>-1902971.26237442</v>
      </c>
      <c r="R1881" s="65" t="n">
        <v>-545576.397446399</v>
      </c>
      <c r="S1881" s="65" t="n">
        <v>-163017.68880386</v>
      </c>
      <c r="T1881" s="65" t="n">
        <v>-169385.31500205</v>
      </c>
      <c r="U1881" s="65" t="n">
        <v>-175943.969986185</v>
      </c>
      <c r="V1881" s="65" t="n">
        <v>-182699.384619845</v>
      </c>
      <c r="W1881" s="2"/>
    </row>
    <row r="1882" customFormat="false" ht="12.75" hidden="false" customHeight="false" outlineLevel="0" collapsed="false">
      <c r="A1882" s="2"/>
      <c r="B1882" s="125" t="s">
        <v>51</v>
      </c>
      <c r="C1882" s="134"/>
      <c r="D1882" s="65" t="n">
        <v>0</v>
      </c>
      <c r="E1882" s="65" t="n">
        <v>0</v>
      </c>
      <c r="F1882" s="65" t="n">
        <v>0</v>
      </c>
      <c r="G1882" s="65" t="n">
        <v>0</v>
      </c>
      <c r="H1882" s="65" t="n">
        <v>0</v>
      </c>
      <c r="I1882" s="65" t="n">
        <v>0</v>
      </c>
      <c r="J1882" s="65" t="n">
        <v>0</v>
      </c>
      <c r="K1882" s="65" t="n">
        <v>0</v>
      </c>
      <c r="L1882" s="65" t="n">
        <v>0</v>
      </c>
      <c r="M1882" s="65" t="n">
        <v>0</v>
      </c>
      <c r="N1882" s="65" t="n">
        <v>0</v>
      </c>
      <c r="O1882" s="65" t="n">
        <v>0</v>
      </c>
      <c r="P1882" s="65" t="n">
        <v>0</v>
      </c>
      <c r="Q1882" s="65" t="n">
        <v>0</v>
      </c>
      <c r="R1882" s="65" t="n">
        <v>0</v>
      </c>
      <c r="S1882" s="65" t="n">
        <v>0</v>
      </c>
      <c r="T1882" s="65" t="n">
        <v>0</v>
      </c>
      <c r="U1882" s="65" t="n">
        <v>0</v>
      </c>
      <c r="V1882" s="65" t="n">
        <v>0</v>
      </c>
      <c r="W1882" s="2"/>
    </row>
    <row r="1883" customFormat="false" ht="12.75" hidden="false" customHeight="false" outlineLevel="0" collapsed="false">
      <c r="A1883" s="2"/>
      <c r="B1883" s="137" t="s">
        <v>52</v>
      </c>
      <c r="C1883" s="138"/>
      <c r="D1883" s="88" t="n">
        <v>3304800.87463439</v>
      </c>
      <c r="E1883" s="88" t="n">
        <v>1740050.08811912</v>
      </c>
      <c r="F1883" s="88" t="n">
        <v>1212953.44859704</v>
      </c>
      <c r="G1883" s="88" t="n">
        <v>608762.338507773</v>
      </c>
      <c r="H1883" s="88" t="n">
        <v>516251.943136364</v>
      </c>
      <c r="I1883" s="88" t="n">
        <v>404367.893268936</v>
      </c>
      <c r="J1883" s="88" t="n">
        <v>747133.113354917</v>
      </c>
      <c r="K1883" s="88" t="n">
        <v>1755018.07087792</v>
      </c>
      <c r="L1883" s="88" t="n">
        <v>1923067.23704554</v>
      </c>
      <c r="M1883" s="88" t="n">
        <v>1994996.5399473</v>
      </c>
      <c r="N1883" s="88" t="n">
        <v>1117307.74193586</v>
      </c>
      <c r="O1883" s="88" t="n">
        <v>1638952.39873792</v>
      </c>
      <c r="P1883" s="88" t="n">
        <v>1402741.36836227</v>
      </c>
      <c r="Q1883" s="88" t="n">
        <v>2230697.77092542</v>
      </c>
      <c r="R1883" s="88" t="n">
        <v>3010054.54170996</v>
      </c>
      <c r="S1883" s="88" t="n">
        <v>2702804.54652336</v>
      </c>
      <c r="T1883" s="88" t="n">
        <v>2947754.55444746</v>
      </c>
      <c r="U1883" s="88" t="n">
        <v>3450150.22503927</v>
      </c>
      <c r="V1883" s="88" t="n">
        <v>3033752.66599119</v>
      </c>
      <c r="W1883" s="2"/>
    </row>
    <row r="1884" customFormat="false" ht="13.5" hidden="false" customHeight="false" outlineLevel="0" collapsed="false">
      <c r="A1884" s="2"/>
      <c r="B1884" s="143" t="s">
        <v>53</v>
      </c>
      <c r="C1884" s="144"/>
      <c r="D1884" s="96" t="n">
        <v>-1321920.34985375</v>
      </c>
      <c r="E1884" s="96" t="n">
        <v>-696020.035247647</v>
      </c>
      <c r="F1884" s="96" t="n">
        <v>-485181.379438816</v>
      </c>
      <c r="G1884" s="96" t="n">
        <v>-243504.935403109</v>
      </c>
      <c r="H1884" s="96" t="n">
        <v>-206500.777254546</v>
      </c>
      <c r="I1884" s="96" t="n">
        <v>-161747.157307574</v>
      </c>
      <c r="J1884" s="96" t="n">
        <v>-298853.245341967</v>
      </c>
      <c r="K1884" s="96" t="n">
        <v>-702007.228351167</v>
      </c>
      <c r="L1884" s="96" t="n">
        <v>-769226.894818214</v>
      </c>
      <c r="M1884" s="96" t="n">
        <v>-797998.615978921</v>
      </c>
      <c r="N1884" s="96" t="n">
        <v>-446923.096774343</v>
      </c>
      <c r="O1884" s="96" t="n">
        <v>-655580.95949517</v>
      </c>
      <c r="P1884" s="96" t="n">
        <v>-561096.547344909</v>
      </c>
      <c r="Q1884" s="96" t="n">
        <v>-892279.108370169</v>
      </c>
      <c r="R1884" s="96" t="n">
        <v>-1204021.81668398</v>
      </c>
      <c r="S1884" s="96" t="n">
        <v>-1081121.81860934</v>
      </c>
      <c r="T1884" s="96" t="n">
        <v>-1179101.82177899</v>
      </c>
      <c r="U1884" s="96" t="n">
        <v>-1380060.09001571</v>
      </c>
      <c r="V1884" s="96" t="n">
        <v>-1213501.06639647</v>
      </c>
      <c r="W1884" s="2"/>
    </row>
    <row r="1885" customFormat="false" ht="13.5" hidden="false" customHeight="false" outlineLevel="0" collapsed="false">
      <c r="A1885" s="2"/>
      <c r="B1885" s="137" t="s">
        <v>54</v>
      </c>
      <c r="C1885" s="138"/>
      <c r="D1885" s="88" t="n">
        <v>1982880.52478063</v>
      </c>
      <c r="E1885" s="88" t="n">
        <v>1044030.05287147</v>
      </c>
      <c r="F1885" s="88" t="n">
        <v>727772.069158224</v>
      </c>
      <c r="G1885" s="88" t="n">
        <v>365257.403104664</v>
      </c>
      <c r="H1885" s="88" t="n">
        <v>309751.165881819</v>
      </c>
      <c r="I1885" s="88" t="n">
        <v>242620.735961362</v>
      </c>
      <c r="J1885" s="88" t="n">
        <v>448279.86801295</v>
      </c>
      <c r="K1885" s="88" t="n">
        <v>1053010.84252675</v>
      </c>
      <c r="L1885" s="88" t="n">
        <v>1153840.34222732</v>
      </c>
      <c r="M1885" s="88" t="n">
        <v>1196997.92396838</v>
      </c>
      <c r="N1885" s="88" t="n">
        <v>670384.645161514</v>
      </c>
      <c r="O1885" s="88" t="n">
        <v>983371.439242755</v>
      </c>
      <c r="P1885" s="88" t="n">
        <v>841644.821017364</v>
      </c>
      <c r="Q1885" s="88" t="n">
        <v>1338418.66255525</v>
      </c>
      <c r="R1885" s="88" t="n">
        <v>1806032.72502597</v>
      </c>
      <c r="S1885" s="88" t="n">
        <v>1621682.72791402</v>
      </c>
      <c r="T1885" s="88" t="n">
        <v>1768652.73266848</v>
      </c>
      <c r="U1885" s="88" t="n">
        <v>2070090.13502356</v>
      </c>
      <c r="V1885" s="88" t="n">
        <v>1820251.59959471</v>
      </c>
      <c r="W1885" s="2"/>
    </row>
    <row r="1886" customFormat="false" ht="12.75" hidden="false" customHeight="false" outlineLevel="0" collapsed="false">
      <c r="A1886" s="2"/>
      <c r="B1886" s="2"/>
      <c r="C1886" s="134"/>
      <c r="D1886" s="2"/>
      <c r="E1886" s="135"/>
      <c r="F1886" s="128"/>
      <c r="G1886" s="136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</row>
    <row r="1887" customFormat="false" ht="15.75" hidden="false" customHeight="false" outlineLevel="0" collapsed="false">
      <c r="A1887" s="97" t="s">
        <v>55</v>
      </c>
      <c r="B1887" s="145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</row>
    <row r="1888" customFormat="false" ht="12.75" hidden="false" customHeight="false" outlineLevel="0" collapsed="false">
      <c r="A1888" s="99" t="s">
        <v>56</v>
      </c>
      <c r="B1888" s="49"/>
      <c r="C1888" s="101" t="n">
        <v>0</v>
      </c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</row>
    <row r="1889" customFormat="false" ht="12.75" hidden="false" customHeight="false" outlineLevel="0" collapsed="false">
      <c r="A1889" s="99" t="s">
        <v>57</v>
      </c>
      <c r="B1889" s="49"/>
      <c r="C1889" s="146" t="n">
        <v>0</v>
      </c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</row>
    <row r="1890" customFormat="false" ht="12.75" hidden="false" customHeight="false" outlineLevel="0" collapsed="false">
      <c r="A1890" s="99" t="s">
        <v>58</v>
      </c>
      <c r="B1890" s="49"/>
      <c r="C1890" s="99" t="n">
        <v>15</v>
      </c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</row>
    <row r="1891" customFormat="false" ht="12.75" hidden="false" customHeight="false" outlineLevel="0" collapsed="false">
      <c r="A1891" s="99" t="s">
        <v>59</v>
      </c>
      <c r="B1891" s="49"/>
      <c r="C1891" s="146" t="n">
        <v>0</v>
      </c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</row>
    <row r="1892" customFormat="false" ht="12.75" hidden="false" customHeight="false" outlineLevel="0" collapsed="false">
      <c r="A1892" s="99" t="s">
        <v>60</v>
      </c>
      <c r="B1892" s="49"/>
      <c r="C1892" s="147" t="n">
        <v>0.0875</v>
      </c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</row>
    <row r="1893" customFormat="false" ht="12.75" hidden="false" customHeight="false" outlineLevel="0" collapsed="false">
      <c r="A1893" s="99"/>
      <c r="B1893" s="49"/>
      <c r="C1893" s="107"/>
      <c r="D1893" s="58" t="n">
        <v>2001</v>
      </c>
      <c r="E1893" s="58" t="n">
        <v>2002</v>
      </c>
      <c r="F1893" s="58" t="n">
        <v>2003</v>
      </c>
      <c r="G1893" s="58" t="n">
        <v>2004</v>
      </c>
      <c r="H1893" s="58" t="n">
        <v>2005</v>
      </c>
      <c r="I1893" s="58" t="n">
        <v>2006</v>
      </c>
      <c r="J1893" s="58" t="n">
        <v>2007</v>
      </c>
      <c r="K1893" s="58" t="n">
        <v>2008</v>
      </c>
      <c r="L1893" s="58" t="n">
        <v>2009</v>
      </c>
      <c r="M1893" s="58" t="n">
        <v>2010</v>
      </c>
      <c r="N1893" s="58" t="n">
        <v>2011</v>
      </c>
      <c r="O1893" s="58" t="n">
        <v>2012</v>
      </c>
      <c r="P1893" s="58" t="n">
        <v>2013</v>
      </c>
      <c r="Q1893" s="58" t="n">
        <v>2014</v>
      </c>
      <c r="R1893" s="58" t="n">
        <v>2015</v>
      </c>
      <c r="S1893" s="58" t="n">
        <v>2016</v>
      </c>
      <c r="T1893" s="58" t="n">
        <v>2017</v>
      </c>
      <c r="U1893" s="58" t="n">
        <v>2018</v>
      </c>
      <c r="V1893" s="58" t="n">
        <v>2019</v>
      </c>
      <c r="W1893" s="58" t="s">
        <v>19</v>
      </c>
    </row>
    <row r="1894" customFormat="false" ht="12.75" hidden="false" customHeight="false" outlineLevel="0" collapsed="false">
      <c r="A1894" s="99" t="s">
        <v>61</v>
      </c>
      <c r="B1894" s="49"/>
      <c r="C1894" s="107"/>
      <c r="D1894" s="102" t="n">
        <v>0</v>
      </c>
      <c r="E1894" s="102" t="n">
        <v>0</v>
      </c>
      <c r="F1894" s="102" t="n">
        <v>0</v>
      </c>
      <c r="G1894" s="102" t="n">
        <v>0</v>
      </c>
      <c r="H1894" s="102" t="n">
        <v>0</v>
      </c>
      <c r="I1894" s="102" t="n">
        <v>0</v>
      </c>
      <c r="J1894" s="102" t="n">
        <v>0</v>
      </c>
      <c r="K1894" s="102" t="n">
        <v>0</v>
      </c>
      <c r="L1894" s="102" t="n">
        <v>0</v>
      </c>
      <c r="M1894" s="102" t="n">
        <v>0</v>
      </c>
      <c r="N1894" s="102" t="n">
        <v>0</v>
      </c>
      <c r="O1894" s="102" t="n">
        <v>0</v>
      </c>
      <c r="P1894" s="102" t="n">
        <v>0</v>
      </c>
      <c r="Q1894" s="102" t="n">
        <v>0</v>
      </c>
      <c r="R1894" s="102" t="n">
        <v>0</v>
      </c>
      <c r="S1894" s="102" t="n">
        <v>0</v>
      </c>
      <c r="T1894" s="102" t="n">
        <v>0</v>
      </c>
      <c r="U1894" s="102" t="n">
        <v>0</v>
      </c>
      <c r="V1894" s="102" t="n">
        <v>0</v>
      </c>
      <c r="W1894" s="102" t="n">
        <v>0</v>
      </c>
    </row>
    <row r="1895" customFormat="false" ht="12.75" hidden="false" customHeight="false" outlineLevel="0" collapsed="false">
      <c r="A1895" s="99" t="s">
        <v>62</v>
      </c>
      <c r="B1895" s="49"/>
      <c r="C1895" s="107"/>
      <c r="D1895" s="102" t="n">
        <v>0</v>
      </c>
      <c r="E1895" s="102" t="n">
        <v>0</v>
      </c>
      <c r="F1895" s="102" t="n">
        <v>0</v>
      </c>
      <c r="G1895" s="102" t="n">
        <v>0</v>
      </c>
      <c r="H1895" s="102" t="n">
        <v>0</v>
      </c>
      <c r="I1895" s="102" t="n">
        <v>0</v>
      </c>
      <c r="J1895" s="102" t="n">
        <v>0</v>
      </c>
      <c r="K1895" s="102" t="n">
        <v>0</v>
      </c>
      <c r="L1895" s="102" t="n">
        <v>0</v>
      </c>
      <c r="M1895" s="102" t="n">
        <v>0</v>
      </c>
      <c r="N1895" s="102" t="n">
        <v>0</v>
      </c>
      <c r="O1895" s="102" t="n">
        <v>0</v>
      </c>
      <c r="P1895" s="102" t="n">
        <v>0</v>
      </c>
      <c r="Q1895" s="102" t="n">
        <v>0</v>
      </c>
      <c r="R1895" s="102" t="n">
        <v>0</v>
      </c>
      <c r="S1895" s="102" t="n">
        <v>0</v>
      </c>
      <c r="T1895" s="102" t="n">
        <v>0</v>
      </c>
      <c r="U1895" s="102" t="n">
        <v>0</v>
      </c>
      <c r="V1895" s="102" t="n">
        <v>0</v>
      </c>
      <c r="W1895" s="102" t="n">
        <v>0</v>
      </c>
    </row>
    <row r="1896" customFormat="false" ht="12.75" hidden="false" customHeight="false" outlineLevel="0" collapsed="false">
      <c r="A1896" s="99" t="s">
        <v>63</v>
      </c>
      <c r="B1896" s="49"/>
      <c r="C1896" s="107"/>
      <c r="D1896" s="102" t="n">
        <v>0</v>
      </c>
      <c r="E1896" s="102" t="n">
        <v>0</v>
      </c>
      <c r="F1896" s="102" t="n">
        <v>0</v>
      </c>
      <c r="G1896" s="102" t="n">
        <v>0</v>
      </c>
      <c r="H1896" s="102" t="n">
        <v>0</v>
      </c>
      <c r="I1896" s="102" t="n">
        <v>0</v>
      </c>
      <c r="J1896" s="102" t="n">
        <v>0</v>
      </c>
      <c r="K1896" s="102" t="n">
        <v>0</v>
      </c>
      <c r="L1896" s="102" t="n">
        <v>0</v>
      </c>
      <c r="M1896" s="102" t="n">
        <v>0</v>
      </c>
      <c r="N1896" s="102" t="n">
        <v>0</v>
      </c>
      <c r="O1896" s="102" t="n">
        <v>0</v>
      </c>
      <c r="P1896" s="102" t="n">
        <v>0</v>
      </c>
      <c r="Q1896" s="102" t="n">
        <v>0</v>
      </c>
      <c r="R1896" s="102" t="n">
        <v>0</v>
      </c>
      <c r="S1896" s="102" t="n">
        <v>0</v>
      </c>
      <c r="T1896" s="102" t="n">
        <v>0</v>
      </c>
      <c r="U1896" s="102" t="n">
        <v>0</v>
      </c>
      <c r="V1896" s="102" t="n">
        <v>0</v>
      </c>
      <c r="W1896" s="102" t="n">
        <v>0</v>
      </c>
    </row>
    <row r="1897" customFormat="false" ht="12.75" hidden="false" customHeight="false" outlineLevel="0" collapsed="false">
      <c r="A1897" s="99" t="s">
        <v>64</v>
      </c>
      <c r="B1897" s="49"/>
      <c r="C1897" s="107"/>
      <c r="D1897" s="105" t="n">
        <v>0</v>
      </c>
      <c r="E1897" s="105" t="n">
        <v>0</v>
      </c>
      <c r="F1897" s="105" t="n">
        <v>0</v>
      </c>
      <c r="G1897" s="105" t="n">
        <v>0</v>
      </c>
      <c r="H1897" s="105" t="n">
        <v>0</v>
      </c>
      <c r="I1897" s="105" t="n">
        <v>0</v>
      </c>
      <c r="J1897" s="105" t="n">
        <v>0</v>
      </c>
      <c r="K1897" s="105" t="n">
        <v>0</v>
      </c>
      <c r="L1897" s="105" t="n">
        <v>0</v>
      </c>
      <c r="M1897" s="105" t="n">
        <v>0</v>
      </c>
      <c r="N1897" s="105" t="n">
        <v>0</v>
      </c>
      <c r="O1897" s="105" t="n">
        <v>0</v>
      </c>
      <c r="P1897" s="105" t="n">
        <v>0</v>
      </c>
      <c r="Q1897" s="105" t="n">
        <v>0</v>
      </c>
      <c r="R1897" s="105" t="n">
        <v>0</v>
      </c>
      <c r="S1897" s="105" t="n">
        <v>0</v>
      </c>
      <c r="T1897" s="105" t="n">
        <v>0</v>
      </c>
      <c r="U1897" s="105" t="n">
        <v>0</v>
      </c>
      <c r="V1897" s="105" t="n">
        <v>0</v>
      </c>
      <c r="W1897" s="105" t="n">
        <v>0</v>
      </c>
    </row>
    <row r="1898" customFormat="false" ht="13.5" hidden="false" customHeight="false" outlineLevel="0" collapsed="false">
      <c r="A1898" s="99" t="s">
        <v>65</v>
      </c>
      <c r="B1898" s="49"/>
      <c r="C1898" s="107"/>
      <c r="D1898" s="106" t="n">
        <v>0</v>
      </c>
      <c r="E1898" s="106" t="n">
        <v>0</v>
      </c>
      <c r="F1898" s="106" t="n">
        <v>0</v>
      </c>
      <c r="G1898" s="106" t="n">
        <v>0</v>
      </c>
      <c r="H1898" s="106" t="n">
        <v>0</v>
      </c>
      <c r="I1898" s="106" t="n">
        <v>0</v>
      </c>
      <c r="J1898" s="106" t="n">
        <v>0</v>
      </c>
      <c r="K1898" s="106" t="n">
        <v>0</v>
      </c>
      <c r="L1898" s="106" t="n">
        <v>0</v>
      </c>
      <c r="M1898" s="106" t="n">
        <v>0</v>
      </c>
      <c r="N1898" s="106" t="n">
        <v>0</v>
      </c>
      <c r="O1898" s="106" t="n">
        <v>0</v>
      </c>
      <c r="P1898" s="106" t="n">
        <v>0</v>
      </c>
      <c r="Q1898" s="106" t="n">
        <v>0</v>
      </c>
      <c r="R1898" s="106" t="n">
        <v>0</v>
      </c>
      <c r="S1898" s="106" t="n">
        <v>0</v>
      </c>
      <c r="T1898" s="106" t="n">
        <v>0</v>
      </c>
      <c r="U1898" s="106" t="n">
        <v>0</v>
      </c>
      <c r="V1898" s="106" t="n">
        <v>0</v>
      </c>
      <c r="W1898" s="106" t="n">
        <v>0</v>
      </c>
    </row>
    <row r="1899" customFormat="false" ht="13.5" hidden="false" customHeight="false" outlineLevel="0" collapsed="false">
      <c r="A1899" s="99"/>
      <c r="B1899" s="49"/>
      <c r="C1899" s="107"/>
      <c r="D1899" s="102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  <c r="W1899" s="102"/>
    </row>
    <row r="1900" customFormat="false" ht="12.75" hidden="false" customHeight="false" outlineLevel="0" collapsed="false">
      <c r="A1900" s="99" t="s">
        <v>66</v>
      </c>
      <c r="B1900" s="49"/>
      <c r="C1900" s="107"/>
      <c r="D1900" s="102" t="n">
        <v>0</v>
      </c>
      <c r="E1900" s="102" t="n">
        <v>0</v>
      </c>
      <c r="F1900" s="102" t="n">
        <v>0</v>
      </c>
      <c r="G1900" s="102" t="n">
        <v>0</v>
      </c>
      <c r="H1900" s="102" t="n">
        <v>0</v>
      </c>
      <c r="I1900" s="102" t="n">
        <v>0</v>
      </c>
      <c r="J1900" s="102" t="n">
        <v>0</v>
      </c>
      <c r="K1900" s="102" t="n">
        <v>0</v>
      </c>
      <c r="L1900" s="102" t="n">
        <v>0</v>
      </c>
      <c r="M1900" s="102" t="n">
        <v>0</v>
      </c>
      <c r="N1900" s="102" t="n">
        <v>0</v>
      </c>
      <c r="O1900" s="102" t="n">
        <v>0</v>
      </c>
      <c r="P1900" s="102" t="n">
        <v>0</v>
      </c>
      <c r="Q1900" s="102" t="n">
        <v>0</v>
      </c>
      <c r="R1900" s="102" t="n">
        <v>0</v>
      </c>
      <c r="S1900" s="102" t="n">
        <v>0</v>
      </c>
      <c r="T1900" s="102" t="n">
        <v>0</v>
      </c>
      <c r="U1900" s="102" t="n">
        <v>0</v>
      </c>
      <c r="V1900" s="102" t="n">
        <v>0</v>
      </c>
      <c r="W1900" s="102" t="n">
        <v>0</v>
      </c>
    </row>
    <row r="1901" customFormat="false" ht="12.75" hidden="false" customHeight="false" outlineLevel="0" collapsed="false">
      <c r="A1901" s="99"/>
      <c r="B1901" s="49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</row>
    <row r="1902" customFormat="false" ht="12.75" hidden="false" customHeight="false" outlineLevel="0" collapsed="false">
      <c r="A1902" s="99" t="s">
        <v>67</v>
      </c>
      <c r="B1902" s="49"/>
      <c r="C1902" s="107"/>
      <c r="D1902" s="102" t="n">
        <v>0</v>
      </c>
      <c r="E1902" s="102" t="n">
        <v>0</v>
      </c>
      <c r="F1902" s="102" t="n">
        <v>0</v>
      </c>
      <c r="G1902" s="102" t="n">
        <v>0</v>
      </c>
      <c r="H1902" s="102" t="n">
        <v>0</v>
      </c>
      <c r="I1902" s="102" t="n">
        <v>0</v>
      </c>
      <c r="J1902" s="102" t="n">
        <v>0</v>
      </c>
      <c r="K1902" s="102" t="n">
        <v>0</v>
      </c>
      <c r="L1902" s="102" t="n">
        <v>0</v>
      </c>
      <c r="M1902" s="102" t="n">
        <v>0</v>
      </c>
      <c r="N1902" s="102" t="n">
        <v>0</v>
      </c>
      <c r="O1902" s="102" t="n">
        <v>0</v>
      </c>
      <c r="P1902" s="102" t="n">
        <v>0</v>
      </c>
      <c r="Q1902" s="102" t="n">
        <v>0</v>
      </c>
      <c r="R1902" s="102" t="n">
        <v>0</v>
      </c>
      <c r="S1902" s="102" t="n">
        <v>0</v>
      </c>
      <c r="T1902" s="102" t="n">
        <v>0</v>
      </c>
      <c r="U1902" s="102" t="n">
        <v>0</v>
      </c>
      <c r="V1902" s="102" t="n">
        <v>0</v>
      </c>
      <c r="W1902" s="102" t="n">
        <v>0</v>
      </c>
    </row>
    <row r="1903" customFormat="false" ht="12.75" hidden="false" customHeight="false" outlineLevel="0" collapsed="false">
      <c r="A1903" s="107"/>
      <c r="B1903" s="49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</row>
    <row r="1904" customFormat="false" ht="12.75" hidden="false" customHeight="false" outlineLevel="0" collapsed="false">
      <c r="A1904" s="107"/>
      <c r="B1904" s="49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</row>
    <row r="1905" customFormat="false" ht="12.75" hidden="false" customHeight="false" outlineLevel="0" collapsed="false">
      <c r="A1905" s="99" t="s">
        <v>68</v>
      </c>
      <c r="B1905" s="148"/>
      <c r="C1905" s="149"/>
      <c r="D1905" s="79" t="n">
        <v>3943597.53031582</v>
      </c>
      <c r="E1905" s="79" t="n">
        <v>3006367.41332035</v>
      </c>
      <c r="F1905" s="79" t="n">
        <v>2337238.33229324</v>
      </c>
      <c r="G1905" s="79" t="n">
        <v>2350071.46112016</v>
      </c>
      <c r="H1905" s="79" t="n">
        <v>2223720.49462874</v>
      </c>
      <c r="I1905" s="79" t="n">
        <v>2159614.2252693</v>
      </c>
      <c r="J1905" s="79" t="n">
        <v>1977299.37920834</v>
      </c>
      <c r="K1905" s="79" t="n">
        <v>2150347.94279333</v>
      </c>
      <c r="L1905" s="79" t="n">
        <v>2203228.43565904</v>
      </c>
      <c r="M1905" s="79" t="n">
        <v>2243154.40824562</v>
      </c>
      <c r="N1905" s="79" t="n">
        <v>1718664.22167944</v>
      </c>
      <c r="O1905" s="79" t="n">
        <v>2033825.23310511</v>
      </c>
      <c r="P1905" s="79" t="n">
        <v>1894320.34368103</v>
      </c>
      <c r="Q1905" s="79" t="n">
        <v>2393333.22855094</v>
      </c>
      <c r="R1905" s="79" t="n">
        <v>2045216.8703203</v>
      </c>
      <c r="S1905" s="79" t="n">
        <v>1630049.94855928</v>
      </c>
      <c r="T1905" s="79" t="n">
        <v>1779520.3785852</v>
      </c>
      <c r="U1905" s="79" t="n">
        <v>2083533.2189699</v>
      </c>
      <c r="V1905" s="79" t="n">
        <v>1836347.38471154</v>
      </c>
      <c r="W1905" s="79" t="n">
        <v>12078968.6556721</v>
      </c>
    </row>
    <row r="1906" customFormat="false" ht="12.75" hidden="false" customHeight="false" outlineLevel="0" collapsed="false">
      <c r="A1906" s="2"/>
      <c r="B1906" s="31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</row>
    <row r="1907" customFormat="false" ht="12.75" hidden="false" customHeight="false" outlineLevel="0" collapsed="false">
      <c r="A1907" s="169"/>
      <c r="B1907" s="115"/>
      <c r="C1907" s="170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customFormat="false" ht="12.75" hidden="false" customHeight="false" outlineLevel="0" collapsed="false">
      <c r="A1908" s="169"/>
      <c r="B1908" s="115"/>
      <c r="C1908" s="170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customFormat="false" ht="12.75" hidden="false" customHeight="false" outlineLevel="0" collapsed="false">
      <c r="A1909" s="169"/>
      <c r="B1909" s="115"/>
      <c r="C1909" s="170"/>
      <c r="D1909" s="170"/>
      <c r="E1909" s="170"/>
      <c r="F1909" s="170"/>
      <c r="G1909" s="170"/>
      <c r="H1909" s="170"/>
      <c r="I1909" s="170"/>
      <c r="J1909" s="170"/>
      <c r="K1909" s="170"/>
      <c r="L1909" s="170"/>
      <c r="M1909" s="170"/>
      <c r="N1909" s="170"/>
      <c r="O1909" s="170"/>
      <c r="P1909" s="170"/>
      <c r="Q1909" s="170"/>
      <c r="R1909" s="170"/>
      <c r="S1909" s="170"/>
      <c r="T1909" s="170"/>
      <c r="U1909" s="170"/>
      <c r="V1909" s="170"/>
      <c r="W1909" s="170"/>
    </row>
    <row r="1910" customFormat="false" ht="12.75" hidden="false" customHeight="false" outlineLevel="0" collapsed="false">
      <c r="A1910" s="169"/>
      <c r="B1910" s="115"/>
      <c r="C1910" s="170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customFormat="false" ht="12.75" hidden="false" customHeight="false" outlineLevel="0" collapsed="false">
      <c r="A1911" s="170"/>
      <c r="B1911" s="115"/>
      <c r="C1911" s="170"/>
      <c r="D1911" s="170"/>
      <c r="E1911" s="170"/>
      <c r="F1911" s="170"/>
      <c r="G1911" s="170"/>
      <c r="H1911" s="170"/>
      <c r="I1911" s="170"/>
      <c r="J1911" s="170"/>
      <c r="K1911" s="170"/>
      <c r="L1911" s="170"/>
      <c r="M1911" s="170"/>
      <c r="N1911" s="170"/>
      <c r="O1911" s="170"/>
      <c r="P1911" s="170"/>
      <c r="Q1911" s="170"/>
      <c r="R1911" s="170"/>
      <c r="S1911" s="170"/>
      <c r="T1911" s="170"/>
      <c r="U1911" s="170"/>
      <c r="V1911" s="170"/>
      <c r="W1911" s="170"/>
    </row>
    <row r="1912" customFormat="false" ht="12.75" hidden="false" customHeight="false" outlineLevel="0" collapsed="false">
      <c r="A1912" s="170"/>
      <c r="B1912" s="115"/>
      <c r="C1912" s="170"/>
      <c r="D1912" s="170"/>
      <c r="E1912" s="170"/>
      <c r="F1912" s="170"/>
      <c r="G1912" s="170"/>
      <c r="H1912" s="170"/>
      <c r="I1912" s="170"/>
      <c r="J1912" s="170"/>
      <c r="K1912" s="170"/>
      <c r="L1912" s="170"/>
      <c r="M1912" s="170"/>
      <c r="N1912" s="170"/>
      <c r="O1912" s="170"/>
      <c r="P1912" s="170"/>
      <c r="Q1912" s="170"/>
      <c r="R1912" s="170"/>
      <c r="S1912" s="170"/>
      <c r="T1912" s="170"/>
      <c r="U1912" s="170"/>
      <c r="V1912" s="170"/>
      <c r="W1912" s="170"/>
    </row>
    <row r="1913" customFormat="false" ht="12.75" hidden="false" customHeight="false" outlineLevel="0" collapsed="false">
      <c r="A1913" s="169"/>
      <c r="B1913" s="172"/>
      <c r="C1913" s="173"/>
      <c r="D1913" s="174"/>
      <c r="E1913" s="174"/>
      <c r="F1913" s="174"/>
      <c r="G1913" s="174"/>
      <c r="H1913" s="174"/>
      <c r="I1913" s="174"/>
      <c r="J1913" s="174"/>
      <c r="K1913" s="174"/>
      <c r="L1913" s="174"/>
      <c r="M1913" s="174"/>
      <c r="N1913" s="174"/>
      <c r="O1913" s="174"/>
      <c r="P1913" s="174"/>
      <c r="Q1913" s="174"/>
      <c r="R1913" s="174"/>
      <c r="S1913" s="174"/>
      <c r="T1913" s="174"/>
      <c r="U1913" s="174"/>
      <c r="V1913" s="174"/>
      <c r="W1913" s="174"/>
    </row>
    <row r="1914" customFormat="false" ht="15.75" hidden="false" customHeight="false" outlineLevel="0" collapsed="false">
      <c r="A1914" s="48" t="s">
        <v>17</v>
      </c>
      <c r="B1914" s="57" t="s">
        <v>98</v>
      </c>
      <c r="C1914" s="58" t="n">
        <v>2000</v>
      </c>
      <c r="D1914" s="58" t="n">
        <v>2001</v>
      </c>
      <c r="E1914" s="58" t="n">
        <v>2002</v>
      </c>
      <c r="F1914" s="58" t="n">
        <v>2003</v>
      </c>
      <c r="G1914" s="58" t="n">
        <v>2004</v>
      </c>
      <c r="H1914" s="58" t="n">
        <v>2005</v>
      </c>
      <c r="I1914" s="58" t="n">
        <v>2006</v>
      </c>
      <c r="J1914" s="58" t="n">
        <v>2007</v>
      </c>
      <c r="K1914" s="58" t="n">
        <v>2008</v>
      </c>
      <c r="L1914" s="58" t="n">
        <v>2009</v>
      </c>
      <c r="M1914" s="58" t="n">
        <v>2010</v>
      </c>
      <c r="N1914" s="58" t="n">
        <v>2011</v>
      </c>
      <c r="O1914" s="58" t="n">
        <v>2012</v>
      </c>
      <c r="P1914" s="58" t="n">
        <v>2013</v>
      </c>
      <c r="Q1914" s="58" t="n">
        <v>2014</v>
      </c>
      <c r="R1914" s="58" t="n">
        <v>2015</v>
      </c>
      <c r="S1914" s="58" t="n">
        <v>2016</v>
      </c>
      <c r="T1914" s="58" t="n">
        <v>2017</v>
      </c>
      <c r="U1914" s="58" t="n">
        <v>2018</v>
      </c>
      <c r="V1914" s="58" t="n">
        <v>2019</v>
      </c>
      <c r="W1914" s="58" t="s">
        <v>19</v>
      </c>
    </row>
    <row r="1915" customFormat="false" ht="12.75" hidden="false" customHeight="false" outlineLevel="0" collapsed="false">
      <c r="A1915" s="48" t="s">
        <v>5</v>
      </c>
      <c r="B1915" s="49" t="n">
        <v>83.433</v>
      </c>
      <c r="C1915" s="61"/>
      <c r="D1915" s="61"/>
      <c r="E1915" s="61"/>
      <c r="F1915" s="61"/>
      <c r="G1915" s="61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</row>
    <row r="1916" customFormat="false" ht="12.75" hidden="false" customHeight="false" outlineLevel="0" collapsed="false">
      <c r="A1916" s="2"/>
      <c r="B1916" s="117" t="s">
        <v>20</v>
      </c>
      <c r="C1916" s="118" t="n">
        <v>0</v>
      </c>
      <c r="D1916" s="64" t="n">
        <v>8202175.39141969</v>
      </c>
      <c r="E1916" s="64" t="n">
        <v>7219125.19556247</v>
      </c>
      <c r="F1916" s="64" t="n">
        <v>6975429.92891035</v>
      </c>
      <c r="G1916" s="64" t="n">
        <v>6698801.53981955</v>
      </c>
      <c r="H1916" s="64" t="n">
        <v>6877286.90124915</v>
      </c>
      <c r="I1916" s="64" t="n">
        <v>7875918.16116401</v>
      </c>
      <c r="J1916" s="64" t="n">
        <v>9532366.51234013</v>
      </c>
      <c r="K1916" s="64" t="n">
        <v>12117113.0103676</v>
      </c>
      <c r="L1916" s="64" t="n">
        <v>12861496.0661958</v>
      </c>
      <c r="M1916" s="64" t="n">
        <v>11066696.0971635</v>
      </c>
      <c r="N1916" s="64" t="n">
        <v>10846097.9980071</v>
      </c>
      <c r="O1916" s="64" t="n">
        <v>10837165.4619768</v>
      </c>
      <c r="P1916" s="64" t="n">
        <v>10010041.08074</v>
      </c>
      <c r="Q1916" s="64" t="n">
        <v>11607660.5992968</v>
      </c>
      <c r="R1916" s="64" t="n">
        <v>10822858.6762665</v>
      </c>
      <c r="S1916" s="64" t="n">
        <v>10915874.0816648</v>
      </c>
      <c r="T1916" s="64" t="n">
        <v>10065899.0774091</v>
      </c>
      <c r="U1916" s="64" t="n">
        <v>11407206.8863037</v>
      </c>
      <c r="V1916" s="64" t="n">
        <v>12342873.4841228</v>
      </c>
      <c r="W1916" s="65"/>
    </row>
    <row r="1917" customFormat="false" ht="12.75" hidden="false" customHeight="false" outlineLevel="0" collapsed="false">
      <c r="A1917" s="2"/>
      <c r="B1917" s="117" t="s">
        <v>21</v>
      </c>
      <c r="C1917" s="118" t="n">
        <v>0</v>
      </c>
      <c r="D1917" s="64" t="n">
        <v>-2443747.15095388</v>
      </c>
      <c r="E1917" s="64" t="n">
        <v>-2991581.05241517</v>
      </c>
      <c r="F1917" s="64" t="n">
        <v>-3235039.69989279</v>
      </c>
      <c r="G1917" s="64" t="n">
        <v>-3544191.97559814</v>
      </c>
      <c r="H1917" s="64" t="n">
        <v>-3794796.96567439</v>
      </c>
      <c r="I1917" s="64" t="n">
        <v>-4944426.37962473</v>
      </c>
      <c r="J1917" s="64" t="n">
        <v>-6219182.82268616</v>
      </c>
      <c r="K1917" s="64" t="n">
        <v>-7723082.37659265</v>
      </c>
      <c r="L1917" s="64" t="n">
        <v>-8284094.12252955</v>
      </c>
      <c r="M1917" s="64" t="n">
        <v>-6482347.86682114</v>
      </c>
      <c r="N1917" s="64" t="n">
        <v>-7112818.16695236</v>
      </c>
      <c r="O1917" s="64" t="n">
        <v>-6598867.18665961</v>
      </c>
      <c r="P1917" s="64" t="n">
        <v>-6033835.20069249</v>
      </c>
      <c r="Q1917" s="64" t="n">
        <v>-6785562.71861277</v>
      </c>
      <c r="R1917" s="64" t="n">
        <v>-6609183.75658588</v>
      </c>
      <c r="S1917" s="64" t="n">
        <v>-7384920.38659215</v>
      </c>
      <c r="T1917" s="64" t="n">
        <v>-6300625.62055801</v>
      </c>
      <c r="U1917" s="64" t="n">
        <v>-7074580.36023023</v>
      </c>
      <c r="V1917" s="64" t="n">
        <v>-8373327.41472128</v>
      </c>
      <c r="W1917" s="65"/>
    </row>
    <row r="1918" customFormat="false" ht="12.75" hidden="false" customHeight="false" outlineLevel="0" collapsed="false">
      <c r="A1918" s="2"/>
      <c r="B1918" s="117" t="s">
        <v>22</v>
      </c>
      <c r="C1918" s="118" t="n">
        <v>0</v>
      </c>
      <c r="D1918" s="64" t="n">
        <v>-60965.9960270487</v>
      </c>
      <c r="E1918" s="64" t="n">
        <v>-86226.8817444926</v>
      </c>
      <c r="F1918" s="64" t="n">
        <v>-98920.0929284977</v>
      </c>
      <c r="G1918" s="64" t="n">
        <v>-108302.357800399</v>
      </c>
      <c r="H1918" s="64" t="n">
        <v>-115803.715903977</v>
      </c>
      <c r="I1918" s="64" t="n">
        <v>-156864.885978719</v>
      </c>
      <c r="J1918" s="64" t="n">
        <v>-192371.530618223</v>
      </c>
      <c r="K1918" s="64" t="n">
        <v>-262154.68285511</v>
      </c>
      <c r="L1918" s="64" t="n">
        <v>-274514.626462568</v>
      </c>
      <c r="M1918" s="64" t="n">
        <v>-209035.46436537</v>
      </c>
      <c r="N1918" s="64" t="n">
        <v>-234968.360631691</v>
      </c>
      <c r="O1918" s="64" t="n">
        <v>-219679.092167691</v>
      </c>
      <c r="P1918" s="64" t="n">
        <v>-198816.527507158</v>
      </c>
      <c r="Q1918" s="64" t="n">
        <v>-222370.272894788</v>
      </c>
      <c r="R1918" s="64" t="n">
        <v>-204501.470788994</v>
      </c>
      <c r="S1918" s="64" t="n">
        <v>-224078.643657812</v>
      </c>
      <c r="T1918" s="64" t="n">
        <v>-191744.267299548</v>
      </c>
      <c r="U1918" s="64" t="n">
        <v>-202409.859650827</v>
      </c>
      <c r="V1918" s="64" t="n">
        <v>-245710.990122286</v>
      </c>
      <c r="W1918" s="65"/>
    </row>
    <row r="1919" customFormat="false" ht="12.75" hidden="false" customHeight="false" outlineLevel="0" collapsed="false">
      <c r="A1919" s="2"/>
      <c r="B1919" s="117" t="s">
        <v>23</v>
      </c>
      <c r="C1919" s="118" t="n">
        <v>0</v>
      </c>
      <c r="D1919" s="64" t="n">
        <v>0</v>
      </c>
      <c r="E1919" s="64" t="n">
        <v>0</v>
      </c>
      <c r="F1919" s="64" t="n">
        <v>0</v>
      </c>
      <c r="G1919" s="64" t="n">
        <v>0</v>
      </c>
      <c r="H1919" s="64" t="n">
        <v>0</v>
      </c>
      <c r="I1919" s="64" t="n">
        <v>93418.0233270884</v>
      </c>
      <c r="J1919" s="64" t="n">
        <v>103546.416256845</v>
      </c>
      <c r="K1919" s="64" t="n">
        <v>114259.167463377</v>
      </c>
      <c r="L1919" s="64" t="n">
        <v>125495.637715741</v>
      </c>
      <c r="M1919" s="64" t="n">
        <v>139570.444155257</v>
      </c>
      <c r="N1919" s="64" t="n">
        <v>153747.39907892</v>
      </c>
      <c r="O1919" s="64" t="n">
        <v>170347.508693033</v>
      </c>
      <c r="P1919" s="64" t="n">
        <v>191004.368814188</v>
      </c>
      <c r="Q1919" s="64" t="n">
        <v>212617.66815242</v>
      </c>
      <c r="R1919" s="64" t="n">
        <v>235515.425372474</v>
      </c>
      <c r="S1919" s="64" t="n">
        <v>258595.647431392</v>
      </c>
      <c r="T1919" s="64" t="n">
        <v>254057.616455806</v>
      </c>
      <c r="U1919" s="64" t="n">
        <v>217360.03222342</v>
      </c>
      <c r="V1919" s="64" t="n">
        <v>225362.251242398</v>
      </c>
      <c r="W1919" s="65"/>
    </row>
    <row r="1920" customFormat="false" ht="13.5" hidden="false" customHeight="false" outlineLevel="0" collapsed="false">
      <c r="A1920" s="2"/>
      <c r="B1920" s="119" t="s">
        <v>24</v>
      </c>
      <c r="C1920" s="120" t="n">
        <v>0</v>
      </c>
      <c r="D1920" s="68" t="n">
        <v>0</v>
      </c>
      <c r="E1920" s="68" t="n">
        <v>0</v>
      </c>
      <c r="F1920" s="68" t="n">
        <v>0</v>
      </c>
      <c r="G1920" s="68" t="n">
        <v>0</v>
      </c>
      <c r="H1920" s="68" t="n">
        <v>0</v>
      </c>
      <c r="I1920" s="68" t="n">
        <v>0</v>
      </c>
      <c r="J1920" s="68" t="n">
        <v>0</v>
      </c>
      <c r="K1920" s="68" t="n">
        <v>0</v>
      </c>
      <c r="L1920" s="68" t="n">
        <v>0</v>
      </c>
      <c r="M1920" s="68" t="n">
        <v>0</v>
      </c>
      <c r="N1920" s="68" t="n">
        <v>0</v>
      </c>
      <c r="O1920" s="68" t="n">
        <v>0</v>
      </c>
      <c r="P1920" s="68" t="n">
        <v>0</v>
      </c>
      <c r="Q1920" s="68" t="n">
        <v>0</v>
      </c>
      <c r="R1920" s="68" t="n">
        <v>0</v>
      </c>
      <c r="S1920" s="68" t="n">
        <v>0</v>
      </c>
      <c r="T1920" s="68" t="n">
        <v>0</v>
      </c>
      <c r="U1920" s="68" t="n">
        <v>0</v>
      </c>
      <c r="V1920" s="68" t="n">
        <v>0</v>
      </c>
      <c r="W1920" s="65"/>
    </row>
    <row r="1921" customFormat="false" ht="13.5" hidden="false" customHeight="false" outlineLevel="0" collapsed="false">
      <c r="A1921" s="2"/>
      <c r="B1921" s="121" t="s">
        <v>25</v>
      </c>
      <c r="C1921" s="122" t="n">
        <v>0</v>
      </c>
      <c r="D1921" s="71" t="n">
        <v>5697462.24443877</v>
      </c>
      <c r="E1921" s="71" t="n">
        <v>4141317.26140281</v>
      </c>
      <c r="F1921" s="71" t="n">
        <v>3641470.13608906</v>
      </c>
      <c r="G1921" s="71" t="n">
        <v>3046307.20642101</v>
      </c>
      <c r="H1921" s="71" t="n">
        <v>2966686.21967078</v>
      </c>
      <c r="I1921" s="71" t="n">
        <v>2868044.91888765</v>
      </c>
      <c r="J1921" s="71" t="n">
        <v>3224358.5752926</v>
      </c>
      <c r="K1921" s="71" t="n">
        <v>4246135.11838324</v>
      </c>
      <c r="L1921" s="71" t="n">
        <v>4428382.95491944</v>
      </c>
      <c r="M1921" s="71" t="n">
        <v>4514883.2101322</v>
      </c>
      <c r="N1921" s="71" t="n">
        <v>3652058.86950197</v>
      </c>
      <c r="O1921" s="71" t="n">
        <v>4188966.69184257</v>
      </c>
      <c r="P1921" s="71" t="n">
        <v>3968393.72135451</v>
      </c>
      <c r="Q1921" s="71" t="n">
        <v>4812345.27594165</v>
      </c>
      <c r="R1921" s="71" t="n">
        <v>4244688.87426413</v>
      </c>
      <c r="S1921" s="71" t="n">
        <v>3565470.69884627</v>
      </c>
      <c r="T1921" s="71" t="n">
        <v>3827586.80600735</v>
      </c>
      <c r="U1921" s="71" t="n">
        <v>4347576.69864609</v>
      </c>
      <c r="V1921" s="71" t="n">
        <v>3949197.33052165</v>
      </c>
      <c r="W1921" s="65"/>
    </row>
    <row r="1922" customFormat="false" ht="12.75" hidden="false" customHeight="false" outlineLevel="0" collapsed="false">
      <c r="A1922" s="2"/>
      <c r="B1922" s="117" t="s">
        <v>26</v>
      </c>
      <c r="C1922" s="118" t="n">
        <v>0</v>
      </c>
      <c r="D1922" s="64" t="n">
        <v>-355535.162770781</v>
      </c>
      <c r="E1922" s="64" t="n">
        <v>-362645.866026196</v>
      </c>
      <c r="F1922" s="64" t="n">
        <v>-369898.78334672</v>
      </c>
      <c r="G1922" s="64" t="n">
        <v>-377296.759013655</v>
      </c>
      <c r="H1922" s="64" t="n">
        <v>-384842.694193928</v>
      </c>
      <c r="I1922" s="64" t="n">
        <v>-392539.548077806</v>
      </c>
      <c r="J1922" s="64" t="n">
        <v>-400390.339039362</v>
      </c>
      <c r="K1922" s="64" t="n">
        <v>-408398.14582015</v>
      </c>
      <c r="L1922" s="64" t="n">
        <v>-416566.108736553</v>
      </c>
      <c r="M1922" s="64" t="n">
        <v>-424897.430911284</v>
      </c>
      <c r="N1922" s="64" t="n">
        <v>-433395.379529509</v>
      </c>
      <c r="O1922" s="64" t="n">
        <v>-442063.2871201</v>
      </c>
      <c r="P1922" s="64" t="n">
        <v>-450904.552862502</v>
      </c>
      <c r="Q1922" s="64" t="n">
        <v>-459922.643919752</v>
      </c>
      <c r="R1922" s="64" t="n">
        <v>-469121.096798147</v>
      </c>
      <c r="S1922" s="64" t="n">
        <v>-478503.51873411</v>
      </c>
      <c r="T1922" s="64" t="n">
        <v>-488073.589108792</v>
      </c>
      <c r="U1922" s="64" t="n">
        <v>-497835.060890968</v>
      </c>
      <c r="V1922" s="64" t="n">
        <v>-507791.762108787</v>
      </c>
      <c r="W1922" s="65"/>
    </row>
    <row r="1923" customFormat="false" ht="12.75" hidden="false" customHeight="false" outlineLevel="0" collapsed="false">
      <c r="A1923" s="2"/>
      <c r="B1923" s="117" t="s">
        <v>27</v>
      </c>
      <c r="C1923" s="118" t="n">
        <v>0</v>
      </c>
      <c r="D1923" s="64" t="n">
        <v>-171612.579296875</v>
      </c>
      <c r="E1923" s="64" t="n">
        <v>-171612.579296875</v>
      </c>
      <c r="F1923" s="64" t="n">
        <v>-171612.579296875</v>
      </c>
      <c r="G1923" s="64" t="n">
        <v>-171612.579296875</v>
      </c>
      <c r="H1923" s="64" t="n">
        <v>-171612.579296875</v>
      </c>
      <c r="I1923" s="64" t="n">
        <v>-171612.579296875</v>
      </c>
      <c r="J1923" s="64" t="n">
        <v>-171612.579296875</v>
      </c>
      <c r="K1923" s="64" t="n">
        <v>-171612.579296875</v>
      </c>
      <c r="L1923" s="64" t="n">
        <v>-171612.579296875</v>
      </c>
      <c r="M1923" s="64" t="n">
        <v>-171612.579296875</v>
      </c>
      <c r="N1923" s="64" t="n">
        <v>-171612.579296875</v>
      </c>
      <c r="O1923" s="64" t="n">
        <v>-171612.579296875</v>
      </c>
      <c r="P1923" s="64" t="n">
        <v>-171612.579296875</v>
      </c>
      <c r="Q1923" s="64" t="n">
        <v>-171612.579296875</v>
      </c>
      <c r="R1923" s="64" t="n">
        <v>-171612.579296875</v>
      </c>
      <c r="S1923" s="64" t="n">
        <v>-171612.579296875</v>
      </c>
      <c r="T1923" s="64" t="n">
        <v>-171612.579296875</v>
      </c>
      <c r="U1923" s="64" t="n">
        <v>-171612.579296875</v>
      </c>
      <c r="V1923" s="64" t="n">
        <v>-171612.579296875</v>
      </c>
      <c r="W1923" s="65"/>
    </row>
    <row r="1924" customFormat="false" ht="13.5" hidden="false" customHeight="false" outlineLevel="0" collapsed="false">
      <c r="A1924" s="2"/>
      <c r="B1924" s="119" t="s">
        <v>28</v>
      </c>
      <c r="C1924" s="120" t="n">
        <v>0</v>
      </c>
      <c r="D1924" s="68" t="n">
        <v>-34547.1907058574</v>
      </c>
      <c r="E1924" s="68" t="n">
        <v>-35276.1364297512</v>
      </c>
      <c r="F1924" s="68" t="n">
        <v>-36048.6838175628</v>
      </c>
      <c r="G1924" s="68" t="n">
        <v>-36863.3840718394</v>
      </c>
      <c r="H1924" s="68" t="n">
        <v>-37740.7326127493</v>
      </c>
      <c r="I1924" s="68" t="n">
        <v>-38686.5191661684</v>
      </c>
      <c r="J1924" s="68" t="n">
        <v>-39646.0526171664</v>
      </c>
      <c r="K1924" s="68" t="n">
        <v>-40649.5761404166</v>
      </c>
      <c r="L1924" s="68" t="n">
        <v>-41653.6206710849</v>
      </c>
      <c r="M1924" s="68" t="n">
        <v>-42715.7879981975</v>
      </c>
      <c r="N1924" s="68" t="n">
        <v>-43749.510067754</v>
      </c>
      <c r="O1924" s="68" t="n">
        <v>-44851.9977214613</v>
      </c>
      <c r="P1924" s="68" t="n">
        <v>-45991.2384635863</v>
      </c>
      <c r="Q1924" s="68" t="n">
        <v>-47141.019425176</v>
      </c>
      <c r="R1924" s="68" t="n">
        <v>-48324.2590127479</v>
      </c>
      <c r="S1924" s="68" t="n">
        <v>-49532.3654880667</v>
      </c>
      <c r="T1924" s="68" t="n">
        <v>-50760.7681521706</v>
      </c>
      <c r="U1924" s="68" t="n">
        <v>-52034.8634327902</v>
      </c>
      <c r="V1924" s="68" t="n">
        <v>-53340.9385049533</v>
      </c>
      <c r="W1924" s="65"/>
    </row>
    <row r="1925" customFormat="false" ht="13.5" hidden="false" customHeight="false" outlineLevel="0" collapsed="false">
      <c r="A1925" s="2"/>
      <c r="B1925" s="121" t="s">
        <v>29</v>
      </c>
      <c r="C1925" s="123" t="n">
        <v>0</v>
      </c>
      <c r="D1925" s="73" t="n">
        <v>5135767.31166525</v>
      </c>
      <c r="E1925" s="73" t="n">
        <v>3571782.67964998</v>
      </c>
      <c r="F1925" s="73" t="n">
        <v>3063910.08962791</v>
      </c>
      <c r="G1925" s="73" t="n">
        <v>2460534.48403864</v>
      </c>
      <c r="H1925" s="73" t="n">
        <v>2372490.21356723</v>
      </c>
      <c r="I1925" s="73" t="n">
        <v>2265206.2723468</v>
      </c>
      <c r="J1925" s="73" t="n">
        <v>2612709.60433919</v>
      </c>
      <c r="K1925" s="73" t="n">
        <v>3625474.8171258</v>
      </c>
      <c r="L1925" s="73" t="n">
        <v>3798550.64621492</v>
      </c>
      <c r="M1925" s="73" t="n">
        <v>3875657.41192585</v>
      </c>
      <c r="N1925" s="73" t="n">
        <v>3003301.40060783</v>
      </c>
      <c r="O1925" s="73" t="n">
        <v>3530438.82770413</v>
      </c>
      <c r="P1925" s="73" t="n">
        <v>3299885.35073154</v>
      </c>
      <c r="Q1925" s="73" t="n">
        <v>4133669.03329984</v>
      </c>
      <c r="R1925" s="73" t="n">
        <v>3555630.93915636</v>
      </c>
      <c r="S1925" s="73" t="n">
        <v>2865822.23532722</v>
      </c>
      <c r="T1925" s="73" t="n">
        <v>3117139.86944951</v>
      </c>
      <c r="U1925" s="73" t="n">
        <v>3626094.19502545</v>
      </c>
      <c r="V1925" s="73" t="n">
        <v>3216452.05061103</v>
      </c>
      <c r="W1925" s="65"/>
    </row>
    <row r="1926" customFormat="false" ht="12.75" hidden="false" customHeight="false" outlineLevel="0" collapsed="false">
      <c r="A1926" s="2"/>
      <c r="B1926" s="117" t="s">
        <v>30</v>
      </c>
      <c r="C1926" s="118" t="n">
        <v>0</v>
      </c>
      <c r="D1926" s="64" t="n">
        <v>-2192540.63329167</v>
      </c>
      <c r="E1926" s="64" t="n">
        <v>-2210158.6552009</v>
      </c>
      <c r="F1926" s="64" t="n">
        <v>-2220800.17390753</v>
      </c>
      <c r="G1926" s="64" t="n">
        <v>-2222765.99347263</v>
      </c>
      <c r="H1926" s="64" t="n">
        <v>-2221622.5140418</v>
      </c>
      <c r="I1926" s="64" t="n">
        <v>-2229059.54152417</v>
      </c>
      <c r="J1926" s="64" t="n">
        <v>-1258985.90313586</v>
      </c>
      <c r="K1926" s="64" t="n">
        <v>-179632.747482166</v>
      </c>
      <c r="L1926" s="64" t="n">
        <v>-59593.3221034993</v>
      </c>
      <c r="M1926" s="64" t="n">
        <v>-52343.2926192586</v>
      </c>
      <c r="N1926" s="64" t="n">
        <v>-57576.1082621617</v>
      </c>
      <c r="O1926" s="64" t="n">
        <v>-62703.3402877322</v>
      </c>
      <c r="P1926" s="64" t="n">
        <v>-67940.8285518105</v>
      </c>
      <c r="Q1926" s="64" t="n">
        <v>-73212.0981304778</v>
      </c>
      <c r="R1926" s="64" t="n">
        <v>-78645.3624631719</v>
      </c>
      <c r="S1926" s="64" t="n">
        <v>-84368.14305918</v>
      </c>
      <c r="T1926" s="64" t="n">
        <v>-90262.6070730684</v>
      </c>
      <c r="U1926" s="64" t="n">
        <v>-96333.9050073735</v>
      </c>
      <c r="V1926" s="64" t="n">
        <v>-102587.341879708</v>
      </c>
      <c r="W1926" s="65"/>
    </row>
    <row r="1927" customFormat="false" ht="13.5" hidden="false" customHeight="false" outlineLevel="0" collapsed="false">
      <c r="A1927" s="2"/>
      <c r="B1927" s="119" t="s">
        <v>70</v>
      </c>
      <c r="C1927" s="120" t="n">
        <v>0</v>
      </c>
      <c r="D1927" s="68" t="n">
        <v>-1177290.67134943</v>
      </c>
      <c r="E1927" s="68" t="n">
        <v>-544649.609779633</v>
      </c>
      <c r="F1927" s="68" t="n">
        <v>-337243.966288149</v>
      </c>
      <c r="G1927" s="68" t="n">
        <v>-95107.3962264026</v>
      </c>
      <c r="H1927" s="68" t="n">
        <v>-60347.0798101723</v>
      </c>
      <c r="I1927" s="68" t="n">
        <v>-14458.6923290543</v>
      </c>
      <c r="J1927" s="68" t="n">
        <v>-541489.480481335</v>
      </c>
      <c r="K1927" s="68" t="n">
        <v>-1378336.82785745</v>
      </c>
      <c r="L1927" s="68" t="n">
        <v>-1495582.92964457</v>
      </c>
      <c r="M1927" s="68" t="n">
        <v>-1529325.64772264</v>
      </c>
      <c r="N1927" s="68" t="n">
        <v>-1178290.11693827</v>
      </c>
      <c r="O1927" s="68" t="n">
        <v>-1387094.19496656</v>
      </c>
      <c r="P1927" s="68" t="n">
        <v>-1292777.80887189</v>
      </c>
      <c r="Q1927" s="68" t="n">
        <v>-1624182.77406775</v>
      </c>
      <c r="R1927" s="68" t="n">
        <v>-1390794.23067727</v>
      </c>
      <c r="S1927" s="68" t="n">
        <v>-1112581.63690722</v>
      </c>
      <c r="T1927" s="68" t="n">
        <v>-1210750.90495058</v>
      </c>
      <c r="U1927" s="68" t="n">
        <v>-1411904.11600723</v>
      </c>
      <c r="V1927" s="68" t="n">
        <v>-1245545.88349253</v>
      </c>
      <c r="W1927" s="65"/>
    </row>
    <row r="1928" customFormat="false" ht="13.5" hidden="false" customHeight="false" outlineLevel="0" collapsed="false">
      <c r="A1928" s="2"/>
      <c r="B1928" s="121" t="s">
        <v>32</v>
      </c>
      <c r="C1928" s="123" t="n">
        <v>0</v>
      </c>
      <c r="D1928" s="73" t="n">
        <v>1765936.00702415</v>
      </c>
      <c r="E1928" s="73" t="n">
        <v>816974.41466945</v>
      </c>
      <c r="F1928" s="73" t="n">
        <v>505865.949432224</v>
      </c>
      <c r="G1928" s="73" t="n">
        <v>142661.094339604</v>
      </c>
      <c r="H1928" s="73" t="n">
        <v>90520.6197152585</v>
      </c>
      <c r="I1928" s="73" t="n">
        <v>21688.0384935815</v>
      </c>
      <c r="J1928" s="73" t="n">
        <v>812234.220722003</v>
      </c>
      <c r="K1928" s="73" t="n">
        <v>2067505.24178618</v>
      </c>
      <c r="L1928" s="73" t="n">
        <v>2243374.39446685</v>
      </c>
      <c r="M1928" s="73" t="n">
        <v>2293988.47158395</v>
      </c>
      <c r="N1928" s="73" t="n">
        <v>1767435.1754074</v>
      </c>
      <c r="O1928" s="73" t="n">
        <v>2080641.29244984</v>
      </c>
      <c r="P1928" s="73" t="n">
        <v>1939166.71330784</v>
      </c>
      <c r="Q1928" s="73" t="n">
        <v>2436274.16110162</v>
      </c>
      <c r="R1928" s="73" t="n">
        <v>2086191.34601591</v>
      </c>
      <c r="S1928" s="73" t="n">
        <v>1668872.45536082</v>
      </c>
      <c r="T1928" s="73" t="n">
        <v>1816126.35742587</v>
      </c>
      <c r="U1928" s="73" t="n">
        <v>2117856.17401085</v>
      </c>
      <c r="V1928" s="73" t="n">
        <v>1868318.82523879</v>
      </c>
      <c r="W1928" s="65"/>
    </row>
    <row r="1929" customFormat="false" ht="12.75" hidden="false" customHeight="false" outlineLevel="0" collapsed="false">
      <c r="A1929" s="2"/>
      <c r="B1929" s="117" t="s">
        <v>30</v>
      </c>
      <c r="C1929" s="118" t="n">
        <v>0</v>
      </c>
      <c r="D1929" s="64" t="n">
        <v>2192540.63329167</v>
      </c>
      <c r="E1929" s="64" t="n">
        <v>2210158.6552009</v>
      </c>
      <c r="F1929" s="64" t="n">
        <v>2220800.17390753</v>
      </c>
      <c r="G1929" s="64" t="n">
        <v>2222765.99347263</v>
      </c>
      <c r="H1929" s="64" t="n">
        <v>2221622.5140418</v>
      </c>
      <c r="I1929" s="64" t="n">
        <v>2229059.54152417</v>
      </c>
      <c r="J1929" s="64" t="n">
        <v>1258985.90313586</v>
      </c>
      <c r="K1929" s="64" t="n">
        <v>179632.747482166</v>
      </c>
      <c r="L1929" s="64" t="n">
        <v>59593.3221034993</v>
      </c>
      <c r="M1929" s="64" t="n">
        <v>52343.2926192586</v>
      </c>
      <c r="N1929" s="64" t="n">
        <v>57576.1082621617</v>
      </c>
      <c r="O1929" s="64" t="n">
        <v>62703.3402877322</v>
      </c>
      <c r="P1929" s="64" t="n">
        <v>67940.8285518105</v>
      </c>
      <c r="Q1929" s="64" t="n">
        <v>73212.0981304778</v>
      </c>
      <c r="R1929" s="64" t="n">
        <v>78645.3624631719</v>
      </c>
      <c r="S1929" s="64" t="n">
        <v>84368.14305918</v>
      </c>
      <c r="T1929" s="64" t="n">
        <v>90262.6070730684</v>
      </c>
      <c r="U1929" s="64" t="n">
        <v>96333.9050073735</v>
      </c>
      <c r="V1929" s="64" t="n">
        <v>102587.341879708</v>
      </c>
      <c r="W1929" s="65"/>
    </row>
    <row r="1930" customFormat="false" ht="12.75" hidden="false" customHeight="false" outlineLevel="0" collapsed="false">
      <c r="A1930" s="2"/>
      <c r="B1930" s="117" t="s">
        <v>33</v>
      </c>
      <c r="C1930" s="118" t="n">
        <v>0</v>
      </c>
      <c r="D1930" s="64" t="n">
        <v>-14879.11</v>
      </c>
      <c r="E1930" s="64" t="n">
        <v>-378160.86</v>
      </c>
      <c r="F1930" s="64" t="n">
        <v>-15780.83</v>
      </c>
      <c r="G1930" s="64" t="n">
        <v>-16310.09</v>
      </c>
      <c r="H1930" s="64" t="n">
        <v>-88150.02</v>
      </c>
      <c r="I1930" s="64" t="n">
        <v>-90794.5206</v>
      </c>
      <c r="J1930" s="64" t="n">
        <v>-93518.356218</v>
      </c>
      <c r="K1930" s="64" t="n">
        <v>-96323.90690454</v>
      </c>
      <c r="L1930" s="64" t="n">
        <v>-99213.6241116762</v>
      </c>
      <c r="M1930" s="64" t="n">
        <v>-102190.032835027</v>
      </c>
      <c r="N1930" s="64" t="n">
        <v>-105255.733820077</v>
      </c>
      <c r="O1930" s="64" t="n">
        <v>-108413.40583468</v>
      </c>
      <c r="P1930" s="64" t="n">
        <v>-111665.80800972</v>
      </c>
      <c r="Q1930" s="64" t="n">
        <v>-115015.782250012</v>
      </c>
      <c r="R1930" s="64" t="n">
        <v>-118466.255717512</v>
      </c>
      <c r="S1930" s="64" t="n">
        <v>-122020.243389037</v>
      </c>
      <c r="T1930" s="64" t="n">
        <v>-125680.850690708</v>
      </c>
      <c r="U1930" s="64" t="n">
        <v>-129451.27621143</v>
      </c>
      <c r="V1930" s="64" t="n">
        <v>-133334.814497773</v>
      </c>
      <c r="W1930" s="65"/>
    </row>
    <row r="1931" customFormat="false" ht="13.5" hidden="false" customHeight="false" outlineLevel="0" collapsed="false">
      <c r="A1931" s="2"/>
      <c r="B1931" s="119" t="s">
        <v>34</v>
      </c>
      <c r="C1931" s="120" t="n">
        <v>0</v>
      </c>
      <c r="D1931" s="68" t="n">
        <v>0</v>
      </c>
      <c r="E1931" s="68" t="n">
        <v>0</v>
      </c>
      <c r="F1931" s="68" t="n">
        <v>0</v>
      </c>
      <c r="G1931" s="68" t="n">
        <v>0</v>
      </c>
      <c r="H1931" s="68" t="n">
        <v>0</v>
      </c>
      <c r="I1931" s="68" t="n">
        <v>0</v>
      </c>
      <c r="J1931" s="68" t="n">
        <v>0</v>
      </c>
      <c r="K1931" s="68" t="n">
        <v>0</v>
      </c>
      <c r="L1931" s="68" t="n">
        <v>0</v>
      </c>
      <c r="M1931" s="68" t="n">
        <v>0</v>
      </c>
      <c r="N1931" s="68" t="n">
        <v>0</v>
      </c>
      <c r="O1931" s="68" t="n">
        <v>0</v>
      </c>
      <c r="P1931" s="68" t="n">
        <v>0</v>
      </c>
      <c r="Q1931" s="68" t="n">
        <v>0</v>
      </c>
      <c r="R1931" s="68" t="n">
        <v>0</v>
      </c>
      <c r="S1931" s="68" t="n">
        <v>0</v>
      </c>
      <c r="T1931" s="68" t="n">
        <v>0</v>
      </c>
      <c r="U1931" s="68" t="n">
        <v>0</v>
      </c>
      <c r="V1931" s="68" t="n">
        <v>0</v>
      </c>
      <c r="W1931" s="65"/>
    </row>
    <row r="1932" customFormat="false" ht="13.5" hidden="false" customHeight="false" outlineLevel="0" collapsed="false">
      <c r="A1932" s="2"/>
      <c r="B1932" s="117"/>
      <c r="C1932" s="124"/>
      <c r="D1932" s="65"/>
      <c r="E1932" s="65"/>
      <c r="F1932" s="65"/>
      <c r="G1932" s="65"/>
      <c r="H1932" s="65"/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5"/>
      <c r="V1932" s="65"/>
      <c r="W1932" s="65"/>
    </row>
    <row r="1933" customFormat="false" ht="12.75" hidden="false" customHeight="false" outlineLevel="0" collapsed="false">
      <c r="A1933" s="2"/>
      <c r="B1933" s="121" t="s">
        <v>35</v>
      </c>
      <c r="C1933" s="123" t="n">
        <v>0</v>
      </c>
      <c r="D1933" s="73" t="n">
        <v>3943597.53031582</v>
      </c>
      <c r="E1933" s="73" t="n">
        <v>2648972.20987035</v>
      </c>
      <c r="F1933" s="73" t="n">
        <v>2710885.29333976</v>
      </c>
      <c r="G1933" s="73" t="n">
        <v>2349116.99781224</v>
      </c>
      <c r="H1933" s="73" t="n">
        <v>2223993.11375706</v>
      </c>
      <c r="I1933" s="73" t="n">
        <v>2159953.05941775</v>
      </c>
      <c r="J1933" s="73" t="n">
        <v>1977701.76763986</v>
      </c>
      <c r="K1933" s="73" t="n">
        <v>2150814.0823638</v>
      </c>
      <c r="L1933" s="73" t="n">
        <v>2203754.09245868</v>
      </c>
      <c r="M1933" s="73" t="n">
        <v>2244141.73136819</v>
      </c>
      <c r="N1933" s="73" t="n">
        <v>1719755.54984949</v>
      </c>
      <c r="O1933" s="73" t="n">
        <v>2034931.22690289</v>
      </c>
      <c r="P1933" s="73" t="n">
        <v>1895441.73384993</v>
      </c>
      <c r="Q1933" s="73" t="n">
        <v>2394470.47698209</v>
      </c>
      <c r="R1933" s="73" t="n">
        <v>2046370.45276157</v>
      </c>
      <c r="S1933" s="73" t="n">
        <v>1631220.35503097</v>
      </c>
      <c r="T1933" s="73" t="n">
        <v>1780708.11380823</v>
      </c>
      <c r="U1933" s="73" t="n">
        <v>2084738.80280679</v>
      </c>
      <c r="V1933" s="73" t="n">
        <v>1837571.35262073</v>
      </c>
      <c r="W1933" s="71" t="n">
        <v>12085963.9746983</v>
      </c>
    </row>
    <row r="1934" customFormat="false" ht="12.75" hidden="false" customHeight="false" outlineLevel="0" collapsed="false">
      <c r="A1934" s="2"/>
      <c r="B1934" s="125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</row>
    <row r="1935" customFormat="false" ht="12.75" hidden="false" customHeight="false" outlineLevel="0" collapsed="false">
      <c r="A1935" s="48" t="s">
        <v>36</v>
      </c>
      <c r="B1935" s="126" t="s">
        <v>37</v>
      </c>
      <c r="C1935" s="76" t="n">
        <v>10796453.4040549</v>
      </c>
      <c r="D1935" s="2"/>
      <c r="E1935" s="127" t="s">
        <v>38</v>
      </c>
      <c r="F1935" s="128" t="s">
        <v>37</v>
      </c>
      <c r="G1935" s="79" t="n">
        <v>10796453.4040549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</row>
    <row r="1936" customFormat="false" ht="12.75" hidden="false" customHeight="false" outlineLevel="0" collapsed="false">
      <c r="A1936" s="2"/>
      <c r="B1936" s="126" t="s">
        <v>39</v>
      </c>
      <c r="C1936" s="76" t="n">
        <v>9340644.39561887</v>
      </c>
      <c r="D1936" s="2"/>
      <c r="E1936" s="129"/>
      <c r="F1936" s="128" t="s">
        <v>39</v>
      </c>
      <c r="G1936" s="79" t="n">
        <v>9340644.39561887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</row>
    <row r="1937" customFormat="false" ht="13.5" hidden="false" customHeight="false" outlineLevel="0" collapsed="false">
      <c r="A1937" s="2"/>
      <c r="B1937" s="130" t="s">
        <v>40</v>
      </c>
      <c r="C1937" s="82" t="n">
        <v>1796501.53336826</v>
      </c>
      <c r="D1937" s="131"/>
      <c r="E1937" s="129"/>
      <c r="F1937" s="128" t="s">
        <v>40</v>
      </c>
      <c r="G1937" s="79" t="n">
        <v>1796501.53336826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</row>
    <row r="1938" customFormat="false" ht="14.25" hidden="false" customHeight="false" outlineLevel="0" collapsed="false">
      <c r="A1938" s="2"/>
      <c r="B1938" s="126" t="s">
        <v>41</v>
      </c>
      <c r="C1938" s="76" t="n">
        <v>21933599.333042</v>
      </c>
      <c r="D1938" s="132"/>
      <c r="E1938" s="129"/>
      <c r="F1938" s="133" t="s">
        <v>42</v>
      </c>
      <c r="G1938" s="85" t="n">
        <v>0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</row>
    <row r="1939" customFormat="false" ht="13.5" hidden="false" customHeight="false" outlineLevel="0" collapsed="false">
      <c r="A1939" s="2"/>
      <c r="B1939" s="125"/>
      <c r="C1939" s="134"/>
      <c r="D1939" s="2"/>
      <c r="E1939" s="135"/>
      <c r="F1939" s="128" t="s">
        <v>41</v>
      </c>
      <c r="G1939" s="79" t="n">
        <v>21933599.333042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</row>
    <row r="1940" customFormat="false" ht="12.75" hidden="false" customHeight="false" outlineLevel="0" collapsed="false">
      <c r="A1940" s="2"/>
      <c r="B1940" s="125"/>
      <c r="C1940" s="134"/>
      <c r="D1940" s="2"/>
      <c r="E1940" s="135"/>
      <c r="F1940" s="128"/>
      <c r="G1940" s="136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</row>
    <row r="1941" customFormat="false" ht="12.75" hidden="false" customHeight="false" outlineLevel="0" collapsed="false">
      <c r="A1941" s="2"/>
      <c r="B1941" s="125"/>
      <c r="C1941" s="134"/>
      <c r="D1941" s="2"/>
      <c r="E1941" s="135"/>
      <c r="F1941" s="128"/>
      <c r="G1941" s="136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</row>
    <row r="1942" customFormat="false" ht="12.75" hidden="false" customHeight="false" outlineLevel="0" collapsed="false">
      <c r="A1942" s="2"/>
      <c r="B1942" s="137" t="s">
        <v>43</v>
      </c>
      <c r="C1942" s="134"/>
      <c r="D1942" s="2"/>
      <c r="E1942" s="135"/>
      <c r="F1942" s="128"/>
      <c r="G1942" s="136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</row>
    <row r="1943" customFormat="false" ht="12.75" hidden="false" customHeight="false" outlineLevel="0" collapsed="false">
      <c r="A1943" s="87" t="s">
        <v>44</v>
      </c>
      <c r="B1943" s="137" t="s">
        <v>45</v>
      </c>
      <c r="C1943" s="138"/>
      <c r="D1943" s="88" t="n">
        <v>1765936.00702415</v>
      </c>
      <c r="E1943" s="88" t="n">
        <v>816974.41466945</v>
      </c>
      <c r="F1943" s="88" t="n">
        <v>505865.949432224</v>
      </c>
      <c r="G1943" s="88" t="n">
        <v>142661.094339604</v>
      </c>
      <c r="H1943" s="88" t="n">
        <v>90520.6197152585</v>
      </c>
      <c r="I1943" s="88" t="n">
        <v>21688.0384935815</v>
      </c>
      <c r="J1943" s="88" t="n">
        <v>812234.220722003</v>
      </c>
      <c r="K1943" s="88" t="n">
        <v>2067505.24178618</v>
      </c>
      <c r="L1943" s="88" t="n">
        <v>2243374.39446685</v>
      </c>
      <c r="M1943" s="88" t="n">
        <v>2293988.47158395</v>
      </c>
      <c r="N1943" s="88" t="n">
        <v>1767435.1754074</v>
      </c>
      <c r="O1943" s="88" t="n">
        <v>2080641.29244984</v>
      </c>
      <c r="P1943" s="88" t="n">
        <v>1939166.71330784</v>
      </c>
      <c r="Q1943" s="88" t="n">
        <v>2436274.16110162</v>
      </c>
      <c r="R1943" s="88" t="n">
        <v>2086191.34601591</v>
      </c>
      <c r="S1943" s="88" t="n">
        <v>1668872.45536082</v>
      </c>
      <c r="T1943" s="88" t="n">
        <v>1816126.35742587</v>
      </c>
      <c r="U1943" s="88" t="n">
        <v>2117856.17401085</v>
      </c>
      <c r="V1943" s="88" t="n">
        <v>1868318.82523879</v>
      </c>
      <c r="W1943" s="2"/>
    </row>
    <row r="1944" customFormat="false" ht="12.75" hidden="false" customHeight="false" outlineLevel="0" collapsed="false">
      <c r="A1944" s="2"/>
      <c r="B1944" s="125" t="s">
        <v>46</v>
      </c>
      <c r="C1944" s="134"/>
      <c r="D1944" s="65" t="n">
        <v>1177290.67134943</v>
      </c>
      <c r="E1944" s="65" t="n">
        <v>544649.609779633</v>
      </c>
      <c r="F1944" s="65" t="n">
        <v>337243.966288149</v>
      </c>
      <c r="G1944" s="65" t="n">
        <v>95107.3962264026</v>
      </c>
      <c r="H1944" s="65" t="n">
        <v>60347.0798101723</v>
      </c>
      <c r="I1944" s="65" t="n">
        <v>14458.6923290543</v>
      </c>
      <c r="J1944" s="65" t="n">
        <v>541489.480481335</v>
      </c>
      <c r="K1944" s="65" t="n">
        <v>1378336.82785745</v>
      </c>
      <c r="L1944" s="65" t="n">
        <v>1495582.92964457</v>
      </c>
      <c r="M1944" s="65" t="n">
        <v>1529325.64772264</v>
      </c>
      <c r="N1944" s="65" t="n">
        <v>1178290.11693827</v>
      </c>
      <c r="O1944" s="65" t="n">
        <v>1387094.19496656</v>
      </c>
      <c r="P1944" s="65" t="n">
        <v>1292777.80887189</v>
      </c>
      <c r="Q1944" s="65" t="n">
        <v>1624182.77406775</v>
      </c>
      <c r="R1944" s="65" t="n">
        <v>1390794.23067727</v>
      </c>
      <c r="S1944" s="65" t="n">
        <v>1112581.63690722</v>
      </c>
      <c r="T1944" s="65" t="n">
        <v>1210750.90495058</v>
      </c>
      <c r="U1944" s="65" t="n">
        <v>1411904.11600723</v>
      </c>
      <c r="V1944" s="65" t="n">
        <v>1245545.88349253</v>
      </c>
      <c r="W1944" s="2"/>
    </row>
    <row r="1945" customFormat="false" ht="12.75" hidden="false" customHeight="false" outlineLevel="0" collapsed="false">
      <c r="A1945" s="2"/>
      <c r="B1945" s="139" t="s">
        <v>47</v>
      </c>
      <c r="C1945" s="140"/>
      <c r="D1945" s="65" t="n">
        <v>2192540.63329167</v>
      </c>
      <c r="E1945" s="65" t="n">
        <v>2210158.6552009</v>
      </c>
      <c r="F1945" s="65" t="n">
        <v>2220800.17390753</v>
      </c>
      <c r="G1945" s="65" t="n">
        <v>2222765.99347263</v>
      </c>
      <c r="H1945" s="65" t="n">
        <v>2221622.5140418</v>
      </c>
      <c r="I1945" s="65" t="n">
        <v>2229059.54152417</v>
      </c>
      <c r="J1945" s="65" t="n">
        <v>1258985.90313586</v>
      </c>
      <c r="K1945" s="65" t="n">
        <v>179632.747482166</v>
      </c>
      <c r="L1945" s="65" t="n">
        <v>59593.3221034993</v>
      </c>
      <c r="M1945" s="65" t="n">
        <v>52343.2926192586</v>
      </c>
      <c r="N1945" s="65" t="n">
        <v>57576.1082621617</v>
      </c>
      <c r="O1945" s="65" t="n">
        <v>62703.3402877322</v>
      </c>
      <c r="P1945" s="65" t="n">
        <v>67940.8285518105</v>
      </c>
      <c r="Q1945" s="65" t="n">
        <v>73212.0981304778</v>
      </c>
      <c r="R1945" s="65" t="n">
        <v>78645.3624631719</v>
      </c>
      <c r="S1945" s="65" t="n">
        <v>84368.14305918</v>
      </c>
      <c r="T1945" s="65" t="n">
        <v>90262.6070730684</v>
      </c>
      <c r="U1945" s="65" t="n">
        <v>96333.9050073735</v>
      </c>
      <c r="V1945" s="65" t="n">
        <v>102587.341879708</v>
      </c>
      <c r="W1945" s="2"/>
    </row>
    <row r="1946" customFormat="false" ht="13.5" hidden="false" customHeight="false" outlineLevel="0" collapsed="false">
      <c r="A1946" s="2"/>
      <c r="B1946" s="141" t="s">
        <v>48</v>
      </c>
      <c r="C1946" s="142"/>
      <c r="D1946" s="93" t="n">
        <v>5135767.31166525</v>
      </c>
      <c r="E1946" s="93" t="n">
        <v>3571782.67964998</v>
      </c>
      <c r="F1946" s="93" t="n">
        <v>3063910.08962791</v>
      </c>
      <c r="G1946" s="93" t="n">
        <v>2460534.48403864</v>
      </c>
      <c r="H1946" s="93" t="n">
        <v>2372490.21356723</v>
      </c>
      <c r="I1946" s="93" t="n">
        <v>2265206.2723468</v>
      </c>
      <c r="J1946" s="93" t="n">
        <v>2612709.60433919</v>
      </c>
      <c r="K1946" s="93" t="n">
        <v>3625474.8171258</v>
      </c>
      <c r="L1946" s="93" t="n">
        <v>3798550.64621492</v>
      </c>
      <c r="M1946" s="93" t="n">
        <v>3875657.41192585</v>
      </c>
      <c r="N1946" s="93" t="n">
        <v>3003301.40060783</v>
      </c>
      <c r="O1946" s="93" t="n">
        <v>3530438.82770413</v>
      </c>
      <c r="P1946" s="93" t="n">
        <v>3299885.35073154</v>
      </c>
      <c r="Q1946" s="93" t="n">
        <v>4133669.03329984</v>
      </c>
      <c r="R1946" s="93" t="n">
        <v>3555630.93915636</v>
      </c>
      <c r="S1946" s="93" t="n">
        <v>2865822.23532722</v>
      </c>
      <c r="T1946" s="93" t="n">
        <v>3117139.86944951</v>
      </c>
      <c r="U1946" s="93" t="n">
        <v>3626094.19502545</v>
      </c>
      <c r="V1946" s="93" t="n">
        <v>3216452.05061103</v>
      </c>
      <c r="W1946" s="2"/>
    </row>
    <row r="1947" customFormat="false" ht="13.5" hidden="false" customHeight="false" outlineLevel="0" collapsed="false">
      <c r="A1947" s="87" t="s">
        <v>49</v>
      </c>
      <c r="B1947" s="125" t="s">
        <v>50</v>
      </c>
      <c r="C1947" s="134"/>
      <c r="D1947" s="65" t="n">
        <v>-1830966.43703087</v>
      </c>
      <c r="E1947" s="65" t="n">
        <v>-1849874.48003087</v>
      </c>
      <c r="F1947" s="65" t="n">
        <v>-1850663.52153087</v>
      </c>
      <c r="G1947" s="65" t="n">
        <v>-1851479.02603087</v>
      </c>
      <c r="H1947" s="65" t="n">
        <v>-1855886.52703087</v>
      </c>
      <c r="I1947" s="65" t="n">
        <v>-1860426.25306087</v>
      </c>
      <c r="J1947" s="65" t="n">
        <v>-1865102.17087177</v>
      </c>
      <c r="K1947" s="65" t="n">
        <v>-1869918.36621699</v>
      </c>
      <c r="L1947" s="65" t="n">
        <v>-1874879.04742258</v>
      </c>
      <c r="M1947" s="65" t="n">
        <v>-1879988.54906433</v>
      </c>
      <c r="N1947" s="65" t="n">
        <v>-1885251.33575533</v>
      </c>
      <c r="O1947" s="65" t="n">
        <v>-1890672.00604707</v>
      </c>
      <c r="P1947" s="65" t="n">
        <v>-1896255.29644755</v>
      </c>
      <c r="Q1947" s="65" t="n">
        <v>-1902006.08556005</v>
      </c>
      <c r="R1947" s="65" t="n">
        <v>-544532.4350126</v>
      </c>
      <c r="S1947" s="65" t="n">
        <v>-161892.577182047</v>
      </c>
      <c r="T1947" s="65" t="n">
        <v>-168176.619716583</v>
      </c>
      <c r="U1947" s="65" t="n">
        <v>-174649.183527154</v>
      </c>
      <c r="V1947" s="65" t="n">
        <v>-181315.924252043</v>
      </c>
      <c r="W1947" s="2"/>
    </row>
    <row r="1948" customFormat="false" ht="12.75" hidden="false" customHeight="false" outlineLevel="0" collapsed="false">
      <c r="A1948" s="2"/>
      <c r="B1948" s="125" t="s">
        <v>51</v>
      </c>
      <c r="C1948" s="134"/>
      <c r="D1948" s="65" t="n">
        <v>0</v>
      </c>
      <c r="E1948" s="65" t="n">
        <v>0</v>
      </c>
      <c r="F1948" s="65" t="n">
        <v>0</v>
      </c>
      <c r="G1948" s="65" t="n">
        <v>0</v>
      </c>
      <c r="H1948" s="65" t="n">
        <v>0</v>
      </c>
      <c r="I1948" s="65" t="n">
        <v>0</v>
      </c>
      <c r="J1948" s="65" t="n">
        <v>0</v>
      </c>
      <c r="K1948" s="65" t="n">
        <v>0</v>
      </c>
      <c r="L1948" s="65" t="n">
        <v>0</v>
      </c>
      <c r="M1948" s="65" t="n">
        <v>0</v>
      </c>
      <c r="N1948" s="65" t="n">
        <v>0</v>
      </c>
      <c r="O1948" s="65" t="n">
        <v>0</v>
      </c>
      <c r="P1948" s="65" t="n">
        <v>0</v>
      </c>
      <c r="Q1948" s="65" t="n">
        <v>0</v>
      </c>
      <c r="R1948" s="65" t="n">
        <v>0</v>
      </c>
      <c r="S1948" s="65" t="n">
        <v>0</v>
      </c>
      <c r="T1948" s="65" t="n">
        <v>0</v>
      </c>
      <c r="U1948" s="65" t="n">
        <v>0</v>
      </c>
      <c r="V1948" s="65" t="n">
        <v>0</v>
      </c>
      <c r="W1948" s="2"/>
    </row>
    <row r="1949" customFormat="false" ht="12.75" hidden="false" customHeight="false" outlineLevel="0" collapsed="false">
      <c r="A1949" s="2"/>
      <c r="B1949" s="137" t="s">
        <v>52</v>
      </c>
      <c r="C1949" s="138"/>
      <c r="D1949" s="88" t="n">
        <v>3304800.87463439</v>
      </c>
      <c r="E1949" s="88" t="n">
        <v>1721908.19961912</v>
      </c>
      <c r="F1949" s="88" t="n">
        <v>1213246.56809704</v>
      </c>
      <c r="G1949" s="88" t="n">
        <v>609055.458007773</v>
      </c>
      <c r="H1949" s="88" t="n">
        <v>516603.686536364</v>
      </c>
      <c r="I1949" s="88" t="n">
        <v>404780.019285936</v>
      </c>
      <c r="J1949" s="88" t="n">
        <v>747607.433467428</v>
      </c>
      <c r="K1949" s="88" t="n">
        <v>1755556.4509088</v>
      </c>
      <c r="L1949" s="88" t="n">
        <v>1923671.59879235</v>
      </c>
      <c r="M1949" s="88" t="n">
        <v>1995668.86286152</v>
      </c>
      <c r="N1949" s="88" t="n">
        <v>1118050.0648525</v>
      </c>
      <c r="O1949" s="88" t="n">
        <v>1639766.82165707</v>
      </c>
      <c r="P1949" s="88" t="n">
        <v>1403630.05428399</v>
      </c>
      <c r="Q1949" s="88" t="n">
        <v>2231662.94773979</v>
      </c>
      <c r="R1949" s="88" t="n">
        <v>3011098.50414376</v>
      </c>
      <c r="S1949" s="88" t="n">
        <v>2703929.65814517</v>
      </c>
      <c r="T1949" s="88" t="n">
        <v>2948963.24973293</v>
      </c>
      <c r="U1949" s="88" t="n">
        <v>3451445.0114983</v>
      </c>
      <c r="V1949" s="88" t="n">
        <v>3035136.12635899</v>
      </c>
      <c r="W1949" s="2"/>
    </row>
    <row r="1950" customFormat="false" ht="13.5" hidden="false" customHeight="false" outlineLevel="0" collapsed="false">
      <c r="A1950" s="2"/>
      <c r="B1950" s="143" t="s">
        <v>53</v>
      </c>
      <c r="C1950" s="144"/>
      <c r="D1950" s="96" t="n">
        <v>-1321920.34985375</v>
      </c>
      <c r="E1950" s="96" t="n">
        <v>-688763.279847647</v>
      </c>
      <c r="F1950" s="96" t="n">
        <v>-485298.627238816</v>
      </c>
      <c r="G1950" s="96" t="n">
        <v>-243622.183203109</v>
      </c>
      <c r="H1950" s="96" t="n">
        <v>-206641.474614546</v>
      </c>
      <c r="I1950" s="96" t="n">
        <v>-161912.007714374</v>
      </c>
      <c r="J1950" s="96" t="n">
        <v>-299042.973386971</v>
      </c>
      <c r="K1950" s="96" t="n">
        <v>-702222.580363521</v>
      </c>
      <c r="L1950" s="96" t="n">
        <v>-769468.639516939</v>
      </c>
      <c r="M1950" s="96" t="n">
        <v>-798267.545144607</v>
      </c>
      <c r="N1950" s="96" t="n">
        <v>-447220.025941</v>
      </c>
      <c r="O1950" s="96" t="n">
        <v>-655906.728662827</v>
      </c>
      <c r="P1950" s="96" t="n">
        <v>-561452.021713596</v>
      </c>
      <c r="Q1950" s="96" t="n">
        <v>-892665.179095916</v>
      </c>
      <c r="R1950" s="96" t="n">
        <v>-1204439.4016575</v>
      </c>
      <c r="S1950" s="96" t="n">
        <v>-1081571.86325807</v>
      </c>
      <c r="T1950" s="96" t="n">
        <v>-1179585.29989317</v>
      </c>
      <c r="U1950" s="96" t="n">
        <v>-1380578.00459932</v>
      </c>
      <c r="V1950" s="96" t="n">
        <v>-1214054.4505436</v>
      </c>
      <c r="W1950" s="2"/>
    </row>
    <row r="1951" customFormat="false" ht="13.5" hidden="false" customHeight="false" outlineLevel="0" collapsed="false">
      <c r="A1951" s="2"/>
      <c r="B1951" s="137" t="s">
        <v>54</v>
      </c>
      <c r="C1951" s="138"/>
      <c r="D1951" s="88" t="n">
        <v>1982880.52478063</v>
      </c>
      <c r="E1951" s="88" t="n">
        <v>1033144.91977147</v>
      </c>
      <c r="F1951" s="88" t="n">
        <v>727947.940858224</v>
      </c>
      <c r="G1951" s="88" t="n">
        <v>365433.274804664</v>
      </c>
      <c r="H1951" s="88" t="n">
        <v>309962.211921819</v>
      </c>
      <c r="I1951" s="88" t="n">
        <v>242868.011571562</v>
      </c>
      <c r="J1951" s="88" t="n">
        <v>448564.460080457</v>
      </c>
      <c r="K1951" s="88" t="n">
        <v>1053333.87054528</v>
      </c>
      <c r="L1951" s="88" t="n">
        <v>1154202.95927541</v>
      </c>
      <c r="M1951" s="88" t="n">
        <v>1197401.31771691</v>
      </c>
      <c r="N1951" s="88" t="n">
        <v>670830.0389115</v>
      </c>
      <c r="O1951" s="88" t="n">
        <v>983860.09299424</v>
      </c>
      <c r="P1951" s="88" t="n">
        <v>842178.032570394</v>
      </c>
      <c r="Q1951" s="88" t="n">
        <v>1338997.76864387</v>
      </c>
      <c r="R1951" s="88" t="n">
        <v>1806659.10248625</v>
      </c>
      <c r="S1951" s="88" t="n">
        <v>1622357.7948871</v>
      </c>
      <c r="T1951" s="88" t="n">
        <v>1769377.94983976</v>
      </c>
      <c r="U1951" s="88" t="n">
        <v>2070867.00689898</v>
      </c>
      <c r="V1951" s="88" t="n">
        <v>1821081.67581539</v>
      </c>
      <c r="W1951" s="2"/>
    </row>
    <row r="1952" customFormat="false" ht="12.75" hidden="false" customHeight="false" outlineLevel="0" collapsed="false">
      <c r="A1952" s="2"/>
      <c r="B1952" s="2"/>
      <c r="C1952" s="134"/>
      <c r="D1952" s="2"/>
      <c r="E1952" s="135"/>
      <c r="F1952" s="128"/>
      <c r="G1952" s="136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</row>
    <row r="1953" customFormat="false" ht="15.75" hidden="false" customHeight="false" outlineLevel="0" collapsed="false">
      <c r="A1953" s="97" t="s">
        <v>55</v>
      </c>
      <c r="B1953" s="145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</row>
    <row r="1954" customFormat="false" ht="12.75" hidden="false" customHeight="false" outlineLevel="0" collapsed="false">
      <c r="A1954" s="99" t="s">
        <v>56</v>
      </c>
      <c r="B1954" s="49"/>
      <c r="C1954" s="101" t="n">
        <v>0</v>
      </c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</row>
    <row r="1955" customFormat="false" ht="12.75" hidden="false" customHeight="false" outlineLevel="0" collapsed="false">
      <c r="A1955" s="99" t="s">
        <v>57</v>
      </c>
      <c r="B1955" s="49"/>
      <c r="C1955" s="146" t="n">
        <v>0</v>
      </c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</row>
    <row r="1956" customFormat="false" ht="12.75" hidden="false" customHeight="false" outlineLevel="0" collapsed="false">
      <c r="A1956" s="99" t="s">
        <v>58</v>
      </c>
      <c r="B1956" s="49"/>
      <c r="C1956" s="99" t="n">
        <v>15</v>
      </c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</row>
    <row r="1957" customFormat="false" ht="12.75" hidden="false" customHeight="false" outlineLevel="0" collapsed="false">
      <c r="A1957" s="99" t="s">
        <v>59</v>
      </c>
      <c r="B1957" s="49"/>
      <c r="C1957" s="146" t="n">
        <v>0</v>
      </c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</row>
    <row r="1958" customFormat="false" ht="12.75" hidden="false" customHeight="false" outlineLevel="0" collapsed="false">
      <c r="A1958" s="99" t="s">
        <v>60</v>
      </c>
      <c r="B1958" s="49"/>
      <c r="C1958" s="147" t="n">
        <v>0.0875</v>
      </c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</row>
    <row r="1959" customFormat="false" ht="12.75" hidden="false" customHeight="false" outlineLevel="0" collapsed="false">
      <c r="A1959" s="99"/>
      <c r="B1959" s="49"/>
      <c r="C1959" s="107"/>
      <c r="D1959" s="58" t="n">
        <v>2001</v>
      </c>
      <c r="E1959" s="58" t="n">
        <v>2002</v>
      </c>
      <c r="F1959" s="58" t="n">
        <v>2003</v>
      </c>
      <c r="G1959" s="58" t="n">
        <v>2004</v>
      </c>
      <c r="H1959" s="58" t="n">
        <v>2005</v>
      </c>
      <c r="I1959" s="58" t="n">
        <v>2006</v>
      </c>
      <c r="J1959" s="58" t="n">
        <v>2007</v>
      </c>
      <c r="K1959" s="58" t="n">
        <v>2008</v>
      </c>
      <c r="L1959" s="58" t="n">
        <v>2009</v>
      </c>
      <c r="M1959" s="58" t="n">
        <v>2010</v>
      </c>
      <c r="N1959" s="58" t="n">
        <v>2011</v>
      </c>
      <c r="O1959" s="58" t="n">
        <v>2012</v>
      </c>
      <c r="P1959" s="58" t="n">
        <v>2013</v>
      </c>
      <c r="Q1959" s="58" t="n">
        <v>2014</v>
      </c>
      <c r="R1959" s="58" t="n">
        <v>2015</v>
      </c>
      <c r="S1959" s="58" t="n">
        <v>2016</v>
      </c>
      <c r="T1959" s="58" t="n">
        <v>2017</v>
      </c>
      <c r="U1959" s="58" t="n">
        <v>2018</v>
      </c>
      <c r="V1959" s="58" t="n">
        <v>2019</v>
      </c>
      <c r="W1959" s="58" t="s">
        <v>19</v>
      </c>
    </row>
    <row r="1960" customFormat="false" ht="12.75" hidden="false" customHeight="false" outlineLevel="0" collapsed="false">
      <c r="A1960" s="99" t="s">
        <v>61</v>
      </c>
      <c r="B1960" s="49"/>
      <c r="C1960" s="107"/>
      <c r="D1960" s="102" t="n">
        <v>0</v>
      </c>
      <c r="E1960" s="102" t="n">
        <v>0</v>
      </c>
      <c r="F1960" s="102" t="n">
        <v>0</v>
      </c>
      <c r="G1960" s="102" t="n">
        <v>0</v>
      </c>
      <c r="H1960" s="102" t="n">
        <v>0</v>
      </c>
      <c r="I1960" s="102" t="n">
        <v>0</v>
      </c>
      <c r="J1960" s="102" t="n">
        <v>0</v>
      </c>
      <c r="K1960" s="102" t="n">
        <v>0</v>
      </c>
      <c r="L1960" s="102" t="n">
        <v>0</v>
      </c>
      <c r="M1960" s="102" t="n">
        <v>0</v>
      </c>
      <c r="N1960" s="102" t="n">
        <v>0</v>
      </c>
      <c r="O1960" s="102" t="n">
        <v>0</v>
      </c>
      <c r="P1960" s="102" t="n">
        <v>0</v>
      </c>
      <c r="Q1960" s="102" t="n">
        <v>0</v>
      </c>
      <c r="R1960" s="102" t="n">
        <v>0</v>
      </c>
      <c r="S1960" s="102" t="n">
        <v>0</v>
      </c>
      <c r="T1960" s="102" t="n">
        <v>0</v>
      </c>
      <c r="U1960" s="102" t="n">
        <v>0</v>
      </c>
      <c r="V1960" s="102" t="n">
        <v>0</v>
      </c>
      <c r="W1960" s="102" t="n">
        <v>0</v>
      </c>
    </row>
    <row r="1961" customFormat="false" ht="12.75" hidden="false" customHeight="false" outlineLevel="0" collapsed="false">
      <c r="A1961" s="99" t="s">
        <v>62</v>
      </c>
      <c r="B1961" s="49"/>
      <c r="C1961" s="107"/>
      <c r="D1961" s="102" t="n">
        <v>0</v>
      </c>
      <c r="E1961" s="102" t="n">
        <v>0</v>
      </c>
      <c r="F1961" s="102" t="n">
        <v>0</v>
      </c>
      <c r="G1961" s="102" t="n">
        <v>0</v>
      </c>
      <c r="H1961" s="102" t="n">
        <v>0</v>
      </c>
      <c r="I1961" s="102" t="n">
        <v>0</v>
      </c>
      <c r="J1961" s="102" t="n">
        <v>0</v>
      </c>
      <c r="K1961" s="102" t="n">
        <v>0</v>
      </c>
      <c r="L1961" s="102" t="n">
        <v>0</v>
      </c>
      <c r="M1961" s="102" t="n">
        <v>0</v>
      </c>
      <c r="N1961" s="102" t="n">
        <v>0</v>
      </c>
      <c r="O1961" s="102" t="n">
        <v>0</v>
      </c>
      <c r="P1961" s="102" t="n">
        <v>0</v>
      </c>
      <c r="Q1961" s="102" t="n">
        <v>0</v>
      </c>
      <c r="R1961" s="102" t="n">
        <v>0</v>
      </c>
      <c r="S1961" s="102" t="n">
        <v>0</v>
      </c>
      <c r="T1961" s="102" t="n">
        <v>0</v>
      </c>
      <c r="U1961" s="102" t="n">
        <v>0</v>
      </c>
      <c r="V1961" s="102" t="n">
        <v>0</v>
      </c>
      <c r="W1961" s="102" t="n">
        <v>0</v>
      </c>
    </row>
    <row r="1962" customFormat="false" ht="12.75" hidden="false" customHeight="false" outlineLevel="0" collapsed="false">
      <c r="A1962" s="99" t="s">
        <v>63</v>
      </c>
      <c r="B1962" s="49"/>
      <c r="C1962" s="107"/>
      <c r="D1962" s="102" t="n">
        <v>0</v>
      </c>
      <c r="E1962" s="102" t="n">
        <v>0</v>
      </c>
      <c r="F1962" s="102" t="n">
        <v>0</v>
      </c>
      <c r="G1962" s="102" t="n">
        <v>0</v>
      </c>
      <c r="H1962" s="102" t="n">
        <v>0</v>
      </c>
      <c r="I1962" s="102" t="n">
        <v>0</v>
      </c>
      <c r="J1962" s="102" t="n">
        <v>0</v>
      </c>
      <c r="K1962" s="102" t="n">
        <v>0</v>
      </c>
      <c r="L1962" s="102" t="n">
        <v>0</v>
      </c>
      <c r="M1962" s="102" t="n">
        <v>0</v>
      </c>
      <c r="N1962" s="102" t="n">
        <v>0</v>
      </c>
      <c r="O1962" s="102" t="n">
        <v>0</v>
      </c>
      <c r="P1962" s="102" t="n">
        <v>0</v>
      </c>
      <c r="Q1962" s="102" t="n">
        <v>0</v>
      </c>
      <c r="R1962" s="102" t="n">
        <v>0</v>
      </c>
      <c r="S1962" s="102" t="n">
        <v>0</v>
      </c>
      <c r="T1962" s="102" t="n">
        <v>0</v>
      </c>
      <c r="U1962" s="102" t="n">
        <v>0</v>
      </c>
      <c r="V1962" s="102" t="n">
        <v>0</v>
      </c>
      <c r="W1962" s="102" t="n">
        <v>0</v>
      </c>
    </row>
    <row r="1963" customFormat="false" ht="12.75" hidden="false" customHeight="false" outlineLevel="0" collapsed="false">
      <c r="A1963" s="99" t="s">
        <v>64</v>
      </c>
      <c r="B1963" s="49"/>
      <c r="C1963" s="107"/>
      <c r="D1963" s="105" t="n">
        <v>0</v>
      </c>
      <c r="E1963" s="105" t="n">
        <v>0</v>
      </c>
      <c r="F1963" s="105" t="n">
        <v>0</v>
      </c>
      <c r="G1963" s="105" t="n">
        <v>0</v>
      </c>
      <c r="H1963" s="105" t="n">
        <v>0</v>
      </c>
      <c r="I1963" s="105" t="n">
        <v>0</v>
      </c>
      <c r="J1963" s="105" t="n">
        <v>0</v>
      </c>
      <c r="K1963" s="105" t="n">
        <v>0</v>
      </c>
      <c r="L1963" s="105" t="n">
        <v>0</v>
      </c>
      <c r="M1963" s="105" t="n">
        <v>0</v>
      </c>
      <c r="N1963" s="105" t="n">
        <v>0</v>
      </c>
      <c r="O1963" s="105" t="n">
        <v>0</v>
      </c>
      <c r="P1963" s="105" t="n">
        <v>0</v>
      </c>
      <c r="Q1963" s="105" t="n">
        <v>0</v>
      </c>
      <c r="R1963" s="105" t="n">
        <v>0</v>
      </c>
      <c r="S1963" s="105" t="n">
        <v>0</v>
      </c>
      <c r="T1963" s="105" t="n">
        <v>0</v>
      </c>
      <c r="U1963" s="105" t="n">
        <v>0</v>
      </c>
      <c r="V1963" s="105" t="n">
        <v>0</v>
      </c>
      <c r="W1963" s="105" t="n">
        <v>0</v>
      </c>
    </row>
    <row r="1964" customFormat="false" ht="13.5" hidden="false" customHeight="false" outlineLevel="0" collapsed="false">
      <c r="A1964" s="99" t="s">
        <v>65</v>
      </c>
      <c r="B1964" s="49"/>
      <c r="C1964" s="107"/>
      <c r="D1964" s="106" t="n">
        <v>0</v>
      </c>
      <c r="E1964" s="106" t="n">
        <v>0</v>
      </c>
      <c r="F1964" s="106" t="n">
        <v>0</v>
      </c>
      <c r="G1964" s="106" t="n">
        <v>0</v>
      </c>
      <c r="H1964" s="106" t="n">
        <v>0</v>
      </c>
      <c r="I1964" s="106" t="n">
        <v>0</v>
      </c>
      <c r="J1964" s="106" t="n">
        <v>0</v>
      </c>
      <c r="K1964" s="106" t="n">
        <v>0</v>
      </c>
      <c r="L1964" s="106" t="n">
        <v>0</v>
      </c>
      <c r="M1964" s="106" t="n">
        <v>0</v>
      </c>
      <c r="N1964" s="106" t="n">
        <v>0</v>
      </c>
      <c r="O1964" s="106" t="n">
        <v>0</v>
      </c>
      <c r="P1964" s="106" t="n">
        <v>0</v>
      </c>
      <c r="Q1964" s="106" t="n">
        <v>0</v>
      </c>
      <c r="R1964" s="106" t="n">
        <v>0</v>
      </c>
      <c r="S1964" s="106" t="n">
        <v>0</v>
      </c>
      <c r="T1964" s="106" t="n">
        <v>0</v>
      </c>
      <c r="U1964" s="106" t="n">
        <v>0</v>
      </c>
      <c r="V1964" s="106" t="n">
        <v>0</v>
      </c>
      <c r="W1964" s="106" t="n">
        <v>0</v>
      </c>
    </row>
    <row r="1965" customFormat="false" ht="13.5" hidden="false" customHeight="false" outlineLevel="0" collapsed="false">
      <c r="A1965" s="99"/>
      <c r="B1965" s="49"/>
      <c r="C1965" s="107"/>
      <c r="D1965" s="102"/>
      <c r="E1965" s="102"/>
      <c r="F1965" s="102"/>
      <c r="G1965" s="102"/>
      <c r="H1965" s="102"/>
      <c r="I1965" s="102"/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102"/>
    </row>
    <row r="1966" customFormat="false" ht="12.75" hidden="false" customHeight="false" outlineLevel="0" collapsed="false">
      <c r="A1966" s="99" t="s">
        <v>66</v>
      </c>
      <c r="B1966" s="49"/>
      <c r="C1966" s="107"/>
      <c r="D1966" s="102" t="n">
        <v>0</v>
      </c>
      <c r="E1966" s="102" t="n">
        <v>0</v>
      </c>
      <c r="F1966" s="102" t="n">
        <v>0</v>
      </c>
      <c r="G1966" s="102" t="n">
        <v>0</v>
      </c>
      <c r="H1966" s="102" t="n">
        <v>0</v>
      </c>
      <c r="I1966" s="102" t="n">
        <v>0</v>
      </c>
      <c r="J1966" s="102" t="n">
        <v>0</v>
      </c>
      <c r="K1966" s="102" t="n">
        <v>0</v>
      </c>
      <c r="L1966" s="102" t="n">
        <v>0</v>
      </c>
      <c r="M1966" s="102" t="n">
        <v>0</v>
      </c>
      <c r="N1966" s="102" t="n">
        <v>0</v>
      </c>
      <c r="O1966" s="102" t="n">
        <v>0</v>
      </c>
      <c r="P1966" s="102" t="n">
        <v>0</v>
      </c>
      <c r="Q1966" s="102" t="n">
        <v>0</v>
      </c>
      <c r="R1966" s="102" t="n">
        <v>0</v>
      </c>
      <c r="S1966" s="102" t="n">
        <v>0</v>
      </c>
      <c r="T1966" s="102" t="n">
        <v>0</v>
      </c>
      <c r="U1966" s="102" t="n">
        <v>0</v>
      </c>
      <c r="V1966" s="102" t="n">
        <v>0</v>
      </c>
      <c r="W1966" s="102" t="n">
        <v>0</v>
      </c>
    </row>
    <row r="1967" customFormat="false" ht="12.75" hidden="false" customHeight="false" outlineLevel="0" collapsed="false">
      <c r="A1967" s="99"/>
      <c r="B1967" s="49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</row>
    <row r="1968" customFormat="false" ht="12.75" hidden="false" customHeight="false" outlineLevel="0" collapsed="false">
      <c r="A1968" s="99" t="s">
        <v>67</v>
      </c>
      <c r="B1968" s="49"/>
      <c r="C1968" s="107"/>
      <c r="D1968" s="102" t="n">
        <v>0</v>
      </c>
      <c r="E1968" s="102" t="n">
        <v>0</v>
      </c>
      <c r="F1968" s="102" t="n">
        <v>0</v>
      </c>
      <c r="G1968" s="102" t="n">
        <v>0</v>
      </c>
      <c r="H1968" s="102" t="n">
        <v>0</v>
      </c>
      <c r="I1968" s="102" t="n">
        <v>0</v>
      </c>
      <c r="J1968" s="102" t="n">
        <v>0</v>
      </c>
      <c r="K1968" s="102" t="n">
        <v>0</v>
      </c>
      <c r="L1968" s="102" t="n">
        <v>0</v>
      </c>
      <c r="M1968" s="102" t="n">
        <v>0</v>
      </c>
      <c r="N1968" s="102" t="n">
        <v>0</v>
      </c>
      <c r="O1968" s="102" t="n">
        <v>0</v>
      </c>
      <c r="P1968" s="102" t="n">
        <v>0</v>
      </c>
      <c r="Q1968" s="102" t="n">
        <v>0</v>
      </c>
      <c r="R1968" s="102" t="n">
        <v>0</v>
      </c>
      <c r="S1968" s="102" t="n">
        <v>0</v>
      </c>
      <c r="T1968" s="102" t="n">
        <v>0</v>
      </c>
      <c r="U1968" s="102" t="n">
        <v>0</v>
      </c>
      <c r="V1968" s="102" t="n">
        <v>0</v>
      </c>
      <c r="W1968" s="102" t="n">
        <v>0</v>
      </c>
    </row>
    <row r="1969" customFormat="false" ht="12.75" hidden="false" customHeight="false" outlineLevel="0" collapsed="false">
      <c r="A1969" s="107"/>
      <c r="B1969" s="49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</row>
    <row r="1970" customFormat="false" ht="12.75" hidden="false" customHeight="false" outlineLevel="0" collapsed="false">
      <c r="A1970" s="107"/>
      <c r="B1970" s="49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</row>
    <row r="1971" customFormat="false" ht="12.75" hidden="false" customHeight="false" outlineLevel="0" collapsed="false">
      <c r="A1971" s="99" t="s">
        <v>68</v>
      </c>
      <c r="B1971" s="148"/>
      <c r="C1971" s="149"/>
      <c r="D1971" s="79" t="n">
        <v>3943597.53031582</v>
      </c>
      <c r="E1971" s="79" t="n">
        <v>2648972.20987035</v>
      </c>
      <c r="F1971" s="79" t="n">
        <v>2710885.29333976</v>
      </c>
      <c r="G1971" s="79" t="n">
        <v>2349116.99781224</v>
      </c>
      <c r="H1971" s="79" t="n">
        <v>2223993.11375706</v>
      </c>
      <c r="I1971" s="79" t="n">
        <v>2159953.05941775</v>
      </c>
      <c r="J1971" s="79" t="n">
        <v>1977701.76763986</v>
      </c>
      <c r="K1971" s="79" t="n">
        <v>2150814.0823638</v>
      </c>
      <c r="L1971" s="79" t="n">
        <v>2203754.09245868</v>
      </c>
      <c r="M1971" s="79" t="n">
        <v>2244141.73136819</v>
      </c>
      <c r="N1971" s="79" t="n">
        <v>1719755.54984949</v>
      </c>
      <c r="O1971" s="79" t="n">
        <v>2034931.22690289</v>
      </c>
      <c r="P1971" s="79" t="n">
        <v>1895441.73384993</v>
      </c>
      <c r="Q1971" s="79" t="n">
        <v>2394470.47698209</v>
      </c>
      <c r="R1971" s="79" t="n">
        <v>2046370.45276157</v>
      </c>
      <c r="S1971" s="79" t="n">
        <v>1631220.35503097</v>
      </c>
      <c r="T1971" s="79" t="n">
        <v>1780708.11380823</v>
      </c>
      <c r="U1971" s="79" t="n">
        <v>2084738.80280679</v>
      </c>
      <c r="V1971" s="79" t="n">
        <v>1837571.35262073</v>
      </c>
      <c r="W1971" s="79" t="n">
        <v>12085963.9746983</v>
      </c>
    </row>
    <row r="1972" customFormat="false" ht="12.75" hidden="false" customHeight="false" outlineLevel="0" collapsed="false">
      <c r="A1972" s="2"/>
      <c r="B1972" s="31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</row>
    <row r="1973" customFormat="false" ht="12.75" hidden="false" customHeight="false" outlineLevel="0" collapsed="false">
      <c r="A1973" s="169"/>
      <c r="B1973" s="115"/>
      <c r="C1973" s="170"/>
      <c r="D1973" s="170"/>
      <c r="E1973" s="170"/>
      <c r="F1973" s="170"/>
      <c r="G1973" s="170"/>
      <c r="H1973" s="170"/>
      <c r="I1973" s="170"/>
      <c r="J1973" s="170"/>
      <c r="K1973" s="170"/>
      <c r="L1973" s="170"/>
      <c r="M1973" s="170"/>
      <c r="N1973" s="170"/>
      <c r="O1973" s="170"/>
      <c r="P1973" s="170"/>
      <c r="Q1973" s="170"/>
      <c r="R1973" s="170"/>
      <c r="S1973" s="170"/>
      <c r="T1973" s="170"/>
      <c r="U1973" s="170"/>
      <c r="V1973" s="170"/>
      <c r="W1973" s="170"/>
    </row>
    <row r="1974" customFormat="false" ht="12.75" hidden="false" customHeight="false" outlineLevel="0" collapsed="false">
      <c r="A1974" s="169"/>
      <c r="B1974" s="115"/>
      <c r="C1974" s="170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customFormat="false" ht="12.75" hidden="false" customHeight="false" outlineLevel="0" collapsed="false">
      <c r="A1975" s="170"/>
      <c r="B1975" s="115"/>
      <c r="C1975" s="170"/>
      <c r="D1975" s="170"/>
      <c r="E1975" s="170"/>
      <c r="F1975" s="170"/>
      <c r="G1975" s="170"/>
      <c r="H1975" s="170"/>
      <c r="I1975" s="170"/>
      <c r="J1975" s="170"/>
      <c r="K1975" s="170"/>
      <c r="L1975" s="170"/>
      <c r="M1975" s="170"/>
      <c r="N1975" s="170"/>
      <c r="O1975" s="170"/>
      <c r="P1975" s="170"/>
      <c r="Q1975" s="170"/>
      <c r="R1975" s="170"/>
      <c r="S1975" s="170"/>
      <c r="T1975" s="170"/>
      <c r="U1975" s="170"/>
      <c r="V1975" s="170"/>
      <c r="W1975" s="170"/>
    </row>
    <row r="1976" customFormat="false" ht="12.75" hidden="false" customHeight="false" outlineLevel="0" collapsed="false">
      <c r="A1976" s="170"/>
      <c r="B1976" s="115"/>
      <c r="C1976" s="170"/>
      <c r="D1976" s="170"/>
      <c r="E1976" s="170"/>
      <c r="F1976" s="170"/>
      <c r="G1976" s="170"/>
      <c r="H1976" s="170"/>
      <c r="I1976" s="170"/>
      <c r="J1976" s="170"/>
      <c r="K1976" s="170"/>
      <c r="L1976" s="170"/>
      <c r="M1976" s="170"/>
      <c r="N1976" s="170"/>
      <c r="O1976" s="170"/>
      <c r="P1976" s="170"/>
      <c r="Q1976" s="170"/>
      <c r="R1976" s="170"/>
      <c r="S1976" s="170"/>
      <c r="T1976" s="170"/>
      <c r="U1976" s="170"/>
      <c r="V1976" s="170"/>
      <c r="W1976" s="170"/>
    </row>
    <row r="1977" customFormat="false" ht="12.75" hidden="false" customHeight="false" outlineLevel="0" collapsed="false">
      <c r="A1977" s="169"/>
      <c r="B1977" s="172"/>
      <c r="C1977" s="173"/>
      <c r="D1977" s="174"/>
      <c r="E1977" s="174"/>
      <c r="F1977" s="174"/>
      <c r="G1977" s="174"/>
      <c r="H1977" s="174"/>
      <c r="I1977" s="174"/>
      <c r="J1977" s="174"/>
      <c r="K1977" s="174"/>
      <c r="L1977" s="174"/>
      <c r="M1977" s="174"/>
      <c r="N1977" s="174"/>
      <c r="O1977" s="174"/>
      <c r="P1977" s="174"/>
      <c r="Q1977" s="174"/>
      <c r="R1977" s="174"/>
      <c r="S1977" s="174"/>
      <c r="T1977" s="174"/>
      <c r="U1977" s="174"/>
      <c r="V1977" s="174"/>
      <c r="W1977" s="174"/>
    </row>
    <row r="1978" customFormat="false" ht="12.75" hidden="false" customHeight="false" outlineLevel="0" collapsed="false">
      <c r="B1978" s="175"/>
    </row>
    <row r="1979" customFormat="false" ht="12.75" hidden="false" customHeight="false" outlineLevel="0" collapsed="false">
      <c r="A1979" s="169"/>
      <c r="B1979" s="172"/>
      <c r="C1979" s="173"/>
      <c r="D1979" s="174"/>
      <c r="E1979" s="174"/>
      <c r="F1979" s="174"/>
      <c r="G1979" s="174"/>
      <c r="H1979" s="174"/>
      <c r="I1979" s="174"/>
      <c r="J1979" s="174"/>
      <c r="K1979" s="174"/>
      <c r="L1979" s="174"/>
      <c r="M1979" s="174"/>
      <c r="N1979" s="174"/>
      <c r="O1979" s="174"/>
      <c r="P1979" s="174"/>
      <c r="Q1979" s="174"/>
      <c r="R1979" s="174"/>
      <c r="S1979" s="174"/>
      <c r="T1979" s="174"/>
      <c r="U1979" s="174"/>
      <c r="V1979" s="174"/>
      <c r="W1979" s="174"/>
    </row>
    <row r="1980" customFormat="false" ht="15.75" hidden="false" customHeight="false" outlineLevel="0" collapsed="false">
      <c r="A1980" s="48" t="s">
        <v>17</v>
      </c>
      <c r="B1980" s="57" t="s">
        <v>99</v>
      </c>
      <c r="C1980" s="58" t="n">
        <v>2000</v>
      </c>
      <c r="D1980" s="58" t="n">
        <v>2001</v>
      </c>
      <c r="E1980" s="58" t="n">
        <v>2002</v>
      </c>
      <c r="F1980" s="58" t="n">
        <v>2003</v>
      </c>
      <c r="G1980" s="58" t="n">
        <v>2004</v>
      </c>
      <c r="H1980" s="58" t="n">
        <v>2005</v>
      </c>
      <c r="I1980" s="58" t="n">
        <v>2006</v>
      </c>
      <c r="J1980" s="58" t="n">
        <v>2007</v>
      </c>
      <c r="K1980" s="58" t="n">
        <v>2008</v>
      </c>
      <c r="L1980" s="58" t="n">
        <v>2009</v>
      </c>
      <c r="M1980" s="58" t="n">
        <v>2010</v>
      </c>
      <c r="N1980" s="58" t="n">
        <v>2011</v>
      </c>
      <c r="O1980" s="58" t="n">
        <v>2012</v>
      </c>
      <c r="P1980" s="58" t="n">
        <v>2013</v>
      </c>
      <c r="Q1980" s="58" t="n">
        <v>2014</v>
      </c>
      <c r="R1980" s="58" t="n">
        <v>2015</v>
      </c>
      <c r="S1980" s="58" t="n">
        <v>2016</v>
      </c>
      <c r="T1980" s="58" t="n">
        <v>2017</v>
      </c>
      <c r="U1980" s="58" t="n">
        <v>2018</v>
      </c>
      <c r="V1980" s="58" t="n">
        <v>2019</v>
      </c>
      <c r="W1980" s="58" t="s">
        <v>19</v>
      </c>
    </row>
    <row r="1981" customFormat="false" ht="12.75" hidden="false" customHeight="false" outlineLevel="0" collapsed="false">
      <c r="A1981" s="48" t="s">
        <v>5</v>
      </c>
      <c r="B1981" s="49" t="n">
        <v>83.433</v>
      </c>
      <c r="C1981" s="61"/>
      <c r="D1981" s="61"/>
      <c r="E1981" s="61"/>
      <c r="F1981" s="61"/>
      <c r="G1981" s="61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</row>
    <row r="1982" customFormat="false" ht="12.75" hidden="false" customHeight="false" outlineLevel="0" collapsed="false">
      <c r="A1982" s="2"/>
      <c r="B1982" s="117" t="s">
        <v>20</v>
      </c>
      <c r="C1982" s="118" t="n">
        <v>0</v>
      </c>
      <c r="D1982" s="64" t="n">
        <v>8202175.39141969</v>
      </c>
      <c r="E1982" s="64" t="n">
        <v>7219125.19556247</v>
      </c>
      <c r="F1982" s="64" t="n">
        <v>6975429.92891035</v>
      </c>
      <c r="G1982" s="64" t="n">
        <v>6698801.53981955</v>
      </c>
      <c r="H1982" s="64" t="n">
        <v>6877286.90124915</v>
      </c>
      <c r="I1982" s="64" t="n">
        <v>7875918.16116401</v>
      </c>
      <c r="J1982" s="64" t="n">
        <v>9532366.51234013</v>
      </c>
      <c r="K1982" s="64" t="n">
        <v>12117113.0103676</v>
      </c>
      <c r="L1982" s="64" t="n">
        <v>12861496.0661958</v>
      </c>
      <c r="M1982" s="64" t="n">
        <v>11066696.0971635</v>
      </c>
      <c r="N1982" s="64" t="n">
        <v>10846097.9980071</v>
      </c>
      <c r="O1982" s="64" t="n">
        <v>10837165.4619768</v>
      </c>
      <c r="P1982" s="64" t="n">
        <v>10010041.08074</v>
      </c>
      <c r="Q1982" s="64" t="n">
        <v>11607660.5992968</v>
      </c>
      <c r="R1982" s="64" t="n">
        <v>10822858.6762665</v>
      </c>
      <c r="S1982" s="64" t="n">
        <v>10915874.0816648</v>
      </c>
      <c r="T1982" s="64" t="n">
        <v>10065899.0774091</v>
      </c>
      <c r="U1982" s="64" t="n">
        <v>11407206.8863037</v>
      </c>
      <c r="V1982" s="64" t="n">
        <v>12342873.4841228</v>
      </c>
      <c r="W1982" s="65"/>
    </row>
    <row r="1983" customFormat="false" ht="12.75" hidden="false" customHeight="false" outlineLevel="0" collapsed="false">
      <c r="A1983" s="2"/>
      <c r="B1983" s="117" t="s">
        <v>21</v>
      </c>
      <c r="C1983" s="118" t="n">
        <v>0</v>
      </c>
      <c r="D1983" s="64" t="n">
        <v>-2443747.15095388</v>
      </c>
      <c r="E1983" s="64" t="n">
        <v>-2991581.05241517</v>
      </c>
      <c r="F1983" s="64" t="n">
        <v>-3235039.69989279</v>
      </c>
      <c r="G1983" s="64" t="n">
        <v>-3544191.97559814</v>
      </c>
      <c r="H1983" s="64" t="n">
        <v>-3794796.96567439</v>
      </c>
      <c r="I1983" s="64" t="n">
        <v>-4944426.37962473</v>
      </c>
      <c r="J1983" s="64" t="n">
        <v>-6219182.82268616</v>
      </c>
      <c r="K1983" s="64" t="n">
        <v>-7723082.37659265</v>
      </c>
      <c r="L1983" s="64" t="n">
        <v>-8284094.12252955</v>
      </c>
      <c r="M1983" s="64" t="n">
        <v>-6482347.86682114</v>
      </c>
      <c r="N1983" s="64" t="n">
        <v>-7112818.16695236</v>
      </c>
      <c r="O1983" s="64" t="n">
        <v>-6598867.18665961</v>
      </c>
      <c r="P1983" s="64" t="n">
        <v>-6033835.20069249</v>
      </c>
      <c r="Q1983" s="64" t="n">
        <v>-6785562.71861277</v>
      </c>
      <c r="R1983" s="64" t="n">
        <v>-6609183.75658588</v>
      </c>
      <c r="S1983" s="64" t="n">
        <v>-7384920.38659215</v>
      </c>
      <c r="T1983" s="64" t="n">
        <v>-6300625.62055801</v>
      </c>
      <c r="U1983" s="64" t="n">
        <v>-7074580.36023023</v>
      </c>
      <c r="V1983" s="64" t="n">
        <v>-8373327.41472128</v>
      </c>
      <c r="W1983" s="65"/>
    </row>
    <row r="1984" customFormat="false" ht="12.75" hidden="false" customHeight="false" outlineLevel="0" collapsed="false">
      <c r="A1984" s="2"/>
      <c r="B1984" s="117" t="s">
        <v>22</v>
      </c>
      <c r="C1984" s="118" t="n">
        <v>0</v>
      </c>
      <c r="D1984" s="64" t="n">
        <v>-60965.9960270487</v>
      </c>
      <c r="E1984" s="64" t="n">
        <v>-86226.8817444926</v>
      </c>
      <c r="F1984" s="64" t="n">
        <v>-98920.0929284977</v>
      </c>
      <c r="G1984" s="64" t="n">
        <v>-108302.357800399</v>
      </c>
      <c r="H1984" s="64" t="n">
        <v>-115803.715903977</v>
      </c>
      <c r="I1984" s="64" t="n">
        <v>-156864.885978719</v>
      </c>
      <c r="J1984" s="64" t="n">
        <v>-192371.530618223</v>
      </c>
      <c r="K1984" s="64" t="n">
        <v>-262154.68285511</v>
      </c>
      <c r="L1984" s="64" t="n">
        <v>-274514.626462568</v>
      </c>
      <c r="M1984" s="64" t="n">
        <v>-209035.46436537</v>
      </c>
      <c r="N1984" s="64" t="n">
        <v>-234968.360631691</v>
      </c>
      <c r="O1984" s="64" t="n">
        <v>-219679.092167691</v>
      </c>
      <c r="P1984" s="64" t="n">
        <v>-198816.527507158</v>
      </c>
      <c r="Q1984" s="64" t="n">
        <v>-222370.272894788</v>
      </c>
      <c r="R1984" s="64" t="n">
        <v>-204501.470788994</v>
      </c>
      <c r="S1984" s="64" t="n">
        <v>-224078.643657812</v>
      </c>
      <c r="T1984" s="64" t="n">
        <v>-191744.267299548</v>
      </c>
      <c r="U1984" s="64" t="n">
        <v>-202409.859650827</v>
      </c>
      <c r="V1984" s="64" t="n">
        <v>-245710.990122286</v>
      </c>
      <c r="W1984" s="65"/>
    </row>
    <row r="1985" customFormat="false" ht="12.75" hidden="false" customHeight="false" outlineLevel="0" collapsed="false">
      <c r="A1985" s="2"/>
      <c r="B1985" s="117" t="s">
        <v>23</v>
      </c>
      <c r="C1985" s="118" t="n">
        <v>0</v>
      </c>
      <c r="D1985" s="64" t="n">
        <v>0</v>
      </c>
      <c r="E1985" s="64" t="n">
        <v>0</v>
      </c>
      <c r="F1985" s="64" t="n">
        <v>0</v>
      </c>
      <c r="G1985" s="64" t="n">
        <v>0</v>
      </c>
      <c r="H1985" s="64" t="n">
        <v>0</v>
      </c>
      <c r="I1985" s="64" t="n">
        <v>93418.0233270884</v>
      </c>
      <c r="J1985" s="64" t="n">
        <v>103546.416256845</v>
      </c>
      <c r="K1985" s="64" t="n">
        <v>114259.167463377</v>
      </c>
      <c r="L1985" s="64" t="n">
        <v>125495.637715741</v>
      </c>
      <c r="M1985" s="64" t="n">
        <v>139570.444155257</v>
      </c>
      <c r="N1985" s="64" t="n">
        <v>153747.39907892</v>
      </c>
      <c r="O1985" s="64" t="n">
        <v>170347.508693033</v>
      </c>
      <c r="P1985" s="64" t="n">
        <v>191004.368814188</v>
      </c>
      <c r="Q1985" s="64" t="n">
        <v>212617.66815242</v>
      </c>
      <c r="R1985" s="64" t="n">
        <v>235515.425372474</v>
      </c>
      <c r="S1985" s="64" t="n">
        <v>258595.647431392</v>
      </c>
      <c r="T1985" s="64" t="n">
        <v>254057.616455806</v>
      </c>
      <c r="U1985" s="64" t="n">
        <v>217360.03222342</v>
      </c>
      <c r="V1985" s="64" t="n">
        <v>225362.251242398</v>
      </c>
      <c r="W1985" s="65"/>
    </row>
    <row r="1986" customFormat="false" ht="13.5" hidden="false" customHeight="false" outlineLevel="0" collapsed="false">
      <c r="A1986" s="2"/>
      <c r="B1986" s="119" t="s">
        <v>24</v>
      </c>
      <c r="C1986" s="120" t="n">
        <v>0</v>
      </c>
      <c r="D1986" s="68" t="n">
        <v>0</v>
      </c>
      <c r="E1986" s="68" t="n">
        <v>0</v>
      </c>
      <c r="F1986" s="68" t="n">
        <v>0</v>
      </c>
      <c r="G1986" s="68" t="n">
        <v>0</v>
      </c>
      <c r="H1986" s="68" t="n">
        <v>0</v>
      </c>
      <c r="I1986" s="68" t="n">
        <v>0</v>
      </c>
      <c r="J1986" s="68" t="n">
        <v>0</v>
      </c>
      <c r="K1986" s="68" t="n">
        <v>0</v>
      </c>
      <c r="L1986" s="68" t="n">
        <v>0</v>
      </c>
      <c r="M1986" s="68" t="n">
        <v>0</v>
      </c>
      <c r="N1986" s="68" t="n">
        <v>0</v>
      </c>
      <c r="O1986" s="68" t="n">
        <v>0</v>
      </c>
      <c r="P1986" s="68" t="n">
        <v>0</v>
      </c>
      <c r="Q1986" s="68" t="n">
        <v>0</v>
      </c>
      <c r="R1986" s="68" t="n">
        <v>0</v>
      </c>
      <c r="S1986" s="68" t="n">
        <v>0</v>
      </c>
      <c r="T1986" s="68" t="n">
        <v>0</v>
      </c>
      <c r="U1986" s="68" t="n">
        <v>0</v>
      </c>
      <c r="V1986" s="68" t="n">
        <v>0</v>
      </c>
      <c r="W1986" s="65"/>
    </row>
    <row r="1987" customFormat="false" ht="13.5" hidden="false" customHeight="false" outlineLevel="0" collapsed="false">
      <c r="A1987" s="2"/>
      <c r="B1987" s="121" t="s">
        <v>25</v>
      </c>
      <c r="C1987" s="122" t="n">
        <v>0</v>
      </c>
      <c r="D1987" s="71" t="n">
        <v>5697462.24443877</v>
      </c>
      <c r="E1987" s="71" t="n">
        <v>4141317.26140281</v>
      </c>
      <c r="F1987" s="71" t="n">
        <v>3641470.13608906</v>
      </c>
      <c r="G1987" s="71" t="n">
        <v>3046307.20642101</v>
      </c>
      <c r="H1987" s="71" t="n">
        <v>2966686.21967078</v>
      </c>
      <c r="I1987" s="71" t="n">
        <v>2868044.91888765</v>
      </c>
      <c r="J1987" s="71" t="n">
        <v>3224358.5752926</v>
      </c>
      <c r="K1987" s="71" t="n">
        <v>4246135.11838324</v>
      </c>
      <c r="L1987" s="71" t="n">
        <v>4428382.95491944</v>
      </c>
      <c r="M1987" s="71" t="n">
        <v>4514883.2101322</v>
      </c>
      <c r="N1987" s="71" t="n">
        <v>3652058.86950197</v>
      </c>
      <c r="O1987" s="71" t="n">
        <v>4188966.69184257</v>
      </c>
      <c r="P1987" s="71" t="n">
        <v>3968393.72135451</v>
      </c>
      <c r="Q1987" s="71" t="n">
        <v>4812345.27594165</v>
      </c>
      <c r="R1987" s="71" t="n">
        <v>4244688.87426413</v>
      </c>
      <c r="S1987" s="71" t="n">
        <v>3565470.69884627</v>
      </c>
      <c r="T1987" s="71" t="n">
        <v>3827586.80600735</v>
      </c>
      <c r="U1987" s="71" t="n">
        <v>4347576.69864609</v>
      </c>
      <c r="V1987" s="71" t="n">
        <v>3949197.33052165</v>
      </c>
      <c r="W1987" s="65"/>
    </row>
    <row r="1988" customFormat="false" ht="12.75" hidden="false" customHeight="false" outlineLevel="0" collapsed="false">
      <c r="A1988" s="2"/>
      <c r="B1988" s="117" t="s">
        <v>26</v>
      </c>
      <c r="C1988" s="118" t="n">
        <v>0</v>
      </c>
      <c r="D1988" s="64" t="n">
        <v>-355535.162770781</v>
      </c>
      <c r="E1988" s="64" t="n">
        <v>-362645.866026196</v>
      </c>
      <c r="F1988" s="64" t="n">
        <v>-369898.78334672</v>
      </c>
      <c r="G1988" s="64" t="n">
        <v>-377296.759013655</v>
      </c>
      <c r="H1988" s="64" t="n">
        <v>-384842.694193928</v>
      </c>
      <c r="I1988" s="64" t="n">
        <v>-392539.548077806</v>
      </c>
      <c r="J1988" s="64" t="n">
        <v>-400390.339039362</v>
      </c>
      <c r="K1988" s="64" t="n">
        <v>-408398.14582015</v>
      </c>
      <c r="L1988" s="64" t="n">
        <v>-416566.108736553</v>
      </c>
      <c r="M1988" s="64" t="n">
        <v>-424897.430911284</v>
      </c>
      <c r="N1988" s="64" t="n">
        <v>-433395.379529509</v>
      </c>
      <c r="O1988" s="64" t="n">
        <v>-442063.2871201</v>
      </c>
      <c r="P1988" s="64" t="n">
        <v>-450904.552862502</v>
      </c>
      <c r="Q1988" s="64" t="n">
        <v>-459922.643919752</v>
      </c>
      <c r="R1988" s="64" t="n">
        <v>-469121.096798147</v>
      </c>
      <c r="S1988" s="64" t="n">
        <v>-478503.51873411</v>
      </c>
      <c r="T1988" s="64" t="n">
        <v>-488073.589108792</v>
      </c>
      <c r="U1988" s="64" t="n">
        <v>-497835.060890968</v>
      </c>
      <c r="V1988" s="64" t="n">
        <v>-507791.762108787</v>
      </c>
      <c r="W1988" s="65"/>
    </row>
    <row r="1989" customFormat="false" ht="12.75" hidden="false" customHeight="false" outlineLevel="0" collapsed="false">
      <c r="A1989" s="2"/>
      <c r="B1989" s="117" t="s">
        <v>27</v>
      </c>
      <c r="C1989" s="118" t="n">
        <v>0</v>
      </c>
      <c r="D1989" s="64" t="n">
        <v>-171612.579296875</v>
      </c>
      <c r="E1989" s="64" t="n">
        <v>-171612.579296875</v>
      </c>
      <c r="F1989" s="64" t="n">
        <v>-171612.579296875</v>
      </c>
      <c r="G1989" s="64" t="n">
        <v>-171612.579296875</v>
      </c>
      <c r="H1989" s="64" t="n">
        <v>-171612.579296875</v>
      </c>
      <c r="I1989" s="64" t="n">
        <v>-171612.579296875</v>
      </c>
      <c r="J1989" s="64" t="n">
        <v>-171612.579296875</v>
      </c>
      <c r="K1989" s="64" t="n">
        <v>-171612.579296875</v>
      </c>
      <c r="L1989" s="64" t="n">
        <v>-171612.579296875</v>
      </c>
      <c r="M1989" s="64" t="n">
        <v>-171612.579296875</v>
      </c>
      <c r="N1989" s="64" t="n">
        <v>-171612.579296875</v>
      </c>
      <c r="O1989" s="64" t="n">
        <v>-171612.579296875</v>
      </c>
      <c r="P1989" s="64" t="n">
        <v>-171612.579296875</v>
      </c>
      <c r="Q1989" s="64" t="n">
        <v>-171612.579296875</v>
      </c>
      <c r="R1989" s="64" t="n">
        <v>-171612.579296875</v>
      </c>
      <c r="S1989" s="64" t="n">
        <v>-171612.579296875</v>
      </c>
      <c r="T1989" s="64" t="n">
        <v>-171612.579296875</v>
      </c>
      <c r="U1989" s="64" t="n">
        <v>-171612.579296875</v>
      </c>
      <c r="V1989" s="64" t="n">
        <v>-171612.579296875</v>
      </c>
      <c r="W1989" s="65"/>
    </row>
    <row r="1990" customFormat="false" ht="13.5" hidden="false" customHeight="false" outlineLevel="0" collapsed="false">
      <c r="A1990" s="2"/>
      <c r="B1990" s="119" t="s">
        <v>28</v>
      </c>
      <c r="C1990" s="120" t="n">
        <v>0</v>
      </c>
      <c r="D1990" s="68" t="n">
        <v>-34547.1907058574</v>
      </c>
      <c r="E1990" s="68" t="n">
        <v>-35276.1364297512</v>
      </c>
      <c r="F1990" s="68" t="n">
        <v>-36048.6838175628</v>
      </c>
      <c r="G1990" s="68" t="n">
        <v>-36863.3840718394</v>
      </c>
      <c r="H1990" s="68" t="n">
        <v>-37740.7326127493</v>
      </c>
      <c r="I1990" s="68" t="n">
        <v>-38686.5191661684</v>
      </c>
      <c r="J1990" s="68" t="n">
        <v>-39646.0526171664</v>
      </c>
      <c r="K1990" s="68" t="n">
        <v>-40649.5761404166</v>
      </c>
      <c r="L1990" s="68" t="n">
        <v>-41653.6206710849</v>
      </c>
      <c r="M1990" s="68" t="n">
        <v>-42715.7879981975</v>
      </c>
      <c r="N1990" s="68" t="n">
        <v>-43749.510067754</v>
      </c>
      <c r="O1990" s="68" t="n">
        <v>-44851.9977214613</v>
      </c>
      <c r="P1990" s="68" t="n">
        <v>-45991.2384635863</v>
      </c>
      <c r="Q1990" s="68" t="n">
        <v>-47141.019425176</v>
      </c>
      <c r="R1990" s="68" t="n">
        <v>-48324.2590127479</v>
      </c>
      <c r="S1990" s="68" t="n">
        <v>-49532.3654880667</v>
      </c>
      <c r="T1990" s="68" t="n">
        <v>-50760.7681521706</v>
      </c>
      <c r="U1990" s="68" t="n">
        <v>-52034.8634327902</v>
      </c>
      <c r="V1990" s="68" t="n">
        <v>-53340.9385049533</v>
      </c>
      <c r="W1990" s="65"/>
    </row>
    <row r="1991" customFormat="false" ht="13.5" hidden="false" customHeight="false" outlineLevel="0" collapsed="false">
      <c r="A1991" s="2"/>
      <c r="B1991" s="121" t="s">
        <v>29</v>
      </c>
      <c r="C1991" s="123" t="n">
        <v>0</v>
      </c>
      <c r="D1991" s="73" t="n">
        <v>5135767.31166525</v>
      </c>
      <c r="E1991" s="73" t="n">
        <v>3571782.67964998</v>
      </c>
      <c r="F1991" s="73" t="n">
        <v>3063910.08962791</v>
      </c>
      <c r="G1991" s="73" t="n">
        <v>2460534.48403864</v>
      </c>
      <c r="H1991" s="73" t="n">
        <v>2372490.21356723</v>
      </c>
      <c r="I1991" s="73" t="n">
        <v>2265206.2723468</v>
      </c>
      <c r="J1991" s="73" t="n">
        <v>2612709.60433919</v>
      </c>
      <c r="K1991" s="73" t="n">
        <v>3625474.8171258</v>
      </c>
      <c r="L1991" s="73" t="n">
        <v>3798550.64621492</v>
      </c>
      <c r="M1991" s="73" t="n">
        <v>3875657.41192585</v>
      </c>
      <c r="N1991" s="73" t="n">
        <v>3003301.40060783</v>
      </c>
      <c r="O1991" s="73" t="n">
        <v>3530438.82770413</v>
      </c>
      <c r="P1991" s="73" t="n">
        <v>3299885.35073154</v>
      </c>
      <c r="Q1991" s="73" t="n">
        <v>4133669.03329984</v>
      </c>
      <c r="R1991" s="73" t="n">
        <v>3555630.93915636</v>
      </c>
      <c r="S1991" s="73" t="n">
        <v>2865822.23532722</v>
      </c>
      <c r="T1991" s="73" t="n">
        <v>3117139.86944951</v>
      </c>
      <c r="U1991" s="73" t="n">
        <v>3626094.19502545</v>
      </c>
      <c r="V1991" s="73" t="n">
        <v>3216452.05061103</v>
      </c>
      <c r="W1991" s="65"/>
    </row>
    <row r="1992" customFormat="false" ht="12.75" hidden="false" customHeight="false" outlineLevel="0" collapsed="false">
      <c r="A1992" s="2"/>
      <c r="B1992" s="117" t="s">
        <v>30</v>
      </c>
      <c r="C1992" s="118" t="n">
        <v>0</v>
      </c>
      <c r="D1992" s="64" t="n">
        <v>-2192540.63329167</v>
      </c>
      <c r="E1992" s="64" t="n">
        <v>-2210158.6552009</v>
      </c>
      <c r="F1992" s="64" t="n">
        <v>-2220800.17390753</v>
      </c>
      <c r="G1992" s="64" t="n">
        <v>-2222765.99347263</v>
      </c>
      <c r="H1992" s="64" t="n">
        <v>-2221622.5140418</v>
      </c>
      <c r="I1992" s="64" t="n">
        <v>-2229059.54152417</v>
      </c>
      <c r="J1992" s="64" t="n">
        <v>-1258985.90313586</v>
      </c>
      <c r="K1992" s="64" t="n">
        <v>-179632.747482166</v>
      </c>
      <c r="L1992" s="64" t="n">
        <v>-59593.3221034993</v>
      </c>
      <c r="M1992" s="64" t="n">
        <v>-52343.2926192586</v>
      </c>
      <c r="N1992" s="64" t="n">
        <v>-57576.1082621617</v>
      </c>
      <c r="O1992" s="64" t="n">
        <v>-62703.3402877322</v>
      </c>
      <c r="P1992" s="64" t="n">
        <v>-67940.8285518105</v>
      </c>
      <c r="Q1992" s="64" t="n">
        <v>-73212.0981304778</v>
      </c>
      <c r="R1992" s="64" t="n">
        <v>-78645.3624631719</v>
      </c>
      <c r="S1992" s="64" t="n">
        <v>-84368.14305918</v>
      </c>
      <c r="T1992" s="64" t="n">
        <v>-90262.6070730684</v>
      </c>
      <c r="U1992" s="64" t="n">
        <v>-96333.9050073735</v>
      </c>
      <c r="V1992" s="64" t="n">
        <v>-102587.341879708</v>
      </c>
      <c r="W1992" s="65"/>
    </row>
    <row r="1993" customFormat="false" ht="13.5" hidden="false" customHeight="false" outlineLevel="0" collapsed="false">
      <c r="A1993" s="2"/>
      <c r="B1993" s="119" t="s">
        <v>70</v>
      </c>
      <c r="C1993" s="120" t="n">
        <v>0</v>
      </c>
      <c r="D1993" s="68" t="n">
        <v>-1177290.67134943</v>
      </c>
      <c r="E1993" s="68" t="n">
        <v>-544649.609779633</v>
      </c>
      <c r="F1993" s="68" t="n">
        <v>-337243.966288149</v>
      </c>
      <c r="G1993" s="68" t="n">
        <v>-95107.3962264026</v>
      </c>
      <c r="H1993" s="68" t="n">
        <v>-60347.0798101723</v>
      </c>
      <c r="I1993" s="68" t="n">
        <v>-14458.6923290543</v>
      </c>
      <c r="J1993" s="68" t="n">
        <v>-541489.480481335</v>
      </c>
      <c r="K1993" s="68" t="n">
        <v>-1378336.82785745</v>
      </c>
      <c r="L1993" s="68" t="n">
        <v>-1495582.92964457</v>
      </c>
      <c r="M1993" s="68" t="n">
        <v>-1529325.64772264</v>
      </c>
      <c r="N1993" s="68" t="n">
        <v>-1178290.11693827</v>
      </c>
      <c r="O1993" s="68" t="n">
        <v>-1387094.19496656</v>
      </c>
      <c r="P1993" s="68" t="n">
        <v>-1292777.80887189</v>
      </c>
      <c r="Q1993" s="68" t="n">
        <v>-1624182.77406775</v>
      </c>
      <c r="R1993" s="68" t="n">
        <v>-1390794.23067727</v>
      </c>
      <c r="S1993" s="68" t="n">
        <v>-1112581.63690722</v>
      </c>
      <c r="T1993" s="68" t="n">
        <v>-1210750.90495058</v>
      </c>
      <c r="U1993" s="68" t="n">
        <v>-1411904.11600723</v>
      </c>
      <c r="V1993" s="68" t="n">
        <v>-1245545.88349253</v>
      </c>
      <c r="W1993" s="65"/>
    </row>
    <row r="1994" customFormat="false" ht="13.5" hidden="false" customHeight="false" outlineLevel="0" collapsed="false">
      <c r="A1994" s="2"/>
      <c r="B1994" s="121" t="s">
        <v>32</v>
      </c>
      <c r="C1994" s="123" t="n">
        <v>0</v>
      </c>
      <c r="D1994" s="73" t="n">
        <v>1765936.00702415</v>
      </c>
      <c r="E1994" s="73" t="n">
        <v>816974.41466945</v>
      </c>
      <c r="F1994" s="73" t="n">
        <v>505865.949432224</v>
      </c>
      <c r="G1994" s="73" t="n">
        <v>142661.094339604</v>
      </c>
      <c r="H1994" s="73" t="n">
        <v>90520.6197152585</v>
      </c>
      <c r="I1994" s="73" t="n">
        <v>21688.0384935815</v>
      </c>
      <c r="J1994" s="73" t="n">
        <v>812234.220722003</v>
      </c>
      <c r="K1994" s="73" t="n">
        <v>2067505.24178618</v>
      </c>
      <c r="L1994" s="73" t="n">
        <v>2243374.39446685</v>
      </c>
      <c r="M1994" s="73" t="n">
        <v>2293988.47158395</v>
      </c>
      <c r="N1994" s="73" t="n">
        <v>1767435.1754074</v>
      </c>
      <c r="O1994" s="73" t="n">
        <v>2080641.29244984</v>
      </c>
      <c r="P1994" s="73" t="n">
        <v>1939166.71330784</v>
      </c>
      <c r="Q1994" s="73" t="n">
        <v>2436274.16110162</v>
      </c>
      <c r="R1994" s="73" t="n">
        <v>2086191.34601591</v>
      </c>
      <c r="S1994" s="73" t="n">
        <v>1668872.45536082</v>
      </c>
      <c r="T1994" s="73" t="n">
        <v>1816126.35742587</v>
      </c>
      <c r="U1994" s="73" t="n">
        <v>2117856.17401085</v>
      </c>
      <c r="V1994" s="73" t="n">
        <v>1868318.82523879</v>
      </c>
      <c r="W1994" s="65"/>
    </row>
    <row r="1995" customFormat="false" ht="12.75" hidden="false" customHeight="false" outlineLevel="0" collapsed="false">
      <c r="A1995" s="2"/>
      <c r="B1995" s="117" t="s">
        <v>30</v>
      </c>
      <c r="C1995" s="118" t="n">
        <v>0</v>
      </c>
      <c r="D1995" s="64" t="n">
        <v>2192540.63329167</v>
      </c>
      <c r="E1995" s="64" t="n">
        <v>2210158.6552009</v>
      </c>
      <c r="F1995" s="64" t="n">
        <v>2220800.17390753</v>
      </c>
      <c r="G1995" s="64" t="n">
        <v>2222765.99347263</v>
      </c>
      <c r="H1995" s="64" t="n">
        <v>2221622.5140418</v>
      </c>
      <c r="I1995" s="64" t="n">
        <v>2229059.54152417</v>
      </c>
      <c r="J1995" s="64" t="n">
        <v>1258985.90313586</v>
      </c>
      <c r="K1995" s="64" t="n">
        <v>179632.747482166</v>
      </c>
      <c r="L1995" s="64" t="n">
        <v>59593.3221034993</v>
      </c>
      <c r="M1995" s="64" t="n">
        <v>52343.2926192586</v>
      </c>
      <c r="N1995" s="64" t="n">
        <v>57576.1082621617</v>
      </c>
      <c r="O1995" s="64" t="n">
        <v>62703.3402877322</v>
      </c>
      <c r="P1995" s="64" t="n">
        <v>67940.8285518105</v>
      </c>
      <c r="Q1995" s="64" t="n">
        <v>73212.0981304778</v>
      </c>
      <c r="R1995" s="64" t="n">
        <v>78645.3624631719</v>
      </c>
      <c r="S1995" s="64" t="n">
        <v>84368.14305918</v>
      </c>
      <c r="T1995" s="64" t="n">
        <v>90262.6070730684</v>
      </c>
      <c r="U1995" s="64" t="n">
        <v>96333.9050073735</v>
      </c>
      <c r="V1995" s="64" t="n">
        <v>102587.341879708</v>
      </c>
      <c r="W1995" s="65"/>
    </row>
    <row r="1996" customFormat="false" ht="12.75" hidden="false" customHeight="false" outlineLevel="0" collapsed="false">
      <c r="A1996" s="2"/>
      <c r="B1996" s="117" t="s">
        <v>33</v>
      </c>
      <c r="C1996" s="118" t="n">
        <v>0</v>
      </c>
      <c r="D1996" s="64" t="n">
        <v>-14879.11</v>
      </c>
      <c r="E1996" s="64" t="n">
        <v>-378160.86</v>
      </c>
      <c r="F1996" s="64" t="n">
        <v>-15780.83</v>
      </c>
      <c r="G1996" s="64" t="n">
        <v>-16310.09</v>
      </c>
      <c r="H1996" s="64" t="n">
        <v>-88150.02</v>
      </c>
      <c r="I1996" s="64" t="n">
        <v>-90794.5206</v>
      </c>
      <c r="J1996" s="64" t="n">
        <v>-93518.356218</v>
      </c>
      <c r="K1996" s="64" t="n">
        <v>-96323.90690454</v>
      </c>
      <c r="L1996" s="64" t="n">
        <v>-99213.6241116762</v>
      </c>
      <c r="M1996" s="64" t="n">
        <v>-102190.032835027</v>
      </c>
      <c r="N1996" s="64" t="n">
        <v>-105255.733820077</v>
      </c>
      <c r="O1996" s="64" t="n">
        <v>-108413.40583468</v>
      </c>
      <c r="P1996" s="64" t="n">
        <v>-111665.80800972</v>
      </c>
      <c r="Q1996" s="64" t="n">
        <v>-115015.782250012</v>
      </c>
      <c r="R1996" s="64" t="n">
        <v>-118466.255717512</v>
      </c>
      <c r="S1996" s="64" t="n">
        <v>-122020.243389037</v>
      </c>
      <c r="T1996" s="64" t="n">
        <v>-125680.850690708</v>
      </c>
      <c r="U1996" s="64" t="n">
        <v>-129451.27621143</v>
      </c>
      <c r="V1996" s="64" t="n">
        <v>-133334.814497773</v>
      </c>
      <c r="W1996" s="65"/>
    </row>
    <row r="1997" customFormat="false" ht="13.5" hidden="false" customHeight="false" outlineLevel="0" collapsed="false">
      <c r="A1997" s="2"/>
      <c r="B1997" s="119" t="s">
        <v>34</v>
      </c>
      <c r="C1997" s="120" t="n">
        <v>0</v>
      </c>
      <c r="D1997" s="68" t="n">
        <v>0</v>
      </c>
      <c r="E1997" s="68" t="n">
        <v>0</v>
      </c>
      <c r="F1997" s="68" t="n">
        <v>0</v>
      </c>
      <c r="G1997" s="68" t="n">
        <v>0</v>
      </c>
      <c r="H1997" s="68" t="n">
        <v>0</v>
      </c>
      <c r="I1997" s="68" t="n">
        <v>0</v>
      </c>
      <c r="J1997" s="68" t="n">
        <v>0</v>
      </c>
      <c r="K1997" s="68" t="n">
        <v>0</v>
      </c>
      <c r="L1997" s="68" t="n">
        <v>0</v>
      </c>
      <c r="M1997" s="68" t="n">
        <v>0</v>
      </c>
      <c r="N1997" s="68" t="n">
        <v>0</v>
      </c>
      <c r="O1997" s="68" t="n">
        <v>0</v>
      </c>
      <c r="P1997" s="68" t="n">
        <v>0</v>
      </c>
      <c r="Q1997" s="68" t="n">
        <v>0</v>
      </c>
      <c r="R1997" s="68" t="n">
        <v>0</v>
      </c>
      <c r="S1997" s="68" t="n">
        <v>0</v>
      </c>
      <c r="T1997" s="68" t="n">
        <v>0</v>
      </c>
      <c r="U1997" s="68" t="n">
        <v>0</v>
      </c>
      <c r="V1997" s="68" t="n">
        <v>0</v>
      </c>
      <c r="W1997" s="65"/>
    </row>
    <row r="1998" customFormat="false" ht="13.5" hidden="false" customHeight="false" outlineLevel="0" collapsed="false">
      <c r="A1998" s="2"/>
      <c r="B1998" s="117"/>
      <c r="C1998" s="124"/>
      <c r="D1998" s="65"/>
      <c r="E1998" s="65"/>
      <c r="F1998" s="65"/>
      <c r="G1998" s="65"/>
      <c r="H1998" s="65"/>
      <c r="I1998" s="65"/>
      <c r="J1998" s="65"/>
      <c r="K1998" s="6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5"/>
      <c r="V1998" s="65"/>
      <c r="W1998" s="65"/>
    </row>
    <row r="1999" customFormat="false" ht="12.75" hidden="false" customHeight="false" outlineLevel="0" collapsed="false">
      <c r="A1999" s="2"/>
      <c r="B1999" s="121" t="s">
        <v>35</v>
      </c>
      <c r="C1999" s="123" t="n">
        <v>0</v>
      </c>
      <c r="D1999" s="73" t="n">
        <v>3943597.53031582</v>
      </c>
      <c r="E1999" s="73" t="n">
        <v>2648972.20987035</v>
      </c>
      <c r="F1999" s="73" t="n">
        <v>2710885.29333976</v>
      </c>
      <c r="G1999" s="73" t="n">
        <v>2349116.99781224</v>
      </c>
      <c r="H1999" s="73" t="n">
        <v>2223993.11375706</v>
      </c>
      <c r="I1999" s="73" t="n">
        <v>2159953.05941775</v>
      </c>
      <c r="J1999" s="73" t="n">
        <v>1977701.76763986</v>
      </c>
      <c r="K1999" s="73" t="n">
        <v>2150814.0823638</v>
      </c>
      <c r="L1999" s="73" t="n">
        <v>2203754.09245868</v>
      </c>
      <c r="M1999" s="73" t="n">
        <v>2244141.73136819</v>
      </c>
      <c r="N1999" s="73" t="n">
        <v>1719755.54984949</v>
      </c>
      <c r="O1999" s="73" t="n">
        <v>2034931.22690289</v>
      </c>
      <c r="P1999" s="73" t="n">
        <v>1895441.73384993</v>
      </c>
      <c r="Q1999" s="73" t="n">
        <v>2394470.47698209</v>
      </c>
      <c r="R1999" s="73" t="n">
        <v>2046370.45276157</v>
      </c>
      <c r="S1999" s="73" t="n">
        <v>1631220.35503097</v>
      </c>
      <c r="T1999" s="73" t="n">
        <v>1780708.11380823</v>
      </c>
      <c r="U1999" s="73" t="n">
        <v>2084738.80280679</v>
      </c>
      <c r="V1999" s="73" t="n">
        <v>1837571.35262073</v>
      </c>
      <c r="W1999" s="71" t="n">
        <v>12085963.9746983</v>
      </c>
    </row>
    <row r="2000" customFormat="false" ht="12.75" hidden="false" customHeight="false" outlineLevel="0" collapsed="false">
      <c r="A2000" s="2"/>
      <c r="B2000" s="125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</row>
    <row r="2001" customFormat="false" ht="12.75" hidden="false" customHeight="false" outlineLevel="0" collapsed="false">
      <c r="A2001" s="48" t="s">
        <v>36</v>
      </c>
      <c r="B2001" s="126" t="s">
        <v>37</v>
      </c>
      <c r="C2001" s="76" t="n">
        <v>10796453.4040549</v>
      </c>
      <c r="D2001" s="2"/>
      <c r="E2001" s="127" t="s">
        <v>38</v>
      </c>
      <c r="F2001" s="128" t="s">
        <v>37</v>
      </c>
      <c r="G2001" s="79" t="n">
        <v>10796453.4040549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</row>
    <row r="2002" customFormat="false" ht="12.75" hidden="false" customHeight="false" outlineLevel="0" collapsed="false">
      <c r="A2002" s="2"/>
      <c r="B2002" s="126" t="s">
        <v>39</v>
      </c>
      <c r="C2002" s="76" t="n">
        <v>9340644.39561887</v>
      </c>
      <c r="D2002" s="2"/>
      <c r="E2002" s="129"/>
      <c r="F2002" s="128" t="s">
        <v>39</v>
      </c>
      <c r="G2002" s="79" t="n">
        <v>9340644.39561887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</row>
    <row r="2003" customFormat="false" ht="13.5" hidden="false" customHeight="false" outlineLevel="0" collapsed="false">
      <c r="A2003" s="2"/>
      <c r="B2003" s="130" t="s">
        <v>40</v>
      </c>
      <c r="C2003" s="82" t="n">
        <v>1796501.53336826</v>
      </c>
      <c r="D2003" s="131"/>
      <c r="E2003" s="129"/>
      <c r="F2003" s="128" t="s">
        <v>40</v>
      </c>
      <c r="G2003" s="79" t="n">
        <v>1796501.53336826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</row>
    <row r="2004" customFormat="false" ht="14.25" hidden="false" customHeight="false" outlineLevel="0" collapsed="false">
      <c r="A2004" s="2"/>
      <c r="B2004" s="126" t="s">
        <v>41</v>
      </c>
      <c r="C2004" s="76" t="n">
        <v>21933599.333042</v>
      </c>
      <c r="D2004" s="132"/>
      <c r="E2004" s="129"/>
      <c r="F2004" s="133" t="s">
        <v>42</v>
      </c>
      <c r="G2004" s="85" t="n">
        <v>0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</row>
    <row r="2005" customFormat="false" ht="13.5" hidden="false" customHeight="false" outlineLevel="0" collapsed="false">
      <c r="A2005" s="2"/>
      <c r="B2005" s="125"/>
      <c r="C2005" s="134"/>
      <c r="D2005" s="2"/>
      <c r="E2005" s="135"/>
      <c r="F2005" s="128" t="s">
        <v>41</v>
      </c>
      <c r="G2005" s="79" t="n">
        <v>21933599.333042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</row>
    <row r="2006" customFormat="false" ht="12.75" hidden="false" customHeight="false" outlineLevel="0" collapsed="false">
      <c r="A2006" s="2"/>
      <c r="B2006" s="125"/>
      <c r="C2006" s="134"/>
      <c r="D2006" s="2"/>
      <c r="E2006" s="135"/>
      <c r="F2006" s="128"/>
      <c r="G2006" s="136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</row>
    <row r="2007" customFormat="false" ht="12.75" hidden="false" customHeight="false" outlineLevel="0" collapsed="false">
      <c r="A2007" s="2"/>
      <c r="B2007" s="125"/>
      <c r="C2007" s="134"/>
      <c r="D2007" s="2"/>
      <c r="E2007" s="135"/>
      <c r="F2007" s="128"/>
      <c r="G2007" s="136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</row>
    <row r="2008" customFormat="false" ht="12.75" hidden="false" customHeight="false" outlineLevel="0" collapsed="false">
      <c r="A2008" s="2"/>
      <c r="B2008" s="137" t="s">
        <v>43</v>
      </c>
      <c r="C2008" s="134"/>
      <c r="D2008" s="2"/>
      <c r="E2008" s="135"/>
      <c r="F2008" s="128"/>
      <c r="G2008" s="136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</row>
    <row r="2009" customFormat="false" ht="12.75" hidden="false" customHeight="false" outlineLevel="0" collapsed="false">
      <c r="A2009" s="87" t="s">
        <v>44</v>
      </c>
      <c r="B2009" s="137" t="s">
        <v>45</v>
      </c>
      <c r="C2009" s="138"/>
      <c r="D2009" s="88" t="n">
        <v>1765936.00702415</v>
      </c>
      <c r="E2009" s="88" t="n">
        <v>816974.41466945</v>
      </c>
      <c r="F2009" s="88" t="n">
        <v>505865.949432224</v>
      </c>
      <c r="G2009" s="88" t="n">
        <v>142661.094339604</v>
      </c>
      <c r="H2009" s="88" t="n">
        <v>90520.6197152585</v>
      </c>
      <c r="I2009" s="88" t="n">
        <v>21688.0384935815</v>
      </c>
      <c r="J2009" s="88" t="n">
        <v>812234.220722003</v>
      </c>
      <c r="K2009" s="88" t="n">
        <v>2067505.24178618</v>
      </c>
      <c r="L2009" s="88" t="n">
        <v>2243374.39446685</v>
      </c>
      <c r="M2009" s="88" t="n">
        <v>2293988.47158395</v>
      </c>
      <c r="N2009" s="88" t="n">
        <v>1767435.1754074</v>
      </c>
      <c r="O2009" s="88" t="n">
        <v>2080641.29244984</v>
      </c>
      <c r="P2009" s="88" t="n">
        <v>1939166.71330784</v>
      </c>
      <c r="Q2009" s="88" t="n">
        <v>2436274.16110162</v>
      </c>
      <c r="R2009" s="88" t="n">
        <v>2086191.34601591</v>
      </c>
      <c r="S2009" s="88" t="n">
        <v>1668872.45536082</v>
      </c>
      <c r="T2009" s="88" t="n">
        <v>1816126.35742587</v>
      </c>
      <c r="U2009" s="88" t="n">
        <v>2117856.17401085</v>
      </c>
      <c r="V2009" s="88" t="n">
        <v>1868318.82523879</v>
      </c>
      <c r="W2009" s="2"/>
    </row>
    <row r="2010" customFormat="false" ht="12.75" hidden="false" customHeight="false" outlineLevel="0" collapsed="false">
      <c r="A2010" s="2"/>
      <c r="B2010" s="125" t="s">
        <v>46</v>
      </c>
      <c r="C2010" s="134"/>
      <c r="D2010" s="65" t="n">
        <v>1177290.67134943</v>
      </c>
      <c r="E2010" s="65" t="n">
        <v>544649.609779633</v>
      </c>
      <c r="F2010" s="65" t="n">
        <v>337243.966288149</v>
      </c>
      <c r="G2010" s="65" t="n">
        <v>95107.3962264026</v>
      </c>
      <c r="H2010" s="65" t="n">
        <v>60347.0798101723</v>
      </c>
      <c r="I2010" s="65" t="n">
        <v>14458.6923290543</v>
      </c>
      <c r="J2010" s="65" t="n">
        <v>541489.480481335</v>
      </c>
      <c r="K2010" s="65" t="n">
        <v>1378336.82785745</v>
      </c>
      <c r="L2010" s="65" t="n">
        <v>1495582.92964457</v>
      </c>
      <c r="M2010" s="65" t="n">
        <v>1529325.64772264</v>
      </c>
      <c r="N2010" s="65" t="n">
        <v>1178290.11693827</v>
      </c>
      <c r="O2010" s="65" t="n">
        <v>1387094.19496656</v>
      </c>
      <c r="P2010" s="65" t="n">
        <v>1292777.80887189</v>
      </c>
      <c r="Q2010" s="65" t="n">
        <v>1624182.77406775</v>
      </c>
      <c r="R2010" s="65" t="n">
        <v>1390794.23067727</v>
      </c>
      <c r="S2010" s="65" t="n">
        <v>1112581.63690722</v>
      </c>
      <c r="T2010" s="65" t="n">
        <v>1210750.90495058</v>
      </c>
      <c r="U2010" s="65" t="n">
        <v>1411904.11600723</v>
      </c>
      <c r="V2010" s="65" t="n">
        <v>1245545.88349253</v>
      </c>
      <c r="W2010" s="2"/>
    </row>
    <row r="2011" customFormat="false" ht="12.75" hidden="false" customHeight="false" outlineLevel="0" collapsed="false">
      <c r="A2011" s="2"/>
      <c r="B2011" s="139" t="s">
        <v>47</v>
      </c>
      <c r="C2011" s="140"/>
      <c r="D2011" s="65" t="n">
        <v>2192540.63329167</v>
      </c>
      <c r="E2011" s="65" t="n">
        <v>2210158.6552009</v>
      </c>
      <c r="F2011" s="65" t="n">
        <v>2220800.17390753</v>
      </c>
      <c r="G2011" s="65" t="n">
        <v>2222765.99347263</v>
      </c>
      <c r="H2011" s="65" t="n">
        <v>2221622.5140418</v>
      </c>
      <c r="I2011" s="65" t="n">
        <v>2229059.54152417</v>
      </c>
      <c r="J2011" s="65" t="n">
        <v>1258985.90313586</v>
      </c>
      <c r="K2011" s="65" t="n">
        <v>179632.747482166</v>
      </c>
      <c r="L2011" s="65" t="n">
        <v>59593.3221034993</v>
      </c>
      <c r="M2011" s="65" t="n">
        <v>52343.2926192586</v>
      </c>
      <c r="N2011" s="65" t="n">
        <v>57576.1082621617</v>
      </c>
      <c r="O2011" s="65" t="n">
        <v>62703.3402877322</v>
      </c>
      <c r="P2011" s="65" t="n">
        <v>67940.8285518105</v>
      </c>
      <c r="Q2011" s="65" t="n">
        <v>73212.0981304778</v>
      </c>
      <c r="R2011" s="65" t="n">
        <v>78645.3624631719</v>
      </c>
      <c r="S2011" s="65" t="n">
        <v>84368.14305918</v>
      </c>
      <c r="T2011" s="65" t="n">
        <v>90262.6070730684</v>
      </c>
      <c r="U2011" s="65" t="n">
        <v>96333.9050073735</v>
      </c>
      <c r="V2011" s="65" t="n">
        <v>102587.341879708</v>
      </c>
      <c r="W2011" s="2"/>
    </row>
    <row r="2012" customFormat="false" ht="13.5" hidden="false" customHeight="false" outlineLevel="0" collapsed="false">
      <c r="A2012" s="2"/>
      <c r="B2012" s="141" t="s">
        <v>48</v>
      </c>
      <c r="C2012" s="142"/>
      <c r="D2012" s="93" t="n">
        <v>5135767.31166525</v>
      </c>
      <c r="E2012" s="93" t="n">
        <v>3571782.67964998</v>
      </c>
      <c r="F2012" s="93" t="n">
        <v>3063910.08962791</v>
      </c>
      <c r="G2012" s="93" t="n">
        <v>2460534.48403864</v>
      </c>
      <c r="H2012" s="93" t="n">
        <v>2372490.21356723</v>
      </c>
      <c r="I2012" s="93" t="n">
        <v>2265206.2723468</v>
      </c>
      <c r="J2012" s="93" t="n">
        <v>2612709.60433919</v>
      </c>
      <c r="K2012" s="93" t="n">
        <v>3625474.8171258</v>
      </c>
      <c r="L2012" s="93" t="n">
        <v>3798550.64621492</v>
      </c>
      <c r="M2012" s="93" t="n">
        <v>3875657.41192585</v>
      </c>
      <c r="N2012" s="93" t="n">
        <v>3003301.40060783</v>
      </c>
      <c r="O2012" s="93" t="n">
        <v>3530438.82770413</v>
      </c>
      <c r="P2012" s="93" t="n">
        <v>3299885.35073154</v>
      </c>
      <c r="Q2012" s="93" t="n">
        <v>4133669.03329984</v>
      </c>
      <c r="R2012" s="93" t="n">
        <v>3555630.93915636</v>
      </c>
      <c r="S2012" s="93" t="n">
        <v>2865822.23532722</v>
      </c>
      <c r="T2012" s="93" t="n">
        <v>3117139.86944951</v>
      </c>
      <c r="U2012" s="93" t="n">
        <v>3626094.19502545</v>
      </c>
      <c r="V2012" s="93" t="n">
        <v>3216452.05061103</v>
      </c>
      <c r="W2012" s="2"/>
    </row>
    <row r="2013" customFormat="false" ht="13.5" hidden="false" customHeight="false" outlineLevel="0" collapsed="false">
      <c r="A2013" s="87" t="s">
        <v>49</v>
      </c>
      <c r="B2013" s="125" t="s">
        <v>50</v>
      </c>
      <c r="C2013" s="134"/>
      <c r="D2013" s="65" t="n">
        <v>-1830966.43703087</v>
      </c>
      <c r="E2013" s="65" t="n">
        <v>-1849874.48003087</v>
      </c>
      <c r="F2013" s="65" t="n">
        <v>-1850663.52153087</v>
      </c>
      <c r="G2013" s="65" t="n">
        <v>-1851479.02603087</v>
      </c>
      <c r="H2013" s="65" t="n">
        <v>-1855886.52703087</v>
      </c>
      <c r="I2013" s="65" t="n">
        <v>-1860426.25306087</v>
      </c>
      <c r="J2013" s="65" t="n">
        <v>-1865102.17087177</v>
      </c>
      <c r="K2013" s="65" t="n">
        <v>-1869918.36621699</v>
      </c>
      <c r="L2013" s="65" t="n">
        <v>-1874879.04742258</v>
      </c>
      <c r="M2013" s="65" t="n">
        <v>-1879988.54906433</v>
      </c>
      <c r="N2013" s="65" t="n">
        <v>-1885251.33575533</v>
      </c>
      <c r="O2013" s="65" t="n">
        <v>-1890672.00604707</v>
      </c>
      <c r="P2013" s="65" t="n">
        <v>-1896255.29644755</v>
      </c>
      <c r="Q2013" s="65" t="n">
        <v>-1902006.08556005</v>
      </c>
      <c r="R2013" s="65" t="n">
        <v>-544532.4350126</v>
      </c>
      <c r="S2013" s="65" t="n">
        <v>-161892.577182047</v>
      </c>
      <c r="T2013" s="65" t="n">
        <v>-168176.619716583</v>
      </c>
      <c r="U2013" s="65" t="n">
        <v>-174649.183527154</v>
      </c>
      <c r="V2013" s="65" t="n">
        <v>-181315.924252043</v>
      </c>
      <c r="W2013" s="2"/>
    </row>
    <row r="2014" customFormat="false" ht="12.75" hidden="false" customHeight="false" outlineLevel="0" collapsed="false">
      <c r="A2014" s="2"/>
      <c r="B2014" s="125" t="s">
        <v>51</v>
      </c>
      <c r="C2014" s="134"/>
      <c r="D2014" s="65" t="n">
        <v>0</v>
      </c>
      <c r="E2014" s="65" t="n">
        <v>0</v>
      </c>
      <c r="F2014" s="65" t="n">
        <v>0</v>
      </c>
      <c r="G2014" s="65" t="n">
        <v>0</v>
      </c>
      <c r="H2014" s="65" t="n">
        <v>0</v>
      </c>
      <c r="I2014" s="65" t="n">
        <v>0</v>
      </c>
      <c r="J2014" s="65" t="n">
        <v>0</v>
      </c>
      <c r="K2014" s="65" t="n">
        <v>0</v>
      </c>
      <c r="L2014" s="65" t="n">
        <v>0</v>
      </c>
      <c r="M2014" s="65" t="n">
        <v>0</v>
      </c>
      <c r="N2014" s="65" t="n">
        <v>0</v>
      </c>
      <c r="O2014" s="65" t="n">
        <v>0</v>
      </c>
      <c r="P2014" s="65" t="n">
        <v>0</v>
      </c>
      <c r="Q2014" s="65" t="n">
        <v>0</v>
      </c>
      <c r="R2014" s="65" t="n">
        <v>0</v>
      </c>
      <c r="S2014" s="65" t="n">
        <v>0</v>
      </c>
      <c r="T2014" s="65" t="n">
        <v>0</v>
      </c>
      <c r="U2014" s="65" t="n">
        <v>0</v>
      </c>
      <c r="V2014" s="65" t="n">
        <v>0</v>
      </c>
      <c r="W2014" s="2"/>
    </row>
    <row r="2015" customFormat="false" ht="12.75" hidden="false" customHeight="false" outlineLevel="0" collapsed="false">
      <c r="A2015" s="2"/>
      <c r="B2015" s="137" t="s">
        <v>52</v>
      </c>
      <c r="C2015" s="138"/>
      <c r="D2015" s="88" t="n">
        <v>3304800.87463439</v>
      </c>
      <c r="E2015" s="88" t="n">
        <v>1721908.19961912</v>
      </c>
      <c r="F2015" s="88" t="n">
        <v>1213246.56809704</v>
      </c>
      <c r="G2015" s="88" t="n">
        <v>609055.458007773</v>
      </c>
      <c r="H2015" s="88" t="n">
        <v>516603.686536364</v>
      </c>
      <c r="I2015" s="88" t="n">
        <v>404780.019285936</v>
      </c>
      <c r="J2015" s="88" t="n">
        <v>747607.433467428</v>
      </c>
      <c r="K2015" s="88" t="n">
        <v>1755556.4509088</v>
      </c>
      <c r="L2015" s="88" t="n">
        <v>1923671.59879235</v>
      </c>
      <c r="M2015" s="88" t="n">
        <v>1995668.86286152</v>
      </c>
      <c r="N2015" s="88" t="n">
        <v>1118050.0648525</v>
      </c>
      <c r="O2015" s="88" t="n">
        <v>1639766.82165707</v>
      </c>
      <c r="P2015" s="88" t="n">
        <v>1403630.05428399</v>
      </c>
      <c r="Q2015" s="88" t="n">
        <v>2231662.94773979</v>
      </c>
      <c r="R2015" s="88" t="n">
        <v>3011098.50414376</v>
      </c>
      <c r="S2015" s="88" t="n">
        <v>2703929.65814517</v>
      </c>
      <c r="T2015" s="88" t="n">
        <v>2948963.24973293</v>
      </c>
      <c r="U2015" s="88" t="n">
        <v>3451445.0114983</v>
      </c>
      <c r="V2015" s="88" t="n">
        <v>3035136.12635899</v>
      </c>
      <c r="W2015" s="2"/>
    </row>
    <row r="2016" customFormat="false" ht="13.5" hidden="false" customHeight="false" outlineLevel="0" collapsed="false">
      <c r="A2016" s="2"/>
      <c r="B2016" s="143" t="s">
        <v>53</v>
      </c>
      <c r="C2016" s="144"/>
      <c r="D2016" s="96" t="n">
        <v>-1321920.34985375</v>
      </c>
      <c r="E2016" s="96" t="n">
        <v>-688763.279847647</v>
      </c>
      <c r="F2016" s="96" t="n">
        <v>-485298.627238816</v>
      </c>
      <c r="G2016" s="96" t="n">
        <v>-243622.183203109</v>
      </c>
      <c r="H2016" s="96" t="n">
        <v>-206641.474614546</v>
      </c>
      <c r="I2016" s="96" t="n">
        <v>-161912.007714374</v>
      </c>
      <c r="J2016" s="96" t="n">
        <v>-299042.973386971</v>
      </c>
      <c r="K2016" s="96" t="n">
        <v>-702222.580363521</v>
      </c>
      <c r="L2016" s="96" t="n">
        <v>-769468.639516939</v>
      </c>
      <c r="M2016" s="96" t="n">
        <v>-798267.545144607</v>
      </c>
      <c r="N2016" s="96" t="n">
        <v>-447220.025941</v>
      </c>
      <c r="O2016" s="96" t="n">
        <v>-655906.728662827</v>
      </c>
      <c r="P2016" s="96" t="n">
        <v>-561452.021713596</v>
      </c>
      <c r="Q2016" s="96" t="n">
        <v>-892665.179095916</v>
      </c>
      <c r="R2016" s="96" t="n">
        <v>-1204439.4016575</v>
      </c>
      <c r="S2016" s="96" t="n">
        <v>-1081571.86325807</v>
      </c>
      <c r="T2016" s="96" t="n">
        <v>-1179585.29989317</v>
      </c>
      <c r="U2016" s="96" t="n">
        <v>-1380578.00459932</v>
      </c>
      <c r="V2016" s="96" t="n">
        <v>-1214054.4505436</v>
      </c>
      <c r="W2016" s="2"/>
    </row>
    <row r="2017" customFormat="false" ht="13.5" hidden="false" customHeight="false" outlineLevel="0" collapsed="false">
      <c r="A2017" s="2"/>
      <c r="B2017" s="137" t="s">
        <v>54</v>
      </c>
      <c r="C2017" s="138"/>
      <c r="D2017" s="88" t="n">
        <v>1982880.52478063</v>
      </c>
      <c r="E2017" s="88" t="n">
        <v>1033144.91977147</v>
      </c>
      <c r="F2017" s="88" t="n">
        <v>727947.940858224</v>
      </c>
      <c r="G2017" s="88" t="n">
        <v>365433.274804664</v>
      </c>
      <c r="H2017" s="88" t="n">
        <v>309962.211921819</v>
      </c>
      <c r="I2017" s="88" t="n">
        <v>242868.011571562</v>
      </c>
      <c r="J2017" s="88" t="n">
        <v>448564.460080457</v>
      </c>
      <c r="K2017" s="88" t="n">
        <v>1053333.87054528</v>
      </c>
      <c r="L2017" s="88" t="n">
        <v>1154202.95927541</v>
      </c>
      <c r="M2017" s="88" t="n">
        <v>1197401.31771691</v>
      </c>
      <c r="N2017" s="88" t="n">
        <v>670830.0389115</v>
      </c>
      <c r="O2017" s="88" t="n">
        <v>983860.09299424</v>
      </c>
      <c r="P2017" s="88" t="n">
        <v>842178.032570394</v>
      </c>
      <c r="Q2017" s="88" t="n">
        <v>1338997.76864387</v>
      </c>
      <c r="R2017" s="88" t="n">
        <v>1806659.10248625</v>
      </c>
      <c r="S2017" s="88" t="n">
        <v>1622357.7948871</v>
      </c>
      <c r="T2017" s="88" t="n">
        <v>1769377.94983976</v>
      </c>
      <c r="U2017" s="88" t="n">
        <v>2070867.00689898</v>
      </c>
      <c r="V2017" s="88" t="n">
        <v>1821081.67581539</v>
      </c>
      <c r="W2017" s="2"/>
    </row>
    <row r="2018" customFormat="false" ht="12.75" hidden="false" customHeight="false" outlineLevel="0" collapsed="false">
      <c r="A2018" s="2"/>
      <c r="B2018" s="2"/>
      <c r="C2018" s="134"/>
      <c r="D2018" s="2"/>
      <c r="E2018" s="135"/>
      <c r="F2018" s="128"/>
      <c r="G2018" s="136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</row>
    <row r="2019" customFormat="false" ht="15.75" hidden="false" customHeight="false" outlineLevel="0" collapsed="false">
      <c r="A2019" s="97" t="s">
        <v>55</v>
      </c>
      <c r="B2019" s="145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</row>
    <row r="2020" customFormat="false" ht="12.75" hidden="false" customHeight="false" outlineLevel="0" collapsed="false">
      <c r="A2020" s="99" t="s">
        <v>56</v>
      </c>
      <c r="B2020" s="49"/>
      <c r="C2020" s="101" t="n">
        <v>0</v>
      </c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</row>
    <row r="2021" customFormat="false" ht="12.75" hidden="false" customHeight="false" outlineLevel="0" collapsed="false">
      <c r="A2021" s="99" t="s">
        <v>57</v>
      </c>
      <c r="B2021" s="49"/>
      <c r="C2021" s="146" t="n">
        <v>0</v>
      </c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</row>
    <row r="2022" customFormat="false" ht="12.75" hidden="false" customHeight="false" outlineLevel="0" collapsed="false">
      <c r="A2022" s="99" t="s">
        <v>58</v>
      </c>
      <c r="B2022" s="49"/>
      <c r="C2022" s="99" t="n">
        <v>15</v>
      </c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</row>
    <row r="2023" customFormat="false" ht="12.75" hidden="false" customHeight="false" outlineLevel="0" collapsed="false">
      <c r="A2023" s="99" t="s">
        <v>59</v>
      </c>
      <c r="B2023" s="49"/>
      <c r="C2023" s="146" t="n">
        <v>0</v>
      </c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</row>
    <row r="2024" customFormat="false" ht="12.75" hidden="false" customHeight="false" outlineLevel="0" collapsed="false">
      <c r="A2024" s="99" t="s">
        <v>60</v>
      </c>
      <c r="B2024" s="49"/>
      <c r="C2024" s="147" t="n">
        <v>0.0875</v>
      </c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</row>
    <row r="2025" customFormat="false" ht="12.75" hidden="false" customHeight="false" outlineLevel="0" collapsed="false">
      <c r="A2025" s="99"/>
      <c r="B2025" s="49"/>
      <c r="C2025" s="107"/>
      <c r="D2025" s="58" t="n">
        <v>2001</v>
      </c>
      <c r="E2025" s="58" t="n">
        <v>2002</v>
      </c>
      <c r="F2025" s="58" t="n">
        <v>2003</v>
      </c>
      <c r="G2025" s="58" t="n">
        <v>2004</v>
      </c>
      <c r="H2025" s="58" t="n">
        <v>2005</v>
      </c>
      <c r="I2025" s="58" t="n">
        <v>2006</v>
      </c>
      <c r="J2025" s="58" t="n">
        <v>2007</v>
      </c>
      <c r="K2025" s="58" t="n">
        <v>2008</v>
      </c>
      <c r="L2025" s="58" t="n">
        <v>2009</v>
      </c>
      <c r="M2025" s="58" t="n">
        <v>2010</v>
      </c>
      <c r="N2025" s="58" t="n">
        <v>2011</v>
      </c>
      <c r="O2025" s="58" t="n">
        <v>2012</v>
      </c>
      <c r="P2025" s="58" t="n">
        <v>2013</v>
      </c>
      <c r="Q2025" s="58" t="n">
        <v>2014</v>
      </c>
      <c r="R2025" s="58" t="n">
        <v>2015</v>
      </c>
      <c r="S2025" s="58" t="n">
        <v>2016</v>
      </c>
      <c r="T2025" s="58" t="n">
        <v>2017</v>
      </c>
      <c r="U2025" s="58" t="n">
        <v>2018</v>
      </c>
      <c r="V2025" s="58" t="n">
        <v>2019</v>
      </c>
      <c r="W2025" s="58" t="s">
        <v>19</v>
      </c>
    </row>
    <row r="2026" customFormat="false" ht="12.75" hidden="false" customHeight="false" outlineLevel="0" collapsed="false">
      <c r="A2026" s="99" t="s">
        <v>61</v>
      </c>
      <c r="B2026" s="49"/>
      <c r="C2026" s="107"/>
      <c r="D2026" s="102" t="n">
        <v>0</v>
      </c>
      <c r="E2026" s="102" t="n">
        <v>0</v>
      </c>
      <c r="F2026" s="102" t="n">
        <v>0</v>
      </c>
      <c r="G2026" s="102" t="n">
        <v>0</v>
      </c>
      <c r="H2026" s="102" t="n">
        <v>0</v>
      </c>
      <c r="I2026" s="102" t="n">
        <v>0</v>
      </c>
      <c r="J2026" s="102" t="n">
        <v>0</v>
      </c>
      <c r="K2026" s="102" t="n">
        <v>0</v>
      </c>
      <c r="L2026" s="102" t="n">
        <v>0</v>
      </c>
      <c r="M2026" s="102" t="n">
        <v>0</v>
      </c>
      <c r="N2026" s="102" t="n">
        <v>0</v>
      </c>
      <c r="O2026" s="102" t="n">
        <v>0</v>
      </c>
      <c r="P2026" s="102" t="n">
        <v>0</v>
      </c>
      <c r="Q2026" s="102" t="n">
        <v>0</v>
      </c>
      <c r="R2026" s="102" t="n">
        <v>0</v>
      </c>
      <c r="S2026" s="102" t="n">
        <v>0</v>
      </c>
      <c r="T2026" s="102" t="n">
        <v>0</v>
      </c>
      <c r="U2026" s="102" t="n">
        <v>0</v>
      </c>
      <c r="V2026" s="102" t="n">
        <v>0</v>
      </c>
      <c r="W2026" s="102" t="n">
        <v>0</v>
      </c>
    </row>
    <row r="2027" customFormat="false" ht="12.75" hidden="false" customHeight="false" outlineLevel="0" collapsed="false">
      <c r="A2027" s="99" t="s">
        <v>62</v>
      </c>
      <c r="B2027" s="49"/>
      <c r="C2027" s="107"/>
      <c r="D2027" s="102" t="n">
        <v>0</v>
      </c>
      <c r="E2027" s="102" t="n">
        <v>0</v>
      </c>
      <c r="F2027" s="102" t="n">
        <v>0</v>
      </c>
      <c r="G2027" s="102" t="n">
        <v>0</v>
      </c>
      <c r="H2027" s="102" t="n">
        <v>0</v>
      </c>
      <c r="I2027" s="102" t="n">
        <v>0</v>
      </c>
      <c r="J2027" s="102" t="n">
        <v>0</v>
      </c>
      <c r="K2027" s="102" t="n">
        <v>0</v>
      </c>
      <c r="L2027" s="102" t="n">
        <v>0</v>
      </c>
      <c r="M2027" s="102" t="n">
        <v>0</v>
      </c>
      <c r="N2027" s="102" t="n">
        <v>0</v>
      </c>
      <c r="O2027" s="102" t="n">
        <v>0</v>
      </c>
      <c r="P2027" s="102" t="n">
        <v>0</v>
      </c>
      <c r="Q2027" s="102" t="n">
        <v>0</v>
      </c>
      <c r="R2027" s="102" t="n">
        <v>0</v>
      </c>
      <c r="S2027" s="102" t="n">
        <v>0</v>
      </c>
      <c r="T2027" s="102" t="n">
        <v>0</v>
      </c>
      <c r="U2027" s="102" t="n">
        <v>0</v>
      </c>
      <c r="V2027" s="102" t="n">
        <v>0</v>
      </c>
      <c r="W2027" s="102" t="n">
        <v>0</v>
      </c>
    </row>
    <row r="2028" customFormat="false" ht="12.75" hidden="false" customHeight="false" outlineLevel="0" collapsed="false">
      <c r="A2028" s="99" t="s">
        <v>63</v>
      </c>
      <c r="B2028" s="49"/>
      <c r="C2028" s="107"/>
      <c r="D2028" s="102" t="n">
        <v>0</v>
      </c>
      <c r="E2028" s="102" t="n">
        <v>0</v>
      </c>
      <c r="F2028" s="102" t="n">
        <v>0</v>
      </c>
      <c r="G2028" s="102" t="n">
        <v>0</v>
      </c>
      <c r="H2028" s="102" t="n">
        <v>0</v>
      </c>
      <c r="I2028" s="102" t="n">
        <v>0</v>
      </c>
      <c r="J2028" s="102" t="n">
        <v>0</v>
      </c>
      <c r="K2028" s="102" t="n">
        <v>0</v>
      </c>
      <c r="L2028" s="102" t="n">
        <v>0</v>
      </c>
      <c r="M2028" s="102" t="n">
        <v>0</v>
      </c>
      <c r="N2028" s="102" t="n">
        <v>0</v>
      </c>
      <c r="O2028" s="102" t="n">
        <v>0</v>
      </c>
      <c r="P2028" s="102" t="n">
        <v>0</v>
      </c>
      <c r="Q2028" s="102" t="n">
        <v>0</v>
      </c>
      <c r="R2028" s="102" t="n">
        <v>0</v>
      </c>
      <c r="S2028" s="102" t="n">
        <v>0</v>
      </c>
      <c r="T2028" s="102" t="n">
        <v>0</v>
      </c>
      <c r="U2028" s="102" t="n">
        <v>0</v>
      </c>
      <c r="V2028" s="102" t="n">
        <v>0</v>
      </c>
      <c r="W2028" s="102" t="n">
        <v>0</v>
      </c>
    </row>
    <row r="2029" customFormat="false" ht="12.75" hidden="false" customHeight="false" outlineLevel="0" collapsed="false">
      <c r="A2029" s="99" t="s">
        <v>64</v>
      </c>
      <c r="B2029" s="49"/>
      <c r="C2029" s="107"/>
      <c r="D2029" s="105" t="n">
        <v>0</v>
      </c>
      <c r="E2029" s="105" t="n">
        <v>0</v>
      </c>
      <c r="F2029" s="105" t="n">
        <v>0</v>
      </c>
      <c r="G2029" s="105" t="n">
        <v>0</v>
      </c>
      <c r="H2029" s="105" t="n">
        <v>0</v>
      </c>
      <c r="I2029" s="105" t="n">
        <v>0</v>
      </c>
      <c r="J2029" s="105" t="n">
        <v>0</v>
      </c>
      <c r="K2029" s="105" t="n">
        <v>0</v>
      </c>
      <c r="L2029" s="105" t="n">
        <v>0</v>
      </c>
      <c r="M2029" s="105" t="n">
        <v>0</v>
      </c>
      <c r="N2029" s="105" t="n">
        <v>0</v>
      </c>
      <c r="O2029" s="105" t="n">
        <v>0</v>
      </c>
      <c r="P2029" s="105" t="n">
        <v>0</v>
      </c>
      <c r="Q2029" s="105" t="n">
        <v>0</v>
      </c>
      <c r="R2029" s="105" t="n">
        <v>0</v>
      </c>
      <c r="S2029" s="105" t="n">
        <v>0</v>
      </c>
      <c r="T2029" s="105" t="n">
        <v>0</v>
      </c>
      <c r="U2029" s="105" t="n">
        <v>0</v>
      </c>
      <c r="V2029" s="105" t="n">
        <v>0</v>
      </c>
      <c r="W2029" s="105" t="n">
        <v>0</v>
      </c>
    </row>
    <row r="2030" customFormat="false" ht="13.5" hidden="false" customHeight="false" outlineLevel="0" collapsed="false">
      <c r="A2030" s="99" t="s">
        <v>65</v>
      </c>
      <c r="B2030" s="49"/>
      <c r="C2030" s="107"/>
      <c r="D2030" s="106" t="n">
        <v>0</v>
      </c>
      <c r="E2030" s="106" t="n">
        <v>0</v>
      </c>
      <c r="F2030" s="106" t="n">
        <v>0</v>
      </c>
      <c r="G2030" s="106" t="n">
        <v>0</v>
      </c>
      <c r="H2030" s="106" t="n">
        <v>0</v>
      </c>
      <c r="I2030" s="106" t="n">
        <v>0</v>
      </c>
      <c r="J2030" s="106" t="n">
        <v>0</v>
      </c>
      <c r="K2030" s="106" t="n">
        <v>0</v>
      </c>
      <c r="L2030" s="106" t="n">
        <v>0</v>
      </c>
      <c r="M2030" s="106" t="n">
        <v>0</v>
      </c>
      <c r="N2030" s="106" t="n">
        <v>0</v>
      </c>
      <c r="O2030" s="106" t="n">
        <v>0</v>
      </c>
      <c r="P2030" s="106" t="n">
        <v>0</v>
      </c>
      <c r="Q2030" s="106" t="n">
        <v>0</v>
      </c>
      <c r="R2030" s="106" t="n">
        <v>0</v>
      </c>
      <c r="S2030" s="106" t="n">
        <v>0</v>
      </c>
      <c r="T2030" s="106" t="n">
        <v>0</v>
      </c>
      <c r="U2030" s="106" t="n">
        <v>0</v>
      </c>
      <c r="V2030" s="106" t="n">
        <v>0</v>
      </c>
      <c r="W2030" s="106" t="n">
        <v>0</v>
      </c>
    </row>
    <row r="2031" customFormat="false" ht="13.5" hidden="false" customHeight="false" outlineLevel="0" collapsed="false">
      <c r="A2031" s="99"/>
      <c r="B2031" s="49"/>
      <c r="C2031" s="107"/>
      <c r="D2031" s="102"/>
      <c r="E2031" s="102"/>
      <c r="F2031" s="102"/>
      <c r="G2031" s="102"/>
      <c r="H2031" s="102"/>
      <c r="I2031" s="102"/>
      <c r="J2031" s="102"/>
      <c r="K2031" s="102"/>
      <c r="L2031" s="102"/>
      <c r="M2031" s="102"/>
      <c r="N2031" s="102"/>
      <c r="O2031" s="102"/>
      <c r="P2031" s="102"/>
      <c r="Q2031" s="102"/>
      <c r="R2031" s="102"/>
      <c r="S2031" s="102"/>
      <c r="T2031" s="102"/>
      <c r="U2031" s="102"/>
      <c r="V2031" s="102"/>
      <c r="W2031" s="102"/>
    </row>
    <row r="2032" customFormat="false" ht="12.75" hidden="false" customHeight="false" outlineLevel="0" collapsed="false">
      <c r="A2032" s="99" t="s">
        <v>66</v>
      </c>
      <c r="B2032" s="49"/>
      <c r="C2032" s="107"/>
      <c r="D2032" s="102" t="n">
        <v>0</v>
      </c>
      <c r="E2032" s="102" t="n">
        <v>0</v>
      </c>
      <c r="F2032" s="102" t="n">
        <v>0</v>
      </c>
      <c r="G2032" s="102" t="n">
        <v>0</v>
      </c>
      <c r="H2032" s="102" t="n">
        <v>0</v>
      </c>
      <c r="I2032" s="102" t="n">
        <v>0</v>
      </c>
      <c r="J2032" s="102" t="n">
        <v>0</v>
      </c>
      <c r="K2032" s="102" t="n">
        <v>0</v>
      </c>
      <c r="L2032" s="102" t="n">
        <v>0</v>
      </c>
      <c r="M2032" s="102" t="n">
        <v>0</v>
      </c>
      <c r="N2032" s="102" t="n">
        <v>0</v>
      </c>
      <c r="O2032" s="102" t="n">
        <v>0</v>
      </c>
      <c r="P2032" s="102" t="n">
        <v>0</v>
      </c>
      <c r="Q2032" s="102" t="n">
        <v>0</v>
      </c>
      <c r="R2032" s="102" t="n">
        <v>0</v>
      </c>
      <c r="S2032" s="102" t="n">
        <v>0</v>
      </c>
      <c r="T2032" s="102" t="n">
        <v>0</v>
      </c>
      <c r="U2032" s="102" t="n">
        <v>0</v>
      </c>
      <c r="V2032" s="102" t="n">
        <v>0</v>
      </c>
      <c r="W2032" s="102" t="n">
        <v>0</v>
      </c>
    </row>
    <row r="2033" customFormat="false" ht="12.75" hidden="false" customHeight="false" outlineLevel="0" collapsed="false">
      <c r="A2033" s="99"/>
      <c r="B2033" s="49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</row>
    <row r="2034" customFormat="false" ht="12.75" hidden="false" customHeight="false" outlineLevel="0" collapsed="false">
      <c r="A2034" s="99" t="s">
        <v>67</v>
      </c>
      <c r="B2034" s="49"/>
      <c r="C2034" s="107"/>
      <c r="D2034" s="102" t="n">
        <v>0</v>
      </c>
      <c r="E2034" s="102" t="n">
        <v>0</v>
      </c>
      <c r="F2034" s="102" t="n">
        <v>0</v>
      </c>
      <c r="G2034" s="102" t="n">
        <v>0</v>
      </c>
      <c r="H2034" s="102" t="n">
        <v>0</v>
      </c>
      <c r="I2034" s="102" t="n">
        <v>0</v>
      </c>
      <c r="J2034" s="102" t="n">
        <v>0</v>
      </c>
      <c r="K2034" s="102" t="n">
        <v>0</v>
      </c>
      <c r="L2034" s="102" t="n">
        <v>0</v>
      </c>
      <c r="M2034" s="102" t="n">
        <v>0</v>
      </c>
      <c r="N2034" s="102" t="n">
        <v>0</v>
      </c>
      <c r="O2034" s="102" t="n">
        <v>0</v>
      </c>
      <c r="P2034" s="102" t="n">
        <v>0</v>
      </c>
      <c r="Q2034" s="102" t="n">
        <v>0</v>
      </c>
      <c r="R2034" s="102" t="n">
        <v>0</v>
      </c>
      <c r="S2034" s="102" t="n">
        <v>0</v>
      </c>
      <c r="T2034" s="102" t="n">
        <v>0</v>
      </c>
      <c r="U2034" s="102" t="n">
        <v>0</v>
      </c>
      <c r="V2034" s="102" t="n">
        <v>0</v>
      </c>
      <c r="W2034" s="102" t="n">
        <v>0</v>
      </c>
    </row>
    <row r="2035" customFormat="false" ht="12.75" hidden="false" customHeight="false" outlineLevel="0" collapsed="false">
      <c r="A2035" s="107"/>
      <c r="B2035" s="49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</row>
    <row r="2036" customFormat="false" ht="12.75" hidden="false" customHeight="false" outlineLevel="0" collapsed="false">
      <c r="A2036" s="107"/>
      <c r="B2036" s="49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</row>
    <row r="2037" customFormat="false" ht="12.75" hidden="false" customHeight="false" outlineLevel="0" collapsed="false">
      <c r="A2037" s="99" t="s">
        <v>68</v>
      </c>
      <c r="B2037" s="148"/>
      <c r="C2037" s="149"/>
      <c r="D2037" s="79" t="n">
        <v>3943597.53031582</v>
      </c>
      <c r="E2037" s="79" t="n">
        <v>2648972.20987035</v>
      </c>
      <c r="F2037" s="79" t="n">
        <v>2710885.29333976</v>
      </c>
      <c r="G2037" s="79" t="n">
        <v>2349116.99781224</v>
      </c>
      <c r="H2037" s="79" t="n">
        <v>2223993.11375706</v>
      </c>
      <c r="I2037" s="79" t="n">
        <v>2159953.05941775</v>
      </c>
      <c r="J2037" s="79" t="n">
        <v>1977701.76763986</v>
      </c>
      <c r="K2037" s="79" t="n">
        <v>2150814.0823638</v>
      </c>
      <c r="L2037" s="79" t="n">
        <v>2203754.09245868</v>
      </c>
      <c r="M2037" s="79" t="n">
        <v>2244141.73136819</v>
      </c>
      <c r="N2037" s="79" t="n">
        <v>1719755.54984949</v>
      </c>
      <c r="O2037" s="79" t="n">
        <v>2034931.22690289</v>
      </c>
      <c r="P2037" s="79" t="n">
        <v>1895441.73384993</v>
      </c>
      <c r="Q2037" s="79" t="n">
        <v>2394470.47698209</v>
      </c>
      <c r="R2037" s="79" t="n">
        <v>2046370.45276157</v>
      </c>
      <c r="S2037" s="79" t="n">
        <v>1631220.35503097</v>
      </c>
      <c r="T2037" s="79" t="n">
        <v>1780708.11380823</v>
      </c>
      <c r="U2037" s="79" t="n">
        <v>2084738.80280679</v>
      </c>
      <c r="V2037" s="79" t="n">
        <v>1837571.35262073</v>
      </c>
      <c r="W2037" s="79" t="n">
        <v>12085963.9746983</v>
      </c>
    </row>
    <row r="2038" customFormat="false" ht="12.75" hidden="false" customHeight="false" outlineLevel="0" collapsed="false">
      <c r="A2038" s="2"/>
      <c r="B2038" s="31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</row>
    <row r="2039" customFormat="false" ht="12.75" hidden="false" customHeight="false" outlineLevel="0" collapsed="false">
      <c r="A2039" s="170"/>
      <c r="B2039" s="115"/>
      <c r="C2039" s="170"/>
      <c r="D2039" s="170"/>
      <c r="E2039" s="170"/>
      <c r="F2039" s="170"/>
      <c r="G2039" s="170"/>
      <c r="H2039" s="170"/>
      <c r="I2039" s="170"/>
      <c r="J2039" s="170"/>
      <c r="K2039" s="170"/>
      <c r="L2039" s="170"/>
      <c r="M2039" s="170"/>
      <c r="N2039" s="170"/>
      <c r="O2039" s="170"/>
      <c r="P2039" s="170"/>
      <c r="Q2039" s="170"/>
      <c r="R2039" s="170"/>
      <c r="S2039" s="170"/>
      <c r="T2039" s="170"/>
      <c r="U2039" s="170"/>
      <c r="V2039" s="170"/>
      <c r="W2039" s="170"/>
    </row>
    <row r="2040" customFormat="false" ht="12.75" hidden="false" customHeight="false" outlineLevel="0" collapsed="false">
      <c r="A2040" s="170"/>
      <c r="B2040" s="115"/>
      <c r="C2040" s="170"/>
      <c r="D2040" s="170"/>
      <c r="E2040" s="170"/>
      <c r="F2040" s="170"/>
      <c r="G2040" s="170"/>
      <c r="H2040" s="170"/>
      <c r="I2040" s="170"/>
      <c r="J2040" s="170"/>
      <c r="K2040" s="170"/>
      <c r="L2040" s="170"/>
      <c r="M2040" s="170"/>
      <c r="N2040" s="170"/>
      <c r="O2040" s="170"/>
      <c r="P2040" s="170"/>
      <c r="Q2040" s="170"/>
      <c r="R2040" s="170"/>
      <c r="S2040" s="170"/>
      <c r="T2040" s="170"/>
      <c r="U2040" s="170"/>
      <c r="V2040" s="170"/>
      <c r="W2040" s="170"/>
    </row>
    <row r="2041" customFormat="false" ht="12.75" hidden="false" customHeight="false" outlineLevel="0" collapsed="false">
      <c r="A2041" s="169"/>
      <c r="B2041" s="172"/>
      <c r="C2041" s="173"/>
      <c r="D2041" s="174"/>
      <c r="E2041" s="174"/>
      <c r="F2041" s="174"/>
      <c r="G2041" s="174"/>
      <c r="H2041" s="174"/>
      <c r="I2041" s="174"/>
      <c r="J2041" s="174"/>
      <c r="K2041" s="174"/>
      <c r="L2041" s="174"/>
      <c r="M2041" s="174"/>
      <c r="N2041" s="174"/>
      <c r="O2041" s="174"/>
      <c r="P2041" s="174"/>
      <c r="Q2041" s="174"/>
      <c r="R2041" s="174"/>
      <c r="S2041" s="174"/>
      <c r="T2041" s="174"/>
      <c r="U2041" s="174"/>
      <c r="V2041" s="174"/>
      <c r="W2041" s="174"/>
    </row>
    <row r="2042" customFormat="false" ht="12.75" hidden="false" customHeight="false" outlineLevel="0" collapsed="false">
      <c r="B2042" s="175"/>
    </row>
    <row r="2046" customFormat="false" ht="15.75" hidden="false" customHeight="false" outlineLevel="0" collapsed="false">
      <c r="A2046" s="48" t="s">
        <v>17</v>
      </c>
      <c r="B2046" s="57" t="s">
        <v>100</v>
      </c>
      <c r="C2046" s="58" t="n">
        <v>2000</v>
      </c>
      <c r="D2046" s="58" t="n">
        <v>2001</v>
      </c>
      <c r="E2046" s="58" t="n">
        <v>2002</v>
      </c>
      <c r="F2046" s="58" t="n">
        <v>2003</v>
      </c>
      <c r="G2046" s="58" t="n">
        <v>2004</v>
      </c>
      <c r="H2046" s="58" t="n">
        <v>2005</v>
      </c>
      <c r="I2046" s="58" t="n">
        <v>2006</v>
      </c>
      <c r="J2046" s="58" t="n">
        <v>2007</v>
      </c>
      <c r="K2046" s="58" t="n">
        <v>2008</v>
      </c>
      <c r="L2046" s="58" t="n">
        <v>2009</v>
      </c>
      <c r="M2046" s="58" t="n">
        <v>2010</v>
      </c>
      <c r="N2046" s="58" t="n">
        <v>2011</v>
      </c>
      <c r="O2046" s="58" t="n">
        <v>2012</v>
      </c>
      <c r="P2046" s="58" t="n">
        <v>2013</v>
      </c>
      <c r="Q2046" s="58" t="n">
        <v>2014</v>
      </c>
      <c r="R2046" s="58" t="n">
        <v>2015</v>
      </c>
      <c r="S2046" s="58" t="n">
        <v>2016</v>
      </c>
      <c r="T2046" s="58" t="n">
        <v>2017</v>
      </c>
      <c r="U2046" s="58" t="n">
        <v>2018</v>
      </c>
      <c r="V2046" s="58" t="n">
        <v>2019</v>
      </c>
      <c r="W2046" s="58" t="s">
        <v>19</v>
      </c>
    </row>
    <row r="2047" customFormat="false" ht="12.75" hidden="false" customHeight="false" outlineLevel="0" collapsed="false">
      <c r="A2047" s="48" t="s">
        <v>5</v>
      </c>
      <c r="B2047" s="49" t="n">
        <v>83.433</v>
      </c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1"/>
      <c r="U2047" s="61"/>
      <c r="V2047" s="61"/>
      <c r="W2047" s="61"/>
    </row>
    <row r="2048" customFormat="false" ht="12.75" hidden="false" customHeight="false" outlineLevel="0" collapsed="false">
      <c r="A2048" s="2"/>
      <c r="B2048" s="117" t="s">
        <v>20</v>
      </c>
      <c r="C2048" s="118" t="n">
        <v>0</v>
      </c>
      <c r="D2048" s="64" t="n">
        <v>8202175.39141969</v>
      </c>
      <c r="E2048" s="64" t="n">
        <v>7219125.19556247</v>
      </c>
      <c r="F2048" s="64" t="n">
        <v>6975429.92891035</v>
      </c>
      <c r="G2048" s="64" t="n">
        <v>6698801.53981955</v>
      </c>
      <c r="H2048" s="64" t="n">
        <v>6877286.90124915</v>
      </c>
      <c r="I2048" s="64" t="n">
        <v>7875918.16116401</v>
      </c>
      <c r="J2048" s="64" t="n">
        <v>9532366.51234013</v>
      </c>
      <c r="K2048" s="64" t="n">
        <v>12117113.0103676</v>
      </c>
      <c r="L2048" s="64" t="n">
        <v>12861496.0661958</v>
      </c>
      <c r="M2048" s="64" t="n">
        <v>11066696.0971635</v>
      </c>
      <c r="N2048" s="64" t="n">
        <v>10846097.9980071</v>
      </c>
      <c r="O2048" s="64" t="n">
        <v>10837165.4619768</v>
      </c>
      <c r="P2048" s="64" t="n">
        <v>10010041.08074</v>
      </c>
      <c r="Q2048" s="64" t="n">
        <v>11607660.5992968</v>
      </c>
      <c r="R2048" s="64" t="n">
        <v>10822858.6762665</v>
      </c>
      <c r="S2048" s="64" t="n">
        <v>10915874.0816648</v>
      </c>
      <c r="T2048" s="64" t="n">
        <v>10065899.0774091</v>
      </c>
      <c r="U2048" s="64" t="n">
        <v>11407206.8863037</v>
      </c>
      <c r="V2048" s="64" t="n">
        <v>12342873.4841228</v>
      </c>
      <c r="W2048" s="65"/>
    </row>
    <row r="2049" customFormat="false" ht="12.75" hidden="false" customHeight="false" outlineLevel="0" collapsed="false">
      <c r="A2049" s="2"/>
      <c r="B2049" s="117" t="s">
        <v>21</v>
      </c>
      <c r="C2049" s="118" t="n">
        <v>0</v>
      </c>
      <c r="D2049" s="64" t="n">
        <v>-2443747.15095388</v>
      </c>
      <c r="E2049" s="64" t="n">
        <v>-2991581.05241517</v>
      </c>
      <c r="F2049" s="64" t="n">
        <v>-3235039.69989279</v>
      </c>
      <c r="G2049" s="64" t="n">
        <v>-3544191.97559814</v>
      </c>
      <c r="H2049" s="64" t="n">
        <v>-3794796.96567439</v>
      </c>
      <c r="I2049" s="64" t="n">
        <v>-4944426.37962473</v>
      </c>
      <c r="J2049" s="64" t="n">
        <v>-6219182.82268616</v>
      </c>
      <c r="K2049" s="64" t="n">
        <v>-7723082.37659265</v>
      </c>
      <c r="L2049" s="64" t="n">
        <v>-8284094.12252955</v>
      </c>
      <c r="M2049" s="64" t="n">
        <v>-6482347.86682114</v>
      </c>
      <c r="N2049" s="64" t="n">
        <v>-7112818.16695236</v>
      </c>
      <c r="O2049" s="64" t="n">
        <v>-6598867.18665961</v>
      </c>
      <c r="P2049" s="64" t="n">
        <v>-6033835.20069249</v>
      </c>
      <c r="Q2049" s="64" t="n">
        <v>-6785562.71861277</v>
      </c>
      <c r="R2049" s="64" t="n">
        <v>-6609183.75658588</v>
      </c>
      <c r="S2049" s="64" t="n">
        <v>-7384920.38659215</v>
      </c>
      <c r="T2049" s="64" t="n">
        <v>-6300625.62055801</v>
      </c>
      <c r="U2049" s="64" t="n">
        <v>-7074580.36023023</v>
      </c>
      <c r="V2049" s="64" t="n">
        <v>-8373327.41472128</v>
      </c>
      <c r="W2049" s="65"/>
    </row>
    <row r="2050" customFormat="false" ht="12.75" hidden="false" customHeight="false" outlineLevel="0" collapsed="false">
      <c r="A2050" s="2"/>
      <c r="B2050" s="117" t="s">
        <v>22</v>
      </c>
      <c r="C2050" s="118" t="n">
        <v>0</v>
      </c>
      <c r="D2050" s="64" t="n">
        <v>-60965.9960270487</v>
      </c>
      <c r="E2050" s="64" t="n">
        <v>-86226.8817444926</v>
      </c>
      <c r="F2050" s="64" t="n">
        <v>-98920.0929284977</v>
      </c>
      <c r="G2050" s="64" t="n">
        <v>-108302.357800399</v>
      </c>
      <c r="H2050" s="64" t="n">
        <v>-115803.715903977</v>
      </c>
      <c r="I2050" s="64" t="n">
        <v>-156864.885978719</v>
      </c>
      <c r="J2050" s="64" t="n">
        <v>-192371.530618223</v>
      </c>
      <c r="K2050" s="64" t="n">
        <v>-262154.68285511</v>
      </c>
      <c r="L2050" s="64" t="n">
        <v>-274514.626462568</v>
      </c>
      <c r="M2050" s="64" t="n">
        <v>-209035.46436537</v>
      </c>
      <c r="N2050" s="64" t="n">
        <v>-234968.360631691</v>
      </c>
      <c r="O2050" s="64" t="n">
        <v>-219679.092167691</v>
      </c>
      <c r="P2050" s="64" t="n">
        <v>-198816.527507158</v>
      </c>
      <c r="Q2050" s="64" t="n">
        <v>-222370.272894788</v>
      </c>
      <c r="R2050" s="64" t="n">
        <v>-204501.470788994</v>
      </c>
      <c r="S2050" s="64" t="n">
        <v>-224078.643657812</v>
      </c>
      <c r="T2050" s="64" t="n">
        <v>-191744.267299548</v>
      </c>
      <c r="U2050" s="64" t="n">
        <v>-202409.859650827</v>
      </c>
      <c r="V2050" s="64" t="n">
        <v>-245710.990122286</v>
      </c>
      <c r="W2050" s="65"/>
    </row>
    <row r="2051" customFormat="false" ht="12.75" hidden="false" customHeight="false" outlineLevel="0" collapsed="false">
      <c r="A2051" s="2"/>
      <c r="B2051" s="117" t="s">
        <v>23</v>
      </c>
      <c r="C2051" s="118" t="n">
        <v>0</v>
      </c>
      <c r="D2051" s="64" t="n">
        <v>0</v>
      </c>
      <c r="E2051" s="64" t="n">
        <v>0</v>
      </c>
      <c r="F2051" s="64" t="n">
        <v>0</v>
      </c>
      <c r="G2051" s="64" t="n">
        <v>0</v>
      </c>
      <c r="H2051" s="64" t="n">
        <v>0</v>
      </c>
      <c r="I2051" s="64" t="n">
        <v>93418.0233270884</v>
      </c>
      <c r="J2051" s="64" t="n">
        <v>103546.416256845</v>
      </c>
      <c r="K2051" s="64" t="n">
        <v>114259.167463377</v>
      </c>
      <c r="L2051" s="64" t="n">
        <v>125495.637715741</v>
      </c>
      <c r="M2051" s="64" t="n">
        <v>139570.444155257</v>
      </c>
      <c r="N2051" s="64" t="n">
        <v>153747.39907892</v>
      </c>
      <c r="O2051" s="64" t="n">
        <v>170347.508693033</v>
      </c>
      <c r="P2051" s="64" t="n">
        <v>191004.368814188</v>
      </c>
      <c r="Q2051" s="64" t="n">
        <v>212617.66815242</v>
      </c>
      <c r="R2051" s="64" t="n">
        <v>235515.425372474</v>
      </c>
      <c r="S2051" s="64" t="n">
        <v>258595.647431392</v>
      </c>
      <c r="T2051" s="64" t="n">
        <v>254057.616455806</v>
      </c>
      <c r="U2051" s="64" t="n">
        <v>217360.03222342</v>
      </c>
      <c r="V2051" s="64" t="n">
        <v>225362.251242398</v>
      </c>
      <c r="W2051" s="65"/>
    </row>
    <row r="2052" customFormat="false" ht="13.5" hidden="false" customHeight="false" outlineLevel="0" collapsed="false">
      <c r="A2052" s="2"/>
      <c r="B2052" s="119" t="s">
        <v>24</v>
      </c>
      <c r="C2052" s="120" t="n">
        <v>0</v>
      </c>
      <c r="D2052" s="68" t="n">
        <v>0</v>
      </c>
      <c r="E2052" s="68" t="n">
        <v>0</v>
      </c>
      <c r="F2052" s="68" t="n">
        <v>0</v>
      </c>
      <c r="G2052" s="68" t="n">
        <v>0</v>
      </c>
      <c r="H2052" s="68" t="n">
        <v>0</v>
      </c>
      <c r="I2052" s="68" t="n">
        <v>0</v>
      </c>
      <c r="J2052" s="68" t="n">
        <v>0</v>
      </c>
      <c r="K2052" s="68" t="n">
        <v>0</v>
      </c>
      <c r="L2052" s="68" t="n">
        <v>0</v>
      </c>
      <c r="M2052" s="68" t="n">
        <v>0</v>
      </c>
      <c r="N2052" s="68" t="n">
        <v>0</v>
      </c>
      <c r="O2052" s="68" t="n">
        <v>0</v>
      </c>
      <c r="P2052" s="68" t="n">
        <v>0</v>
      </c>
      <c r="Q2052" s="68" t="n">
        <v>0</v>
      </c>
      <c r="R2052" s="68" t="n">
        <v>0</v>
      </c>
      <c r="S2052" s="68" t="n">
        <v>0</v>
      </c>
      <c r="T2052" s="68" t="n">
        <v>0</v>
      </c>
      <c r="U2052" s="68" t="n">
        <v>0</v>
      </c>
      <c r="V2052" s="68" t="n">
        <v>0</v>
      </c>
      <c r="W2052" s="65"/>
    </row>
    <row r="2053" customFormat="false" ht="13.5" hidden="false" customHeight="false" outlineLevel="0" collapsed="false">
      <c r="A2053" s="2"/>
      <c r="B2053" s="121" t="s">
        <v>25</v>
      </c>
      <c r="C2053" s="122" t="n">
        <v>0</v>
      </c>
      <c r="D2053" s="71" t="n">
        <v>5697462.24443877</v>
      </c>
      <c r="E2053" s="71" t="n">
        <v>4141317.26140281</v>
      </c>
      <c r="F2053" s="71" t="n">
        <v>3641470.13608906</v>
      </c>
      <c r="G2053" s="71" t="n">
        <v>3046307.20642101</v>
      </c>
      <c r="H2053" s="71" t="n">
        <v>2966686.21967078</v>
      </c>
      <c r="I2053" s="71" t="n">
        <v>2868044.91888765</v>
      </c>
      <c r="J2053" s="71" t="n">
        <v>3224358.5752926</v>
      </c>
      <c r="K2053" s="71" t="n">
        <v>4246135.11838324</v>
      </c>
      <c r="L2053" s="71" t="n">
        <v>4428382.95491944</v>
      </c>
      <c r="M2053" s="71" t="n">
        <v>4514883.2101322</v>
      </c>
      <c r="N2053" s="71" t="n">
        <v>3652058.86950197</v>
      </c>
      <c r="O2053" s="71" t="n">
        <v>4188966.69184257</v>
      </c>
      <c r="P2053" s="71" t="n">
        <v>3968393.72135451</v>
      </c>
      <c r="Q2053" s="71" t="n">
        <v>4812345.27594165</v>
      </c>
      <c r="R2053" s="71" t="n">
        <v>4244688.87426413</v>
      </c>
      <c r="S2053" s="71" t="n">
        <v>3565470.69884627</v>
      </c>
      <c r="T2053" s="71" t="n">
        <v>3827586.80600735</v>
      </c>
      <c r="U2053" s="71" t="n">
        <v>4347576.69864609</v>
      </c>
      <c r="V2053" s="71" t="n">
        <v>3949197.33052165</v>
      </c>
      <c r="W2053" s="65"/>
    </row>
    <row r="2054" customFormat="false" ht="12.75" hidden="false" customHeight="false" outlineLevel="0" collapsed="false">
      <c r="A2054" s="2"/>
      <c r="B2054" s="117" t="s">
        <v>26</v>
      </c>
      <c r="C2054" s="118" t="n">
        <v>0</v>
      </c>
      <c r="D2054" s="64" t="n">
        <v>-355535.162770781</v>
      </c>
      <c r="E2054" s="64" t="n">
        <v>-362645.866026196</v>
      </c>
      <c r="F2054" s="64" t="n">
        <v>-369898.78334672</v>
      </c>
      <c r="G2054" s="64" t="n">
        <v>-377296.759013655</v>
      </c>
      <c r="H2054" s="64" t="n">
        <v>-384842.694193928</v>
      </c>
      <c r="I2054" s="64" t="n">
        <v>-392539.548077806</v>
      </c>
      <c r="J2054" s="64" t="n">
        <v>-400390.339039362</v>
      </c>
      <c r="K2054" s="64" t="n">
        <v>-408398.14582015</v>
      </c>
      <c r="L2054" s="64" t="n">
        <v>-416566.108736553</v>
      </c>
      <c r="M2054" s="64" t="n">
        <v>-424897.430911284</v>
      </c>
      <c r="N2054" s="64" t="n">
        <v>-433395.379529509</v>
      </c>
      <c r="O2054" s="64" t="n">
        <v>-442063.2871201</v>
      </c>
      <c r="P2054" s="64" t="n">
        <v>-450904.552862502</v>
      </c>
      <c r="Q2054" s="64" t="n">
        <v>-459922.643919752</v>
      </c>
      <c r="R2054" s="64" t="n">
        <v>-469121.096798147</v>
      </c>
      <c r="S2054" s="64" t="n">
        <v>-478503.51873411</v>
      </c>
      <c r="T2054" s="64" t="n">
        <v>-488073.589108792</v>
      </c>
      <c r="U2054" s="64" t="n">
        <v>-497835.060890968</v>
      </c>
      <c r="V2054" s="64" t="n">
        <v>-507791.762108787</v>
      </c>
      <c r="W2054" s="65"/>
    </row>
    <row r="2055" customFormat="false" ht="12.75" hidden="false" customHeight="false" outlineLevel="0" collapsed="false">
      <c r="A2055" s="2"/>
      <c r="B2055" s="117" t="s">
        <v>27</v>
      </c>
      <c r="C2055" s="118" t="n">
        <v>0</v>
      </c>
      <c r="D2055" s="64" t="n">
        <v>-171612.579296875</v>
      </c>
      <c r="E2055" s="64" t="n">
        <v>-171612.579296875</v>
      </c>
      <c r="F2055" s="64" t="n">
        <v>-171612.579296875</v>
      </c>
      <c r="G2055" s="64" t="n">
        <v>-171612.579296875</v>
      </c>
      <c r="H2055" s="64" t="n">
        <v>-171612.579296875</v>
      </c>
      <c r="I2055" s="64" t="n">
        <v>-171612.579296875</v>
      </c>
      <c r="J2055" s="64" t="n">
        <v>-171612.579296875</v>
      </c>
      <c r="K2055" s="64" t="n">
        <v>-171612.579296875</v>
      </c>
      <c r="L2055" s="64" t="n">
        <v>-171612.579296875</v>
      </c>
      <c r="M2055" s="64" t="n">
        <v>-171612.579296875</v>
      </c>
      <c r="N2055" s="64" t="n">
        <v>-171612.579296875</v>
      </c>
      <c r="O2055" s="64" t="n">
        <v>-171612.579296875</v>
      </c>
      <c r="P2055" s="64" t="n">
        <v>-171612.579296875</v>
      </c>
      <c r="Q2055" s="64" t="n">
        <v>-171612.579296875</v>
      </c>
      <c r="R2055" s="64" t="n">
        <v>-171612.579296875</v>
      </c>
      <c r="S2055" s="64" t="n">
        <v>-171612.579296875</v>
      </c>
      <c r="T2055" s="64" t="n">
        <v>-171612.579296875</v>
      </c>
      <c r="U2055" s="64" t="n">
        <v>-171612.579296875</v>
      </c>
      <c r="V2055" s="64" t="n">
        <v>-171612.579296875</v>
      </c>
      <c r="W2055" s="65"/>
    </row>
    <row r="2056" customFormat="false" ht="13.5" hidden="false" customHeight="false" outlineLevel="0" collapsed="false">
      <c r="A2056" s="2"/>
      <c r="B2056" s="119" t="s">
        <v>28</v>
      </c>
      <c r="C2056" s="120" t="n">
        <v>0</v>
      </c>
      <c r="D2056" s="68" t="n">
        <v>-34547.1907058574</v>
      </c>
      <c r="E2056" s="68" t="n">
        <v>-35276.1364297512</v>
      </c>
      <c r="F2056" s="68" t="n">
        <v>-36048.6838175628</v>
      </c>
      <c r="G2056" s="68" t="n">
        <v>-36863.3840718394</v>
      </c>
      <c r="H2056" s="68" t="n">
        <v>-37740.7326127493</v>
      </c>
      <c r="I2056" s="68" t="n">
        <v>-38686.5191661684</v>
      </c>
      <c r="J2056" s="68" t="n">
        <v>-39646.0526171664</v>
      </c>
      <c r="K2056" s="68" t="n">
        <v>-40649.5761404166</v>
      </c>
      <c r="L2056" s="68" t="n">
        <v>-41653.6206710849</v>
      </c>
      <c r="M2056" s="68" t="n">
        <v>-42715.7879981975</v>
      </c>
      <c r="N2056" s="68" t="n">
        <v>-43749.510067754</v>
      </c>
      <c r="O2056" s="68" t="n">
        <v>-44851.9977214613</v>
      </c>
      <c r="P2056" s="68" t="n">
        <v>-45991.2384635863</v>
      </c>
      <c r="Q2056" s="68" t="n">
        <v>-47141.019425176</v>
      </c>
      <c r="R2056" s="68" t="n">
        <v>-48324.2590127479</v>
      </c>
      <c r="S2056" s="68" t="n">
        <v>-49532.3654880667</v>
      </c>
      <c r="T2056" s="68" t="n">
        <v>-50760.7681521706</v>
      </c>
      <c r="U2056" s="68" t="n">
        <v>-52034.8634327902</v>
      </c>
      <c r="V2056" s="68" t="n">
        <v>-53340.9385049533</v>
      </c>
      <c r="W2056" s="65"/>
    </row>
    <row r="2057" customFormat="false" ht="13.5" hidden="false" customHeight="false" outlineLevel="0" collapsed="false">
      <c r="A2057" s="2"/>
      <c r="B2057" s="121" t="s">
        <v>29</v>
      </c>
      <c r="C2057" s="123" t="n">
        <v>0</v>
      </c>
      <c r="D2057" s="73" t="n">
        <v>5135767.31166525</v>
      </c>
      <c r="E2057" s="73" t="n">
        <v>3571782.67964998</v>
      </c>
      <c r="F2057" s="73" t="n">
        <v>3063910.08962791</v>
      </c>
      <c r="G2057" s="73" t="n">
        <v>2460534.48403864</v>
      </c>
      <c r="H2057" s="73" t="n">
        <v>2372490.21356723</v>
      </c>
      <c r="I2057" s="73" t="n">
        <v>2265206.2723468</v>
      </c>
      <c r="J2057" s="73" t="n">
        <v>2612709.60433919</v>
      </c>
      <c r="K2057" s="73" t="n">
        <v>3625474.8171258</v>
      </c>
      <c r="L2057" s="73" t="n">
        <v>3798550.64621492</v>
      </c>
      <c r="M2057" s="73" t="n">
        <v>3875657.41192585</v>
      </c>
      <c r="N2057" s="73" t="n">
        <v>3003301.40060783</v>
      </c>
      <c r="O2057" s="73" t="n">
        <v>3530438.82770413</v>
      </c>
      <c r="P2057" s="73" t="n">
        <v>3299885.35073154</v>
      </c>
      <c r="Q2057" s="73" t="n">
        <v>4133669.03329984</v>
      </c>
      <c r="R2057" s="73" t="n">
        <v>3555630.93915636</v>
      </c>
      <c r="S2057" s="73" t="n">
        <v>2865822.23532722</v>
      </c>
      <c r="T2057" s="73" t="n">
        <v>3117139.86944951</v>
      </c>
      <c r="U2057" s="73" t="n">
        <v>3626094.19502545</v>
      </c>
      <c r="V2057" s="73" t="n">
        <v>3216452.05061103</v>
      </c>
      <c r="W2057" s="65"/>
    </row>
    <row r="2058" customFormat="false" ht="12.75" hidden="false" customHeight="false" outlineLevel="0" collapsed="false">
      <c r="A2058" s="2"/>
      <c r="B2058" s="117" t="s">
        <v>30</v>
      </c>
      <c r="C2058" s="118" t="n">
        <v>0</v>
      </c>
      <c r="D2058" s="64" t="n">
        <v>-2205815.00366667</v>
      </c>
      <c r="E2058" s="64" t="n">
        <v>-2222106.2867558</v>
      </c>
      <c r="F2058" s="64" t="n">
        <v>-2218245.91405503</v>
      </c>
      <c r="G2058" s="64" t="n">
        <v>-2220404.76990583</v>
      </c>
      <c r="H2058" s="64" t="n">
        <v>-2219370.1278627</v>
      </c>
      <c r="I2058" s="64" t="n">
        <v>-2226838.67183599</v>
      </c>
      <c r="J2058" s="64" t="n">
        <v>-1256795.68515762</v>
      </c>
      <c r="K2058" s="64" t="n">
        <v>-177461.229976316</v>
      </c>
      <c r="L2058" s="64" t="n">
        <v>-58419.5596683153</v>
      </c>
      <c r="M2058" s="64" t="n">
        <v>-51284.2651602691</v>
      </c>
      <c r="N2058" s="64" t="n">
        <v>-56410.5624402505</v>
      </c>
      <c r="O2058" s="64" t="n">
        <v>-61434.5797990517</v>
      </c>
      <c r="P2058" s="64" t="n">
        <v>-66566.8549217975</v>
      </c>
      <c r="Q2058" s="64" t="n">
        <v>-71729.7549648925</v>
      </c>
      <c r="R2058" s="64" t="n">
        <v>-77051.3986759469</v>
      </c>
      <c r="S2058" s="64" t="n">
        <v>-82659.2100316663</v>
      </c>
      <c r="T2058" s="64" t="n">
        <v>-88435.2557280573</v>
      </c>
      <c r="U2058" s="64" t="n">
        <v>-94384.58279534</v>
      </c>
      <c r="V2058" s="64" t="n">
        <v>-100512.389674641</v>
      </c>
      <c r="W2058" s="65"/>
    </row>
    <row r="2059" customFormat="false" ht="13.5" hidden="false" customHeight="false" outlineLevel="0" collapsed="false">
      <c r="A2059" s="2"/>
      <c r="B2059" s="119" t="s">
        <v>70</v>
      </c>
      <c r="C2059" s="120" t="n">
        <v>0</v>
      </c>
      <c r="D2059" s="68" t="n">
        <v>-1171980.92319943</v>
      </c>
      <c r="E2059" s="68" t="n">
        <v>-539870.557157673</v>
      </c>
      <c r="F2059" s="68" t="n">
        <v>-338265.670229149</v>
      </c>
      <c r="G2059" s="68" t="n">
        <v>-96051.8856531225</v>
      </c>
      <c r="H2059" s="68" t="n">
        <v>-61248.0342818124</v>
      </c>
      <c r="I2059" s="68" t="n">
        <v>-15347.0402043264</v>
      </c>
      <c r="J2059" s="68" t="n">
        <v>-542365.567672631</v>
      </c>
      <c r="K2059" s="68" t="n">
        <v>-1379205.43485979</v>
      </c>
      <c r="L2059" s="68" t="n">
        <v>-1496052.43461864</v>
      </c>
      <c r="M2059" s="68" t="n">
        <v>-1529749.25870623</v>
      </c>
      <c r="N2059" s="68" t="n">
        <v>-1178756.33526703</v>
      </c>
      <c r="O2059" s="68" t="n">
        <v>-1387601.69916203</v>
      </c>
      <c r="P2059" s="68" t="n">
        <v>-1293327.3983239</v>
      </c>
      <c r="Q2059" s="68" t="n">
        <v>-1624775.71133398</v>
      </c>
      <c r="R2059" s="68" t="n">
        <v>-1391431.81619216</v>
      </c>
      <c r="S2059" s="68" t="n">
        <v>-1113265.21011822</v>
      </c>
      <c r="T2059" s="68" t="n">
        <v>-1211481.84548858</v>
      </c>
      <c r="U2059" s="68" t="n">
        <v>-1412683.84489205</v>
      </c>
      <c r="V2059" s="68" t="n">
        <v>-1246375.86437456</v>
      </c>
      <c r="W2059" s="65"/>
    </row>
    <row r="2060" customFormat="false" ht="13.5" hidden="false" customHeight="false" outlineLevel="0" collapsed="false">
      <c r="A2060" s="2"/>
      <c r="B2060" s="121" t="s">
        <v>32</v>
      </c>
      <c r="C2060" s="123" t="n">
        <v>0</v>
      </c>
      <c r="D2060" s="73" t="n">
        <v>1757971.38479915</v>
      </c>
      <c r="E2060" s="73" t="n">
        <v>809805.83573651</v>
      </c>
      <c r="F2060" s="73" t="n">
        <v>507398.505343724</v>
      </c>
      <c r="G2060" s="73" t="n">
        <v>144077.828479684</v>
      </c>
      <c r="H2060" s="73" t="n">
        <v>91872.0514227186</v>
      </c>
      <c r="I2060" s="73" t="n">
        <v>23020.5603064897</v>
      </c>
      <c r="J2060" s="73" t="n">
        <v>813548.351508946</v>
      </c>
      <c r="K2060" s="73" t="n">
        <v>2068808.15228969</v>
      </c>
      <c r="L2060" s="73" t="n">
        <v>2244078.65192797</v>
      </c>
      <c r="M2060" s="73" t="n">
        <v>2294623.88805935</v>
      </c>
      <c r="N2060" s="73" t="n">
        <v>1768134.50290055</v>
      </c>
      <c r="O2060" s="73" t="n">
        <v>2081402.54874305</v>
      </c>
      <c r="P2060" s="73" t="n">
        <v>1939991.09748585</v>
      </c>
      <c r="Q2060" s="73" t="n">
        <v>2437163.56700097</v>
      </c>
      <c r="R2060" s="73" t="n">
        <v>2087147.72428825</v>
      </c>
      <c r="S2060" s="73" t="n">
        <v>1669897.81517733</v>
      </c>
      <c r="T2060" s="73" t="n">
        <v>1817222.76823287</v>
      </c>
      <c r="U2060" s="73" t="n">
        <v>2119025.76733807</v>
      </c>
      <c r="V2060" s="73" t="n">
        <v>1869563.79656183</v>
      </c>
      <c r="W2060" s="65"/>
    </row>
    <row r="2061" customFormat="false" ht="12.75" hidden="false" customHeight="false" outlineLevel="0" collapsed="false">
      <c r="A2061" s="2"/>
      <c r="B2061" s="117" t="s">
        <v>30</v>
      </c>
      <c r="C2061" s="118" t="n">
        <v>0</v>
      </c>
      <c r="D2061" s="64" t="n">
        <v>2205815.00366667</v>
      </c>
      <c r="E2061" s="64" t="n">
        <v>2222106.2867558</v>
      </c>
      <c r="F2061" s="64" t="n">
        <v>2218245.91405503</v>
      </c>
      <c r="G2061" s="64" t="n">
        <v>2220404.76990583</v>
      </c>
      <c r="H2061" s="64" t="n">
        <v>2219370.1278627</v>
      </c>
      <c r="I2061" s="64" t="n">
        <v>2226838.67183599</v>
      </c>
      <c r="J2061" s="64" t="n">
        <v>1256795.68515762</v>
      </c>
      <c r="K2061" s="64" t="n">
        <v>177461.229976316</v>
      </c>
      <c r="L2061" s="64" t="n">
        <v>58419.5596683153</v>
      </c>
      <c r="M2061" s="64" t="n">
        <v>51284.2651602691</v>
      </c>
      <c r="N2061" s="64" t="n">
        <v>56410.5624402505</v>
      </c>
      <c r="O2061" s="64" t="n">
        <v>61434.5797990517</v>
      </c>
      <c r="P2061" s="64" t="n">
        <v>66566.8549217975</v>
      </c>
      <c r="Q2061" s="64" t="n">
        <v>71729.7549648925</v>
      </c>
      <c r="R2061" s="64" t="n">
        <v>77051.3986759469</v>
      </c>
      <c r="S2061" s="64" t="n">
        <v>82659.2100316663</v>
      </c>
      <c r="T2061" s="64" t="n">
        <v>88435.2557280573</v>
      </c>
      <c r="U2061" s="64" t="n">
        <v>94384.58279534</v>
      </c>
      <c r="V2061" s="64" t="n">
        <v>100512.389674641</v>
      </c>
      <c r="W2061" s="65"/>
    </row>
    <row r="2062" customFormat="false" ht="12.75" hidden="false" customHeight="false" outlineLevel="0" collapsed="false">
      <c r="A2062" s="2"/>
      <c r="B2062" s="117" t="s">
        <v>33</v>
      </c>
      <c r="C2062" s="118" t="n">
        <v>0</v>
      </c>
      <c r="D2062" s="64" t="n">
        <v>-368862.32</v>
      </c>
      <c r="E2062" s="64" t="n">
        <v>-15323.09</v>
      </c>
      <c r="F2062" s="64" t="n">
        <v>-15780.83</v>
      </c>
      <c r="G2062" s="64" t="n">
        <v>-16310.09</v>
      </c>
      <c r="H2062" s="64" t="n">
        <v>-86379.108</v>
      </c>
      <c r="I2062" s="64" t="n">
        <v>-88970.48124</v>
      </c>
      <c r="J2062" s="64" t="n">
        <v>-91639.5956772</v>
      </c>
      <c r="K2062" s="64" t="n">
        <v>-94388.783547516</v>
      </c>
      <c r="L2062" s="64" t="n">
        <v>-97220.4470539415</v>
      </c>
      <c r="M2062" s="64" t="n">
        <v>-100137.06046556</v>
      </c>
      <c r="N2062" s="64" t="n">
        <v>-103141.172279527</v>
      </c>
      <c r="O2062" s="64" t="n">
        <v>-106235.407447912</v>
      </c>
      <c r="P2062" s="64" t="n">
        <v>-109422.46967135</v>
      </c>
      <c r="Q2062" s="64" t="n">
        <v>-112705.14376149</v>
      </c>
      <c r="R2062" s="64" t="n">
        <v>-116086.298074335</v>
      </c>
      <c r="S2062" s="64" t="n">
        <v>-119568.887016565</v>
      </c>
      <c r="T2062" s="64" t="n">
        <v>-123155.953627062</v>
      </c>
      <c r="U2062" s="64" t="n">
        <v>-126850.632235874</v>
      </c>
      <c r="V2062" s="64" t="n">
        <v>-130656.15120295</v>
      </c>
      <c r="W2062" s="65"/>
    </row>
    <row r="2063" customFormat="false" ht="13.5" hidden="false" customHeight="false" outlineLevel="0" collapsed="false">
      <c r="A2063" s="2"/>
      <c r="B2063" s="119" t="s">
        <v>34</v>
      </c>
      <c r="C2063" s="120" t="n">
        <v>0</v>
      </c>
      <c r="D2063" s="68" t="n">
        <v>0</v>
      </c>
      <c r="E2063" s="68" t="n">
        <v>0</v>
      </c>
      <c r="F2063" s="68" t="n">
        <v>0</v>
      </c>
      <c r="G2063" s="68" t="n">
        <v>0</v>
      </c>
      <c r="H2063" s="68" t="n">
        <v>0</v>
      </c>
      <c r="I2063" s="68" t="n">
        <v>0</v>
      </c>
      <c r="J2063" s="68" t="n">
        <v>0</v>
      </c>
      <c r="K2063" s="68" t="n">
        <v>0</v>
      </c>
      <c r="L2063" s="68" t="n">
        <v>0</v>
      </c>
      <c r="M2063" s="68" t="n">
        <v>0</v>
      </c>
      <c r="N2063" s="68" t="n">
        <v>0</v>
      </c>
      <c r="O2063" s="68" t="n">
        <v>0</v>
      </c>
      <c r="P2063" s="68" t="n">
        <v>0</v>
      </c>
      <c r="Q2063" s="68" t="n">
        <v>0</v>
      </c>
      <c r="R2063" s="68" t="n">
        <v>0</v>
      </c>
      <c r="S2063" s="68" t="n">
        <v>0</v>
      </c>
      <c r="T2063" s="68" t="n">
        <v>0</v>
      </c>
      <c r="U2063" s="68" t="n">
        <v>0</v>
      </c>
      <c r="V2063" s="68" t="n">
        <v>0</v>
      </c>
      <c r="W2063" s="65"/>
    </row>
    <row r="2064" customFormat="false" ht="13.5" hidden="false" customHeight="false" outlineLevel="0" collapsed="false">
      <c r="A2064" s="2"/>
      <c r="B2064" s="117"/>
      <c r="C2064" s="124"/>
      <c r="D2064" s="65"/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5"/>
      <c r="V2064" s="65"/>
      <c r="W2064" s="65"/>
    </row>
    <row r="2065" customFormat="false" ht="12.75" hidden="false" customHeight="false" outlineLevel="0" collapsed="false">
      <c r="A2065" s="2"/>
      <c r="B2065" s="121" t="s">
        <v>35</v>
      </c>
      <c r="C2065" s="123" t="n">
        <v>0</v>
      </c>
      <c r="D2065" s="73" t="n">
        <v>3594924.06846582</v>
      </c>
      <c r="E2065" s="73" t="n">
        <v>3016589.03249231</v>
      </c>
      <c r="F2065" s="73" t="n">
        <v>2709863.58939876</v>
      </c>
      <c r="G2065" s="73" t="n">
        <v>2348172.50838552</v>
      </c>
      <c r="H2065" s="73" t="n">
        <v>2224863.07128542</v>
      </c>
      <c r="I2065" s="73" t="n">
        <v>2160888.75090248</v>
      </c>
      <c r="J2065" s="73" t="n">
        <v>1978704.44098936</v>
      </c>
      <c r="K2065" s="73" t="n">
        <v>2151880.59871849</v>
      </c>
      <c r="L2065" s="73" t="n">
        <v>2205277.76454234</v>
      </c>
      <c r="M2065" s="73" t="n">
        <v>2245771.09275406</v>
      </c>
      <c r="N2065" s="73" t="n">
        <v>1721403.89306127</v>
      </c>
      <c r="O2065" s="73" t="n">
        <v>2036601.72109419</v>
      </c>
      <c r="P2065" s="73" t="n">
        <v>1897135.48273629</v>
      </c>
      <c r="Q2065" s="73" t="n">
        <v>2396188.17820437</v>
      </c>
      <c r="R2065" s="73" t="n">
        <v>2048112.82488986</v>
      </c>
      <c r="S2065" s="73" t="n">
        <v>1632988.13819243</v>
      </c>
      <c r="T2065" s="73" t="n">
        <v>1782502.07033387</v>
      </c>
      <c r="U2065" s="73" t="n">
        <v>2086559.71789753</v>
      </c>
      <c r="V2065" s="73" t="n">
        <v>1839420.03503353</v>
      </c>
      <c r="W2065" s="71" t="n">
        <v>12096614.5729712</v>
      </c>
    </row>
    <row r="2066" customFormat="false" ht="12.75" hidden="false" customHeight="false" outlineLevel="0" collapsed="false">
      <c r="A2066" s="2"/>
      <c r="B2066" s="125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</row>
    <row r="2067" customFormat="false" ht="12.75" hidden="false" customHeight="false" outlineLevel="0" collapsed="false">
      <c r="A2067" s="48" t="s">
        <v>36</v>
      </c>
      <c r="B2067" s="126" t="s">
        <v>37</v>
      </c>
      <c r="C2067" s="76" t="n">
        <v>10782420.5404313</v>
      </c>
      <c r="D2067" s="2"/>
      <c r="E2067" s="127" t="s">
        <v>38</v>
      </c>
      <c r="F2067" s="128" t="s">
        <v>37</v>
      </c>
      <c r="G2067" s="79" t="n">
        <v>10782420.5404313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</row>
    <row r="2068" customFormat="false" ht="12.75" hidden="false" customHeight="false" outlineLevel="0" collapsed="false">
      <c r="A2068" s="2"/>
      <c r="B2068" s="126" t="s">
        <v>39</v>
      </c>
      <c r="C2068" s="76" t="n">
        <v>9347298.49796956</v>
      </c>
      <c r="D2068" s="2"/>
      <c r="E2068" s="129"/>
      <c r="F2068" s="128" t="s">
        <v>39</v>
      </c>
      <c r="G2068" s="79" t="n">
        <v>9347298.49796956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</row>
    <row r="2069" customFormat="false" ht="13.5" hidden="false" customHeight="false" outlineLevel="0" collapsed="false">
      <c r="A2069" s="2"/>
      <c r="B2069" s="130" t="s">
        <v>40</v>
      </c>
      <c r="C2069" s="82" t="n">
        <v>1798084.67693616</v>
      </c>
      <c r="D2069" s="131"/>
      <c r="E2069" s="129"/>
      <c r="F2069" s="128" t="s">
        <v>40</v>
      </c>
      <c r="G2069" s="79" t="n">
        <v>1798084.67693616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</row>
    <row r="2070" customFormat="false" ht="14.25" hidden="false" customHeight="false" outlineLevel="0" collapsed="false">
      <c r="A2070" s="2"/>
      <c r="B2070" s="126" t="s">
        <v>41</v>
      </c>
      <c r="C2070" s="76" t="n">
        <v>21927803.7153371</v>
      </c>
      <c r="D2070" s="132"/>
      <c r="E2070" s="129"/>
      <c r="F2070" s="133" t="s">
        <v>42</v>
      </c>
      <c r="G2070" s="85" t="n">
        <v>0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</row>
    <row r="2071" customFormat="false" ht="13.5" hidden="false" customHeight="false" outlineLevel="0" collapsed="false">
      <c r="A2071" s="2"/>
      <c r="B2071" s="125"/>
      <c r="C2071" s="134"/>
      <c r="D2071" s="2"/>
      <c r="E2071" s="135"/>
      <c r="F2071" s="128" t="s">
        <v>41</v>
      </c>
      <c r="G2071" s="79" t="n">
        <v>21927803.7153371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</row>
    <row r="2072" customFormat="false" ht="12.75" hidden="false" customHeight="false" outlineLevel="0" collapsed="false">
      <c r="A2072" s="2"/>
      <c r="B2072" s="125"/>
      <c r="C2072" s="134"/>
      <c r="D2072" s="2"/>
      <c r="E2072" s="135"/>
      <c r="F2072" s="128"/>
      <c r="G2072" s="136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</row>
    <row r="2073" customFormat="false" ht="12.75" hidden="false" customHeight="false" outlineLevel="0" collapsed="false">
      <c r="A2073" s="2"/>
      <c r="B2073" s="125"/>
      <c r="C2073" s="134"/>
      <c r="D2073" s="2"/>
      <c r="E2073" s="135"/>
      <c r="F2073" s="128"/>
      <c r="G2073" s="136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</row>
    <row r="2074" customFormat="false" ht="12.75" hidden="false" customHeight="false" outlineLevel="0" collapsed="false">
      <c r="A2074" s="2"/>
      <c r="B2074" s="137" t="s">
        <v>43</v>
      </c>
      <c r="C2074" s="134"/>
      <c r="D2074" s="2"/>
      <c r="E2074" s="135"/>
      <c r="F2074" s="128"/>
      <c r="G2074" s="136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</row>
    <row r="2075" customFormat="false" ht="12.75" hidden="false" customHeight="false" outlineLevel="0" collapsed="false">
      <c r="A2075" s="87" t="s">
        <v>44</v>
      </c>
      <c r="B2075" s="137" t="s">
        <v>45</v>
      </c>
      <c r="C2075" s="138"/>
      <c r="D2075" s="88" t="n">
        <v>1757971.38479915</v>
      </c>
      <c r="E2075" s="88" t="n">
        <v>809805.83573651</v>
      </c>
      <c r="F2075" s="88" t="n">
        <v>507398.505343724</v>
      </c>
      <c r="G2075" s="88" t="n">
        <v>144077.828479684</v>
      </c>
      <c r="H2075" s="88" t="n">
        <v>91872.0514227186</v>
      </c>
      <c r="I2075" s="88" t="n">
        <v>23020.5603064897</v>
      </c>
      <c r="J2075" s="88" t="n">
        <v>813548.351508946</v>
      </c>
      <c r="K2075" s="88" t="n">
        <v>2068808.15228969</v>
      </c>
      <c r="L2075" s="88" t="n">
        <v>2244078.65192797</v>
      </c>
      <c r="M2075" s="88" t="n">
        <v>2294623.88805935</v>
      </c>
      <c r="N2075" s="88" t="n">
        <v>1768134.50290055</v>
      </c>
      <c r="O2075" s="88" t="n">
        <v>2081402.54874305</v>
      </c>
      <c r="P2075" s="88" t="n">
        <v>1939991.09748585</v>
      </c>
      <c r="Q2075" s="88" t="n">
        <v>2437163.56700097</v>
      </c>
      <c r="R2075" s="88" t="n">
        <v>2087147.72428825</v>
      </c>
      <c r="S2075" s="88" t="n">
        <v>1669897.81517733</v>
      </c>
      <c r="T2075" s="88" t="n">
        <v>1817222.76823287</v>
      </c>
      <c r="U2075" s="88" t="n">
        <v>2119025.76733807</v>
      </c>
      <c r="V2075" s="88" t="n">
        <v>1869563.79656183</v>
      </c>
      <c r="W2075" s="2"/>
    </row>
    <row r="2076" customFormat="false" ht="12.75" hidden="false" customHeight="false" outlineLevel="0" collapsed="false">
      <c r="A2076" s="2"/>
      <c r="B2076" s="125" t="s">
        <v>46</v>
      </c>
      <c r="C2076" s="134"/>
      <c r="D2076" s="65" t="n">
        <v>1171980.92319943</v>
      </c>
      <c r="E2076" s="65" t="n">
        <v>539870.557157673</v>
      </c>
      <c r="F2076" s="65" t="n">
        <v>338265.670229149</v>
      </c>
      <c r="G2076" s="65" t="n">
        <v>96051.8856531225</v>
      </c>
      <c r="H2076" s="65" t="n">
        <v>61248.0342818124</v>
      </c>
      <c r="I2076" s="65" t="n">
        <v>15347.0402043264</v>
      </c>
      <c r="J2076" s="65" t="n">
        <v>542365.567672631</v>
      </c>
      <c r="K2076" s="65" t="n">
        <v>1379205.43485979</v>
      </c>
      <c r="L2076" s="65" t="n">
        <v>1496052.43461864</v>
      </c>
      <c r="M2076" s="65" t="n">
        <v>1529749.25870623</v>
      </c>
      <c r="N2076" s="65" t="n">
        <v>1178756.33526703</v>
      </c>
      <c r="O2076" s="65" t="n">
        <v>1387601.69916203</v>
      </c>
      <c r="P2076" s="65" t="n">
        <v>1293327.3983239</v>
      </c>
      <c r="Q2076" s="65" t="n">
        <v>1624775.71133398</v>
      </c>
      <c r="R2076" s="65" t="n">
        <v>1391431.81619216</v>
      </c>
      <c r="S2076" s="65" t="n">
        <v>1113265.21011822</v>
      </c>
      <c r="T2076" s="65" t="n">
        <v>1211481.84548858</v>
      </c>
      <c r="U2076" s="65" t="n">
        <v>1412683.84489205</v>
      </c>
      <c r="V2076" s="65" t="n">
        <v>1246375.86437456</v>
      </c>
      <c r="W2076" s="2"/>
    </row>
    <row r="2077" customFormat="false" ht="12.75" hidden="false" customHeight="false" outlineLevel="0" collapsed="false">
      <c r="A2077" s="2"/>
      <c r="B2077" s="139" t="s">
        <v>47</v>
      </c>
      <c r="C2077" s="140"/>
      <c r="D2077" s="65" t="n">
        <v>2205815.00366667</v>
      </c>
      <c r="E2077" s="65" t="n">
        <v>2222106.2867558</v>
      </c>
      <c r="F2077" s="65" t="n">
        <v>2218245.91405503</v>
      </c>
      <c r="G2077" s="65" t="n">
        <v>2220404.76990583</v>
      </c>
      <c r="H2077" s="65" t="n">
        <v>2219370.1278627</v>
      </c>
      <c r="I2077" s="65" t="n">
        <v>2226838.67183599</v>
      </c>
      <c r="J2077" s="65" t="n">
        <v>1256795.68515762</v>
      </c>
      <c r="K2077" s="65" t="n">
        <v>177461.229976316</v>
      </c>
      <c r="L2077" s="65" t="n">
        <v>58419.5596683153</v>
      </c>
      <c r="M2077" s="65" t="n">
        <v>51284.2651602691</v>
      </c>
      <c r="N2077" s="65" t="n">
        <v>56410.5624402505</v>
      </c>
      <c r="O2077" s="65" t="n">
        <v>61434.5797990517</v>
      </c>
      <c r="P2077" s="65" t="n">
        <v>66566.8549217975</v>
      </c>
      <c r="Q2077" s="65" t="n">
        <v>71729.7549648925</v>
      </c>
      <c r="R2077" s="65" t="n">
        <v>77051.3986759469</v>
      </c>
      <c r="S2077" s="65" t="n">
        <v>82659.2100316663</v>
      </c>
      <c r="T2077" s="65" t="n">
        <v>88435.2557280573</v>
      </c>
      <c r="U2077" s="65" t="n">
        <v>94384.58279534</v>
      </c>
      <c r="V2077" s="65" t="n">
        <v>100512.389674641</v>
      </c>
      <c r="W2077" s="2"/>
    </row>
    <row r="2078" customFormat="false" ht="13.5" hidden="false" customHeight="false" outlineLevel="0" collapsed="false">
      <c r="A2078" s="2"/>
      <c r="B2078" s="141" t="s">
        <v>48</v>
      </c>
      <c r="C2078" s="142"/>
      <c r="D2078" s="93" t="n">
        <v>5135767.31166525</v>
      </c>
      <c r="E2078" s="93" t="n">
        <v>3571782.67964998</v>
      </c>
      <c r="F2078" s="93" t="n">
        <v>3063910.08962791</v>
      </c>
      <c r="G2078" s="93" t="n">
        <v>2460534.48403864</v>
      </c>
      <c r="H2078" s="93" t="n">
        <v>2372490.21356723</v>
      </c>
      <c r="I2078" s="93" t="n">
        <v>2265206.2723468</v>
      </c>
      <c r="J2078" s="93" t="n">
        <v>2612709.60433919</v>
      </c>
      <c r="K2078" s="93" t="n">
        <v>3625474.8171258</v>
      </c>
      <c r="L2078" s="93" t="n">
        <v>3798550.64621492</v>
      </c>
      <c r="M2078" s="93" t="n">
        <v>3875657.41192585</v>
      </c>
      <c r="N2078" s="93" t="n">
        <v>3003301.40060783</v>
      </c>
      <c r="O2078" s="93" t="n">
        <v>3530438.82770413</v>
      </c>
      <c r="P2078" s="93" t="n">
        <v>3299885.35073154</v>
      </c>
      <c r="Q2078" s="93" t="n">
        <v>4133669.03329984</v>
      </c>
      <c r="R2078" s="93" t="n">
        <v>3555630.93915636</v>
      </c>
      <c r="S2078" s="93" t="n">
        <v>2865822.23532722</v>
      </c>
      <c r="T2078" s="93" t="n">
        <v>3117139.86944951</v>
      </c>
      <c r="U2078" s="93" t="n">
        <v>3626094.19502545</v>
      </c>
      <c r="V2078" s="93" t="n">
        <v>3216452.05061103</v>
      </c>
      <c r="W2078" s="2"/>
    </row>
    <row r="2079" customFormat="false" ht="13.5" hidden="false" customHeight="false" outlineLevel="0" collapsed="false">
      <c r="A2079" s="87" t="s">
        <v>49</v>
      </c>
      <c r="B2079" s="125" t="s">
        <v>50</v>
      </c>
      <c r="C2079" s="134"/>
      <c r="D2079" s="65" t="n">
        <v>-1848665.59753087</v>
      </c>
      <c r="E2079" s="65" t="n">
        <v>-1849431.75203087</v>
      </c>
      <c r="F2079" s="65" t="n">
        <v>-1850220.79353087</v>
      </c>
      <c r="G2079" s="65" t="n">
        <v>-1851036.29803087</v>
      </c>
      <c r="H2079" s="65" t="n">
        <v>-1855355.25343087</v>
      </c>
      <c r="I2079" s="65" t="n">
        <v>-1859803.77749287</v>
      </c>
      <c r="J2079" s="65" t="n">
        <v>-1864385.75727673</v>
      </c>
      <c r="K2079" s="65" t="n">
        <v>-1869105.1964541</v>
      </c>
      <c r="L2079" s="65" t="n">
        <v>-1873966.2188068</v>
      </c>
      <c r="M2079" s="65" t="n">
        <v>-1878973.07183008</v>
      </c>
      <c r="N2079" s="65" t="n">
        <v>-1884130.13044405</v>
      </c>
      <c r="O2079" s="65" t="n">
        <v>-1889441.90081645</v>
      </c>
      <c r="P2079" s="65" t="n">
        <v>-1894913.02430002</v>
      </c>
      <c r="Q2079" s="65" t="n">
        <v>-1900548.28148809</v>
      </c>
      <c r="R2079" s="65" t="n">
        <v>-542955.63305848</v>
      </c>
      <c r="S2079" s="65" t="n">
        <v>-160193.207409303</v>
      </c>
      <c r="T2079" s="65" t="n">
        <v>-166351.005090656</v>
      </c>
      <c r="U2079" s="65" t="n">
        <v>-172693.53670245</v>
      </c>
      <c r="V2079" s="65" t="n">
        <v>-179226.344262597</v>
      </c>
      <c r="W2079" s="2"/>
    </row>
    <row r="2080" customFormat="false" ht="12.75" hidden="false" customHeight="false" outlineLevel="0" collapsed="false">
      <c r="A2080" s="2"/>
      <c r="B2080" s="125" t="s">
        <v>51</v>
      </c>
      <c r="C2080" s="134"/>
      <c r="D2080" s="65" t="n">
        <v>0</v>
      </c>
      <c r="E2080" s="65" t="n">
        <v>0</v>
      </c>
      <c r="F2080" s="65" t="n">
        <v>0</v>
      </c>
      <c r="G2080" s="65" t="n">
        <v>0</v>
      </c>
      <c r="H2080" s="65" t="n">
        <v>0</v>
      </c>
      <c r="I2080" s="65" t="n">
        <v>0</v>
      </c>
      <c r="J2080" s="65" t="n">
        <v>0</v>
      </c>
      <c r="K2080" s="65" t="n">
        <v>0</v>
      </c>
      <c r="L2080" s="65" t="n">
        <v>0</v>
      </c>
      <c r="M2080" s="65" t="n">
        <v>0</v>
      </c>
      <c r="N2080" s="65" t="n">
        <v>0</v>
      </c>
      <c r="O2080" s="65" t="n">
        <v>0</v>
      </c>
      <c r="P2080" s="65" t="n">
        <v>0</v>
      </c>
      <c r="Q2080" s="65" t="n">
        <v>0</v>
      </c>
      <c r="R2080" s="65" t="n">
        <v>0</v>
      </c>
      <c r="S2080" s="65" t="n">
        <v>0</v>
      </c>
      <c r="T2080" s="65" t="n">
        <v>0</v>
      </c>
      <c r="U2080" s="65" t="n">
        <v>0</v>
      </c>
      <c r="V2080" s="65" t="n">
        <v>0</v>
      </c>
      <c r="W2080" s="2"/>
    </row>
    <row r="2081" customFormat="false" ht="12.75" hidden="false" customHeight="false" outlineLevel="0" collapsed="false">
      <c r="A2081" s="2"/>
      <c r="B2081" s="137" t="s">
        <v>52</v>
      </c>
      <c r="C2081" s="138"/>
      <c r="D2081" s="88" t="n">
        <v>3287101.71413439</v>
      </c>
      <c r="E2081" s="88" t="n">
        <v>1722350.92761912</v>
      </c>
      <c r="F2081" s="88" t="n">
        <v>1213689.29609704</v>
      </c>
      <c r="G2081" s="88" t="n">
        <v>609498.186007773</v>
      </c>
      <c r="H2081" s="88" t="n">
        <v>517134.960136364</v>
      </c>
      <c r="I2081" s="88" t="n">
        <v>405402.494853936</v>
      </c>
      <c r="J2081" s="88" t="n">
        <v>748323.847062467</v>
      </c>
      <c r="K2081" s="88" t="n">
        <v>1756369.62067169</v>
      </c>
      <c r="L2081" s="88" t="n">
        <v>1924584.42740812</v>
      </c>
      <c r="M2081" s="88" t="n">
        <v>1996684.34009577</v>
      </c>
      <c r="N2081" s="88" t="n">
        <v>1119171.27016378</v>
      </c>
      <c r="O2081" s="88" t="n">
        <v>1640996.92688768</v>
      </c>
      <c r="P2081" s="88" t="n">
        <v>1404972.32643153</v>
      </c>
      <c r="Q2081" s="88" t="n">
        <v>2233120.75181175</v>
      </c>
      <c r="R2081" s="88" t="n">
        <v>3012675.30609788</v>
      </c>
      <c r="S2081" s="88" t="n">
        <v>2705629.02791792</v>
      </c>
      <c r="T2081" s="88" t="n">
        <v>2950788.86435886</v>
      </c>
      <c r="U2081" s="88" t="n">
        <v>3453400.658323</v>
      </c>
      <c r="V2081" s="88" t="n">
        <v>3037225.70634843</v>
      </c>
      <c r="W2081" s="2"/>
    </row>
    <row r="2082" customFormat="false" ht="13.5" hidden="false" customHeight="false" outlineLevel="0" collapsed="false">
      <c r="A2082" s="2"/>
      <c r="B2082" s="143" t="s">
        <v>53</v>
      </c>
      <c r="C2082" s="144"/>
      <c r="D2082" s="96" t="n">
        <v>-1314840.68565375</v>
      </c>
      <c r="E2082" s="96" t="n">
        <v>-688940.371047647</v>
      </c>
      <c r="F2082" s="96" t="n">
        <v>-485475.718438816</v>
      </c>
      <c r="G2082" s="96" t="n">
        <v>-243799.274403109</v>
      </c>
      <c r="H2082" s="96" t="n">
        <v>-206853.984054546</v>
      </c>
      <c r="I2082" s="96" t="n">
        <v>-162160.997941574</v>
      </c>
      <c r="J2082" s="96" t="n">
        <v>-299329.538824987</v>
      </c>
      <c r="K2082" s="96" t="n">
        <v>-702547.848268678</v>
      </c>
      <c r="L2082" s="96" t="n">
        <v>-769833.77096325</v>
      </c>
      <c r="M2082" s="96" t="n">
        <v>-798673.736038308</v>
      </c>
      <c r="N2082" s="96" t="n">
        <v>-447668.508065512</v>
      </c>
      <c r="O2082" s="96" t="n">
        <v>-656398.770755074</v>
      </c>
      <c r="P2082" s="96" t="n">
        <v>-561988.93057261</v>
      </c>
      <c r="Q2082" s="96" t="n">
        <v>-893248.300724701</v>
      </c>
      <c r="R2082" s="96" t="n">
        <v>-1205070.12243915</v>
      </c>
      <c r="S2082" s="96" t="n">
        <v>-1082251.61116717</v>
      </c>
      <c r="T2082" s="96" t="n">
        <v>-1180315.54574354</v>
      </c>
      <c r="U2082" s="96" t="n">
        <v>-1381360.2633292</v>
      </c>
      <c r="V2082" s="96" t="n">
        <v>-1214890.28253937</v>
      </c>
      <c r="W2082" s="2"/>
    </row>
    <row r="2083" customFormat="false" ht="13.5" hidden="false" customHeight="false" outlineLevel="0" collapsed="false">
      <c r="A2083" s="2"/>
      <c r="B2083" s="137" t="s">
        <v>54</v>
      </c>
      <c r="C2083" s="138"/>
      <c r="D2083" s="88" t="n">
        <v>1972261.02848063</v>
      </c>
      <c r="E2083" s="88" t="n">
        <v>1033410.55657147</v>
      </c>
      <c r="F2083" s="88" t="n">
        <v>728213.577658224</v>
      </c>
      <c r="G2083" s="88" t="n">
        <v>365698.911604664</v>
      </c>
      <c r="H2083" s="88" t="n">
        <v>310280.976081819</v>
      </c>
      <c r="I2083" s="88" t="n">
        <v>243241.496912362</v>
      </c>
      <c r="J2083" s="88" t="n">
        <v>448994.30823748</v>
      </c>
      <c r="K2083" s="88" t="n">
        <v>1053821.77240302</v>
      </c>
      <c r="L2083" s="88" t="n">
        <v>1154750.65644487</v>
      </c>
      <c r="M2083" s="88" t="n">
        <v>1198010.60405746</v>
      </c>
      <c r="N2083" s="88" t="n">
        <v>671502.762098267</v>
      </c>
      <c r="O2083" s="88" t="n">
        <v>984598.15613261</v>
      </c>
      <c r="P2083" s="88" t="n">
        <v>842983.395858915</v>
      </c>
      <c r="Q2083" s="88" t="n">
        <v>1339872.45108705</v>
      </c>
      <c r="R2083" s="88" t="n">
        <v>1807605.18365873</v>
      </c>
      <c r="S2083" s="88" t="n">
        <v>1623377.41675075</v>
      </c>
      <c r="T2083" s="88" t="n">
        <v>1770473.31861531</v>
      </c>
      <c r="U2083" s="88" t="n">
        <v>2072040.3949938</v>
      </c>
      <c r="V2083" s="88" t="n">
        <v>1822335.42380906</v>
      </c>
      <c r="W2083" s="2"/>
    </row>
    <row r="2084" customFormat="false" ht="12.75" hidden="false" customHeight="false" outlineLevel="0" collapsed="false">
      <c r="A2084" s="2"/>
      <c r="B2084" s="2"/>
      <c r="C2084" s="134"/>
      <c r="D2084" s="2"/>
      <c r="E2084" s="135"/>
      <c r="F2084" s="128"/>
      <c r="G2084" s="136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</row>
    <row r="2085" customFormat="false" ht="15.75" hidden="false" customHeight="false" outlineLevel="0" collapsed="false">
      <c r="A2085" s="97" t="s">
        <v>55</v>
      </c>
      <c r="B2085" s="145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</row>
    <row r="2086" customFormat="false" ht="12.75" hidden="false" customHeight="false" outlineLevel="0" collapsed="false">
      <c r="A2086" s="99" t="s">
        <v>56</v>
      </c>
      <c r="B2086" s="49"/>
      <c r="C2086" s="101" t="n">
        <v>0</v>
      </c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</row>
    <row r="2087" customFormat="false" ht="12.75" hidden="false" customHeight="false" outlineLevel="0" collapsed="false">
      <c r="A2087" s="99" t="s">
        <v>57</v>
      </c>
      <c r="B2087" s="49"/>
      <c r="C2087" s="146" t="n">
        <v>0</v>
      </c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</row>
    <row r="2088" customFormat="false" ht="12.75" hidden="false" customHeight="false" outlineLevel="0" collapsed="false">
      <c r="A2088" s="99" t="s">
        <v>58</v>
      </c>
      <c r="B2088" s="49"/>
      <c r="C2088" s="99" t="n">
        <v>15</v>
      </c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</row>
    <row r="2089" customFormat="false" ht="12.75" hidden="false" customHeight="false" outlineLevel="0" collapsed="false">
      <c r="A2089" s="99" t="s">
        <v>59</v>
      </c>
      <c r="B2089" s="49"/>
      <c r="C2089" s="146" t="n">
        <v>0</v>
      </c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</row>
    <row r="2090" customFormat="false" ht="12.75" hidden="false" customHeight="false" outlineLevel="0" collapsed="false">
      <c r="A2090" s="99" t="s">
        <v>60</v>
      </c>
      <c r="B2090" s="49"/>
      <c r="C2090" s="147" t="n">
        <v>0.0875</v>
      </c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</row>
    <row r="2091" customFormat="false" ht="12.75" hidden="false" customHeight="false" outlineLevel="0" collapsed="false">
      <c r="A2091" s="99"/>
      <c r="B2091" s="49"/>
      <c r="C2091" s="107"/>
      <c r="D2091" s="58" t="n">
        <v>2001</v>
      </c>
      <c r="E2091" s="58" t="n">
        <v>2002</v>
      </c>
      <c r="F2091" s="58" t="n">
        <v>2003</v>
      </c>
      <c r="G2091" s="58" t="n">
        <v>2004</v>
      </c>
      <c r="H2091" s="58" t="n">
        <v>2005</v>
      </c>
      <c r="I2091" s="58" t="n">
        <v>2006</v>
      </c>
      <c r="J2091" s="58" t="n">
        <v>2007</v>
      </c>
      <c r="K2091" s="58" t="n">
        <v>2008</v>
      </c>
      <c r="L2091" s="58" t="n">
        <v>2009</v>
      </c>
      <c r="M2091" s="58" t="n">
        <v>2010</v>
      </c>
      <c r="N2091" s="58" t="n">
        <v>2011</v>
      </c>
      <c r="O2091" s="58" t="n">
        <v>2012</v>
      </c>
      <c r="P2091" s="58" t="n">
        <v>2013</v>
      </c>
      <c r="Q2091" s="58" t="n">
        <v>2014</v>
      </c>
      <c r="R2091" s="58" t="n">
        <v>2015</v>
      </c>
      <c r="S2091" s="58" t="n">
        <v>2016</v>
      </c>
      <c r="T2091" s="58" t="n">
        <v>2017</v>
      </c>
      <c r="U2091" s="58" t="n">
        <v>2018</v>
      </c>
      <c r="V2091" s="58" t="n">
        <v>2019</v>
      </c>
      <c r="W2091" s="58" t="s">
        <v>19</v>
      </c>
    </row>
    <row r="2092" customFormat="false" ht="12.75" hidden="false" customHeight="false" outlineLevel="0" collapsed="false">
      <c r="A2092" s="99" t="s">
        <v>61</v>
      </c>
      <c r="B2092" s="49"/>
      <c r="C2092" s="107"/>
      <c r="D2092" s="102" t="n">
        <v>0</v>
      </c>
      <c r="E2092" s="102" t="n">
        <v>0</v>
      </c>
      <c r="F2092" s="102" t="n">
        <v>0</v>
      </c>
      <c r="G2092" s="102" t="n">
        <v>0</v>
      </c>
      <c r="H2092" s="102" t="n">
        <v>0</v>
      </c>
      <c r="I2092" s="102" t="n">
        <v>0</v>
      </c>
      <c r="J2092" s="102" t="n">
        <v>0</v>
      </c>
      <c r="K2092" s="102" t="n">
        <v>0</v>
      </c>
      <c r="L2092" s="102" t="n">
        <v>0</v>
      </c>
      <c r="M2092" s="102" t="n">
        <v>0</v>
      </c>
      <c r="N2092" s="102" t="n">
        <v>0</v>
      </c>
      <c r="O2092" s="102" t="n">
        <v>0</v>
      </c>
      <c r="P2092" s="102" t="n">
        <v>0</v>
      </c>
      <c r="Q2092" s="102" t="n">
        <v>0</v>
      </c>
      <c r="R2092" s="102" t="n">
        <v>0</v>
      </c>
      <c r="S2092" s="102" t="n">
        <v>0</v>
      </c>
      <c r="T2092" s="102" t="n">
        <v>0</v>
      </c>
      <c r="U2092" s="102" t="n">
        <v>0</v>
      </c>
      <c r="V2092" s="102" t="n">
        <v>0</v>
      </c>
      <c r="W2092" s="102" t="n">
        <v>0</v>
      </c>
    </row>
    <row r="2093" customFormat="false" ht="12.75" hidden="false" customHeight="false" outlineLevel="0" collapsed="false">
      <c r="A2093" s="99" t="s">
        <v>62</v>
      </c>
      <c r="B2093" s="49"/>
      <c r="C2093" s="107"/>
      <c r="D2093" s="102" t="n">
        <v>0</v>
      </c>
      <c r="E2093" s="102" t="n">
        <v>0</v>
      </c>
      <c r="F2093" s="102" t="n">
        <v>0</v>
      </c>
      <c r="G2093" s="102" t="n">
        <v>0</v>
      </c>
      <c r="H2093" s="102" t="n">
        <v>0</v>
      </c>
      <c r="I2093" s="102" t="n">
        <v>0</v>
      </c>
      <c r="J2093" s="102" t="n">
        <v>0</v>
      </c>
      <c r="K2093" s="102" t="n">
        <v>0</v>
      </c>
      <c r="L2093" s="102" t="n">
        <v>0</v>
      </c>
      <c r="M2093" s="102" t="n">
        <v>0</v>
      </c>
      <c r="N2093" s="102" t="n">
        <v>0</v>
      </c>
      <c r="O2093" s="102" t="n">
        <v>0</v>
      </c>
      <c r="P2093" s="102" t="n">
        <v>0</v>
      </c>
      <c r="Q2093" s="102" t="n">
        <v>0</v>
      </c>
      <c r="R2093" s="102" t="n">
        <v>0</v>
      </c>
      <c r="S2093" s="102" t="n">
        <v>0</v>
      </c>
      <c r="T2093" s="102" t="n">
        <v>0</v>
      </c>
      <c r="U2093" s="102" t="n">
        <v>0</v>
      </c>
      <c r="V2093" s="102" t="n">
        <v>0</v>
      </c>
      <c r="W2093" s="102" t="n">
        <v>0</v>
      </c>
    </row>
    <row r="2094" customFormat="false" ht="12.75" hidden="false" customHeight="false" outlineLevel="0" collapsed="false">
      <c r="A2094" s="99" t="s">
        <v>63</v>
      </c>
      <c r="B2094" s="49"/>
      <c r="C2094" s="107"/>
      <c r="D2094" s="102" t="n">
        <v>0</v>
      </c>
      <c r="E2094" s="102" t="n">
        <v>0</v>
      </c>
      <c r="F2094" s="102" t="n">
        <v>0</v>
      </c>
      <c r="G2094" s="102" t="n">
        <v>0</v>
      </c>
      <c r="H2094" s="102" t="n">
        <v>0</v>
      </c>
      <c r="I2094" s="102" t="n">
        <v>0</v>
      </c>
      <c r="J2094" s="102" t="n">
        <v>0</v>
      </c>
      <c r="K2094" s="102" t="n">
        <v>0</v>
      </c>
      <c r="L2094" s="102" t="n">
        <v>0</v>
      </c>
      <c r="M2094" s="102" t="n">
        <v>0</v>
      </c>
      <c r="N2094" s="102" t="n">
        <v>0</v>
      </c>
      <c r="O2094" s="102" t="n">
        <v>0</v>
      </c>
      <c r="P2094" s="102" t="n">
        <v>0</v>
      </c>
      <c r="Q2094" s="102" t="n">
        <v>0</v>
      </c>
      <c r="R2094" s="102" t="n">
        <v>0</v>
      </c>
      <c r="S2094" s="102" t="n">
        <v>0</v>
      </c>
      <c r="T2094" s="102" t="n">
        <v>0</v>
      </c>
      <c r="U2094" s="102" t="n">
        <v>0</v>
      </c>
      <c r="V2094" s="102" t="n">
        <v>0</v>
      </c>
      <c r="W2094" s="102" t="n">
        <v>0</v>
      </c>
    </row>
    <row r="2095" customFormat="false" ht="12.75" hidden="false" customHeight="false" outlineLevel="0" collapsed="false">
      <c r="A2095" s="99" t="s">
        <v>64</v>
      </c>
      <c r="B2095" s="49"/>
      <c r="C2095" s="107"/>
      <c r="D2095" s="105" t="n">
        <v>0</v>
      </c>
      <c r="E2095" s="105" t="n">
        <v>0</v>
      </c>
      <c r="F2095" s="105" t="n">
        <v>0</v>
      </c>
      <c r="G2095" s="105" t="n">
        <v>0</v>
      </c>
      <c r="H2095" s="105" t="n">
        <v>0</v>
      </c>
      <c r="I2095" s="105" t="n">
        <v>0</v>
      </c>
      <c r="J2095" s="105" t="n">
        <v>0</v>
      </c>
      <c r="K2095" s="105" t="n">
        <v>0</v>
      </c>
      <c r="L2095" s="105" t="n">
        <v>0</v>
      </c>
      <c r="M2095" s="105" t="n">
        <v>0</v>
      </c>
      <c r="N2095" s="105" t="n">
        <v>0</v>
      </c>
      <c r="O2095" s="105" t="n">
        <v>0</v>
      </c>
      <c r="P2095" s="105" t="n">
        <v>0</v>
      </c>
      <c r="Q2095" s="105" t="n">
        <v>0</v>
      </c>
      <c r="R2095" s="105" t="n">
        <v>0</v>
      </c>
      <c r="S2095" s="105" t="n">
        <v>0</v>
      </c>
      <c r="T2095" s="105" t="n">
        <v>0</v>
      </c>
      <c r="U2095" s="105" t="n">
        <v>0</v>
      </c>
      <c r="V2095" s="105" t="n">
        <v>0</v>
      </c>
      <c r="W2095" s="105" t="n">
        <v>0</v>
      </c>
    </row>
    <row r="2096" customFormat="false" ht="13.5" hidden="false" customHeight="false" outlineLevel="0" collapsed="false">
      <c r="A2096" s="99" t="s">
        <v>65</v>
      </c>
      <c r="B2096" s="49"/>
      <c r="C2096" s="107"/>
      <c r="D2096" s="106" t="n">
        <v>0</v>
      </c>
      <c r="E2096" s="106" t="n">
        <v>0</v>
      </c>
      <c r="F2096" s="106" t="n">
        <v>0</v>
      </c>
      <c r="G2096" s="106" t="n">
        <v>0</v>
      </c>
      <c r="H2096" s="106" t="n">
        <v>0</v>
      </c>
      <c r="I2096" s="106" t="n">
        <v>0</v>
      </c>
      <c r="J2096" s="106" t="n">
        <v>0</v>
      </c>
      <c r="K2096" s="106" t="n">
        <v>0</v>
      </c>
      <c r="L2096" s="106" t="n">
        <v>0</v>
      </c>
      <c r="M2096" s="106" t="n">
        <v>0</v>
      </c>
      <c r="N2096" s="106" t="n">
        <v>0</v>
      </c>
      <c r="O2096" s="106" t="n">
        <v>0</v>
      </c>
      <c r="P2096" s="106" t="n">
        <v>0</v>
      </c>
      <c r="Q2096" s="106" t="n">
        <v>0</v>
      </c>
      <c r="R2096" s="106" t="n">
        <v>0</v>
      </c>
      <c r="S2096" s="106" t="n">
        <v>0</v>
      </c>
      <c r="T2096" s="106" t="n">
        <v>0</v>
      </c>
      <c r="U2096" s="106" t="n">
        <v>0</v>
      </c>
      <c r="V2096" s="106" t="n">
        <v>0</v>
      </c>
      <c r="W2096" s="106" t="n">
        <v>0</v>
      </c>
    </row>
    <row r="2097" customFormat="false" ht="13.5" hidden="false" customHeight="false" outlineLevel="0" collapsed="false">
      <c r="A2097" s="99"/>
      <c r="B2097" s="49"/>
      <c r="C2097" s="107"/>
      <c r="D2097" s="102"/>
      <c r="E2097" s="102"/>
      <c r="F2097" s="102"/>
      <c r="G2097" s="102"/>
      <c r="H2097" s="102"/>
      <c r="I2097" s="102"/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  <c r="W2097" s="102"/>
    </row>
    <row r="2098" customFormat="false" ht="12.75" hidden="false" customHeight="false" outlineLevel="0" collapsed="false">
      <c r="A2098" s="99" t="s">
        <v>66</v>
      </c>
      <c r="B2098" s="49"/>
      <c r="C2098" s="107"/>
      <c r="D2098" s="102" t="n">
        <v>0</v>
      </c>
      <c r="E2098" s="102" t="n">
        <v>0</v>
      </c>
      <c r="F2098" s="102" t="n">
        <v>0</v>
      </c>
      <c r="G2098" s="102" t="n">
        <v>0</v>
      </c>
      <c r="H2098" s="102" t="n">
        <v>0</v>
      </c>
      <c r="I2098" s="102" t="n">
        <v>0</v>
      </c>
      <c r="J2098" s="102" t="n">
        <v>0</v>
      </c>
      <c r="K2098" s="102" t="n">
        <v>0</v>
      </c>
      <c r="L2098" s="102" t="n">
        <v>0</v>
      </c>
      <c r="M2098" s="102" t="n">
        <v>0</v>
      </c>
      <c r="N2098" s="102" t="n">
        <v>0</v>
      </c>
      <c r="O2098" s="102" t="n">
        <v>0</v>
      </c>
      <c r="P2098" s="102" t="n">
        <v>0</v>
      </c>
      <c r="Q2098" s="102" t="n">
        <v>0</v>
      </c>
      <c r="R2098" s="102" t="n">
        <v>0</v>
      </c>
      <c r="S2098" s="102" t="n">
        <v>0</v>
      </c>
      <c r="T2098" s="102" t="n">
        <v>0</v>
      </c>
      <c r="U2098" s="102" t="n">
        <v>0</v>
      </c>
      <c r="V2098" s="102" t="n">
        <v>0</v>
      </c>
      <c r="W2098" s="102" t="n">
        <v>0</v>
      </c>
    </row>
    <row r="2099" customFormat="false" ht="12.75" hidden="false" customHeight="false" outlineLevel="0" collapsed="false">
      <c r="A2099" s="99"/>
      <c r="B2099" s="49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</row>
    <row r="2100" customFormat="false" ht="12.75" hidden="false" customHeight="false" outlineLevel="0" collapsed="false">
      <c r="A2100" s="99" t="s">
        <v>67</v>
      </c>
      <c r="B2100" s="49"/>
      <c r="C2100" s="107"/>
      <c r="D2100" s="102" t="n">
        <v>0</v>
      </c>
      <c r="E2100" s="102" t="n">
        <v>0</v>
      </c>
      <c r="F2100" s="102" t="n">
        <v>0</v>
      </c>
      <c r="G2100" s="102" t="n">
        <v>0</v>
      </c>
      <c r="H2100" s="102" t="n">
        <v>0</v>
      </c>
      <c r="I2100" s="102" t="n">
        <v>0</v>
      </c>
      <c r="J2100" s="102" t="n">
        <v>0</v>
      </c>
      <c r="K2100" s="102" t="n">
        <v>0</v>
      </c>
      <c r="L2100" s="102" t="n">
        <v>0</v>
      </c>
      <c r="M2100" s="102" t="n">
        <v>0</v>
      </c>
      <c r="N2100" s="102" t="n">
        <v>0</v>
      </c>
      <c r="O2100" s="102" t="n">
        <v>0</v>
      </c>
      <c r="P2100" s="102" t="n">
        <v>0</v>
      </c>
      <c r="Q2100" s="102" t="n">
        <v>0</v>
      </c>
      <c r="R2100" s="102" t="n">
        <v>0</v>
      </c>
      <c r="S2100" s="102" t="n">
        <v>0</v>
      </c>
      <c r="T2100" s="102" t="n">
        <v>0</v>
      </c>
      <c r="U2100" s="102" t="n">
        <v>0</v>
      </c>
      <c r="V2100" s="102" t="n">
        <v>0</v>
      </c>
      <c r="W2100" s="102" t="n">
        <v>0</v>
      </c>
    </row>
    <row r="2101" customFormat="false" ht="12.75" hidden="false" customHeight="false" outlineLevel="0" collapsed="false">
      <c r="A2101" s="107"/>
      <c r="B2101" s="49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</row>
    <row r="2102" customFormat="false" ht="12.75" hidden="false" customHeight="false" outlineLevel="0" collapsed="false">
      <c r="A2102" s="107"/>
      <c r="B2102" s="49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</row>
    <row r="2103" customFormat="false" ht="12.75" hidden="false" customHeight="false" outlineLevel="0" collapsed="false">
      <c r="A2103" s="99" t="s">
        <v>68</v>
      </c>
      <c r="B2103" s="148"/>
      <c r="C2103" s="149"/>
      <c r="D2103" s="79" t="n">
        <v>3594924.06846582</v>
      </c>
      <c r="E2103" s="79" t="n">
        <v>3016589.03249231</v>
      </c>
      <c r="F2103" s="79" t="n">
        <v>2709863.58939876</v>
      </c>
      <c r="G2103" s="79" t="n">
        <v>2348172.50838552</v>
      </c>
      <c r="H2103" s="79" t="n">
        <v>2224863.07128542</v>
      </c>
      <c r="I2103" s="79" t="n">
        <v>2160888.75090248</v>
      </c>
      <c r="J2103" s="79" t="n">
        <v>1978704.44098936</v>
      </c>
      <c r="K2103" s="79" t="n">
        <v>2151880.59871849</v>
      </c>
      <c r="L2103" s="79" t="n">
        <v>2205277.76454234</v>
      </c>
      <c r="M2103" s="79" t="n">
        <v>2245771.09275406</v>
      </c>
      <c r="N2103" s="79" t="n">
        <v>1721403.89306127</v>
      </c>
      <c r="O2103" s="79" t="n">
        <v>2036601.72109419</v>
      </c>
      <c r="P2103" s="79" t="n">
        <v>1897135.48273629</v>
      </c>
      <c r="Q2103" s="79" t="n">
        <v>2396188.17820437</v>
      </c>
      <c r="R2103" s="79" t="n">
        <v>2048112.82488986</v>
      </c>
      <c r="S2103" s="79" t="n">
        <v>1632988.13819243</v>
      </c>
      <c r="T2103" s="79" t="n">
        <v>1782502.07033387</v>
      </c>
      <c r="U2103" s="79" t="n">
        <v>2086559.71789753</v>
      </c>
      <c r="V2103" s="79" t="n">
        <v>1839420.03503353</v>
      </c>
      <c r="W2103" s="79" t="n">
        <v>12096614.5729712</v>
      </c>
    </row>
    <row r="2104" customFormat="false" ht="12.75" hidden="false" customHeight="false" outlineLevel="0" collapsed="false">
      <c r="A2104" s="2"/>
      <c r="B2104" s="31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</row>
    <row r="2105" customFormat="false" ht="12.75" hidden="false" customHeight="false" outlineLevel="0" collapsed="false">
      <c r="A2105" s="169"/>
      <c r="B2105" s="172"/>
      <c r="C2105" s="173"/>
      <c r="D2105" s="174"/>
      <c r="E2105" s="174"/>
      <c r="F2105" s="174"/>
      <c r="G2105" s="174"/>
      <c r="H2105" s="174"/>
      <c r="I2105" s="174"/>
      <c r="J2105" s="174"/>
      <c r="K2105" s="174"/>
      <c r="L2105" s="174"/>
      <c r="M2105" s="174"/>
      <c r="N2105" s="174"/>
      <c r="O2105" s="174"/>
      <c r="P2105" s="174"/>
      <c r="Q2105" s="174"/>
      <c r="R2105" s="174"/>
      <c r="S2105" s="174"/>
      <c r="T2105" s="174"/>
      <c r="U2105" s="174"/>
      <c r="V2105" s="174"/>
      <c r="W2105" s="174"/>
    </row>
    <row r="2106" customFormat="false" ht="12.75" hidden="false" customHeight="false" outlineLevel="0" collapsed="false">
      <c r="B2106" s="175"/>
    </row>
    <row r="2112" customFormat="false" ht="15.75" hidden="false" customHeight="false" outlineLevel="0" collapsed="false">
      <c r="A2112" s="48" t="s">
        <v>17</v>
      </c>
      <c r="B2112" s="57" t="s">
        <v>101</v>
      </c>
      <c r="C2112" s="58" t="n">
        <v>2000</v>
      </c>
      <c r="D2112" s="58" t="n">
        <v>2001</v>
      </c>
      <c r="E2112" s="58" t="n">
        <v>2002</v>
      </c>
      <c r="F2112" s="58" t="n">
        <v>2003</v>
      </c>
      <c r="G2112" s="58" t="n">
        <v>2004</v>
      </c>
      <c r="H2112" s="58" t="n">
        <v>2005</v>
      </c>
      <c r="I2112" s="58" t="n">
        <v>2006</v>
      </c>
      <c r="J2112" s="58" t="n">
        <v>2007</v>
      </c>
      <c r="K2112" s="58" t="n">
        <v>2008</v>
      </c>
      <c r="L2112" s="58" t="n">
        <v>2009</v>
      </c>
      <c r="M2112" s="58" t="n">
        <v>2010</v>
      </c>
      <c r="N2112" s="58" t="n">
        <v>2011</v>
      </c>
      <c r="O2112" s="58" t="n">
        <v>2012</v>
      </c>
      <c r="P2112" s="58" t="n">
        <v>2013</v>
      </c>
      <c r="Q2112" s="58" t="n">
        <v>2014</v>
      </c>
      <c r="R2112" s="58" t="n">
        <v>2015</v>
      </c>
      <c r="S2112" s="58" t="n">
        <v>2016</v>
      </c>
      <c r="T2112" s="58" t="n">
        <v>2017</v>
      </c>
      <c r="U2112" s="58" t="n">
        <v>2018</v>
      </c>
      <c r="V2112" s="58" t="n">
        <v>2019</v>
      </c>
      <c r="W2112" s="58" t="s">
        <v>19</v>
      </c>
    </row>
    <row r="2113" customFormat="false" ht="12.75" hidden="false" customHeight="false" outlineLevel="0" collapsed="false">
      <c r="A2113" s="48" t="s">
        <v>5</v>
      </c>
      <c r="B2113" s="49" t="n">
        <v>83.433</v>
      </c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1"/>
      <c r="P2113" s="61"/>
      <c r="Q2113" s="61"/>
      <c r="R2113" s="61"/>
      <c r="S2113" s="61"/>
      <c r="T2113" s="61"/>
      <c r="U2113" s="61"/>
      <c r="V2113" s="61"/>
      <c r="W2113" s="61"/>
    </row>
    <row r="2114" customFormat="false" ht="12.75" hidden="false" customHeight="false" outlineLevel="0" collapsed="false">
      <c r="A2114" s="2"/>
      <c r="B2114" s="117" t="s">
        <v>20</v>
      </c>
      <c r="C2114" s="118" t="n">
        <v>0</v>
      </c>
      <c r="D2114" s="64" t="n">
        <v>8202175.39141969</v>
      </c>
      <c r="E2114" s="64" t="n">
        <v>7219125.19556247</v>
      </c>
      <c r="F2114" s="64" t="n">
        <v>6975429.92891035</v>
      </c>
      <c r="G2114" s="64" t="n">
        <v>6698801.53981955</v>
      </c>
      <c r="H2114" s="64" t="n">
        <v>6877286.90124915</v>
      </c>
      <c r="I2114" s="64" t="n">
        <v>7875918.16116401</v>
      </c>
      <c r="J2114" s="64" t="n">
        <v>9532366.51234013</v>
      </c>
      <c r="K2114" s="64" t="n">
        <v>12117113.0103676</v>
      </c>
      <c r="L2114" s="64" t="n">
        <v>12861496.0661958</v>
      </c>
      <c r="M2114" s="64" t="n">
        <v>11066696.0971635</v>
      </c>
      <c r="N2114" s="64" t="n">
        <v>10846097.9980071</v>
      </c>
      <c r="O2114" s="64" t="n">
        <v>10837165.4619768</v>
      </c>
      <c r="P2114" s="64" t="n">
        <v>10010041.08074</v>
      </c>
      <c r="Q2114" s="64" t="n">
        <v>11607660.5992968</v>
      </c>
      <c r="R2114" s="64" t="n">
        <v>10822858.6762665</v>
      </c>
      <c r="S2114" s="64" t="n">
        <v>10915874.0816648</v>
      </c>
      <c r="T2114" s="64" t="n">
        <v>10065899.0774091</v>
      </c>
      <c r="U2114" s="64" t="n">
        <v>11407206.8863037</v>
      </c>
      <c r="V2114" s="64" t="n">
        <v>12342873.4841228</v>
      </c>
      <c r="W2114" s="65"/>
    </row>
    <row r="2115" customFormat="false" ht="12.75" hidden="false" customHeight="false" outlineLevel="0" collapsed="false">
      <c r="A2115" s="2"/>
      <c r="B2115" s="117" t="s">
        <v>21</v>
      </c>
      <c r="C2115" s="118" t="n">
        <v>0</v>
      </c>
      <c r="D2115" s="64" t="n">
        <v>-2443747.15095388</v>
      </c>
      <c r="E2115" s="64" t="n">
        <v>-2991581.05241517</v>
      </c>
      <c r="F2115" s="64" t="n">
        <v>-3235039.69989279</v>
      </c>
      <c r="G2115" s="64" t="n">
        <v>-3544191.97559814</v>
      </c>
      <c r="H2115" s="64" t="n">
        <v>-3794796.96567439</v>
      </c>
      <c r="I2115" s="64" t="n">
        <v>-4944426.37962473</v>
      </c>
      <c r="J2115" s="64" t="n">
        <v>-6219182.82268616</v>
      </c>
      <c r="K2115" s="64" t="n">
        <v>-7723082.37659265</v>
      </c>
      <c r="L2115" s="64" t="n">
        <v>-8284094.12252955</v>
      </c>
      <c r="M2115" s="64" t="n">
        <v>-6482347.86682114</v>
      </c>
      <c r="N2115" s="64" t="n">
        <v>-7112818.16695236</v>
      </c>
      <c r="O2115" s="64" t="n">
        <v>-6598867.18665961</v>
      </c>
      <c r="P2115" s="64" t="n">
        <v>-6033835.20069249</v>
      </c>
      <c r="Q2115" s="64" t="n">
        <v>-6785562.71861277</v>
      </c>
      <c r="R2115" s="64" t="n">
        <v>-6609183.75658588</v>
      </c>
      <c r="S2115" s="64" t="n">
        <v>-7384920.38659215</v>
      </c>
      <c r="T2115" s="64" t="n">
        <v>-6300625.62055801</v>
      </c>
      <c r="U2115" s="64" t="n">
        <v>-7074580.36023023</v>
      </c>
      <c r="V2115" s="64" t="n">
        <v>-8373327.41472128</v>
      </c>
      <c r="W2115" s="65"/>
    </row>
    <row r="2116" customFormat="false" ht="12.75" hidden="false" customHeight="false" outlineLevel="0" collapsed="false">
      <c r="A2116" s="2"/>
      <c r="B2116" s="117" t="s">
        <v>22</v>
      </c>
      <c r="C2116" s="118" t="n">
        <v>0</v>
      </c>
      <c r="D2116" s="64" t="n">
        <v>-60965.9960270487</v>
      </c>
      <c r="E2116" s="64" t="n">
        <v>-86226.8817444926</v>
      </c>
      <c r="F2116" s="64" t="n">
        <v>-98920.0929284977</v>
      </c>
      <c r="G2116" s="64" t="n">
        <v>-108302.357800399</v>
      </c>
      <c r="H2116" s="64" t="n">
        <v>-115803.715903977</v>
      </c>
      <c r="I2116" s="64" t="n">
        <v>-156864.885978719</v>
      </c>
      <c r="J2116" s="64" t="n">
        <v>-192371.530618223</v>
      </c>
      <c r="K2116" s="64" t="n">
        <v>-262154.68285511</v>
      </c>
      <c r="L2116" s="64" t="n">
        <v>-274514.626462568</v>
      </c>
      <c r="M2116" s="64" t="n">
        <v>-209035.46436537</v>
      </c>
      <c r="N2116" s="64" t="n">
        <v>-234968.360631691</v>
      </c>
      <c r="O2116" s="64" t="n">
        <v>-219679.092167691</v>
      </c>
      <c r="P2116" s="64" t="n">
        <v>-198816.527507158</v>
      </c>
      <c r="Q2116" s="64" t="n">
        <v>-222370.272894788</v>
      </c>
      <c r="R2116" s="64" t="n">
        <v>-204501.470788994</v>
      </c>
      <c r="S2116" s="64" t="n">
        <v>-224078.643657812</v>
      </c>
      <c r="T2116" s="64" t="n">
        <v>-191744.267299548</v>
      </c>
      <c r="U2116" s="64" t="n">
        <v>-202409.859650827</v>
      </c>
      <c r="V2116" s="64" t="n">
        <v>-245710.990122286</v>
      </c>
      <c r="W2116" s="65"/>
    </row>
    <row r="2117" customFormat="false" ht="12.75" hidden="false" customHeight="false" outlineLevel="0" collapsed="false">
      <c r="A2117" s="2"/>
      <c r="B2117" s="117" t="s">
        <v>23</v>
      </c>
      <c r="C2117" s="118" t="n">
        <v>0</v>
      </c>
      <c r="D2117" s="64" t="n">
        <v>0</v>
      </c>
      <c r="E2117" s="64" t="n">
        <v>0</v>
      </c>
      <c r="F2117" s="64" t="n">
        <v>0</v>
      </c>
      <c r="G2117" s="64" t="n">
        <v>0</v>
      </c>
      <c r="H2117" s="64" t="n">
        <v>0</v>
      </c>
      <c r="I2117" s="64" t="n">
        <v>93418.0233270884</v>
      </c>
      <c r="J2117" s="64" t="n">
        <v>103546.416256845</v>
      </c>
      <c r="K2117" s="64" t="n">
        <v>114259.167463377</v>
      </c>
      <c r="L2117" s="64" t="n">
        <v>125495.637715741</v>
      </c>
      <c r="M2117" s="64" t="n">
        <v>139570.444155257</v>
      </c>
      <c r="N2117" s="64" t="n">
        <v>153747.39907892</v>
      </c>
      <c r="O2117" s="64" t="n">
        <v>170347.508693033</v>
      </c>
      <c r="P2117" s="64" t="n">
        <v>191004.368814188</v>
      </c>
      <c r="Q2117" s="64" t="n">
        <v>212617.66815242</v>
      </c>
      <c r="R2117" s="64" t="n">
        <v>235515.425372474</v>
      </c>
      <c r="S2117" s="64" t="n">
        <v>258595.647431392</v>
      </c>
      <c r="T2117" s="64" t="n">
        <v>254057.616455806</v>
      </c>
      <c r="U2117" s="64" t="n">
        <v>217360.03222342</v>
      </c>
      <c r="V2117" s="64" t="n">
        <v>225362.251242398</v>
      </c>
      <c r="W2117" s="65"/>
    </row>
    <row r="2118" customFormat="false" ht="13.5" hidden="false" customHeight="false" outlineLevel="0" collapsed="false">
      <c r="A2118" s="2"/>
      <c r="B2118" s="119" t="s">
        <v>24</v>
      </c>
      <c r="C2118" s="120" t="n">
        <v>0</v>
      </c>
      <c r="D2118" s="68" t="n">
        <v>0</v>
      </c>
      <c r="E2118" s="68" t="n">
        <v>0</v>
      </c>
      <c r="F2118" s="68" t="n">
        <v>0</v>
      </c>
      <c r="G2118" s="68" t="n">
        <v>0</v>
      </c>
      <c r="H2118" s="68" t="n">
        <v>0</v>
      </c>
      <c r="I2118" s="68" t="n">
        <v>0</v>
      </c>
      <c r="J2118" s="68" t="n">
        <v>0</v>
      </c>
      <c r="K2118" s="68" t="n">
        <v>0</v>
      </c>
      <c r="L2118" s="68" t="n">
        <v>0</v>
      </c>
      <c r="M2118" s="68" t="n">
        <v>0</v>
      </c>
      <c r="N2118" s="68" t="n">
        <v>0</v>
      </c>
      <c r="O2118" s="68" t="n">
        <v>0</v>
      </c>
      <c r="P2118" s="68" t="n">
        <v>0</v>
      </c>
      <c r="Q2118" s="68" t="n">
        <v>0</v>
      </c>
      <c r="R2118" s="68" t="n">
        <v>0</v>
      </c>
      <c r="S2118" s="68" t="n">
        <v>0</v>
      </c>
      <c r="T2118" s="68" t="n">
        <v>0</v>
      </c>
      <c r="U2118" s="68" t="n">
        <v>0</v>
      </c>
      <c r="V2118" s="68" t="n">
        <v>0</v>
      </c>
      <c r="W2118" s="65"/>
    </row>
    <row r="2119" customFormat="false" ht="13.5" hidden="false" customHeight="false" outlineLevel="0" collapsed="false">
      <c r="A2119" s="2"/>
      <c r="B2119" s="121" t="s">
        <v>25</v>
      </c>
      <c r="C2119" s="122" t="n">
        <v>0</v>
      </c>
      <c r="D2119" s="71" t="n">
        <v>5697462.24443877</v>
      </c>
      <c r="E2119" s="71" t="n">
        <v>4141317.26140281</v>
      </c>
      <c r="F2119" s="71" t="n">
        <v>3641470.13608906</v>
      </c>
      <c r="G2119" s="71" t="n">
        <v>3046307.20642101</v>
      </c>
      <c r="H2119" s="71" t="n">
        <v>2966686.21967078</v>
      </c>
      <c r="I2119" s="71" t="n">
        <v>2868044.91888765</v>
      </c>
      <c r="J2119" s="71" t="n">
        <v>3224358.5752926</v>
      </c>
      <c r="K2119" s="71" t="n">
        <v>4246135.11838324</v>
      </c>
      <c r="L2119" s="71" t="n">
        <v>4428382.95491944</v>
      </c>
      <c r="M2119" s="71" t="n">
        <v>4514883.2101322</v>
      </c>
      <c r="N2119" s="71" t="n">
        <v>3652058.86950197</v>
      </c>
      <c r="O2119" s="71" t="n">
        <v>4188966.69184257</v>
      </c>
      <c r="P2119" s="71" t="n">
        <v>3968393.72135451</v>
      </c>
      <c r="Q2119" s="71" t="n">
        <v>4812345.27594165</v>
      </c>
      <c r="R2119" s="71" t="n">
        <v>4244688.87426413</v>
      </c>
      <c r="S2119" s="71" t="n">
        <v>3565470.69884627</v>
      </c>
      <c r="T2119" s="71" t="n">
        <v>3827586.80600735</v>
      </c>
      <c r="U2119" s="71" t="n">
        <v>4347576.69864609</v>
      </c>
      <c r="V2119" s="71" t="n">
        <v>3949197.33052165</v>
      </c>
      <c r="W2119" s="65"/>
    </row>
    <row r="2120" customFormat="false" ht="12.75" hidden="false" customHeight="false" outlineLevel="0" collapsed="false">
      <c r="A2120" s="2"/>
      <c r="B2120" s="117" t="s">
        <v>26</v>
      </c>
      <c r="C2120" s="118" t="n">
        <v>0</v>
      </c>
      <c r="D2120" s="64" t="n">
        <v>-355535.162770781</v>
      </c>
      <c r="E2120" s="64" t="n">
        <v>-362645.866026196</v>
      </c>
      <c r="F2120" s="64" t="n">
        <v>-369898.78334672</v>
      </c>
      <c r="G2120" s="64" t="n">
        <v>-377296.759013655</v>
      </c>
      <c r="H2120" s="64" t="n">
        <v>-384842.694193928</v>
      </c>
      <c r="I2120" s="64" t="n">
        <v>-392539.548077806</v>
      </c>
      <c r="J2120" s="64" t="n">
        <v>-400390.339039362</v>
      </c>
      <c r="K2120" s="64" t="n">
        <v>-408398.14582015</v>
      </c>
      <c r="L2120" s="64" t="n">
        <v>-416566.108736553</v>
      </c>
      <c r="M2120" s="64" t="n">
        <v>-424897.430911284</v>
      </c>
      <c r="N2120" s="64" t="n">
        <v>-433395.379529509</v>
      </c>
      <c r="O2120" s="64" t="n">
        <v>-442063.2871201</v>
      </c>
      <c r="P2120" s="64" t="n">
        <v>-450904.552862502</v>
      </c>
      <c r="Q2120" s="64" t="n">
        <v>-459922.643919752</v>
      </c>
      <c r="R2120" s="64" t="n">
        <v>-469121.096798147</v>
      </c>
      <c r="S2120" s="64" t="n">
        <v>-478503.51873411</v>
      </c>
      <c r="T2120" s="64" t="n">
        <v>-488073.589108792</v>
      </c>
      <c r="U2120" s="64" t="n">
        <v>-497835.060890968</v>
      </c>
      <c r="V2120" s="64" t="n">
        <v>-507791.762108787</v>
      </c>
      <c r="W2120" s="65"/>
    </row>
    <row r="2121" customFormat="false" ht="12.75" hidden="false" customHeight="false" outlineLevel="0" collapsed="false">
      <c r="A2121" s="2"/>
      <c r="B2121" s="117" t="s">
        <v>27</v>
      </c>
      <c r="C2121" s="118" t="n">
        <v>0</v>
      </c>
      <c r="D2121" s="64" t="n">
        <v>-171612.579296875</v>
      </c>
      <c r="E2121" s="64" t="n">
        <v>-171612.579296875</v>
      </c>
      <c r="F2121" s="64" t="n">
        <v>-171612.579296875</v>
      </c>
      <c r="G2121" s="64" t="n">
        <v>-171612.579296875</v>
      </c>
      <c r="H2121" s="64" t="n">
        <v>-171612.579296875</v>
      </c>
      <c r="I2121" s="64" t="n">
        <v>-171612.579296875</v>
      </c>
      <c r="J2121" s="64" t="n">
        <v>-171612.579296875</v>
      </c>
      <c r="K2121" s="64" t="n">
        <v>-171612.579296875</v>
      </c>
      <c r="L2121" s="64" t="n">
        <v>-171612.579296875</v>
      </c>
      <c r="M2121" s="64" t="n">
        <v>-171612.579296875</v>
      </c>
      <c r="N2121" s="64" t="n">
        <v>-171612.579296875</v>
      </c>
      <c r="O2121" s="64" t="n">
        <v>-171612.579296875</v>
      </c>
      <c r="P2121" s="64" t="n">
        <v>-171612.579296875</v>
      </c>
      <c r="Q2121" s="64" t="n">
        <v>-171612.579296875</v>
      </c>
      <c r="R2121" s="64" t="n">
        <v>-171612.579296875</v>
      </c>
      <c r="S2121" s="64" t="n">
        <v>-171612.579296875</v>
      </c>
      <c r="T2121" s="64" t="n">
        <v>-171612.579296875</v>
      </c>
      <c r="U2121" s="64" t="n">
        <v>-171612.579296875</v>
      </c>
      <c r="V2121" s="64" t="n">
        <v>-171612.579296875</v>
      </c>
      <c r="W2121" s="65"/>
    </row>
    <row r="2122" customFormat="false" ht="13.5" hidden="false" customHeight="false" outlineLevel="0" collapsed="false">
      <c r="A2122" s="2"/>
      <c r="B2122" s="119" t="s">
        <v>28</v>
      </c>
      <c r="C2122" s="120" t="n">
        <v>0</v>
      </c>
      <c r="D2122" s="68" t="n">
        <v>-34547.1907058574</v>
      </c>
      <c r="E2122" s="68" t="n">
        <v>-35276.1364297512</v>
      </c>
      <c r="F2122" s="68" t="n">
        <v>-36048.6838175628</v>
      </c>
      <c r="G2122" s="68" t="n">
        <v>-36863.3840718394</v>
      </c>
      <c r="H2122" s="68" t="n">
        <v>-37740.7326127493</v>
      </c>
      <c r="I2122" s="68" t="n">
        <v>-38686.5191661684</v>
      </c>
      <c r="J2122" s="68" t="n">
        <v>-39646.0526171664</v>
      </c>
      <c r="K2122" s="68" t="n">
        <v>-40649.5761404166</v>
      </c>
      <c r="L2122" s="68" t="n">
        <v>-41653.6206710849</v>
      </c>
      <c r="M2122" s="68" t="n">
        <v>-42715.7879981975</v>
      </c>
      <c r="N2122" s="68" t="n">
        <v>-43749.510067754</v>
      </c>
      <c r="O2122" s="68" t="n">
        <v>-44851.9977214613</v>
      </c>
      <c r="P2122" s="68" t="n">
        <v>-45991.2384635863</v>
      </c>
      <c r="Q2122" s="68" t="n">
        <v>-47141.019425176</v>
      </c>
      <c r="R2122" s="68" t="n">
        <v>-48324.2590127479</v>
      </c>
      <c r="S2122" s="68" t="n">
        <v>-49532.3654880667</v>
      </c>
      <c r="T2122" s="68" t="n">
        <v>-50760.7681521706</v>
      </c>
      <c r="U2122" s="68" t="n">
        <v>-52034.8634327902</v>
      </c>
      <c r="V2122" s="68" t="n">
        <v>-53340.9385049533</v>
      </c>
      <c r="W2122" s="65"/>
    </row>
    <row r="2123" customFormat="false" ht="13.5" hidden="false" customHeight="false" outlineLevel="0" collapsed="false">
      <c r="A2123" s="2"/>
      <c r="B2123" s="121" t="s">
        <v>29</v>
      </c>
      <c r="C2123" s="123" t="n">
        <v>0</v>
      </c>
      <c r="D2123" s="73" t="n">
        <v>5135767.31166525</v>
      </c>
      <c r="E2123" s="73" t="n">
        <v>3571782.67964998</v>
      </c>
      <c r="F2123" s="73" t="n">
        <v>3063910.08962791</v>
      </c>
      <c r="G2123" s="73" t="n">
        <v>2460534.48403864</v>
      </c>
      <c r="H2123" s="73" t="n">
        <v>2372490.21356723</v>
      </c>
      <c r="I2123" s="73" t="n">
        <v>2265206.2723468</v>
      </c>
      <c r="J2123" s="73" t="n">
        <v>2612709.60433919</v>
      </c>
      <c r="K2123" s="73" t="n">
        <v>3625474.8171258</v>
      </c>
      <c r="L2123" s="73" t="n">
        <v>3798550.64621492</v>
      </c>
      <c r="M2123" s="73" t="n">
        <v>3875657.41192585</v>
      </c>
      <c r="N2123" s="73" t="n">
        <v>3003301.40060783</v>
      </c>
      <c r="O2123" s="73" t="n">
        <v>3530438.82770413</v>
      </c>
      <c r="P2123" s="73" t="n">
        <v>3299885.35073154</v>
      </c>
      <c r="Q2123" s="73" t="n">
        <v>4133669.03329984</v>
      </c>
      <c r="R2123" s="73" t="n">
        <v>3555630.93915636</v>
      </c>
      <c r="S2123" s="73" t="n">
        <v>2865822.23532722</v>
      </c>
      <c r="T2123" s="73" t="n">
        <v>3117139.86944951</v>
      </c>
      <c r="U2123" s="73" t="n">
        <v>3626094.19502545</v>
      </c>
      <c r="V2123" s="73" t="n">
        <v>3216452.05061103</v>
      </c>
      <c r="W2123" s="65"/>
    </row>
    <row r="2124" customFormat="false" ht="12.75" hidden="false" customHeight="false" outlineLevel="0" collapsed="false">
      <c r="A2124" s="2"/>
      <c r="B2124" s="117" t="s">
        <v>30</v>
      </c>
      <c r="C2124" s="118" t="n">
        <v>0</v>
      </c>
      <c r="D2124" s="64" t="n">
        <v>-2205792.47779167</v>
      </c>
      <c r="E2124" s="64" t="n">
        <v>-2222039.8326947</v>
      </c>
      <c r="F2124" s="64" t="n">
        <v>-2218137.68195623</v>
      </c>
      <c r="G2124" s="64" t="n">
        <v>-2220256.63878883</v>
      </c>
      <c r="H2124" s="64" t="n">
        <v>-2219185.1215633</v>
      </c>
      <c r="I2124" s="64" t="n">
        <v>-2226619.55438779</v>
      </c>
      <c r="J2124" s="64" t="n">
        <v>-1256543.57276605</v>
      </c>
      <c r="K2124" s="64" t="n">
        <v>-177177.116232123</v>
      </c>
      <c r="L2124" s="64" t="n">
        <v>-58102.6522531744</v>
      </c>
      <c r="M2124" s="64" t="n">
        <v>-50933.398863777</v>
      </c>
      <c r="N2124" s="64" t="n">
        <v>-56024.5612376486</v>
      </c>
      <c r="O2124" s="64" t="n">
        <v>-61012.2485150478</v>
      </c>
      <c r="P2124" s="64" t="n">
        <v>-66107.0799194195</v>
      </c>
      <c r="Q2124" s="64" t="n">
        <v>-71231.4129325891</v>
      </c>
      <c r="R2124" s="64" t="n">
        <v>-76513.3326028205</v>
      </c>
      <c r="S2124" s="64" t="n">
        <v>-82080.2281964921</v>
      </c>
      <c r="T2124" s="64" t="n">
        <v>-87814.1306579738</v>
      </c>
      <c r="U2124" s="64" t="n">
        <v>-93720.0501933001</v>
      </c>
      <c r="V2124" s="64" t="n">
        <v>-99803.1473146861</v>
      </c>
      <c r="W2124" s="65"/>
    </row>
    <row r="2125" customFormat="false" ht="13.5" hidden="false" customHeight="false" outlineLevel="0" collapsed="false">
      <c r="A2125" s="2"/>
      <c r="B2125" s="119" t="s">
        <v>70</v>
      </c>
      <c r="C2125" s="120" t="n">
        <v>0</v>
      </c>
      <c r="D2125" s="68" t="n">
        <v>-1171989.93354943</v>
      </c>
      <c r="E2125" s="68" t="n">
        <v>-539897.138782113</v>
      </c>
      <c r="F2125" s="68" t="n">
        <v>-338308.963068669</v>
      </c>
      <c r="G2125" s="68" t="n">
        <v>-96111.1380999226</v>
      </c>
      <c r="H2125" s="68" t="n">
        <v>-61322.0368015723</v>
      </c>
      <c r="I2125" s="68" t="n">
        <v>-15434.6871836064</v>
      </c>
      <c r="J2125" s="68" t="n">
        <v>-542466.412629258</v>
      </c>
      <c r="K2125" s="68" t="n">
        <v>-1379319.08035747</v>
      </c>
      <c r="L2125" s="68" t="n">
        <v>-1496179.1975847</v>
      </c>
      <c r="M2125" s="68" t="n">
        <v>-1529889.60522483</v>
      </c>
      <c r="N2125" s="68" t="n">
        <v>-1178910.73574807</v>
      </c>
      <c r="O2125" s="68" t="n">
        <v>-1387770.63167563</v>
      </c>
      <c r="P2125" s="68" t="n">
        <v>-1293511.30832485</v>
      </c>
      <c r="Q2125" s="68" t="n">
        <v>-1624975.0481469</v>
      </c>
      <c r="R2125" s="68" t="n">
        <v>-1391647.04262141</v>
      </c>
      <c r="S2125" s="68" t="n">
        <v>-1113496.80285229</v>
      </c>
      <c r="T2125" s="68" t="n">
        <v>-1211730.29551662</v>
      </c>
      <c r="U2125" s="68" t="n">
        <v>-1412949.65793286</v>
      </c>
      <c r="V2125" s="68" t="n">
        <v>-1246659.56131854</v>
      </c>
      <c r="W2125" s="65"/>
    </row>
    <row r="2126" customFormat="false" ht="13.5" hidden="false" customHeight="false" outlineLevel="0" collapsed="false">
      <c r="A2126" s="2"/>
      <c r="B2126" s="121" t="s">
        <v>32</v>
      </c>
      <c r="C2126" s="123" t="n">
        <v>0</v>
      </c>
      <c r="D2126" s="73" t="n">
        <v>1757984.90032415</v>
      </c>
      <c r="E2126" s="73" t="n">
        <v>809845.70817317</v>
      </c>
      <c r="F2126" s="73" t="n">
        <v>507463.444603004</v>
      </c>
      <c r="G2126" s="73" t="n">
        <v>144166.707149884</v>
      </c>
      <c r="H2126" s="73" t="n">
        <v>91983.0552023585</v>
      </c>
      <c r="I2126" s="73" t="n">
        <v>23152.0307754097</v>
      </c>
      <c r="J2126" s="73" t="n">
        <v>813699.618943887</v>
      </c>
      <c r="K2126" s="73" t="n">
        <v>2068978.6205362</v>
      </c>
      <c r="L2126" s="73" t="n">
        <v>2244268.79637705</v>
      </c>
      <c r="M2126" s="73" t="n">
        <v>2294834.40783724</v>
      </c>
      <c r="N2126" s="73" t="n">
        <v>1768366.10362211</v>
      </c>
      <c r="O2126" s="73" t="n">
        <v>2081655.94751345</v>
      </c>
      <c r="P2126" s="73" t="n">
        <v>1940266.96248727</v>
      </c>
      <c r="Q2126" s="73" t="n">
        <v>2437462.57222035</v>
      </c>
      <c r="R2126" s="73" t="n">
        <v>2087470.56393212</v>
      </c>
      <c r="S2126" s="73" t="n">
        <v>1670245.20427844</v>
      </c>
      <c r="T2126" s="73" t="n">
        <v>1817595.44327492</v>
      </c>
      <c r="U2126" s="73" t="n">
        <v>2119424.48689929</v>
      </c>
      <c r="V2126" s="73" t="n">
        <v>1869989.34197781</v>
      </c>
      <c r="W2126" s="65"/>
    </row>
    <row r="2127" customFormat="false" ht="12.75" hidden="false" customHeight="false" outlineLevel="0" collapsed="false">
      <c r="A2127" s="2"/>
      <c r="B2127" s="117" t="s">
        <v>30</v>
      </c>
      <c r="C2127" s="118" t="n">
        <v>0</v>
      </c>
      <c r="D2127" s="64" t="n">
        <v>2205792.47779167</v>
      </c>
      <c r="E2127" s="64" t="n">
        <v>2222039.8326947</v>
      </c>
      <c r="F2127" s="64" t="n">
        <v>2218137.68195623</v>
      </c>
      <c r="G2127" s="64" t="n">
        <v>2220256.63878883</v>
      </c>
      <c r="H2127" s="64" t="n">
        <v>2219185.1215633</v>
      </c>
      <c r="I2127" s="64" t="n">
        <v>2226619.55438779</v>
      </c>
      <c r="J2127" s="64" t="n">
        <v>1256543.57276605</v>
      </c>
      <c r="K2127" s="64" t="n">
        <v>177177.116232123</v>
      </c>
      <c r="L2127" s="64" t="n">
        <v>58102.6522531744</v>
      </c>
      <c r="M2127" s="64" t="n">
        <v>50933.398863777</v>
      </c>
      <c r="N2127" s="64" t="n">
        <v>56024.5612376486</v>
      </c>
      <c r="O2127" s="64" t="n">
        <v>61012.2485150478</v>
      </c>
      <c r="P2127" s="64" t="n">
        <v>66107.0799194195</v>
      </c>
      <c r="Q2127" s="64" t="n">
        <v>71231.4129325891</v>
      </c>
      <c r="R2127" s="64" t="n">
        <v>76513.3326028205</v>
      </c>
      <c r="S2127" s="64" t="n">
        <v>82080.2281964921</v>
      </c>
      <c r="T2127" s="64" t="n">
        <v>87814.1306579738</v>
      </c>
      <c r="U2127" s="64" t="n">
        <v>93720.0501933001</v>
      </c>
      <c r="V2127" s="64" t="n">
        <v>99803.1473146861</v>
      </c>
      <c r="W2127" s="65"/>
    </row>
    <row r="2128" customFormat="false" ht="12.75" hidden="false" customHeight="false" outlineLevel="0" collapsed="false">
      <c r="A2128" s="2"/>
      <c r="B2128" s="117" t="s">
        <v>33</v>
      </c>
      <c r="C2128" s="118" t="n">
        <v>0</v>
      </c>
      <c r="D2128" s="64" t="n">
        <v>-368261.63</v>
      </c>
      <c r="E2128" s="64" t="n">
        <v>-14707.35</v>
      </c>
      <c r="F2128" s="64" t="n">
        <v>-15149.69</v>
      </c>
      <c r="G2128" s="64" t="n">
        <v>-15661.04</v>
      </c>
      <c r="H2128" s="64" t="n">
        <v>-85748.868</v>
      </c>
      <c r="I2128" s="64" t="n">
        <v>-88321.33404</v>
      </c>
      <c r="J2128" s="64" t="n">
        <v>-90970.9740612</v>
      </c>
      <c r="K2128" s="64" t="n">
        <v>-93700.103283036</v>
      </c>
      <c r="L2128" s="64" t="n">
        <v>-96511.1063815271</v>
      </c>
      <c r="M2128" s="64" t="n">
        <v>-99406.4395729729</v>
      </c>
      <c r="N2128" s="64" t="n">
        <v>-102388.632760162</v>
      </c>
      <c r="O2128" s="64" t="n">
        <v>-105460.291742967</v>
      </c>
      <c r="P2128" s="64" t="n">
        <v>-108624.100495256</v>
      </c>
      <c r="Q2128" s="64" t="n">
        <v>-111882.823510114</v>
      </c>
      <c r="R2128" s="64" t="n">
        <v>-115239.308215417</v>
      </c>
      <c r="S2128" s="64" t="n">
        <v>-118696.48746188</v>
      </c>
      <c r="T2128" s="64" t="n">
        <v>-122257.382085736</v>
      </c>
      <c r="U2128" s="64" t="n">
        <v>-125925.103548308</v>
      </c>
      <c r="V2128" s="64" t="n">
        <v>-129702.856654757</v>
      </c>
      <c r="W2128" s="65"/>
    </row>
    <row r="2129" customFormat="false" ht="13.5" hidden="false" customHeight="false" outlineLevel="0" collapsed="false">
      <c r="A2129" s="2"/>
      <c r="B2129" s="119" t="s">
        <v>34</v>
      </c>
      <c r="C2129" s="120" t="n">
        <v>0</v>
      </c>
      <c r="D2129" s="68" t="n">
        <v>0</v>
      </c>
      <c r="E2129" s="68" t="n">
        <v>0</v>
      </c>
      <c r="F2129" s="68" t="n">
        <v>0</v>
      </c>
      <c r="G2129" s="68" t="n">
        <v>0</v>
      </c>
      <c r="H2129" s="68" t="n">
        <v>0</v>
      </c>
      <c r="I2129" s="68" t="n">
        <v>0</v>
      </c>
      <c r="J2129" s="68" t="n">
        <v>0</v>
      </c>
      <c r="K2129" s="68" t="n">
        <v>0</v>
      </c>
      <c r="L2129" s="68" t="n">
        <v>0</v>
      </c>
      <c r="M2129" s="68" t="n">
        <v>0</v>
      </c>
      <c r="N2129" s="68" t="n">
        <v>0</v>
      </c>
      <c r="O2129" s="68" t="n">
        <v>0</v>
      </c>
      <c r="P2129" s="68" t="n">
        <v>0</v>
      </c>
      <c r="Q2129" s="68" t="n">
        <v>0</v>
      </c>
      <c r="R2129" s="68" t="n">
        <v>0</v>
      </c>
      <c r="S2129" s="68" t="n">
        <v>0</v>
      </c>
      <c r="T2129" s="68" t="n">
        <v>0</v>
      </c>
      <c r="U2129" s="68" t="n">
        <v>0</v>
      </c>
      <c r="V2129" s="68" t="n">
        <v>0</v>
      </c>
      <c r="W2129" s="65"/>
    </row>
    <row r="2130" customFormat="false" ht="13.5" hidden="false" customHeight="false" outlineLevel="0" collapsed="false">
      <c r="A2130" s="2"/>
      <c r="B2130" s="117"/>
      <c r="C2130" s="124"/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5"/>
      <c r="V2130" s="65"/>
      <c r="W2130" s="65"/>
    </row>
    <row r="2131" customFormat="false" ht="12.75" hidden="false" customHeight="false" outlineLevel="0" collapsed="false">
      <c r="A2131" s="2"/>
      <c r="B2131" s="121" t="s">
        <v>35</v>
      </c>
      <c r="C2131" s="123" t="n">
        <v>0</v>
      </c>
      <c r="D2131" s="73" t="n">
        <v>3595515.74811582</v>
      </c>
      <c r="E2131" s="73" t="n">
        <v>3017178.19086787</v>
      </c>
      <c r="F2131" s="73" t="n">
        <v>2710451.43655924</v>
      </c>
      <c r="G2131" s="73" t="n">
        <v>2348762.30593872</v>
      </c>
      <c r="H2131" s="73" t="n">
        <v>2225419.30876566</v>
      </c>
      <c r="I2131" s="73" t="n">
        <v>2161450.2511232</v>
      </c>
      <c r="J2131" s="73" t="n">
        <v>1979272.21764874</v>
      </c>
      <c r="K2131" s="73" t="n">
        <v>2152455.63348529</v>
      </c>
      <c r="L2131" s="73" t="n">
        <v>2205860.3422487</v>
      </c>
      <c r="M2131" s="73" t="n">
        <v>2246361.36712805</v>
      </c>
      <c r="N2131" s="73" t="n">
        <v>1722002.0320996</v>
      </c>
      <c r="O2131" s="73" t="n">
        <v>2037207.90428553</v>
      </c>
      <c r="P2131" s="73" t="n">
        <v>1897749.94191144</v>
      </c>
      <c r="Q2131" s="73" t="n">
        <v>2396811.16164283</v>
      </c>
      <c r="R2131" s="73" t="n">
        <v>2048744.58831952</v>
      </c>
      <c r="S2131" s="73" t="n">
        <v>1633628.94501305</v>
      </c>
      <c r="T2131" s="73" t="n">
        <v>1783152.19184716</v>
      </c>
      <c r="U2131" s="73" t="n">
        <v>2087219.43354428</v>
      </c>
      <c r="V2131" s="73" t="n">
        <v>1840089.63263774</v>
      </c>
      <c r="W2131" s="71" t="n">
        <v>12100475.8461189</v>
      </c>
    </row>
    <row r="2132" customFormat="false" ht="12.75" hidden="false" customHeight="false" outlineLevel="0" collapsed="false">
      <c r="A2132" s="2"/>
      <c r="B2132" s="125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</row>
    <row r="2133" customFormat="false" ht="12.75" hidden="false" customHeight="false" outlineLevel="0" collapsed="false">
      <c r="A2133" s="48" t="s">
        <v>36</v>
      </c>
      <c r="B2133" s="126" t="s">
        <v>37</v>
      </c>
      <c r="C2133" s="76" t="n">
        <v>10784635.2164199</v>
      </c>
      <c r="D2133" s="2"/>
      <c r="E2133" s="127" t="s">
        <v>38</v>
      </c>
      <c r="F2133" s="128" t="s">
        <v>37</v>
      </c>
      <c r="G2133" s="79" t="n">
        <v>10784635.2164199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</row>
    <row r="2134" customFormat="false" ht="12.75" hidden="false" customHeight="false" outlineLevel="0" collapsed="false">
      <c r="A2134" s="2"/>
      <c r="B2134" s="126" t="s">
        <v>39</v>
      </c>
      <c r="C2134" s="76" t="n">
        <v>9350042.00485728</v>
      </c>
      <c r="D2134" s="2"/>
      <c r="E2134" s="129"/>
      <c r="F2134" s="128" t="s">
        <v>39</v>
      </c>
      <c r="G2134" s="79" t="n">
        <v>9350042.00485728</v>
      </c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</row>
    <row r="2135" customFormat="false" ht="13.5" hidden="false" customHeight="false" outlineLevel="0" collapsed="false">
      <c r="A2135" s="2"/>
      <c r="B2135" s="130" t="s">
        <v>40</v>
      </c>
      <c r="C2135" s="82" t="n">
        <v>1798658.63058564</v>
      </c>
      <c r="D2135" s="131"/>
      <c r="E2135" s="129"/>
      <c r="F2135" s="128" t="s">
        <v>40</v>
      </c>
      <c r="G2135" s="79" t="n">
        <v>1798658.63058564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</row>
    <row r="2136" customFormat="false" ht="14.25" hidden="false" customHeight="false" outlineLevel="0" collapsed="false">
      <c r="A2136" s="2"/>
      <c r="B2136" s="126" t="s">
        <v>41</v>
      </c>
      <c r="C2136" s="76" t="n">
        <v>21933335.8518628</v>
      </c>
      <c r="D2136" s="132"/>
      <c r="E2136" s="129"/>
      <c r="F2136" s="133" t="s">
        <v>42</v>
      </c>
      <c r="G2136" s="85" t="n">
        <v>0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</row>
    <row r="2137" customFormat="false" ht="13.5" hidden="false" customHeight="false" outlineLevel="0" collapsed="false">
      <c r="A2137" s="2"/>
      <c r="B2137" s="125"/>
      <c r="C2137" s="134"/>
      <c r="D2137" s="2"/>
      <c r="E2137" s="135"/>
      <c r="F2137" s="128" t="s">
        <v>41</v>
      </c>
      <c r="G2137" s="79" t="n">
        <v>21933335.8518628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</row>
    <row r="2138" customFormat="false" ht="12.75" hidden="false" customHeight="false" outlineLevel="0" collapsed="false">
      <c r="A2138" s="2"/>
      <c r="B2138" s="125"/>
      <c r="C2138" s="134"/>
      <c r="D2138" s="2"/>
      <c r="E2138" s="135"/>
      <c r="F2138" s="128"/>
      <c r="G2138" s="136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</row>
    <row r="2139" customFormat="false" ht="12.75" hidden="false" customHeight="false" outlineLevel="0" collapsed="false">
      <c r="A2139" s="2"/>
      <c r="B2139" s="125"/>
      <c r="C2139" s="134"/>
      <c r="D2139" s="2"/>
      <c r="E2139" s="135"/>
      <c r="F2139" s="128"/>
      <c r="G2139" s="136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</row>
    <row r="2140" customFormat="false" ht="12.75" hidden="false" customHeight="false" outlineLevel="0" collapsed="false">
      <c r="A2140" s="2"/>
      <c r="B2140" s="137" t="s">
        <v>43</v>
      </c>
      <c r="C2140" s="134"/>
      <c r="D2140" s="2"/>
      <c r="E2140" s="135"/>
      <c r="F2140" s="128"/>
      <c r="G2140" s="136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</row>
    <row r="2141" customFormat="false" ht="12.75" hidden="false" customHeight="false" outlineLevel="0" collapsed="false">
      <c r="A2141" s="87" t="s">
        <v>44</v>
      </c>
      <c r="B2141" s="137" t="s">
        <v>45</v>
      </c>
      <c r="C2141" s="138"/>
      <c r="D2141" s="88" t="n">
        <v>1757984.90032415</v>
      </c>
      <c r="E2141" s="88" t="n">
        <v>809845.70817317</v>
      </c>
      <c r="F2141" s="88" t="n">
        <v>507463.444603004</v>
      </c>
      <c r="G2141" s="88" t="n">
        <v>144166.707149884</v>
      </c>
      <c r="H2141" s="88" t="n">
        <v>91983.0552023585</v>
      </c>
      <c r="I2141" s="88" t="n">
        <v>23152.0307754097</v>
      </c>
      <c r="J2141" s="88" t="n">
        <v>813699.618943887</v>
      </c>
      <c r="K2141" s="88" t="n">
        <v>2068978.6205362</v>
      </c>
      <c r="L2141" s="88" t="n">
        <v>2244268.79637705</v>
      </c>
      <c r="M2141" s="88" t="n">
        <v>2294834.40783724</v>
      </c>
      <c r="N2141" s="88" t="n">
        <v>1768366.10362211</v>
      </c>
      <c r="O2141" s="88" t="n">
        <v>2081655.94751345</v>
      </c>
      <c r="P2141" s="88" t="n">
        <v>1940266.96248727</v>
      </c>
      <c r="Q2141" s="88" t="n">
        <v>2437462.57222035</v>
      </c>
      <c r="R2141" s="88" t="n">
        <v>2087470.56393212</v>
      </c>
      <c r="S2141" s="88" t="n">
        <v>1670245.20427844</v>
      </c>
      <c r="T2141" s="88" t="n">
        <v>1817595.44327492</v>
      </c>
      <c r="U2141" s="88" t="n">
        <v>2119424.48689929</v>
      </c>
      <c r="V2141" s="88" t="n">
        <v>1869989.34197781</v>
      </c>
      <c r="W2141" s="2"/>
    </row>
    <row r="2142" customFormat="false" ht="12.75" hidden="false" customHeight="false" outlineLevel="0" collapsed="false">
      <c r="A2142" s="2"/>
      <c r="B2142" s="125" t="s">
        <v>46</v>
      </c>
      <c r="C2142" s="134"/>
      <c r="D2142" s="65" t="n">
        <v>1171989.93354943</v>
      </c>
      <c r="E2142" s="65" t="n">
        <v>539897.138782113</v>
      </c>
      <c r="F2142" s="65" t="n">
        <v>338308.963068669</v>
      </c>
      <c r="G2142" s="65" t="n">
        <v>96111.1380999226</v>
      </c>
      <c r="H2142" s="65" t="n">
        <v>61322.0368015723</v>
      </c>
      <c r="I2142" s="65" t="n">
        <v>15434.6871836064</v>
      </c>
      <c r="J2142" s="65" t="n">
        <v>542466.412629258</v>
      </c>
      <c r="K2142" s="65" t="n">
        <v>1379319.08035747</v>
      </c>
      <c r="L2142" s="65" t="n">
        <v>1496179.1975847</v>
      </c>
      <c r="M2142" s="65" t="n">
        <v>1529889.60522483</v>
      </c>
      <c r="N2142" s="65" t="n">
        <v>1178910.73574807</v>
      </c>
      <c r="O2142" s="65" t="n">
        <v>1387770.63167563</v>
      </c>
      <c r="P2142" s="65" t="n">
        <v>1293511.30832485</v>
      </c>
      <c r="Q2142" s="65" t="n">
        <v>1624975.0481469</v>
      </c>
      <c r="R2142" s="65" t="n">
        <v>1391647.04262141</v>
      </c>
      <c r="S2142" s="65" t="n">
        <v>1113496.80285229</v>
      </c>
      <c r="T2142" s="65" t="n">
        <v>1211730.29551662</v>
      </c>
      <c r="U2142" s="65" t="n">
        <v>1412949.65793286</v>
      </c>
      <c r="V2142" s="65" t="n">
        <v>1246659.56131854</v>
      </c>
      <c r="W2142" s="2"/>
    </row>
    <row r="2143" customFormat="false" ht="12.75" hidden="false" customHeight="false" outlineLevel="0" collapsed="false">
      <c r="A2143" s="2"/>
      <c r="B2143" s="139" t="s">
        <v>47</v>
      </c>
      <c r="C2143" s="140"/>
      <c r="D2143" s="65" t="n">
        <v>2205792.47779167</v>
      </c>
      <c r="E2143" s="65" t="n">
        <v>2222039.8326947</v>
      </c>
      <c r="F2143" s="65" t="n">
        <v>2218137.68195623</v>
      </c>
      <c r="G2143" s="65" t="n">
        <v>2220256.63878883</v>
      </c>
      <c r="H2143" s="65" t="n">
        <v>2219185.1215633</v>
      </c>
      <c r="I2143" s="65" t="n">
        <v>2226619.55438779</v>
      </c>
      <c r="J2143" s="65" t="n">
        <v>1256543.57276605</v>
      </c>
      <c r="K2143" s="65" t="n">
        <v>177177.116232123</v>
      </c>
      <c r="L2143" s="65" t="n">
        <v>58102.6522531744</v>
      </c>
      <c r="M2143" s="65" t="n">
        <v>50933.398863777</v>
      </c>
      <c r="N2143" s="65" t="n">
        <v>56024.5612376486</v>
      </c>
      <c r="O2143" s="65" t="n">
        <v>61012.2485150478</v>
      </c>
      <c r="P2143" s="65" t="n">
        <v>66107.0799194195</v>
      </c>
      <c r="Q2143" s="65" t="n">
        <v>71231.4129325891</v>
      </c>
      <c r="R2143" s="65" t="n">
        <v>76513.3326028205</v>
      </c>
      <c r="S2143" s="65" t="n">
        <v>82080.2281964921</v>
      </c>
      <c r="T2143" s="65" t="n">
        <v>87814.1306579738</v>
      </c>
      <c r="U2143" s="65" t="n">
        <v>93720.0501933001</v>
      </c>
      <c r="V2143" s="65" t="n">
        <v>99803.1473146861</v>
      </c>
      <c r="W2143" s="2"/>
    </row>
    <row r="2144" customFormat="false" ht="13.5" hidden="false" customHeight="false" outlineLevel="0" collapsed="false">
      <c r="A2144" s="2"/>
      <c r="B2144" s="141" t="s">
        <v>48</v>
      </c>
      <c r="C2144" s="142"/>
      <c r="D2144" s="93" t="n">
        <v>5135767.31166525</v>
      </c>
      <c r="E2144" s="93" t="n">
        <v>3571782.67964998</v>
      </c>
      <c r="F2144" s="93" t="n">
        <v>3063910.08962791</v>
      </c>
      <c r="G2144" s="93" t="n">
        <v>2460534.48403864</v>
      </c>
      <c r="H2144" s="93" t="n">
        <v>2372490.21356723</v>
      </c>
      <c r="I2144" s="93" t="n">
        <v>2265206.2723468</v>
      </c>
      <c r="J2144" s="93" t="n">
        <v>2612709.60433919</v>
      </c>
      <c r="K2144" s="93" t="n">
        <v>3625474.8171258</v>
      </c>
      <c r="L2144" s="93" t="n">
        <v>3798550.64621492</v>
      </c>
      <c r="M2144" s="93" t="n">
        <v>3875657.41192585</v>
      </c>
      <c r="N2144" s="93" t="n">
        <v>3003301.40060783</v>
      </c>
      <c r="O2144" s="93" t="n">
        <v>3530438.82770413</v>
      </c>
      <c r="P2144" s="93" t="n">
        <v>3299885.35073154</v>
      </c>
      <c r="Q2144" s="93" t="n">
        <v>4133669.03329984</v>
      </c>
      <c r="R2144" s="93" t="n">
        <v>3555630.93915636</v>
      </c>
      <c r="S2144" s="93" t="n">
        <v>2865822.23532722</v>
      </c>
      <c r="T2144" s="93" t="n">
        <v>3117139.86944951</v>
      </c>
      <c r="U2144" s="93" t="n">
        <v>3626094.19502545</v>
      </c>
      <c r="V2144" s="93" t="n">
        <v>3216452.05061103</v>
      </c>
      <c r="W2144" s="2"/>
    </row>
    <row r="2145" customFormat="false" ht="13.5" hidden="false" customHeight="false" outlineLevel="0" collapsed="false">
      <c r="A2145" s="87" t="s">
        <v>49</v>
      </c>
      <c r="B2145" s="125" t="s">
        <v>50</v>
      </c>
      <c r="C2145" s="134"/>
      <c r="D2145" s="65" t="n">
        <v>-1848635.56303087</v>
      </c>
      <c r="E2145" s="65" t="n">
        <v>-1849370.93053087</v>
      </c>
      <c r="F2145" s="65" t="n">
        <v>-1850128.41503087</v>
      </c>
      <c r="G2145" s="65" t="n">
        <v>-1850911.46703087</v>
      </c>
      <c r="H2145" s="65" t="n">
        <v>-1855198.91043087</v>
      </c>
      <c r="I2145" s="65" t="n">
        <v>-1859614.97713287</v>
      </c>
      <c r="J2145" s="65" t="n">
        <v>-1864163.52583593</v>
      </c>
      <c r="K2145" s="65" t="n">
        <v>-1868848.53100008</v>
      </c>
      <c r="L2145" s="65" t="n">
        <v>-1873674.08631915</v>
      </c>
      <c r="M2145" s="65" t="n">
        <v>-1878644.4082978</v>
      </c>
      <c r="N2145" s="65" t="n">
        <v>-1883763.83993581</v>
      </c>
      <c r="O2145" s="65" t="n">
        <v>-1889036.85452296</v>
      </c>
      <c r="P2145" s="65" t="n">
        <v>-1894468.05954772</v>
      </c>
      <c r="Q2145" s="65" t="n">
        <v>-1900062.20072323</v>
      </c>
      <c r="R2145" s="65" t="n">
        <v>-542427.202800671</v>
      </c>
      <c r="S2145" s="65" t="n">
        <v>-159621.15717376</v>
      </c>
      <c r="T2145" s="65" t="n">
        <v>-165734.026278047</v>
      </c>
      <c r="U2145" s="65" t="n">
        <v>-172030.281455462</v>
      </c>
      <c r="V2145" s="65" t="n">
        <v>-178515.4242882</v>
      </c>
      <c r="W2145" s="2"/>
    </row>
    <row r="2146" customFormat="false" ht="12.75" hidden="false" customHeight="false" outlineLevel="0" collapsed="false">
      <c r="A2146" s="2"/>
      <c r="B2146" s="125" t="s">
        <v>51</v>
      </c>
      <c r="C2146" s="134"/>
      <c r="D2146" s="65" t="n">
        <v>0</v>
      </c>
      <c r="E2146" s="65" t="n">
        <v>0</v>
      </c>
      <c r="F2146" s="65" t="n">
        <v>0</v>
      </c>
      <c r="G2146" s="65" t="n">
        <v>0</v>
      </c>
      <c r="H2146" s="65" t="n">
        <v>0</v>
      </c>
      <c r="I2146" s="65" t="n">
        <v>0</v>
      </c>
      <c r="J2146" s="65" t="n">
        <v>0</v>
      </c>
      <c r="K2146" s="65" t="n">
        <v>0</v>
      </c>
      <c r="L2146" s="65" t="n">
        <v>0</v>
      </c>
      <c r="M2146" s="65" t="n">
        <v>0</v>
      </c>
      <c r="N2146" s="65" t="n">
        <v>0</v>
      </c>
      <c r="O2146" s="65" t="n">
        <v>0</v>
      </c>
      <c r="P2146" s="65" t="n">
        <v>0</v>
      </c>
      <c r="Q2146" s="65" t="n">
        <v>0</v>
      </c>
      <c r="R2146" s="65" t="n">
        <v>0</v>
      </c>
      <c r="S2146" s="65" t="n">
        <v>0</v>
      </c>
      <c r="T2146" s="65" t="n">
        <v>0</v>
      </c>
      <c r="U2146" s="65" t="n">
        <v>0</v>
      </c>
      <c r="V2146" s="65" t="n">
        <v>0</v>
      </c>
      <c r="W2146" s="2"/>
    </row>
    <row r="2147" customFormat="false" ht="12.75" hidden="false" customHeight="false" outlineLevel="0" collapsed="false">
      <c r="A2147" s="2"/>
      <c r="B2147" s="137" t="s">
        <v>52</v>
      </c>
      <c r="C2147" s="138"/>
      <c r="D2147" s="88" t="n">
        <v>3287131.74863439</v>
      </c>
      <c r="E2147" s="88" t="n">
        <v>1722411.74911912</v>
      </c>
      <c r="F2147" s="88" t="n">
        <v>1213781.67459704</v>
      </c>
      <c r="G2147" s="88" t="n">
        <v>609623.017007773</v>
      </c>
      <c r="H2147" s="88" t="n">
        <v>517291.303136364</v>
      </c>
      <c r="I2147" s="88" t="n">
        <v>405591.295213936</v>
      </c>
      <c r="J2147" s="88" t="n">
        <v>748546.078503267</v>
      </c>
      <c r="K2147" s="88" t="n">
        <v>1756626.28612572</v>
      </c>
      <c r="L2147" s="88" t="n">
        <v>1924876.55989577</v>
      </c>
      <c r="M2147" s="88" t="n">
        <v>1997013.00362804</v>
      </c>
      <c r="N2147" s="88" t="n">
        <v>1119537.56067202</v>
      </c>
      <c r="O2147" s="88" t="n">
        <v>1641401.97318117</v>
      </c>
      <c r="P2147" s="88" t="n">
        <v>1405417.29118382</v>
      </c>
      <c r="Q2147" s="88" t="n">
        <v>2233606.83257662</v>
      </c>
      <c r="R2147" s="88" t="n">
        <v>3013203.73635568</v>
      </c>
      <c r="S2147" s="88" t="n">
        <v>2706201.07815346</v>
      </c>
      <c r="T2147" s="88" t="n">
        <v>2951405.84317147</v>
      </c>
      <c r="U2147" s="88" t="n">
        <v>3454063.91356999</v>
      </c>
      <c r="V2147" s="88" t="n">
        <v>3037936.62632283</v>
      </c>
      <c r="W2147" s="2"/>
    </row>
    <row r="2148" customFormat="false" ht="13.5" hidden="false" customHeight="false" outlineLevel="0" collapsed="false">
      <c r="A2148" s="2"/>
      <c r="B2148" s="143" t="s">
        <v>53</v>
      </c>
      <c r="C2148" s="144"/>
      <c r="D2148" s="96" t="n">
        <v>-1314852.69945375</v>
      </c>
      <c r="E2148" s="96" t="n">
        <v>-688964.699647647</v>
      </c>
      <c r="F2148" s="96" t="n">
        <v>-485512.669838816</v>
      </c>
      <c r="G2148" s="96" t="n">
        <v>-243849.206803109</v>
      </c>
      <c r="H2148" s="96" t="n">
        <v>-206916.521254546</v>
      </c>
      <c r="I2148" s="96" t="n">
        <v>-162236.518085574</v>
      </c>
      <c r="J2148" s="96" t="n">
        <v>-299418.431401307</v>
      </c>
      <c r="K2148" s="96" t="n">
        <v>-702650.514450287</v>
      </c>
      <c r="L2148" s="96" t="n">
        <v>-769950.623958308</v>
      </c>
      <c r="M2148" s="96" t="n">
        <v>-798805.201451218</v>
      </c>
      <c r="N2148" s="96" t="n">
        <v>-447815.024268809</v>
      </c>
      <c r="O2148" s="96" t="n">
        <v>-656560.78927247</v>
      </c>
      <c r="P2148" s="96" t="n">
        <v>-562166.916473528</v>
      </c>
      <c r="Q2148" s="96" t="n">
        <v>-893442.733030646</v>
      </c>
      <c r="R2148" s="96" t="n">
        <v>-1205281.49454227</v>
      </c>
      <c r="S2148" s="96" t="n">
        <v>-1082480.43126138</v>
      </c>
      <c r="T2148" s="96" t="n">
        <v>-1180562.33726859</v>
      </c>
      <c r="U2148" s="96" t="n">
        <v>-1381625.565428</v>
      </c>
      <c r="V2148" s="96" t="n">
        <v>-1215174.65052913</v>
      </c>
      <c r="W2148" s="2"/>
    </row>
    <row r="2149" customFormat="false" ht="13.5" hidden="false" customHeight="false" outlineLevel="0" collapsed="false">
      <c r="A2149" s="2"/>
      <c r="B2149" s="137" t="s">
        <v>54</v>
      </c>
      <c r="C2149" s="138"/>
      <c r="D2149" s="88" t="n">
        <v>1972279.04918063</v>
      </c>
      <c r="E2149" s="88" t="n">
        <v>1033447.04947147</v>
      </c>
      <c r="F2149" s="88" t="n">
        <v>728269.004758224</v>
      </c>
      <c r="G2149" s="88" t="n">
        <v>365773.810204664</v>
      </c>
      <c r="H2149" s="88" t="n">
        <v>310374.781881819</v>
      </c>
      <c r="I2149" s="88" t="n">
        <v>243354.777128362</v>
      </c>
      <c r="J2149" s="88" t="n">
        <v>449127.64710196</v>
      </c>
      <c r="K2149" s="88" t="n">
        <v>1053975.77167543</v>
      </c>
      <c r="L2149" s="88" t="n">
        <v>1154925.93593746</v>
      </c>
      <c r="M2149" s="88" t="n">
        <v>1198207.80217683</v>
      </c>
      <c r="N2149" s="88" t="n">
        <v>671722.536403213</v>
      </c>
      <c r="O2149" s="88" t="n">
        <v>984841.183908704</v>
      </c>
      <c r="P2149" s="88" t="n">
        <v>843250.374710292</v>
      </c>
      <c r="Q2149" s="88" t="n">
        <v>1340164.09954597</v>
      </c>
      <c r="R2149" s="88" t="n">
        <v>1807922.24181341</v>
      </c>
      <c r="S2149" s="88" t="n">
        <v>1623720.64689208</v>
      </c>
      <c r="T2149" s="88" t="n">
        <v>1770843.50590288</v>
      </c>
      <c r="U2149" s="88" t="n">
        <v>2072438.348142</v>
      </c>
      <c r="V2149" s="88" t="n">
        <v>1822761.9757937</v>
      </c>
      <c r="W2149" s="2"/>
    </row>
    <row r="2150" customFormat="false" ht="12.75" hidden="false" customHeight="false" outlineLevel="0" collapsed="false">
      <c r="A2150" s="2"/>
      <c r="B2150" s="2"/>
      <c r="C2150" s="134"/>
      <c r="D2150" s="2"/>
      <c r="E2150" s="135"/>
      <c r="F2150" s="128"/>
      <c r="G2150" s="136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</row>
    <row r="2151" customFormat="false" ht="15.75" hidden="false" customHeight="false" outlineLevel="0" collapsed="false">
      <c r="A2151" s="97" t="s">
        <v>55</v>
      </c>
      <c r="B2151" s="145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</row>
    <row r="2152" customFormat="false" ht="12.75" hidden="false" customHeight="false" outlineLevel="0" collapsed="false">
      <c r="A2152" s="99" t="s">
        <v>56</v>
      </c>
      <c r="B2152" s="49"/>
      <c r="C2152" s="101" t="n">
        <v>0</v>
      </c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</row>
    <row r="2153" customFormat="false" ht="12.75" hidden="false" customHeight="false" outlineLevel="0" collapsed="false">
      <c r="A2153" s="99" t="s">
        <v>57</v>
      </c>
      <c r="B2153" s="49"/>
      <c r="C2153" s="146" t="n">
        <v>0</v>
      </c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</row>
    <row r="2154" customFormat="false" ht="12.75" hidden="false" customHeight="false" outlineLevel="0" collapsed="false">
      <c r="A2154" s="99" t="s">
        <v>58</v>
      </c>
      <c r="B2154" s="49"/>
      <c r="C2154" s="99" t="n">
        <v>15</v>
      </c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</row>
    <row r="2155" customFormat="false" ht="12.75" hidden="false" customHeight="false" outlineLevel="0" collapsed="false">
      <c r="A2155" s="99" t="s">
        <v>59</v>
      </c>
      <c r="B2155" s="49"/>
      <c r="C2155" s="146" t="n">
        <v>0</v>
      </c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</row>
    <row r="2156" customFormat="false" ht="12.75" hidden="false" customHeight="false" outlineLevel="0" collapsed="false">
      <c r="A2156" s="99" t="s">
        <v>60</v>
      </c>
      <c r="B2156" s="49"/>
      <c r="C2156" s="147" t="n">
        <v>0.0875</v>
      </c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</row>
    <row r="2157" customFormat="false" ht="12.75" hidden="false" customHeight="false" outlineLevel="0" collapsed="false">
      <c r="A2157" s="99"/>
      <c r="B2157" s="49"/>
      <c r="C2157" s="107"/>
      <c r="D2157" s="58" t="n">
        <v>2001</v>
      </c>
      <c r="E2157" s="58" t="n">
        <v>2002</v>
      </c>
      <c r="F2157" s="58" t="n">
        <v>2003</v>
      </c>
      <c r="G2157" s="58" t="n">
        <v>2004</v>
      </c>
      <c r="H2157" s="58" t="n">
        <v>2005</v>
      </c>
      <c r="I2157" s="58" t="n">
        <v>2006</v>
      </c>
      <c r="J2157" s="58" t="n">
        <v>2007</v>
      </c>
      <c r="K2157" s="58" t="n">
        <v>2008</v>
      </c>
      <c r="L2157" s="58" t="n">
        <v>2009</v>
      </c>
      <c r="M2157" s="58" t="n">
        <v>2010</v>
      </c>
      <c r="N2157" s="58" t="n">
        <v>2011</v>
      </c>
      <c r="O2157" s="58" t="n">
        <v>2012</v>
      </c>
      <c r="P2157" s="58" t="n">
        <v>2013</v>
      </c>
      <c r="Q2157" s="58" t="n">
        <v>2014</v>
      </c>
      <c r="R2157" s="58" t="n">
        <v>2015</v>
      </c>
      <c r="S2157" s="58" t="n">
        <v>2016</v>
      </c>
      <c r="T2157" s="58" t="n">
        <v>2017</v>
      </c>
      <c r="U2157" s="58" t="n">
        <v>2018</v>
      </c>
      <c r="V2157" s="58" t="n">
        <v>2019</v>
      </c>
      <c r="W2157" s="58" t="s">
        <v>19</v>
      </c>
    </row>
    <row r="2158" customFormat="false" ht="12.75" hidden="false" customHeight="false" outlineLevel="0" collapsed="false">
      <c r="A2158" s="99" t="s">
        <v>61</v>
      </c>
      <c r="B2158" s="49"/>
      <c r="C2158" s="107"/>
      <c r="D2158" s="102" t="n">
        <v>0</v>
      </c>
      <c r="E2158" s="102" t="n">
        <v>0</v>
      </c>
      <c r="F2158" s="102" t="n">
        <v>0</v>
      </c>
      <c r="G2158" s="102" t="n">
        <v>0</v>
      </c>
      <c r="H2158" s="102" t="n">
        <v>0</v>
      </c>
      <c r="I2158" s="102" t="n">
        <v>0</v>
      </c>
      <c r="J2158" s="102" t="n">
        <v>0</v>
      </c>
      <c r="K2158" s="102" t="n">
        <v>0</v>
      </c>
      <c r="L2158" s="102" t="n">
        <v>0</v>
      </c>
      <c r="M2158" s="102" t="n">
        <v>0</v>
      </c>
      <c r="N2158" s="102" t="n">
        <v>0</v>
      </c>
      <c r="O2158" s="102" t="n">
        <v>0</v>
      </c>
      <c r="P2158" s="102" t="n">
        <v>0</v>
      </c>
      <c r="Q2158" s="102" t="n">
        <v>0</v>
      </c>
      <c r="R2158" s="102" t="n">
        <v>0</v>
      </c>
      <c r="S2158" s="102" t="n">
        <v>0</v>
      </c>
      <c r="T2158" s="102" t="n">
        <v>0</v>
      </c>
      <c r="U2158" s="102" t="n">
        <v>0</v>
      </c>
      <c r="V2158" s="102" t="n">
        <v>0</v>
      </c>
      <c r="W2158" s="102" t="n">
        <v>0</v>
      </c>
    </row>
    <row r="2159" customFormat="false" ht="12.75" hidden="false" customHeight="false" outlineLevel="0" collapsed="false">
      <c r="A2159" s="99" t="s">
        <v>62</v>
      </c>
      <c r="B2159" s="49"/>
      <c r="C2159" s="107"/>
      <c r="D2159" s="102" t="n">
        <v>0</v>
      </c>
      <c r="E2159" s="102" t="n">
        <v>0</v>
      </c>
      <c r="F2159" s="102" t="n">
        <v>0</v>
      </c>
      <c r="G2159" s="102" t="n">
        <v>0</v>
      </c>
      <c r="H2159" s="102" t="n">
        <v>0</v>
      </c>
      <c r="I2159" s="102" t="n">
        <v>0</v>
      </c>
      <c r="J2159" s="102" t="n">
        <v>0</v>
      </c>
      <c r="K2159" s="102" t="n">
        <v>0</v>
      </c>
      <c r="L2159" s="102" t="n">
        <v>0</v>
      </c>
      <c r="M2159" s="102" t="n">
        <v>0</v>
      </c>
      <c r="N2159" s="102" t="n">
        <v>0</v>
      </c>
      <c r="O2159" s="102" t="n">
        <v>0</v>
      </c>
      <c r="P2159" s="102" t="n">
        <v>0</v>
      </c>
      <c r="Q2159" s="102" t="n">
        <v>0</v>
      </c>
      <c r="R2159" s="102" t="n">
        <v>0</v>
      </c>
      <c r="S2159" s="102" t="n">
        <v>0</v>
      </c>
      <c r="T2159" s="102" t="n">
        <v>0</v>
      </c>
      <c r="U2159" s="102" t="n">
        <v>0</v>
      </c>
      <c r="V2159" s="102" t="n">
        <v>0</v>
      </c>
      <c r="W2159" s="102" t="n">
        <v>0</v>
      </c>
    </row>
    <row r="2160" customFormat="false" ht="12.75" hidden="false" customHeight="false" outlineLevel="0" collapsed="false">
      <c r="A2160" s="99" t="s">
        <v>63</v>
      </c>
      <c r="B2160" s="49"/>
      <c r="C2160" s="107"/>
      <c r="D2160" s="102" t="n">
        <v>0</v>
      </c>
      <c r="E2160" s="102" t="n">
        <v>0</v>
      </c>
      <c r="F2160" s="102" t="n">
        <v>0</v>
      </c>
      <c r="G2160" s="102" t="n">
        <v>0</v>
      </c>
      <c r="H2160" s="102" t="n">
        <v>0</v>
      </c>
      <c r="I2160" s="102" t="n">
        <v>0</v>
      </c>
      <c r="J2160" s="102" t="n">
        <v>0</v>
      </c>
      <c r="K2160" s="102" t="n">
        <v>0</v>
      </c>
      <c r="L2160" s="102" t="n">
        <v>0</v>
      </c>
      <c r="M2160" s="102" t="n">
        <v>0</v>
      </c>
      <c r="N2160" s="102" t="n">
        <v>0</v>
      </c>
      <c r="O2160" s="102" t="n">
        <v>0</v>
      </c>
      <c r="P2160" s="102" t="n">
        <v>0</v>
      </c>
      <c r="Q2160" s="102" t="n">
        <v>0</v>
      </c>
      <c r="R2160" s="102" t="n">
        <v>0</v>
      </c>
      <c r="S2160" s="102" t="n">
        <v>0</v>
      </c>
      <c r="T2160" s="102" t="n">
        <v>0</v>
      </c>
      <c r="U2160" s="102" t="n">
        <v>0</v>
      </c>
      <c r="V2160" s="102" t="n">
        <v>0</v>
      </c>
      <c r="W2160" s="102" t="n">
        <v>0</v>
      </c>
    </row>
    <row r="2161" customFormat="false" ht="12.75" hidden="false" customHeight="false" outlineLevel="0" collapsed="false">
      <c r="A2161" s="99" t="s">
        <v>64</v>
      </c>
      <c r="B2161" s="49"/>
      <c r="C2161" s="107"/>
      <c r="D2161" s="105" t="n">
        <v>0</v>
      </c>
      <c r="E2161" s="105" t="n">
        <v>0</v>
      </c>
      <c r="F2161" s="105" t="n">
        <v>0</v>
      </c>
      <c r="G2161" s="105" t="n">
        <v>0</v>
      </c>
      <c r="H2161" s="105" t="n">
        <v>0</v>
      </c>
      <c r="I2161" s="105" t="n">
        <v>0</v>
      </c>
      <c r="J2161" s="105" t="n">
        <v>0</v>
      </c>
      <c r="K2161" s="105" t="n">
        <v>0</v>
      </c>
      <c r="L2161" s="105" t="n">
        <v>0</v>
      </c>
      <c r="M2161" s="105" t="n">
        <v>0</v>
      </c>
      <c r="N2161" s="105" t="n">
        <v>0</v>
      </c>
      <c r="O2161" s="105" t="n">
        <v>0</v>
      </c>
      <c r="P2161" s="105" t="n">
        <v>0</v>
      </c>
      <c r="Q2161" s="105" t="n">
        <v>0</v>
      </c>
      <c r="R2161" s="105" t="n">
        <v>0</v>
      </c>
      <c r="S2161" s="105" t="n">
        <v>0</v>
      </c>
      <c r="T2161" s="105" t="n">
        <v>0</v>
      </c>
      <c r="U2161" s="105" t="n">
        <v>0</v>
      </c>
      <c r="V2161" s="105" t="n">
        <v>0</v>
      </c>
      <c r="W2161" s="105" t="n">
        <v>0</v>
      </c>
    </row>
    <row r="2162" customFormat="false" ht="13.5" hidden="false" customHeight="false" outlineLevel="0" collapsed="false">
      <c r="A2162" s="99" t="s">
        <v>65</v>
      </c>
      <c r="B2162" s="49"/>
      <c r="C2162" s="107"/>
      <c r="D2162" s="106" t="n">
        <v>0</v>
      </c>
      <c r="E2162" s="106" t="n">
        <v>0</v>
      </c>
      <c r="F2162" s="106" t="n">
        <v>0</v>
      </c>
      <c r="G2162" s="106" t="n">
        <v>0</v>
      </c>
      <c r="H2162" s="106" t="n">
        <v>0</v>
      </c>
      <c r="I2162" s="106" t="n">
        <v>0</v>
      </c>
      <c r="J2162" s="106" t="n">
        <v>0</v>
      </c>
      <c r="K2162" s="106" t="n">
        <v>0</v>
      </c>
      <c r="L2162" s="106" t="n">
        <v>0</v>
      </c>
      <c r="M2162" s="106" t="n">
        <v>0</v>
      </c>
      <c r="N2162" s="106" t="n">
        <v>0</v>
      </c>
      <c r="O2162" s="106" t="n">
        <v>0</v>
      </c>
      <c r="P2162" s="106" t="n">
        <v>0</v>
      </c>
      <c r="Q2162" s="106" t="n">
        <v>0</v>
      </c>
      <c r="R2162" s="106" t="n">
        <v>0</v>
      </c>
      <c r="S2162" s="106" t="n">
        <v>0</v>
      </c>
      <c r="T2162" s="106" t="n">
        <v>0</v>
      </c>
      <c r="U2162" s="106" t="n">
        <v>0</v>
      </c>
      <c r="V2162" s="106" t="n">
        <v>0</v>
      </c>
      <c r="W2162" s="106" t="n">
        <v>0</v>
      </c>
    </row>
    <row r="2163" customFormat="false" ht="13.5" hidden="false" customHeight="false" outlineLevel="0" collapsed="false">
      <c r="A2163" s="99"/>
      <c r="B2163" s="49"/>
      <c r="C2163" s="107"/>
      <c r="D2163" s="102"/>
      <c r="E2163" s="102"/>
      <c r="F2163" s="102"/>
      <c r="G2163" s="102"/>
      <c r="H2163" s="102"/>
      <c r="I2163" s="102"/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  <c r="W2163" s="102"/>
    </row>
    <row r="2164" customFormat="false" ht="12.75" hidden="false" customHeight="false" outlineLevel="0" collapsed="false">
      <c r="A2164" s="99" t="s">
        <v>66</v>
      </c>
      <c r="B2164" s="49"/>
      <c r="C2164" s="107"/>
      <c r="D2164" s="102" t="n">
        <v>0</v>
      </c>
      <c r="E2164" s="102" t="n">
        <v>0</v>
      </c>
      <c r="F2164" s="102" t="n">
        <v>0</v>
      </c>
      <c r="G2164" s="102" t="n">
        <v>0</v>
      </c>
      <c r="H2164" s="102" t="n">
        <v>0</v>
      </c>
      <c r="I2164" s="102" t="n">
        <v>0</v>
      </c>
      <c r="J2164" s="102" t="n">
        <v>0</v>
      </c>
      <c r="K2164" s="102" t="n">
        <v>0</v>
      </c>
      <c r="L2164" s="102" t="n">
        <v>0</v>
      </c>
      <c r="M2164" s="102" t="n">
        <v>0</v>
      </c>
      <c r="N2164" s="102" t="n">
        <v>0</v>
      </c>
      <c r="O2164" s="102" t="n">
        <v>0</v>
      </c>
      <c r="P2164" s="102" t="n">
        <v>0</v>
      </c>
      <c r="Q2164" s="102" t="n">
        <v>0</v>
      </c>
      <c r="R2164" s="102" t="n">
        <v>0</v>
      </c>
      <c r="S2164" s="102" t="n">
        <v>0</v>
      </c>
      <c r="T2164" s="102" t="n">
        <v>0</v>
      </c>
      <c r="U2164" s="102" t="n">
        <v>0</v>
      </c>
      <c r="V2164" s="102" t="n">
        <v>0</v>
      </c>
      <c r="W2164" s="102" t="n">
        <v>0</v>
      </c>
    </row>
    <row r="2165" customFormat="false" ht="12.75" hidden="false" customHeight="false" outlineLevel="0" collapsed="false">
      <c r="A2165" s="99"/>
      <c r="B2165" s="49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</row>
    <row r="2166" customFormat="false" ht="12.75" hidden="false" customHeight="false" outlineLevel="0" collapsed="false">
      <c r="A2166" s="99" t="s">
        <v>67</v>
      </c>
      <c r="B2166" s="49"/>
      <c r="C2166" s="107"/>
      <c r="D2166" s="102" t="n">
        <v>0</v>
      </c>
      <c r="E2166" s="102" t="n">
        <v>0</v>
      </c>
      <c r="F2166" s="102" t="n">
        <v>0</v>
      </c>
      <c r="G2166" s="102" t="n">
        <v>0</v>
      </c>
      <c r="H2166" s="102" t="n">
        <v>0</v>
      </c>
      <c r="I2166" s="102" t="n">
        <v>0</v>
      </c>
      <c r="J2166" s="102" t="n">
        <v>0</v>
      </c>
      <c r="K2166" s="102" t="n">
        <v>0</v>
      </c>
      <c r="L2166" s="102" t="n">
        <v>0</v>
      </c>
      <c r="M2166" s="102" t="n">
        <v>0</v>
      </c>
      <c r="N2166" s="102" t="n">
        <v>0</v>
      </c>
      <c r="O2166" s="102" t="n">
        <v>0</v>
      </c>
      <c r="P2166" s="102" t="n">
        <v>0</v>
      </c>
      <c r="Q2166" s="102" t="n">
        <v>0</v>
      </c>
      <c r="R2166" s="102" t="n">
        <v>0</v>
      </c>
      <c r="S2166" s="102" t="n">
        <v>0</v>
      </c>
      <c r="T2166" s="102" t="n">
        <v>0</v>
      </c>
      <c r="U2166" s="102" t="n">
        <v>0</v>
      </c>
      <c r="V2166" s="102" t="n">
        <v>0</v>
      </c>
      <c r="W2166" s="102" t="n">
        <v>0</v>
      </c>
    </row>
    <row r="2167" customFormat="false" ht="12.75" hidden="false" customHeight="false" outlineLevel="0" collapsed="false">
      <c r="A2167" s="107"/>
      <c r="B2167" s="49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</row>
    <row r="2168" customFormat="false" ht="12.75" hidden="false" customHeight="false" outlineLevel="0" collapsed="false">
      <c r="A2168" s="107"/>
      <c r="B2168" s="49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</row>
    <row r="2169" customFormat="false" ht="12.75" hidden="false" customHeight="false" outlineLevel="0" collapsed="false">
      <c r="A2169" s="99" t="s">
        <v>68</v>
      </c>
      <c r="B2169" s="148"/>
      <c r="C2169" s="149"/>
      <c r="D2169" s="79" t="n">
        <v>3595515.74811582</v>
      </c>
      <c r="E2169" s="79" t="n">
        <v>3017178.19086787</v>
      </c>
      <c r="F2169" s="79" t="n">
        <v>2710451.43655924</v>
      </c>
      <c r="G2169" s="79" t="n">
        <v>2348762.30593872</v>
      </c>
      <c r="H2169" s="79" t="n">
        <v>2225419.30876566</v>
      </c>
      <c r="I2169" s="79" t="n">
        <v>2161450.2511232</v>
      </c>
      <c r="J2169" s="79" t="n">
        <v>1979272.21764874</v>
      </c>
      <c r="K2169" s="79" t="n">
        <v>2152455.63348529</v>
      </c>
      <c r="L2169" s="79" t="n">
        <v>2205860.3422487</v>
      </c>
      <c r="M2169" s="79" t="n">
        <v>2246361.36712805</v>
      </c>
      <c r="N2169" s="79" t="n">
        <v>1722002.0320996</v>
      </c>
      <c r="O2169" s="79" t="n">
        <v>2037207.90428553</v>
      </c>
      <c r="P2169" s="79" t="n">
        <v>1897749.94191144</v>
      </c>
      <c r="Q2169" s="79" t="n">
        <v>2396811.16164283</v>
      </c>
      <c r="R2169" s="79" t="n">
        <v>2048744.58831952</v>
      </c>
      <c r="S2169" s="79" t="n">
        <v>1633628.94501305</v>
      </c>
      <c r="T2169" s="79" t="n">
        <v>1783152.19184716</v>
      </c>
      <c r="U2169" s="79" t="n">
        <v>2087219.43354428</v>
      </c>
      <c r="V2169" s="79" t="n">
        <v>1840089.63263774</v>
      </c>
      <c r="W2169" s="79" t="n">
        <v>12100475.8461189</v>
      </c>
    </row>
    <row r="2170" customFormat="false" ht="12.75" hidden="false" customHeight="false" outlineLevel="0" collapsed="false">
      <c r="A2170" s="2"/>
      <c r="B2170" s="31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</row>
    <row r="2178" customFormat="false" ht="15.75" hidden="false" customHeight="false" outlineLevel="0" collapsed="false">
      <c r="A2178" s="48" t="s">
        <v>17</v>
      </c>
      <c r="B2178" s="57" t="s">
        <v>14</v>
      </c>
      <c r="C2178" s="58" t="n">
        <v>2000</v>
      </c>
      <c r="D2178" s="58" t="n">
        <v>2001</v>
      </c>
      <c r="E2178" s="58" t="n">
        <v>2002</v>
      </c>
      <c r="F2178" s="58" t="n">
        <v>2003</v>
      </c>
      <c r="G2178" s="58" t="n">
        <v>2004</v>
      </c>
      <c r="H2178" s="58" t="n">
        <v>2005</v>
      </c>
      <c r="I2178" s="58" t="n">
        <v>2006</v>
      </c>
      <c r="J2178" s="58" t="n">
        <v>2007</v>
      </c>
      <c r="K2178" s="58" t="n">
        <v>2008</v>
      </c>
      <c r="L2178" s="58" t="n">
        <v>2009</v>
      </c>
      <c r="M2178" s="58" t="n">
        <v>2010</v>
      </c>
      <c r="N2178" s="58" t="n">
        <v>2011</v>
      </c>
      <c r="O2178" s="58" t="n">
        <v>2012</v>
      </c>
      <c r="P2178" s="58" t="n">
        <v>2013</v>
      </c>
      <c r="Q2178" s="58" t="n">
        <v>2014</v>
      </c>
      <c r="R2178" s="58" t="n">
        <v>2015</v>
      </c>
      <c r="S2178" s="58" t="n">
        <v>2016</v>
      </c>
      <c r="T2178" s="58" t="n">
        <v>2017</v>
      </c>
      <c r="U2178" s="58" t="n">
        <v>2018</v>
      </c>
      <c r="V2178" s="58" t="n">
        <v>2019</v>
      </c>
      <c r="W2178" s="58" t="s">
        <v>19</v>
      </c>
    </row>
    <row r="2179" customFormat="false" ht="12.75" hidden="false" customHeight="false" outlineLevel="0" collapsed="false">
      <c r="A2179" s="48" t="s">
        <v>5</v>
      </c>
      <c r="B2179" s="49" t="n">
        <v>705</v>
      </c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61"/>
      <c r="O2179" s="61"/>
      <c r="P2179" s="61"/>
      <c r="Q2179" s="61"/>
      <c r="R2179" s="61"/>
      <c r="S2179" s="61"/>
      <c r="T2179" s="61"/>
      <c r="U2179" s="61"/>
      <c r="V2179" s="61"/>
      <c r="W2179" s="61"/>
    </row>
    <row r="2180" customFormat="false" ht="12.75" hidden="false" customHeight="false" outlineLevel="0" collapsed="false">
      <c r="A2180" s="2"/>
      <c r="B2180" s="117" t="s">
        <v>20</v>
      </c>
      <c r="C2180" s="118" t="n">
        <v>0</v>
      </c>
      <c r="D2180" s="64" t="n">
        <v>120377710.54243</v>
      </c>
      <c r="E2180" s="64" t="n">
        <v>117550058.879554</v>
      </c>
      <c r="F2180" s="64" t="n">
        <v>128518742.129845</v>
      </c>
      <c r="G2180" s="64" t="n">
        <v>104186860.255342</v>
      </c>
      <c r="H2180" s="64" t="n">
        <v>109276259.301946</v>
      </c>
      <c r="I2180" s="64" t="n">
        <v>126403348.780194</v>
      </c>
      <c r="J2180" s="64" t="n">
        <v>138612873.427859</v>
      </c>
      <c r="K2180" s="64" t="n">
        <v>160241383.9346</v>
      </c>
      <c r="L2180" s="64" t="n">
        <v>158167046.644632</v>
      </c>
      <c r="M2180" s="64" t="n">
        <v>145972996.686761</v>
      </c>
      <c r="N2180" s="64" t="n">
        <v>157796271.57159</v>
      </c>
      <c r="O2180" s="64" t="n">
        <v>149704969.237769</v>
      </c>
      <c r="P2180" s="64" t="n">
        <v>151331084.278785</v>
      </c>
      <c r="Q2180" s="64" t="n">
        <v>165717611.827753</v>
      </c>
      <c r="R2180" s="64" t="n">
        <v>176489496.354912</v>
      </c>
      <c r="S2180" s="64" t="n">
        <v>154172018.605188</v>
      </c>
      <c r="T2180" s="64" t="n">
        <v>150840898.81053</v>
      </c>
      <c r="U2180" s="64" t="n">
        <v>151684851.301135</v>
      </c>
      <c r="V2180" s="64" t="n">
        <v>168908307.033138</v>
      </c>
      <c r="W2180" s="65"/>
    </row>
    <row r="2181" customFormat="false" ht="12.75" hidden="false" customHeight="false" outlineLevel="0" collapsed="false">
      <c r="A2181" s="2"/>
      <c r="B2181" s="117" t="s">
        <v>21</v>
      </c>
      <c r="C2181" s="118" t="n">
        <v>0</v>
      </c>
      <c r="D2181" s="64" t="n">
        <v>-58074337.2357087</v>
      </c>
      <c r="E2181" s="64" t="n">
        <v>-63426607.7426945</v>
      </c>
      <c r="F2181" s="64" t="n">
        <v>-73979802.7863865</v>
      </c>
      <c r="G2181" s="64" t="n">
        <v>-58708561.3824979</v>
      </c>
      <c r="H2181" s="64" t="n">
        <v>-62532308.3546261</v>
      </c>
      <c r="I2181" s="64" t="n">
        <v>-77290926.6203685</v>
      </c>
      <c r="J2181" s="64" t="n">
        <v>-83281850.042701</v>
      </c>
      <c r="K2181" s="64" t="n">
        <v>-92558008.9526294</v>
      </c>
      <c r="L2181" s="64" t="n">
        <v>-92194228.2611532</v>
      </c>
      <c r="M2181" s="64" t="n">
        <v>-82359172.7095415</v>
      </c>
      <c r="N2181" s="64" t="n">
        <v>-96395067.7244668</v>
      </c>
      <c r="O2181" s="64" t="n">
        <v>-87589725.4663329</v>
      </c>
      <c r="P2181" s="64" t="n">
        <v>-89899624.5486302</v>
      </c>
      <c r="Q2181" s="64" t="n">
        <v>-96769735.4517889</v>
      </c>
      <c r="R2181" s="64" t="n">
        <v>-111731236.854137</v>
      </c>
      <c r="S2181" s="64" t="n">
        <v>-95866462.7815741</v>
      </c>
      <c r="T2181" s="64" t="n">
        <v>-90504686.1600811</v>
      </c>
      <c r="U2181" s="64" t="n">
        <v>-86418779.3594487</v>
      </c>
      <c r="V2181" s="64" t="n">
        <v>-103582712.878329</v>
      </c>
      <c r="W2181" s="65"/>
    </row>
    <row r="2182" customFormat="false" ht="12.75" hidden="false" customHeight="false" outlineLevel="0" collapsed="false">
      <c r="A2182" s="2"/>
      <c r="B2182" s="117" t="s">
        <v>22</v>
      </c>
      <c r="C2182" s="118" t="n">
        <v>0</v>
      </c>
      <c r="D2182" s="64" t="n">
        <v>-779656.834451611</v>
      </c>
      <c r="E2182" s="64" t="n">
        <v>-964911.02386395</v>
      </c>
      <c r="F2182" s="64" t="n">
        <v>-1211779.4455034</v>
      </c>
      <c r="G2182" s="64" t="n">
        <v>-970917.973559286</v>
      </c>
      <c r="H2182" s="64" t="n">
        <v>-1044934.5559592</v>
      </c>
      <c r="I2182" s="64" t="n">
        <v>-1304686.01753818</v>
      </c>
      <c r="J2182" s="64" t="n">
        <v>-1424641.46386179</v>
      </c>
      <c r="K2182" s="64" t="n">
        <v>-1717117.86176933</v>
      </c>
      <c r="L2182" s="64" t="n">
        <v>-1695930.87091327</v>
      </c>
      <c r="M2182" s="64" t="n">
        <v>-1472182.3608346</v>
      </c>
      <c r="N2182" s="64" t="n">
        <v>-1746246.28780384</v>
      </c>
      <c r="O2182" s="64" t="n">
        <v>-1616025.99651886</v>
      </c>
      <c r="P2182" s="64" t="n">
        <v>-1603321.9018276</v>
      </c>
      <c r="Q2182" s="64" t="n">
        <v>-1766521.78901546</v>
      </c>
      <c r="R2182" s="64" t="n">
        <v>-1911564.61029936</v>
      </c>
      <c r="S2182" s="64" t="n">
        <v>-1592542.20697082</v>
      </c>
      <c r="T2182" s="64" t="n">
        <v>-1462251.82167321</v>
      </c>
      <c r="U2182" s="64" t="n">
        <v>-1352164.35782342</v>
      </c>
      <c r="V2182" s="64" t="n">
        <v>-1667278.02335689</v>
      </c>
      <c r="W2182" s="65"/>
    </row>
    <row r="2183" customFormat="false" ht="12.75" hidden="false" customHeight="false" outlineLevel="0" collapsed="false">
      <c r="A2183" s="2"/>
      <c r="B2183" s="117" t="s">
        <v>23</v>
      </c>
      <c r="C2183" s="118" t="n">
        <v>0</v>
      </c>
      <c r="D2183" s="64" t="n">
        <v>0</v>
      </c>
      <c r="E2183" s="64" t="n">
        <v>0</v>
      </c>
      <c r="F2183" s="64" t="n">
        <v>0</v>
      </c>
      <c r="G2183" s="64" t="n">
        <v>0</v>
      </c>
      <c r="H2183" s="64" t="n">
        <v>0</v>
      </c>
      <c r="I2183" s="64" t="n">
        <v>0</v>
      </c>
      <c r="J2183" s="64" t="n">
        <v>0</v>
      </c>
      <c r="K2183" s="64" t="n">
        <v>0</v>
      </c>
      <c r="L2183" s="64" t="n">
        <v>0</v>
      </c>
      <c r="M2183" s="64" t="n">
        <v>0</v>
      </c>
      <c r="N2183" s="64" t="n">
        <v>0</v>
      </c>
      <c r="O2183" s="64" t="n">
        <v>0</v>
      </c>
      <c r="P2183" s="64" t="n">
        <v>0</v>
      </c>
      <c r="Q2183" s="64" t="n">
        <v>0</v>
      </c>
      <c r="R2183" s="64" t="n">
        <v>0</v>
      </c>
      <c r="S2183" s="64" t="n">
        <v>0</v>
      </c>
      <c r="T2183" s="64" t="n">
        <v>0</v>
      </c>
      <c r="U2183" s="64" t="n">
        <v>0</v>
      </c>
      <c r="V2183" s="64" t="n">
        <v>0</v>
      </c>
      <c r="W2183" s="65"/>
    </row>
    <row r="2184" customFormat="false" ht="13.5" hidden="false" customHeight="false" outlineLevel="0" collapsed="false">
      <c r="A2184" s="2"/>
      <c r="B2184" s="119" t="s">
        <v>24</v>
      </c>
      <c r="C2184" s="120" t="n">
        <v>0</v>
      </c>
      <c r="D2184" s="68" t="n">
        <v>0</v>
      </c>
      <c r="E2184" s="68" t="n">
        <v>0</v>
      </c>
      <c r="F2184" s="68" t="n">
        <v>0</v>
      </c>
      <c r="G2184" s="68" t="n">
        <v>0</v>
      </c>
      <c r="H2184" s="68" t="n">
        <v>0</v>
      </c>
      <c r="I2184" s="68" t="n">
        <v>0</v>
      </c>
      <c r="J2184" s="68" t="n">
        <v>0</v>
      </c>
      <c r="K2184" s="68" t="n">
        <v>0</v>
      </c>
      <c r="L2184" s="68" t="n">
        <v>0</v>
      </c>
      <c r="M2184" s="68" t="n">
        <v>0</v>
      </c>
      <c r="N2184" s="68" t="n">
        <v>0</v>
      </c>
      <c r="O2184" s="68" t="n">
        <v>0</v>
      </c>
      <c r="P2184" s="68" t="n">
        <v>0</v>
      </c>
      <c r="Q2184" s="68" t="n">
        <v>0</v>
      </c>
      <c r="R2184" s="68" t="n">
        <v>0</v>
      </c>
      <c r="S2184" s="68" t="n">
        <v>0</v>
      </c>
      <c r="T2184" s="68" t="n">
        <v>0</v>
      </c>
      <c r="U2184" s="68" t="n">
        <v>0</v>
      </c>
      <c r="V2184" s="68" t="n">
        <v>0</v>
      </c>
      <c r="W2184" s="65"/>
    </row>
    <row r="2185" customFormat="false" ht="13.5" hidden="false" customHeight="false" outlineLevel="0" collapsed="false">
      <c r="A2185" s="2"/>
      <c r="B2185" s="121" t="s">
        <v>25</v>
      </c>
      <c r="C2185" s="122" t="n">
        <v>0</v>
      </c>
      <c r="D2185" s="71" t="n">
        <v>61523716.4722692</v>
      </c>
      <c r="E2185" s="71" t="n">
        <v>53158540.1129953</v>
      </c>
      <c r="F2185" s="71" t="n">
        <v>53327159.8979547</v>
      </c>
      <c r="G2185" s="71" t="n">
        <v>44507380.8992849</v>
      </c>
      <c r="H2185" s="71" t="n">
        <v>45699016.3913612</v>
      </c>
      <c r="I2185" s="71" t="n">
        <v>47807736.1422875</v>
      </c>
      <c r="J2185" s="71" t="n">
        <v>53906381.9212961</v>
      </c>
      <c r="K2185" s="71" t="n">
        <v>65966257.1202011</v>
      </c>
      <c r="L2185" s="71" t="n">
        <v>64276887.5125657</v>
      </c>
      <c r="M2185" s="71" t="n">
        <v>62141641.6163851</v>
      </c>
      <c r="N2185" s="71" t="n">
        <v>59654957.5593196</v>
      </c>
      <c r="O2185" s="71" t="n">
        <v>60499217.7749172</v>
      </c>
      <c r="P2185" s="71" t="n">
        <v>59828137.8283273</v>
      </c>
      <c r="Q2185" s="71" t="n">
        <v>67181354.5869488</v>
      </c>
      <c r="R2185" s="71" t="n">
        <v>62846694.890475</v>
      </c>
      <c r="S2185" s="71" t="n">
        <v>56713013.6166431</v>
      </c>
      <c r="T2185" s="71" t="n">
        <v>58873960.8287759</v>
      </c>
      <c r="U2185" s="71" t="n">
        <v>63913907.5838632</v>
      </c>
      <c r="V2185" s="71" t="n">
        <v>63658316.1314521</v>
      </c>
      <c r="W2185" s="65"/>
    </row>
    <row r="2186" customFormat="false" ht="12.75" hidden="false" customHeight="false" outlineLevel="0" collapsed="false">
      <c r="A2186" s="2"/>
      <c r="B2186" s="117" t="s">
        <v>26</v>
      </c>
      <c r="C2186" s="118" t="n">
        <v>0</v>
      </c>
      <c r="D2186" s="64" t="n">
        <v>-3235950</v>
      </c>
      <c r="E2186" s="64" t="n">
        <v>-3300669</v>
      </c>
      <c r="F2186" s="64" t="n">
        <v>-3366682.38</v>
      </c>
      <c r="G2186" s="64" t="n">
        <v>-3434016.0276</v>
      </c>
      <c r="H2186" s="64" t="n">
        <v>-3502696.348152</v>
      </c>
      <c r="I2186" s="64" t="n">
        <v>-3572750.27511504</v>
      </c>
      <c r="J2186" s="64" t="n">
        <v>-3644205.28061734</v>
      </c>
      <c r="K2186" s="64" t="n">
        <v>-3717089.38622969</v>
      </c>
      <c r="L2186" s="64" t="n">
        <v>-3791431.17395428</v>
      </c>
      <c r="M2186" s="64" t="n">
        <v>-3867259.79743337</v>
      </c>
      <c r="N2186" s="64" t="n">
        <v>-3944604.99338203</v>
      </c>
      <c r="O2186" s="64" t="n">
        <v>-4023497.09324968</v>
      </c>
      <c r="P2186" s="64" t="n">
        <v>-4103967.03511467</v>
      </c>
      <c r="Q2186" s="64" t="n">
        <v>-4186046.37581696</v>
      </c>
      <c r="R2186" s="64" t="n">
        <v>-4269767.3033333</v>
      </c>
      <c r="S2186" s="64" t="n">
        <v>-4355162.64939997</v>
      </c>
      <c r="T2186" s="64" t="n">
        <v>-4442265.90238797</v>
      </c>
      <c r="U2186" s="64" t="n">
        <v>-4531111.22043573</v>
      </c>
      <c r="V2186" s="64" t="n">
        <v>-4621733.44484444</v>
      </c>
      <c r="W2186" s="65"/>
    </row>
    <row r="2187" customFormat="false" ht="12.75" hidden="false" customHeight="false" outlineLevel="0" collapsed="false">
      <c r="A2187" s="2"/>
      <c r="B2187" s="117" t="s">
        <v>27</v>
      </c>
      <c r="C2187" s="118" t="n">
        <v>0</v>
      </c>
      <c r="D2187" s="64" t="n">
        <v>-171612.579296875</v>
      </c>
      <c r="E2187" s="64" t="n">
        <v>-171612.579296875</v>
      </c>
      <c r="F2187" s="64" t="n">
        <v>-171612.579296875</v>
      </c>
      <c r="G2187" s="64" t="n">
        <v>-171612.579296875</v>
      </c>
      <c r="H2187" s="64" t="n">
        <v>-171612.579296875</v>
      </c>
      <c r="I2187" s="64" t="n">
        <v>-171612.579296875</v>
      </c>
      <c r="J2187" s="64" t="n">
        <v>-171612.579296875</v>
      </c>
      <c r="K2187" s="64" t="n">
        <v>-171612.579296875</v>
      </c>
      <c r="L2187" s="64" t="n">
        <v>-171612.579296875</v>
      </c>
      <c r="M2187" s="64" t="n">
        <v>-171612.579296875</v>
      </c>
      <c r="N2187" s="64" t="n">
        <v>-171612.579296875</v>
      </c>
      <c r="O2187" s="64" t="n">
        <v>-171612.579296875</v>
      </c>
      <c r="P2187" s="64" t="n">
        <v>-171612.579296875</v>
      </c>
      <c r="Q2187" s="64" t="n">
        <v>-171612.579296875</v>
      </c>
      <c r="R2187" s="64" t="n">
        <v>-171612.579296875</v>
      </c>
      <c r="S2187" s="64" t="n">
        <v>-171612.579296875</v>
      </c>
      <c r="T2187" s="64" t="n">
        <v>-171612.579296875</v>
      </c>
      <c r="U2187" s="64" t="n">
        <v>-171612.579296875</v>
      </c>
      <c r="V2187" s="64" t="n">
        <v>-171612.579296875</v>
      </c>
      <c r="W2187" s="65"/>
    </row>
    <row r="2188" customFormat="false" ht="13.5" hidden="false" customHeight="false" outlineLevel="0" collapsed="false">
      <c r="A2188" s="2"/>
      <c r="B2188" s="119" t="s">
        <v>28</v>
      </c>
      <c r="C2188" s="120" t="n">
        <v>0</v>
      </c>
      <c r="D2188" s="68" t="n">
        <v>-374900</v>
      </c>
      <c r="E2188" s="68" t="n">
        <v>-383147.8</v>
      </c>
      <c r="F2188" s="68" t="n">
        <v>-391577.0516</v>
      </c>
      <c r="G2188" s="68" t="n">
        <v>-400191.7467352</v>
      </c>
      <c r="H2188" s="68" t="n">
        <v>-408995.965163374</v>
      </c>
      <c r="I2188" s="68" t="n">
        <v>-417993.876396969</v>
      </c>
      <c r="J2188" s="68" t="n">
        <v>-427189.741677702</v>
      </c>
      <c r="K2188" s="68" t="n">
        <v>-436587.915994611</v>
      </c>
      <c r="L2188" s="68" t="n">
        <v>-446192.850146493</v>
      </c>
      <c r="M2188" s="68" t="n">
        <v>-456009.092849716</v>
      </c>
      <c r="N2188" s="68" t="n">
        <v>-466041.292892409</v>
      </c>
      <c r="O2188" s="68" t="n">
        <v>-476294.201336043</v>
      </c>
      <c r="P2188" s="68" t="n">
        <v>-486772.673765435</v>
      </c>
      <c r="Q2188" s="68" t="n">
        <v>-497481.672588275</v>
      </c>
      <c r="R2188" s="68" t="n">
        <v>-508426.269385217</v>
      </c>
      <c r="S2188" s="68" t="n">
        <v>-519611.647311692</v>
      </c>
      <c r="T2188" s="68" t="n">
        <v>-531043.103552549</v>
      </c>
      <c r="U2188" s="68" t="n">
        <v>-542726.051830705</v>
      </c>
      <c r="V2188" s="68" t="n">
        <v>-554666.024970981</v>
      </c>
      <c r="W2188" s="65"/>
    </row>
    <row r="2189" customFormat="false" ht="13.5" hidden="false" customHeight="false" outlineLevel="0" collapsed="false">
      <c r="A2189" s="2"/>
      <c r="B2189" s="121" t="s">
        <v>29</v>
      </c>
      <c r="C2189" s="123" t="n">
        <v>0</v>
      </c>
      <c r="D2189" s="73" t="n">
        <v>57741253.8929723</v>
      </c>
      <c r="E2189" s="73" t="n">
        <v>49303110.7336985</v>
      </c>
      <c r="F2189" s="73" t="n">
        <v>49397287.8870578</v>
      </c>
      <c r="G2189" s="73" t="n">
        <v>40501560.5456528</v>
      </c>
      <c r="H2189" s="73" t="n">
        <v>41615711.498749</v>
      </c>
      <c r="I2189" s="73" t="n">
        <v>43645379.4114786</v>
      </c>
      <c r="J2189" s="73" t="n">
        <v>49663374.3197042</v>
      </c>
      <c r="K2189" s="73" t="n">
        <v>61640967.23868</v>
      </c>
      <c r="L2189" s="73" t="n">
        <v>59867650.9091681</v>
      </c>
      <c r="M2189" s="73" t="n">
        <v>57646760.1468052</v>
      </c>
      <c r="N2189" s="73" t="n">
        <v>55072698.6937483</v>
      </c>
      <c r="O2189" s="73" t="n">
        <v>55827813.9010346</v>
      </c>
      <c r="P2189" s="73" t="n">
        <v>55065785.5401504</v>
      </c>
      <c r="Q2189" s="73" t="n">
        <v>62326213.9592467</v>
      </c>
      <c r="R2189" s="73" t="n">
        <v>57896888.7384596</v>
      </c>
      <c r="S2189" s="73" t="n">
        <v>51666626.7406346</v>
      </c>
      <c r="T2189" s="73" t="n">
        <v>53729039.2435385</v>
      </c>
      <c r="U2189" s="73" t="n">
        <v>58668457.7322999</v>
      </c>
      <c r="V2189" s="73" t="n">
        <v>58310304.0823398</v>
      </c>
      <c r="W2189" s="65"/>
    </row>
    <row r="2190" customFormat="false" ht="12.75" hidden="false" customHeight="false" outlineLevel="0" collapsed="false">
      <c r="A2190" s="2"/>
      <c r="B2190" s="117" t="s">
        <v>30</v>
      </c>
      <c r="C2190" s="118" t="n">
        <v>0</v>
      </c>
      <c r="D2190" s="64" t="n">
        <v>-32528000</v>
      </c>
      <c r="E2190" s="64" t="n">
        <v>-29275200</v>
      </c>
      <c r="F2190" s="64" t="n">
        <v>-26364800</v>
      </c>
      <c r="G2190" s="64" t="n">
        <v>-23728320</v>
      </c>
      <c r="H2190" s="64" t="n">
        <v>-21331520</v>
      </c>
      <c r="I2190" s="64" t="n">
        <v>-20201600</v>
      </c>
      <c r="J2190" s="64" t="n">
        <v>-20201600</v>
      </c>
      <c r="K2190" s="64" t="n">
        <v>-20235840</v>
      </c>
      <c r="L2190" s="64" t="n">
        <v>-20201600</v>
      </c>
      <c r="M2190" s="64" t="n">
        <v>-20235840</v>
      </c>
      <c r="N2190" s="64" t="n">
        <v>-20201600</v>
      </c>
      <c r="O2190" s="64" t="n">
        <v>-20235840</v>
      </c>
      <c r="P2190" s="64" t="n">
        <v>-20235840</v>
      </c>
      <c r="Q2190" s="64" t="n">
        <v>-20235840</v>
      </c>
      <c r="R2190" s="64" t="n">
        <v>-10100800</v>
      </c>
      <c r="S2190" s="64" t="n">
        <v>-10846000</v>
      </c>
      <c r="T2190" s="64" t="n">
        <v>-10846000</v>
      </c>
      <c r="U2190" s="64" t="n">
        <v>-10846000</v>
      </c>
      <c r="V2190" s="64" t="n">
        <v>-10846000</v>
      </c>
      <c r="W2190" s="65"/>
    </row>
    <row r="2191" customFormat="false" ht="13.5" hidden="false" customHeight="false" outlineLevel="0" collapsed="false">
      <c r="A2191" s="2"/>
      <c r="B2191" s="119" t="s">
        <v>70</v>
      </c>
      <c r="C2191" s="120" t="n">
        <v>0</v>
      </c>
      <c r="D2191" s="68" t="n">
        <v>-10085301.5571889</v>
      </c>
      <c r="E2191" s="68" t="n">
        <v>-8011164.29347938</v>
      </c>
      <c r="F2191" s="68" t="n">
        <v>-9212995.15482312</v>
      </c>
      <c r="G2191" s="68" t="n">
        <v>-6709296.21826113</v>
      </c>
      <c r="H2191" s="68" t="n">
        <v>-8113676.59949958</v>
      </c>
      <c r="I2191" s="68" t="n">
        <v>-9377511.76459146</v>
      </c>
      <c r="J2191" s="68" t="n">
        <v>-11784709.7278817</v>
      </c>
      <c r="K2191" s="68" t="n">
        <v>-16562050.895472</v>
      </c>
      <c r="L2191" s="68" t="n">
        <v>-15866420.3636672</v>
      </c>
      <c r="M2191" s="68" t="n">
        <v>-14964368.0587221</v>
      </c>
      <c r="N2191" s="68" t="n">
        <v>-13948439.4774993</v>
      </c>
      <c r="O2191" s="68" t="n">
        <v>-14236789.5604138</v>
      </c>
      <c r="P2191" s="68" t="n">
        <v>-13931978.2160601</v>
      </c>
      <c r="Q2191" s="68" t="n">
        <v>-16836149.5836987</v>
      </c>
      <c r="R2191" s="68" t="n">
        <v>-19118435.4953838</v>
      </c>
      <c r="S2191" s="68" t="n">
        <v>-16328250.6962538</v>
      </c>
      <c r="T2191" s="68" t="n">
        <v>-17153215.6974154</v>
      </c>
      <c r="U2191" s="68" t="n">
        <v>-19128983.09292</v>
      </c>
      <c r="V2191" s="68" t="n">
        <v>-18985721.6329359</v>
      </c>
      <c r="W2191" s="65"/>
    </row>
    <row r="2192" customFormat="false" ht="13.5" hidden="false" customHeight="false" outlineLevel="0" collapsed="false">
      <c r="A2192" s="2"/>
      <c r="B2192" s="121" t="s">
        <v>32</v>
      </c>
      <c r="C2192" s="123" t="n">
        <v>0</v>
      </c>
      <c r="D2192" s="73" t="n">
        <v>15127952.3357834</v>
      </c>
      <c r="E2192" s="73" t="n">
        <v>12016746.4402191</v>
      </c>
      <c r="F2192" s="73" t="n">
        <v>13819492.7322347</v>
      </c>
      <c r="G2192" s="73" t="n">
        <v>10063944.3273917</v>
      </c>
      <c r="H2192" s="73" t="n">
        <v>12170514.8992494</v>
      </c>
      <c r="I2192" s="73" t="n">
        <v>14066267.6468872</v>
      </c>
      <c r="J2192" s="73" t="n">
        <v>17677064.5918225</v>
      </c>
      <c r="K2192" s="73" t="n">
        <v>24843076.343208</v>
      </c>
      <c r="L2192" s="73" t="n">
        <v>23799630.5455008</v>
      </c>
      <c r="M2192" s="73" t="n">
        <v>22446552.0880831</v>
      </c>
      <c r="N2192" s="73" t="n">
        <v>20922659.216249</v>
      </c>
      <c r="O2192" s="73" t="n">
        <v>21355184.3406208</v>
      </c>
      <c r="P2192" s="73" t="n">
        <v>20897967.3240902</v>
      </c>
      <c r="Q2192" s="73" t="n">
        <v>25254224.375548</v>
      </c>
      <c r="R2192" s="73" t="n">
        <v>28677653.2430758</v>
      </c>
      <c r="S2192" s="73" t="n">
        <v>24492376.0443807</v>
      </c>
      <c r="T2192" s="73" t="n">
        <v>25729823.5461231</v>
      </c>
      <c r="U2192" s="73" t="n">
        <v>28693474.63938</v>
      </c>
      <c r="V2192" s="73" t="n">
        <v>28478582.4494039</v>
      </c>
      <c r="W2192" s="65"/>
    </row>
    <row r="2193" customFormat="false" ht="12.75" hidden="false" customHeight="false" outlineLevel="0" collapsed="false">
      <c r="A2193" s="2"/>
      <c r="B2193" s="117" t="s">
        <v>30</v>
      </c>
      <c r="C2193" s="118" t="n">
        <v>0</v>
      </c>
      <c r="D2193" s="64" t="n">
        <v>32528000</v>
      </c>
      <c r="E2193" s="64" t="n">
        <v>29275200</v>
      </c>
      <c r="F2193" s="64" t="n">
        <v>26364800</v>
      </c>
      <c r="G2193" s="64" t="n">
        <v>23728320</v>
      </c>
      <c r="H2193" s="64" t="n">
        <v>21331520</v>
      </c>
      <c r="I2193" s="64" t="n">
        <v>20201600</v>
      </c>
      <c r="J2193" s="64" t="n">
        <v>20201600</v>
      </c>
      <c r="K2193" s="64" t="n">
        <v>20235840</v>
      </c>
      <c r="L2193" s="64" t="n">
        <v>20201600</v>
      </c>
      <c r="M2193" s="64" t="n">
        <v>20235840</v>
      </c>
      <c r="N2193" s="64" t="n">
        <v>20201600</v>
      </c>
      <c r="O2193" s="64" t="n">
        <v>20235840</v>
      </c>
      <c r="P2193" s="64" t="n">
        <v>20235840</v>
      </c>
      <c r="Q2193" s="64" t="n">
        <v>20235840</v>
      </c>
      <c r="R2193" s="64" t="n">
        <v>10100800</v>
      </c>
      <c r="S2193" s="64" t="n">
        <v>10846000</v>
      </c>
      <c r="T2193" s="64" t="n">
        <v>10846000</v>
      </c>
      <c r="U2193" s="64" t="n">
        <v>10846000</v>
      </c>
      <c r="V2193" s="64" t="n">
        <v>10846000</v>
      </c>
      <c r="W2193" s="65"/>
    </row>
    <row r="2194" customFormat="false" ht="12.75" hidden="false" customHeight="false" outlineLevel="0" collapsed="false">
      <c r="A2194" s="2"/>
      <c r="B2194" s="117" t="s">
        <v>33</v>
      </c>
      <c r="C2194" s="118" t="n">
        <v>0</v>
      </c>
      <c r="D2194" s="64" t="n">
        <v>0</v>
      </c>
      <c r="E2194" s="64" t="n">
        <v>0</v>
      </c>
      <c r="F2194" s="64" t="n">
        <v>0</v>
      </c>
      <c r="G2194" s="64" t="n">
        <v>0</v>
      </c>
      <c r="H2194" s="64" t="n">
        <v>0</v>
      </c>
      <c r="I2194" s="64" t="n">
        <v>0</v>
      </c>
      <c r="J2194" s="64" t="n">
        <v>0</v>
      </c>
      <c r="K2194" s="64" t="n">
        <v>0</v>
      </c>
      <c r="L2194" s="64" t="n">
        <v>0</v>
      </c>
      <c r="M2194" s="64" t="n">
        <v>0</v>
      </c>
      <c r="N2194" s="64" t="n">
        <v>0</v>
      </c>
      <c r="O2194" s="64" t="n">
        <v>0</v>
      </c>
      <c r="P2194" s="64" t="n">
        <v>0</v>
      </c>
      <c r="Q2194" s="64" t="n">
        <v>0</v>
      </c>
      <c r="R2194" s="64" t="n">
        <v>0</v>
      </c>
      <c r="S2194" s="64" t="n">
        <v>0</v>
      </c>
      <c r="T2194" s="64" t="n">
        <v>0</v>
      </c>
      <c r="U2194" s="64" t="n">
        <v>0</v>
      </c>
      <c r="V2194" s="64" t="n">
        <v>0</v>
      </c>
      <c r="W2194" s="65"/>
    </row>
    <row r="2195" customFormat="false" ht="13.5" hidden="false" customHeight="false" outlineLevel="0" collapsed="false">
      <c r="A2195" s="2"/>
      <c r="B2195" s="119" t="s">
        <v>34</v>
      </c>
      <c r="C2195" s="120" t="n">
        <v>0</v>
      </c>
      <c r="D2195" s="68" t="n">
        <v>0</v>
      </c>
      <c r="E2195" s="68" t="n">
        <v>0</v>
      </c>
      <c r="F2195" s="68" t="n">
        <v>0</v>
      </c>
      <c r="G2195" s="68" t="n">
        <v>0</v>
      </c>
      <c r="H2195" s="68" t="n">
        <v>0</v>
      </c>
      <c r="I2195" s="68" t="n">
        <v>0</v>
      </c>
      <c r="J2195" s="68" t="n">
        <v>0</v>
      </c>
      <c r="K2195" s="68" t="n">
        <v>0</v>
      </c>
      <c r="L2195" s="68" t="n">
        <v>0</v>
      </c>
      <c r="M2195" s="68" t="n">
        <v>0</v>
      </c>
      <c r="N2195" s="68" t="n">
        <v>0</v>
      </c>
      <c r="O2195" s="68" t="n">
        <v>0</v>
      </c>
      <c r="P2195" s="68" t="n">
        <v>0</v>
      </c>
      <c r="Q2195" s="68" t="n">
        <v>0</v>
      </c>
      <c r="R2195" s="68" t="n">
        <v>0</v>
      </c>
      <c r="S2195" s="68" t="n">
        <v>0</v>
      </c>
      <c r="T2195" s="68" t="n">
        <v>0</v>
      </c>
      <c r="U2195" s="68" t="n">
        <v>0</v>
      </c>
      <c r="V2195" s="68" t="n">
        <v>0</v>
      </c>
      <c r="W2195" s="65"/>
    </row>
    <row r="2196" customFormat="false" ht="13.5" hidden="false" customHeight="false" outlineLevel="0" collapsed="false">
      <c r="A2196" s="2"/>
      <c r="B2196" s="117"/>
      <c r="C2196" s="124"/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5"/>
      <c r="V2196" s="65"/>
      <c r="W2196" s="65"/>
    </row>
    <row r="2197" customFormat="false" ht="12.75" hidden="false" customHeight="false" outlineLevel="0" collapsed="false">
      <c r="A2197" s="2"/>
      <c r="B2197" s="121" t="s">
        <v>35</v>
      </c>
      <c r="C2197" s="123" t="n">
        <v>0</v>
      </c>
      <c r="D2197" s="73" t="n">
        <v>47655952.3357834</v>
      </c>
      <c r="E2197" s="73" t="n">
        <v>41291946.4402191</v>
      </c>
      <c r="F2197" s="73" t="n">
        <v>40184292.7322347</v>
      </c>
      <c r="G2197" s="73" t="n">
        <v>33792264.3273917</v>
      </c>
      <c r="H2197" s="73" t="n">
        <v>33502034.8992494</v>
      </c>
      <c r="I2197" s="73" t="n">
        <v>34267867.6468872</v>
      </c>
      <c r="J2197" s="73" t="n">
        <v>37878664.5918225</v>
      </c>
      <c r="K2197" s="73" t="n">
        <v>45078916.343208</v>
      </c>
      <c r="L2197" s="73" t="n">
        <v>44001230.5455008</v>
      </c>
      <c r="M2197" s="73" t="n">
        <v>42682392.0880831</v>
      </c>
      <c r="N2197" s="73" t="n">
        <v>41124259.216249</v>
      </c>
      <c r="O2197" s="73" t="n">
        <v>41591024.3406208</v>
      </c>
      <c r="P2197" s="73" t="n">
        <v>41133807.3240902</v>
      </c>
      <c r="Q2197" s="73" t="n">
        <v>45490064.375548</v>
      </c>
      <c r="R2197" s="73" t="n">
        <v>38778453.2430758</v>
      </c>
      <c r="S2197" s="73" t="n">
        <v>35338376.0443807</v>
      </c>
      <c r="T2197" s="73" t="n">
        <v>36575823.5461231</v>
      </c>
      <c r="U2197" s="73" t="n">
        <v>39539474.63938</v>
      </c>
      <c r="V2197" s="73" t="n">
        <v>39324582.4494039</v>
      </c>
      <c r="W2197" s="71" t="n">
        <v>246752454.996874</v>
      </c>
    </row>
    <row r="2198" customFormat="false" ht="12.75" hidden="false" customHeight="false" outlineLevel="0" collapsed="false">
      <c r="A2198" s="2"/>
      <c r="B2198" s="125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</row>
    <row r="2199" customFormat="false" ht="12.75" hidden="false" customHeight="false" outlineLevel="0" collapsed="false">
      <c r="A2199" s="48" t="s">
        <v>36</v>
      </c>
      <c r="B2199" s="126" t="s">
        <v>37</v>
      </c>
      <c r="C2199" s="76" t="n">
        <v>151522921.554126</v>
      </c>
      <c r="D2199" s="2"/>
      <c r="E2199" s="127" t="s">
        <v>38</v>
      </c>
      <c r="F2199" s="128" t="s">
        <v>37</v>
      </c>
      <c r="G2199" s="79" t="n">
        <v>151522921.554126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</row>
    <row r="2200" customFormat="false" ht="12.75" hidden="false" customHeight="false" outlineLevel="0" collapsed="false">
      <c r="A2200" s="2"/>
      <c r="B2200" s="126" t="s">
        <v>39</v>
      </c>
      <c r="C2200" s="76" t="n">
        <v>184239025.686536</v>
      </c>
      <c r="D2200" s="2"/>
      <c r="E2200" s="129"/>
      <c r="F2200" s="128" t="s">
        <v>39</v>
      </c>
      <c r="G2200" s="79" t="n">
        <v>184239025.686536</v>
      </c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</row>
    <row r="2201" customFormat="false" ht="13.5" hidden="false" customHeight="false" outlineLevel="0" collapsed="false">
      <c r="A2201" s="2"/>
      <c r="B2201" s="130" t="s">
        <v>40</v>
      </c>
      <c r="C2201" s="82" t="n">
        <v>36678180.1345996</v>
      </c>
      <c r="D2201" s="131"/>
      <c r="E2201" s="129"/>
      <c r="F2201" s="128" t="s">
        <v>40</v>
      </c>
      <c r="G2201" s="79" t="n">
        <v>36678180.1345996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</row>
    <row r="2202" customFormat="false" ht="14.25" hidden="false" customHeight="false" outlineLevel="0" collapsed="false">
      <c r="A2202" s="2"/>
      <c r="B2202" s="126" t="s">
        <v>41</v>
      </c>
      <c r="C2202" s="76" t="n">
        <v>372440127.375262</v>
      </c>
      <c r="D2202" s="132"/>
      <c r="E2202" s="129"/>
      <c r="F2202" s="133" t="s">
        <v>42</v>
      </c>
      <c r="G2202" s="85" t="n">
        <v>0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</row>
    <row r="2203" customFormat="false" ht="13.5" hidden="false" customHeight="false" outlineLevel="0" collapsed="false">
      <c r="A2203" s="2"/>
      <c r="B2203" s="125"/>
      <c r="C2203" s="134"/>
      <c r="D2203" s="2"/>
      <c r="E2203" s="135"/>
      <c r="F2203" s="128" t="s">
        <v>41</v>
      </c>
      <c r="G2203" s="79" t="n">
        <v>372440127.375262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</row>
    <row r="2204" customFormat="false" ht="12.75" hidden="false" customHeight="false" outlineLevel="0" collapsed="false">
      <c r="A2204" s="2"/>
      <c r="B2204" s="125"/>
      <c r="C2204" s="134"/>
      <c r="D2204" s="2"/>
      <c r="E2204" s="135"/>
      <c r="F2204" s="128"/>
      <c r="G2204" s="136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</row>
    <row r="2205" customFormat="false" ht="12.75" hidden="false" customHeight="false" outlineLevel="0" collapsed="false">
      <c r="A2205" s="2"/>
      <c r="B2205" s="125"/>
      <c r="C2205" s="134"/>
      <c r="D2205" s="2"/>
      <c r="E2205" s="135"/>
      <c r="F2205" s="128"/>
      <c r="G2205" s="136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</row>
    <row r="2206" customFormat="false" ht="12.75" hidden="false" customHeight="false" outlineLevel="0" collapsed="false">
      <c r="A2206" s="2"/>
      <c r="B2206" s="137" t="s">
        <v>43</v>
      </c>
      <c r="C2206" s="134"/>
      <c r="D2206" s="2"/>
      <c r="E2206" s="135"/>
      <c r="F2206" s="128"/>
      <c r="G2206" s="136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</row>
    <row r="2207" customFormat="false" ht="12.75" hidden="false" customHeight="false" outlineLevel="0" collapsed="false">
      <c r="A2207" s="87" t="s">
        <v>44</v>
      </c>
      <c r="B2207" s="137" t="s">
        <v>45</v>
      </c>
      <c r="C2207" s="138"/>
      <c r="D2207" s="88" t="n">
        <v>15127952.3357834</v>
      </c>
      <c r="E2207" s="88" t="n">
        <v>12016746.4402191</v>
      </c>
      <c r="F2207" s="88" t="n">
        <v>13819492.7322347</v>
      </c>
      <c r="G2207" s="88" t="n">
        <v>10063944.3273917</v>
      </c>
      <c r="H2207" s="88" t="n">
        <v>12170514.8992494</v>
      </c>
      <c r="I2207" s="88" t="n">
        <v>14066267.6468872</v>
      </c>
      <c r="J2207" s="88" t="n">
        <v>17677064.5918225</v>
      </c>
      <c r="K2207" s="88" t="n">
        <v>24843076.343208</v>
      </c>
      <c r="L2207" s="88" t="n">
        <v>23799630.5455008</v>
      </c>
      <c r="M2207" s="88" t="n">
        <v>22446552.0880831</v>
      </c>
      <c r="N2207" s="88" t="n">
        <v>20922659.216249</v>
      </c>
      <c r="O2207" s="88" t="n">
        <v>21355184.3406208</v>
      </c>
      <c r="P2207" s="88" t="n">
        <v>20897967.3240902</v>
      </c>
      <c r="Q2207" s="88" t="n">
        <v>25254224.375548</v>
      </c>
      <c r="R2207" s="88" t="n">
        <v>28677653.2430758</v>
      </c>
      <c r="S2207" s="88" t="n">
        <v>24492376.0443807</v>
      </c>
      <c r="T2207" s="88" t="n">
        <v>25729823.5461231</v>
      </c>
      <c r="U2207" s="88" t="n">
        <v>28693474.63938</v>
      </c>
      <c r="V2207" s="88" t="n">
        <v>28478582.4494039</v>
      </c>
      <c r="W2207" s="2"/>
    </row>
    <row r="2208" customFormat="false" ht="12.75" hidden="false" customHeight="false" outlineLevel="0" collapsed="false">
      <c r="A2208" s="2"/>
      <c r="B2208" s="125" t="s">
        <v>46</v>
      </c>
      <c r="C2208" s="134"/>
      <c r="D2208" s="65" t="n">
        <v>10085301.5571889</v>
      </c>
      <c r="E2208" s="65" t="n">
        <v>8011164.29347938</v>
      </c>
      <c r="F2208" s="65" t="n">
        <v>9212995.15482312</v>
      </c>
      <c r="G2208" s="65" t="n">
        <v>6709296.21826113</v>
      </c>
      <c r="H2208" s="65" t="n">
        <v>8113676.59949958</v>
      </c>
      <c r="I2208" s="65" t="n">
        <v>9377511.76459146</v>
      </c>
      <c r="J2208" s="65" t="n">
        <v>11784709.7278817</v>
      </c>
      <c r="K2208" s="65" t="n">
        <v>16562050.895472</v>
      </c>
      <c r="L2208" s="65" t="n">
        <v>15866420.3636672</v>
      </c>
      <c r="M2208" s="65" t="n">
        <v>14964368.0587221</v>
      </c>
      <c r="N2208" s="65" t="n">
        <v>13948439.4774993</v>
      </c>
      <c r="O2208" s="65" t="n">
        <v>14236789.5604138</v>
      </c>
      <c r="P2208" s="65" t="n">
        <v>13931978.2160601</v>
      </c>
      <c r="Q2208" s="65" t="n">
        <v>16836149.5836987</v>
      </c>
      <c r="R2208" s="65" t="n">
        <v>19118435.4953838</v>
      </c>
      <c r="S2208" s="65" t="n">
        <v>16328250.6962538</v>
      </c>
      <c r="T2208" s="65" t="n">
        <v>17153215.6974154</v>
      </c>
      <c r="U2208" s="65" t="n">
        <v>19128983.09292</v>
      </c>
      <c r="V2208" s="65" t="n">
        <v>18985721.6329359</v>
      </c>
      <c r="W2208" s="2"/>
    </row>
    <row r="2209" customFormat="false" ht="12.75" hidden="false" customHeight="false" outlineLevel="0" collapsed="false">
      <c r="A2209" s="2"/>
      <c r="B2209" s="139" t="s">
        <v>47</v>
      </c>
      <c r="C2209" s="140"/>
      <c r="D2209" s="65" t="n">
        <v>32528000</v>
      </c>
      <c r="E2209" s="65" t="n">
        <v>29275200</v>
      </c>
      <c r="F2209" s="65" t="n">
        <v>26364800</v>
      </c>
      <c r="G2209" s="65" t="n">
        <v>23728320</v>
      </c>
      <c r="H2209" s="65" t="n">
        <v>21331520</v>
      </c>
      <c r="I2209" s="65" t="n">
        <v>20201600</v>
      </c>
      <c r="J2209" s="65" t="n">
        <v>20201600</v>
      </c>
      <c r="K2209" s="65" t="n">
        <v>20235840</v>
      </c>
      <c r="L2209" s="65" t="n">
        <v>20201600</v>
      </c>
      <c r="M2209" s="65" t="n">
        <v>20235840</v>
      </c>
      <c r="N2209" s="65" t="n">
        <v>20201600</v>
      </c>
      <c r="O2209" s="65" t="n">
        <v>20235840</v>
      </c>
      <c r="P2209" s="65" t="n">
        <v>20235840</v>
      </c>
      <c r="Q2209" s="65" t="n">
        <v>20235840</v>
      </c>
      <c r="R2209" s="65" t="n">
        <v>10100800</v>
      </c>
      <c r="S2209" s="65" t="n">
        <v>10846000</v>
      </c>
      <c r="T2209" s="65" t="n">
        <v>10846000</v>
      </c>
      <c r="U2209" s="65" t="n">
        <v>10846000</v>
      </c>
      <c r="V2209" s="65" t="n">
        <v>10846000</v>
      </c>
      <c r="W2209" s="2"/>
    </row>
    <row r="2210" customFormat="false" ht="13.5" hidden="false" customHeight="false" outlineLevel="0" collapsed="false">
      <c r="A2210" s="2"/>
      <c r="B2210" s="141" t="s">
        <v>48</v>
      </c>
      <c r="C2210" s="142"/>
      <c r="D2210" s="93" t="n">
        <v>57741253.8929723</v>
      </c>
      <c r="E2210" s="93" t="n">
        <v>49303110.7336985</v>
      </c>
      <c r="F2210" s="93" t="n">
        <v>49397287.8870578</v>
      </c>
      <c r="G2210" s="93" t="n">
        <v>40501560.5456528</v>
      </c>
      <c r="H2210" s="93" t="n">
        <v>41615711.498749</v>
      </c>
      <c r="I2210" s="93" t="n">
        <v>43645379.4114786</v>
      </c>
      <c r="J2210" s="93" t="n">
        <v>49663374.3197042</v>
      </c>
      <c r="K2210" s="93" t="n">
        <v>61640967.23868</v>
      </c>
      <c r="L2210" s="93" t="n">
        <v>59867650.9091681</v>
      </c>
      <c r="M2210" s="93" t="n">
        <v>57646760.1468052</v>
      </c>
      <c r="N2210" s="93" t="n">
        <v>55072698.6937483</v>
      </c>
      <c r="O2210" s="93" t="n">
        <v>55827813.9010346</v>
      </c>
      <c r="P2210" s="93" t="n">
        <v>55065785.5401504</v>
      </c>
      <c r="Q2210" s="93" t="n">
        <v>62326213.9592467</v>
      </c>
      <c r="R2210" s="93" t="n">
        <v>57896888.7384596</v>
      </c>
      <c r="S2210" s="93" t="n">
        <v>51666626.7406346</v>
      </c>
      <c r="T2210" s="93" t="n">
        <v>53729039.2435385</v>
      </c>
      <c r="U2210" s="93" t="n">
        <v>58668457.7322999</v>
      </c>
      <c r="V2210" s="93" t="n">
        <v>58310304.0823398</v>
      </c>
      <c r="W2210" s="2"/>
    </row>
    <row r="2211" customFormat="false" ht="13.5" hidden="false" customHeight="false" outlineLevel="0" collapsed="false">
      <c r="A2211" s="87" t="s">
        <v>49</v>
      </c>
      <c r="B2211" s="125" t="s">
        <v>50</v>
      </c>
      <c r="C2211" s="134"/>
      <c r="D2211" s="65" t="n">
        <v>-10846000</v>
      </c>
      <c r="E2211" s="65" t="n">
        <v>-10846000</v>
      </c>
      <c r="F2211" s="65" t="n">
        <v>-10846000</v>
      </c>
      <c r="G2211" s="65" t="n">
        <v>-10846000</v>
      </c>
      <c r="H2211" s="65" t="n">
        <v>-10846000</v>
      </c>
      <c r="I2211" s="65" t="n">
        <v>-10846000</v>
      </c>
      <c r="J2211" s="65" t="n">
        <v>-10846000</v>
      </c>
      <c r="K2211" s="65" t="n">
        <v>-10846000</v>
      </c>
      <c r="L2211" s="65" t="n">
        <v>-10846000</v>
      </c>
      <c r="M2211" s="65" t="n">
        <v>-10846000</v>
      </c>
      <c r="N2211" s="65" t="n">
        <v>-10846000</v>
      </c>
      <c r="O2211" s="65" t="n">
        <v>-10846000</v>
      </c>
      <c r="P2211" s="65" t="n">
        <v>-10846000</v>
      </c>
      <c r="Q2211" s="65" t="n">
        <v>-10846000</v>
      </c>
      <c r="R2211" s="65" t="n">
        <v>-10846000</v>
      </c>
      <c r="S2211" s="65" t="n">
        <v>-10846000</v>
      </c>
      <c r="T2211" s="65" t="n">
        <v>-10846000</v>
      </c>
      <c r="U2211" s="65" t="n">
        <v>-10846000</v>
      </c>
      <c r="V2211" s="65" t="n">
        <v>-10846000</v>
      </c>
      <c r="W2211" s="2"/>
    </row>
    <row r="2212" customFormat="false" ht="12.75" hidden="false" customHeight="false" outlineLevel="0" collapsed="false">
      <c r="A2212" s="2"/>
      <c r="B2212" s="125" t="s">
        <v>51</v>
      </c>
      <c r="C2212" s="134"/>
      <c r="D2212" s="65" t="n">
        <v>0</v>
      </c>
      <c r="E2212" s="65" t="n">
        <v>0</v>
      </c>
      <c r="F2212" s="65" t="n">
        <v>0</v>
      </c>
      <c r="G2212" s="65" t="n">
        <v>0</v>
      </c>
      <c r="H2212" s="65" t="n">
        <v>0</v>
      </c>
      <c r="I2212" s="65" t="n">
        <v>0</v>
      </c>
      <c r="J2212" s="65" t="n">
        <v>0</v>
      </c>
      <c r="K2212" s="65" t="n">
        <v>0</v>
      </c>
      <c r="L2212" s="65" t="n">
        <v>0</v>
      </c>
      <c r="M2212" s="65" t="n">
        <v>0</v>
      </c>
      <c r="N2212" s="65" t="n">
        <v>0</v>
      </c>
      <c r="O2212" s="65" t="n">
        <v>0</v>
      </c>
      <c r="P2212" s="65" t="n">
        <v>0</v>
      </c>
      <c r="Q2212" s="65" t="n">
        <v>0</v>
      </c>
      <c r="R2212" s="65" t="n">
        <v>0</v>
      </c>
      <c r="S2212" s="65" t="n">
        <v>0</v>
      </c>
      <c r="T2212" s="65" t="n">
        <v>0</v>
      </c>
      <c r="U2212" s="65" t="n">
        <v>0</v>
      </c>
      <c r="V2212" s="65" t="n">
        <v>0</v>
      </c>
      <c r="W2212" s="2"/>
    </row>
    <row r="2213" customFormat="false" ht="12.75" hidden="false" customHeight="false" outlineLevel="0" collapsed="false">
      <c r="A2213" s="2"/>
      <c r="B2213" s="137" t="s">
        <v>52</v>
      </c>
      <c r="C2213" s="138"/>
      <c r="D2213" s="88" t="n">
        <v>46895253.8929723</v>
      </c>
      <c r="E2213" s="88" t="n">
        <v>38457110.7336985</v>
      </c>
      <c r="F2213" s="88" t="n">
        <v>38551287.8870578</v>
      </c>
      <c r="G2213" s="88" t="n">
        <v>29655560.5456528</v>
      </c>
      <c r="H2213" s="88" t="n">
        <v>30769711.498749</v>
      </c>
      <c r="I2213" s="88" t="n">
        <v>32799379.4114786</v>
      </c>
      <c r="J2213" s="88" t="n">
        <v>38817374.3197042</v>
      </c>
      <c r="K2213" s="88" t="n">
        <v>50794967.23868</v>
      </c>
      <c r="L2213" s="88" t="n">
        <v>49021650.9091681</v>
      </c>
      <c r="M2213" s="88" t="n">
        <v>46800760.1468052</v>
      </c>
      <c r="N2213" s="88" t="n">
        <v>44226698.6937483</v>
      </c>
      <c r="O2213" s="88" t="n">
        <v>44981813.9010346</v>
      </c>
      <c r="P2213" s="88" t="n">
        <v>44219785.5401504</v>
      </c>
      <c r="Q2213" s="88" t="n">
        <v>51480213.9592467</v>
      </c>
      <c r="R2213" s="88" t="n">
        <v>47050888.7384596</v>
      </c>
      <c r="S2213" s="88" t="n">
        <v>40820626.7406346</v>
      </c>
      <c r="T2213" s="88" t="n">
        <v>42883039.2435385</v>
      </c>
      <c r="U2213" s="88" t="n">
        <v>47822457.7322999</v>
      </c>
      <c r="V2213" s="88" t="n">
        <v>47464304.0823398</v>
      </c>
      <c r="W2213" s="2"/>
    </row>
    <row r="2214" customFormat="false" ht="13.5" hidden="false" customHeight="false" outlineLevel="0" collapsed="false">
      <c r="A2214" s="2"/>
      <c r="B2214" s="143" t="s">
        <v>53</v>
      </c>
      <c r="C2214" s="144"/>
      <c r="D2214" s="96" t="n">
        <v>-18758101.5571889</v>
      </c>
      <c r="E2214" s="96" t="n">
        <v>-15382844.2934794</v>
      </c>
      <c r="F2214" s="96" t="n">
        <v>-15420515.1548231</v>
      </c>
      <c r="G2214" s="96" t="n">
        <v>-11862224.2182611</v>
      </c>
      <c r="H2214" s="96" t="n">
        <v>-12307884.5994996</v>
      </c>
      <c r="I2214" s="96" t="n">
        <v>-13119751.7645915</v>
      </c>
      <c r="J2214" s="96" t="n">
        <v>-15526949.7278817</v>
      </c>
      <c r="K2214" s="96" t="n">
        <v>-20317986.895472</v>
      </c>
      <c r="L2214" s="96" t="n">
        <v>-19608660.3636672</v>
      </c>
      <c r="M2214" s="96" t="n">
        <v>-18720304.0587221</v>
      </c>
      <c r="N2214" s="96" t="n">
        <v>-17690679.4774993</v>
      </c>
      <c r="O2214" s="96" t="n">
        <v>-17992725.5604138</v>
      </c>
      <c r="P2214" s="96" t="n">
        <v>-17687914.2160601</v>
      </c>
      <c r="Q2214" s="96" t="n">
        <v>-20592085.5836987</v>
      </c>
      <c r="R2214" s="96" t="n">
        <v>-18820355.4953838</v>
      </c>
      <c r="S2214" s="96" t="n">
        <v>-16328250.6962538</v>
      </c>
      <c r="T2214" s="96" t="n">
        <v>-17153215.6974154</v>
      </c>
      <c r="U2214" s="96" t="n">
        <v>-19128983.09292</v>
      </c>
      <c r="V2214" s="96" t="n">
        <v>-18985721.6329359</v>
      </c>
      <c r="W2214" s="2"/>
    </row>
    <row r="2215" customFormat="false" ht="13.5" hidden="false" customHeight="false" outlineLevel="0" collapsed="false">
      <c r="A2215" s="2"/>
      <c r="B2215" s="137" t="s">
        <v>54</v>
      </c>
      <c r="C2215" s="138"/>
      <c r="D2215" s="88" t="n">
        <v>28137152.3357834</v>
      </c>
      <c r="E2215" s="88" t="n">
        <v>23074266.4402191</v>
      </c>
      <c r="F2215" s="88" t="n">
        <v>23130772.7322347</v>
      </c>
      <c r="G2215" s="88" t="n">
        <v>17793336.3273917</v>
      </c>
      <c r="H2215" s="88" t="n">
        <v>18461826.8992494</v>
      </c>
      <c r="I2215" s="88" t="n">
        <v>19679627.6468872</v>
      </c>
      <c r="J2215" s="88" t="n">
        <v>23290424.5918225</v>
      </c>
      <c r="K2215" s="88" t="n">
        <v>30476980.343208</v>
      </c>
      <c r="L2215" s="88" t="n">
        <v>29412990.5455008</v>
      </c>
      <c r="M2215" s="88" t="n">
        <v>28080456.0880831</v>
      </c>
      <c r="N2215" s="88" t="n">
        <v>26536019.216249</v>
      </c>
      <c r="O2215" s="88" t="n">
        <v>26989088.3406208</v>
      </c>
      <c r="P2215" s="88" t="n">
        <v>26531871.3240902</v>
      </c>
      <c r="Q2215" s="88" t="n">
        <v>30888128.375548</v>
      </c>
      <c r="R2215" s="88" t="n">
        <v>28230533.2430758</v>
      </c>
      <c r="S2215" s="88" t="n">
        <v>24492376.0443807</v>
      </c>
      <c r="T2215" s="88" t="n">
        <v>25729823.5461231</v>
      </c>
      <c r="U2215" s="88" t="n">
        <v>28693474.63938</v>
      </c>
      <c r="V2215" s="88" t="n">
        <v>28478582.4494039</v>
      </c>
      <c r="W2215" s="2"/>
    </row>
    <row r="2216" customFormat="false" ht="12.75" hidden="false" customHeight="false" outlineLevel="0" collapsed="false">
      <c r="A2216" s="2"/>
      <c r="B2216" s="2"/>
      <c r="C2216" s="134"/>
      <c r="D2216" s="2"/>
      <c r="E2216" s="135"/>
      <c r="F2216" s="128"/>
      <c r="G2216" s="136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</row>
    <row r="2217" customFormat="false" ht="15.75" hidden="false" customHeight="false" outlineLevel="0" collapsed="false">
      <c r="A2217" s="97" t="s">
        <v>55</v>
      </c>
      <c r="B2217" s="145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</row>
    <row r="2218" customFormat="false" ht="12.75" hidden="false" customHeight="false" outlineLevel="0" collapsed="false">
      <c r="A2218" s="99" t="s">
        <v>56</v>
      </c>
      <c r="B2218" s="49"/>
      <c r="C2218" s="101" t="n">
        <v>0</v>
      </c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</row>
    <row r="2219" customFormat="false" ht="12.75" hidden="false" customHeight="false" outlineLevel="0" collapsed="false">
      <c r="A2219" s="99" t="s">
        <v>57</v>
      </c>
      <c r="B2219" s="49"/>
      <c r="C2219" s="146" t="n">
        <v>0</v>
      </c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</row>
    <row r="2220" customFormat="false" ht="12.75" hidden="false" customHeight="false" outlineLevel="0" collapsed="false">
      <c r="A2220" s="99" t="s">
        <v>58</v>
      </c>
      <c r="B2220" s="49"/>
      <c r="C2220" s="99" t="n">
        <v>15</v>
      </c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</row>
    <row r="2221" customFormat="false" ht="12.75" hidden="false" customHeight="false" outlineLevel="0" collapsed="false">
      <c r="A2221" s="99" t="s">
        <v>59</v>
      </c>
      <c r="B2221" s="49"/>
      <c r="C2221" s="146" t="n">
        <v>0</v>
      </c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</row>
    <row r="2222" customFormat="false" ht="12.75" hidden="false" customHeight="false" outlineLevel="0" collapsed="false">
      <c r="A2222" s="99" t="s">
        <v>60</v>
      </c>
      <c r="B2222" s="49"/>
      <c r="C2222" s="147" t="n">
        <v>0.0875</v>
      </c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</row>
    <row r="2223" customFormat="false" ht="12.75" hidden="false" customHeight="false" outlineLevel="0" collapsed="false">
      <c r="A2223" s="99"/>
      <c r="B2223" s="49"/>
      <c r="C2223" s="107"/>
      <c r="D2223" s="58" t="n">
        <v>2001</v>
      </c>
      <c r="E2223" s="58" t="n">
        <v>2002</v>
      </c>
      <c r="F2223" s="58" t="n">
        <v>2003</v>
      </c>
      <c r="G2223" s="58" t="n">
        <v>2004</v>
      </c>
      <c r="H2223" s="58" t="n">
        <v>2005</v>
      </c>
      <c r="I2223" s="58" t="n">
        <v>2006</v>
      </c>
      <c r="J2223" s="58" t="n">
        <v>2007</v>
      </c>
      <c r="K2223" s="58" t="n">
        <v>2008</v>
      </c>
      <c r="L2223" s="58" t="n">
        <v>2009</v>
      </c>
      <c r="M2223" s="58" t="n">
        <v>2010</v>
      </c>
      <c r="N2223" s="58" t="n">
        <v>2011</v>
      </c>
      <c r="O2223" s="58" t="n">
        <v>2012</v>
      </c>
      <c r="P2223" s="58" t="n">
        <v>2013</v>
      </c>
      <c r="Q2223" s="58" t="n">
        <v>2014</v>
      </c>
      <c r="R2223" s="58" t="n">
        <v>2015</v>
      </c>
      <c r="S2223" s="58" t="n">
        <v>2016</v>
      </c>
      <c r="T2223" s="58" t="n">
        <v>2017</v>
      </c>
      <c r="U2223" s="58" t="n">
        <v>2018</v>
      </c>
      <c r="V2223" s="58" t="n">
        <v>2019</v>
      </c>
      <c r="W2223" s="58" t="s">
        <v>19</v>
      </c>
    </row>
    <row r="2224" customFormat="false" ht="12.75" hidden="false" customHeight="false" outlineLevel="0" collapsed="false">
      <c r="A2224" s="99" t="s">
        <v>61</v>
      </c>
      <c r="B2224" s="49"/>
      <c r="C2224" s="107"/>
      <c r="D2224" s="102" t="n">
        <v>0</v>
      </c>
      <c r="E2224" s="102" t="n">
        <v>0</v>
      </c>
      <c r="F2224" s="102" t="n">
        <v>0</v>
      </c>
      <c r="G2224" s="102" t="n">
        <v>0</v>
      </c>
      <c r="H2224" s="102" t="n">
        <v>0</v>
      </c>
      <c r="I2224" s="102" t="n">
        <v>0</v>
      </c>
      <c r="J2224" s="102" t="n">
        <v>0</v>
      </c>
      <c r="K2224" s="102" t="n">
        <v>0</v>
      </c>
      <c r="L2224" s="102" t="n">
        <v>0</v>
      </c>
      <c r="M2224" s="102" t="n">
        <v>0</v>
      </c>
      <c r="N2224" s="102" t="n">
        <v>0</v>
      </c>
      <c r="O2224" s="102" t="n">
        <v>0</v>
      </c>
      <c r="P2224" s="102" t="n">
        <v>0</v>
      </c>
      <c r="Q2224" s="102" t="n">
        <v>0</v>
      </c>
      <c r="R2224" s="102" t="n">
        <v>0</v>
      </c>
      <c r="S2224" s="102" t="n">
        <v>0</v>
      </c>
      <c r="T2224" s="102" t="n">
        <v>0</v>
      </c>
      <c r="U2224" s="102" t="n">
        <v>0</v>
      </c>
      <c r="V2224" s="102" t="n">
        <v>0</v>
      </c>
      <c r="W2224" s="102" t="n">
        <v>0</v>
      </c>
    </row>
    <row r="2225" customFormat="false" ht="12.75" hidden="false" customHeight="false" outlineLevel="0" collapsed="false">
      <c r="A2225" s="99" t="s">
        <v>62</v>
      </c>
      <c r="B2225" s="49"/>
      <c r="C2225" s="107"/>
      <c r="D2225" s="102" t="n">
        <v>0</v>
      </c>
      <c r="E2225" s="102" t="n">
        <v>0</v>
      </c>
      <c r="F2225" s="102" t="n">
        <v>0</v>
      </c>
      <c r="G2225" s="102" t="n">
        <v>0</v>
      </c>
      <c r="H2225" s="102" t="n">
        <v>0</v>
      </c>
      <c r="I2225" s="102" t="n">
        <v>0</v>
      </c>
      <c r="J2225" s="102" t="n">
        <v>0</v>
      </c>
      <c r="K2225" s="102" t="n">
        <v>0</v>
      </c>
      <c r="L2225" s="102" t="n">
        <v>0</v>
      </c>
      <c r="M2225" s="102" t="n">
        <v>0</v>
      </c>
      <c r="N2225" s="102" t="n">
        <v>0</v>
      </c>
      <c r="O2225" s="102" t="n">
        <v>0</v>
      </c>
      <c r="P2225" s="102" t="n">
        <v>0</v>
      </c>
      <c r="Q2225" s="102" t="n">
        <v>0</v>
      </c>
      <c r="R2225" s="102" t="n">
        <v>0</v>
      </c>
      <c r="S2225" s="102" t="n">
        <v>0</v>
      </c>
      <c r="T2225" s="102" t="n">
        <v>0</v>
      </c>
      <c r="U2225" s="102" t="n">
        <v>0</v>
      </c>
      <c r="V2225" s="102" t="n">
        <v>0</v>
      </c>
      <c r="W2225" s="102" t="n">
        <v>0</v>
      </c>
    </row>
    <row r="2226" customFormat="false" ht="12.75" hidden="false" customHeight="false" outlineLevel="0" collapsed="false">
      <c r="A2226" s="99" t="s">
        <v>63</v>
      </c>
      <c r="B2226" s="49"/>
      <c r="C2226" s="107"/>
      <c r="D2226" s="102" t="n">
        <v>0</v>
      </c>
      <c r="E2226" s="102" t="n">
        <v>0</v>
      </c>
      <c r="F2226" s="102" t="n">
        <v>0</v>
      </c>
      <c r="G2226" s="102" t="n">
        <v>0</v>
      </c>
      <c r="H2226" s="102" t="n">
        <v>0</v>
      </c>
      <c r="I2226" s="102" t="n">
        <v>0</v>
      </c>
      <c r="J2226" s="102" t="n">
        <v>0</v>
      </c>
      <c r="K2226" s="102" t="n">
        <v>0</v>
      </c>
      <c r="L2226" s="102" t="n">
        <v>0</v>
      </c>
      <c r="M2226" s="102" t="n">
        <v>0</v>
      </c>
      <c r="N2226" s="102" t="n">
        <v>0</v>
      </c>
      <c r="O2226" s="102" t="n">
        <v>0</v>
      </c>
      <c r="P2226" s="102" t="n">
        <v>0</v>
      </c>
      <c r="Q2226" s="102" t="n">
        <v>0</v>
      </c>
      <c r="R2226" s="102" t="n">
        <v>0</v>
      </c>
      <c r="S2226" s="102" t="n">
        <v>0</v>
      </c>
      <c r="T2226" s="102" t="n">
        <v>0</v>
      </c>
      <c r="U2226" s="102" t="n">
        <v>0</v>
      </c>
      <c r="V2226" s="102" t="n">
        <v>0</v>
      </c>
      <c r="W2226" s="102" t="n">
        <v>0</v>
      </c>
    </row>
    <row r="2227" customFormat="false" ht="12.75" hidden="false" customHeight="false" outlineLevel="0" collapsed="false">
      <c r="A2227" s="99" t="s">
        <v>64</v>
      </c>
      <c r="B2227" s="49"/>
      <c r="C2227" s="107"/>
      <c r="D2227" s="105" t="n">
        <v>0</v>
      </c>
      <c r="E2227" s="105" t="n">
        <v>0</v>
      </c>
      <c r="F2227" s="105" t="n">
        <v>0</v>
      </c>
      <c r="G2227" s="105" t="n">
        <v>0</v>
      </c>
      <c r="H2227" s="105" t="n">
        <v>0</v>
      </c>
      <c r="I2227" s="105" t="n">
        <v>0</v>
      </c>
      <c r="J2227" s="105" t="n">
        <v>0</v>
      </c>
      <c r="K2227" s="105" t="n">
        <v>0</v>
      </c>
      <c r="L2227" s="105" t="n">
        <v>0</v>
      </c>
      <c r="M2227" s="105" t="n">
        <v>0</v>
      </c>
      <c r="N2227" s="105" t="n">
        <v>0</v>
      </c>
      <c r="O2227" s="105" t="n">
        <v>0</v>
      </c>
      <c r="P2227" s="105" t="n">
        <v>0</v>
      </c>
      <c r="Q2227" s="105" t="n">
        <v>0</v>
      </c>
      <c r="R2227" s="105" t="n">
        <v>0</v>
      </c>
      <c r="S2227" s="105" t="n">
        <v>0</v>
      </c>
      <c r="T2227" s="105" t="n">
        <v>0</v>
      </c>
      <c r="U2227" s="105" t="n">
        <v>0</v>
      </c>
      <c r="V2227" s="105" t="n">
        <v>0</v>
      </c>
      <c r="W2227" s="105" t="n">
        <v>0</v>
      </c>
    </row>
    <row r="2228" customFormat="false" ht="13.5" hidden="false" customHeight="false" outlineLevel="0" collapsed="false">
      <c r="A2228" s="99" t="s">
        <v>65</v>
      </c>
      <c r="B2228" s="49"/>
      <c r="C2228" s="107"/>
      <c r="D2228" s="106" t="n">
        <v>0</v>
      </c>
      <c r="E2228" s="106" t="n">
        <v>0</v>
      </c>
      <c r="F2228" s="106" t="n">
        <v>0</v>
      </c>
      <c r="G2228" s="106" t="n">
        <v>0</v>
      </c>
      <c r="H2228" s="106" t="n">
        <v>0</v>
      </c>
      <c r="I2228" s="106" t="n">
        <v>0</v>
      </c>
      <c r="J2228" s="106" t="n">
        <v>0</v>
      </c>
      <c r="K2228" s="106" t="n">
        <v>0</v>
      </c>
      <c r="L2228" s="106" t="n">
        <v>0</v>
      </c>
      <c r="M2228" s="106" t="n">
        <v>0</v>
      </c>
      <c r="N2228" s="106" t="n">
        <v>0</v>
      </c>
      <c r="O2228" s="106" t="n">
        <v>0</v>
      </c>
      <c r="P2228" s="106" t="n">
        <v>0</v>
      </c>
      <c r="Q2228" s="106" t="n">
        <v>0</v>
      </c>
      <c r="R2228" s="106" t="n">
        <v>0</v>
      </c>
      <c r="S2228" s="106" t="n">
        <v>0</v>
      </c>
      <c r="T2228" s="106" t="n">
        <v>0</v>
      </c>
      <c r="U2228" s="106" t="n">
        <v>0</v>
      </c>
      <c r="V2228" s="106" t="n">
        <v>0</v>
      </c>
      <c r="W2228" s="106" t="n">
        <v>0</v>
      </c>
    </row>
    <row r="2229" customFormat="false" ht="13.5" hidden="false" customHeight="false" outlineLevel="0" collapsed="false">
      <c r="A2229" s="99"/>
      <c r="B2229" s="49"/>
      <c r="C2229" s="107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  <c r="W2229" s="102"/>
    </row>
    <row r="2230" customFormat="false" ht="12.75" hidden="false" customHeight="false" outlineLevel="0" collapsed="false">
      <c r="A2230" s="99" t="s">
        <v>66</v>
      </c>
      <c r="B2230" s="49"/>
      <c r="C2230" s="107"/>
      <c r="D2230" s="102" t="n">
        <v>0</v>
      </c>
      <c r="E2230" s="102" t="n">
        <v>0</v>
      </c>
      <c r="F2230" s="102" t="n">
        <v>0</v>
      </c>
      <c r="G2230" s="102" t="n">
        <v>0</v>
      </c>
      <c r="H2230" s="102" t="n">
        <v>0</v>
      </c>
      <c r="I2230" s="102" t="n">
        <v>0</v>
      </c>
      <c r="J2230" s="102" t="n">
        <v>0</v>
      </c>
      <c r="K2230" s="102" t="n">
        <v>0</v>
      </c>
      <c r="L2230" s="102" t="n">
        <v>0</v>
      </c>
      <c r="M2230" s="102" t="n">
        <v>0</v>
      </c>
      <c r="N2230" s="102" t="n">
        <v>0</v>
      </c>
      <c r="O2230" s="102" t="n">
        <v>0</v>
      </c>
      <c r="P2230" s="102" t="n">
        <v>0</v>
      </c>
      <c r="Q2230" s="102" t="n">
        <v>0</v>
      </c>
      <c r="R2230" s="102" t="n">
        <v>0</v>
      </c>
      <c r="S2230" s="102" t="n">
        <v>0</v>
      </c>
      <c r="T2230" s="102" t="n">
        <v>0</v>
      </c>
      <c r="U2230" s="102" t="n">
        <v>0</v>
      </c>
      <c r="V2230" s="102" t="n">
        <v>0</v>
      </c>
      <c r="W2230" s="102" t="n">
        <v>0</v>
      </c>
    </row>
    <row r="2231" customFormat="false" ht="12.75" hidden="false" customHeight="false" outlineLevel="0" collapsed="false">
      <c r="A2231" s="99"/>
      <c r="B2231" s="49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</row>
    <row r="2232" customFormat="false" ht="12.75" hidden="false" customHeight="false" outlineLevel="0" collapsed="false">
      <c r="A2232" s="99" t="s">
        <v>67</v>
      </c>
      <c r="B2232" s="49"/>
      <c r="C2232" s="107"/>
      <c r="D2232" s="102" t="n">
        <v>0</v>
      </c>
      <c r="E2232" s="102" t="n">
        <v>0</v>
      </c>
      <c r="F2232" s="102" t="n">
        <v>0</v>
      </c>
      <c r="G2232" s="102" t="n">
        <v>0</v>
      </c>
      <c r="H2232" s="102" t="n">
        <v>0</v>
      </c>
      <c r="I2232" s="102" t="n">
        <v>0</v>
      </c>
      <c r="J2232" s="102" t="n">
        <v>0</v>
      </c>
      <c r="K2232" s="102" t="n">
        <v>0</v>
      </c>
      <c r="L2232" s="102" t="n">
        <v>0</v>
      </c>
      <c r="M2232" s="102" t="n">
        <v>0</v>
      </c>
      <c r="N2232" s="102" t="n">
        <v>0</v>
      </c>
      <c r="O2232" s="102" t="n">
        <v>0</v>
      </c>
      <c r="P2232" s="102" t="n">
        <v>0</v>
      </c>
      <c r="Q2232" s="102" t="n">
        <v>0</v>
      </c>
      <c r="R2232" s="102" t="n">
        <v>0</v>
      </c>
      <c r="S2232" s="102" t="n">
        <v>0</v>
      </c>
      <c r="T2232" s="102" t="n">
        <v>0</v>
      </c>
      <c r="U2232" s="102" t="n">
        <v>0</v>
      </c>
      <c r="V2232" s="102" t="n">
        <v>0</v>
      </c>
      <c r="W2232" s="102" t="n">
        <v>0</v>
      </c>
    </row>
    <row r="2233" customFormat="false" ht="12.75" hidden="false" customHeight="false" outlineLevel="0" collapsed="false">
      <c r="A2233" s="107"/>
      <c r="B2233" s="49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</row>
    <row r="2234" customFormat="false" ht="12.75" hidden="false" customHeight="false" outlineLevel="0" collapsed="false">
      <c r="A2234" s="107"/>
      <c r="B2234" s="49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</row>
    <row r="2235" customFormat="false" ht="12.75" hidden="false" customHeight="false" outlineLevel="0" collapsed="false">
      <c r="A2235" s="99" t="s">
        <v>68</v>
      </c>
      <c r="B2235" s="148"/>
      <c r="C2235" s="149"/>
      <c r="D2235" s="79" t="n">
        <v>47655952.3357834</v>
      </c>
      <c r="E2235" s="79" t="n">
        <v>41291946.4402191</v>
      </c>
      <c r="F2235" s="79" t="n">
        <v>40184292.7322347</v>
      </c>
      <c r="G2235" s="79" t="n">
        <v>33792264.3273917</v>
      </c>
      <c r="H2235" s="79" t="n">
        <v>33502034.8992494</v>
      </c>
      <c r="I2235" s="79" t="n">
        <v>34267867.6468872</v>
      </c>
      <c r="J2235" s="79" t="n">
        <v>37878664.5918225</v>
      </c>
      <c r="K2235" s="79" t="n">
        <v>45078916.343208</v>
      </c>
      <c r="L2235" s="79" t="n">
        <v>44001230.5455008</v>
      </c>
      <c r="M2235" s="79" t="n">
        <v>42682392.0880831</v>
      </c>
      <c r="N2235" s="79" t="n">
        <v>41124259.216249</v>
      </c>
      <c r="O2235" s="79" t="n">
        <v>41591024.3406208</v>
      </c>
      <c r="P2235" s="79" t="n">
        <v>41133807.3240902</v>
      </c>
      <c r="Q2235" s="79" t="n">
        <v>45490064.375548</v>
      </c>
      <c r="R2235" s="79" t="n">
        <v>38778453.2430758</v>
      </c>
      <c r="S2235" s="79" t="n">
        <v>35338376.0443807</v>
      </c>
      <c r="T2235" s="79" t="n">
        <v>36575823.5461231</v>
      </c>
      <c r="U2235" s="79" t="n">
        <v>39539474.63938</v>
      </c>
      <c r="V2235" s="79" t="n">
        <v>39324582.4494039</v>
      </c>
      <c r="W2235" s="79" t="n">
        <v>246752454.996874</v>
      </c>
    </row>
    <row r="2236" customFormat="false" ht="12.75" hidden="false" customHeight="false" outlineLevel="0" collapsed="false">
      <c r="A2236" s="2"/>
      <c r="B2236" s="31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</row>
    <row r="2237" customFormat="false" ht="12.75" hidden="false" customHeight="false" outlineLevel="0" collapsed="false">
      <c r="B2237" s="34" t="s">
        <v>69</v>
      </c>
      <c r="C2237" s="11" t="n">
        <v>2</v>
      </c>
    </row>
    <row r="2238" customFormat="false" ht="12.75" hidden="false" customHeight="false" outlineLevel="0" collapsed="false">
      <c r="B2238" s="34" t="s">
        <v>71</v>
      </c>
    </row>
    <row r="2239" customFormat="false" ht="12.75" hidden="false" customHeight="false" outlineLevel="0" collapsed="false">
      <c r="B2239" s="34" t="s">
        <v>72</v>
      </c>
    </row>
    <row r="2240" customFormat="false" ht="12.75" hidden="false" customHeight="false" outlineLevel="0" collapsed="false">
      <c r="B2240" s="34" t="s">
        <v>73</v>
      </c>
    </row>
    <row r="2241" customFormat="false" ht="12.75" hidden="false" customHeight="false" outlineLevel="0" collapsed="false">
      <c r="B2241" s="34" t="s">
        <v>74</v>
      </c>
    </row>
    <row r="2242" customFormat="false" ht="12.75" hidden="false" customHeight="false" outlineLevel="0" collapsed="false">
      <c r="B2242" s="34" t="s">
        <v>75</v>
      </c>
    </row>
    <row r="2243" customFormat="false" ht="12.75" hidden="false" customHeight="false" outlineLevel="0" collapsed="false">
      <c r="B2243" s="34" t="s">
        <v>76</v>
      </c>
    </row>
    <row r="2244" customFormat="false" ht="12.75" hidden="false" customHeight="false" outlineLevel="0" collapsed="false">
      <c r="B2244" s="34" t="s">
        <v>77</v>
      </c>
    </row>
    <row r="2245" customFormat="false" ht="12.75" hidden="false" customHeight="false" outlineLevel="0" collapsed="false">
      <c r="B2245" s="34" t="s">
        <v>78</v>
      </c>
    </row>
    <row r="2246" customFormat="false" ht="12.75" hidden="false" customHeight="false" outlineLevel="0" collapsed="false">
      <c r="B2246" s="34" t="s">
        <v>79</v>
      </c>
    </row>
    <row r="2247" customFormat="false" ht="12.75" hidden="false" customHeight="false" outlineLevel="0" collapsed="false">
      <c r="B2247" s="34" t="s">
        <v>80</v>
      </c>
    </row>
    <row r="2248" customFormat="false" ht="12.75" hidden="false" customHeight="false" outlineLevel="0" collapsed="false">
      <c r="B2248" s="34" t="s">
        <v>81</v>
      </c>
    </row>
    <row r="2249" customFormat="false" ht="12.75" hidden="false" customHeight="false" outlineLevel="0" collapsed="false">
      <c r="B2249" s="34" t="s">
        <v>82</v>
      </c>
    </row>
    <row r="2250" customFormat="false" ht="12.75" hidden="false" customHeight="false" outlineLevel="0" collapsed="false">
      <c r="B2250" s="34" t="s">
        <v>83</v>
      </c>
    </row>
    <row r="2251" customFormat="false" ht="12.75" hidden="false" customHeight="false" outlineLevel="0" collapsed="false">
      <c r="B2251" s="34" t="s">
        <v>84</v>
      </c>
    </row>
    <row r="2252" customFormat="false" ht="12.75" hidden="false" customHeight="false" outlineLevel="0" collapsed="false">
      <c r="B2252" s="34" t="s">
        <v>85</v>
      </c>
    </row>
    <row r="2253" customFormat="false" ht="12.75" hidden="false" customHeight="false" outlineLevel="0" collapsed="false">
      <c r="B2253" s="34" t="s">
        <v>86</v>
      </c>
    </row>
    <row r="2254" customFormat="false" ht="12.75" hidden="false" customHeight="false" outlineLevel="0" collapsed="false">
      <c r="B2254" s="34" t="s">
        <v>87</v>
      </c>
    </row>
    <row r="2255" customFormat="false" ht="12.75" hidden="false" customHeight="false" outlineLevel="0" collapsed="false">
      <c r="B2255" s="34" t="s">
        <v>88</v>
      </c>
    </row>
    <row r="2256" customFormat="false" ht="12.75" hidden="false" customHeight="false" outlineLevel="0" collapsed="false">
      <c r="B2256" s="34" t="s">
        <v>89</v>
      </c>
    </row>
    <row r="2257" customFormat="false" ht="12.75" hidden="false" customHeight="false" outlineLevel="0" collapsed="false">
      <c r="B2257" s="34" t="s">
        <v>90</v>
      </c>
    </row>
    <row r="2258" customFormat="false" ht="12.75" hidden="false" customHeight="false" outlineLevel="0" collapsed="false">
      <c r="B2258" s="34" t="s">
        <v>91</v>
      </c>
    </row>
    <row r="2259" customFormat="false" ht="12.75" hidden="false" customHeight="false" outlineLevel="0" collapsed="false">
      <c r="B2259" s="34" t="s">
        <v>92</v>
      </c>
    </row>
    <row r="2260" customFormat="false" ht="12.75" hidden="false" customHeight="false" outlineLevel="0" collapsed="false">
      <c r="B2260" s="34" t="s">
        <v>93</v>
      </c>
    </row>
    <row r="2261" customFormat="false" ht="12.75" hidden="false" customHeight="false" outlineLevel="0" collapsed="false">
      <c r="B2261" s="34" t="s">
        <v>94</v>
      </c>
    </row>
    <row r="2262" customFormat="false" ht="12.75" hidden="false" customHeight="false" outlineLevel="0" collapsed="false">
      <c r="B2262" s="34" t="s">
        <v>95</v>
      </c>
    </row>
    <row r="2263" customFormat="false" ht="12.75" hidden="false" customHeight="false" outlineLevel="0" collapsed="false">
      <c r="B2263" s="34" t="s">
        <v>96</v>
      </c>
    </row>
    <row r="2264" customFormat="false" ht="12.75" hidden="false" customHeight="false" outlineLevel="0" collapsed="false">
      <c r="B2264" s="34" t="s">
        <v>97</v>
      </c>
    </row>
    <row r="2265" customFormat="false" ht="12.75" hidden="false" customHeight="false" outlineLevel="0" collapsed="false">
      <c r="B2265" s="34" t="s">
        <v>98</v>
      </c>
    </row>
    <row r="2266" customFormat="false" ht="12.75" hidden="false" customHeight="false" outlineLevel="0" collapsed="false">
      <c r="B2266" s="34" t="s">
        <v>99</v>
      </c>
    </row>
    <row r="2267" customFormat="false" ht="12.75" hidden="false" customHeight="false" outlineLevel="0" collapsed="false">
      <c r="B2267" s="34" t="s">
        <v>100</v>
      </c>
    </row>
    <row r="2268" customFormat="false" ht="12.75" hidden="false" customHeight="false" outlineLevel="0" collapsed="false">
      <c r="B2268" s="34" t="s">
        <v>101</v>
      </c>
    </row>
    <row r="2269" customFormat="false" ht="12.75" hidden="false" customHeight="false" outlineLevel="0" collapsed="false">
      <c r="B2269" s="175" t="s">
        <v>14</v>
      </c>
    </row>
  </sheetData>
  <mergeCells count="1">
    <mergeCell ref="F1:I1"/>
  </mergeCells>
  <conditionalFormatting sqref="D24 D26:D29">
    <cfRule type="cellIs" priority="2" operator="notEqual" aboveAverage="0" equalAverage="0" bottom="0" percent="0" rank="0" text="" dxfId="0">
      <formula>0</formula>
    </cfRule>
  </conditionalFormatting>
  <printOptions headings="false" gridLines="false" gridLinesSet="true" horizontalCentered="false" verticalCentered="false"/>
  <pageMargins left="0.170138888888889" right="0.170138888888889" top="0.984027777777778" bottom="0.984027777777778" header="0.511811023622047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57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1118</xdr:row>
                    <xdr:rowOff>66240</xdr:rowOff>
                  </from>
                  <to>
                    <xdr:col>1</xdr:col>
                    <xdr:colOff>-1196280</xdr:colOff>
                    <xdr:row>1119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89">
              <controlPr defaultSize="0" print="false" autoFill="0" autoPict="0" macro="Module3.Home">
                <anchor moveWithCells="true" sizeWithCells="false">
                  <from>
                    <xdr:col>0</xdr:col>
                    <xdr:colOff>109800</xdr:colOff>
                    <xdr:row>69</xdr:row>
                    <xdr:rowOff>66240</xdr:rowOff>
                  </from>
                  <to>
                    <xdr:col>1</xdr:col>
                    <xdr:colOff>-1246320</xdr:colOff>
                    <xdr:row>70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90">
              <controlPr defaultSize="0" print="false" autoFill="0" autoPict="0" macro="Module3.Home">
                <anchor moveWithCells="true" sizeWithCells="false">
                  <from>
                    <xdr:col>0</xdr:col>
                    <xdr:colOff>109800</xdr:colOff>
                    <xdr:row>128</xdr:row>
                    <xdr:rowOff>66600</xdr:rowOff>
                  </from>
                  <to>
                    <xdr:col>1</xdr:col>
                    <xdr:colOff>-1246320</xdr:colOff>
                    <xdr:row>129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91">
              <controlPr defaultSize="0" print="false" autoFill="0" autoPict="0" macro="Module3.Home">
                <anchor moveWithCells="true" sizeWithCells="false">
                  <from>
                    <xdr:col>0</xdr:col>
                    <xdr:colOff>81000</xdr:colOff>
                    <xdr:row>194</xdr:row>
                    <xdr:rowOff>9720</xdr:rowOff>
                  </from>
                  <to>
                    <xdr:col>1</xdr:col>
                    <xdr:colOff>-1277280</xdr:colOff>
                    <xdr:row>195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92">
              <controlPr defaultSize="0" print="false" autoFill="0" autoPict="0" macro="Module3.Home">
                <anchor moveWithCells="true" sizeWithCells="false">
                  <from>
                    <xdr:col>0</xdr:col>
                    <xdr:colOff>100080</xdr:colOff>
                    <xdr:row>261</xdr:row>
                    <xdr:rowOff>152640</xdr:rowOff>
                  </from>
                  <to>
                    <xdr:col>1</xdr:col>
                    <xdr:colOff>-1256040</xdr:colOff>
                    <xdr:row>263</xdr:row>
                    <xdr:rowOff>38160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93">
              <controlPr defaultSize="0" print="false" autoFill="0" autoPict="0" macro="Module3.Home">
                <anchor moveWithCells="true" sizeWithCells="false">
                  <from>
                    <xdr:col>0</xdr:col>
                    <xdr:colOff>121320</xdr:colOff>
                    <xdr:row>327</xdr:row>
                    <xdr:rowOff>19080</xdr:rowOff>
                  </from>
                  <to>
                    <xdr:col>1</xdr:col>
                    <xdr:colOff>-1236960</xdr:colOff>
                    <xdr:row>328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94">
              <controlPr defaultSize="0" print="false" autoFill="0" autoPict="0" macro="Module3.Home">
                <anchor moveWithCells="true" sizeWithCells="false">
                  <from>
                    <xdr:col>0</xdr:col>
                    <xdr:colOff>200520</xdr:colOff>
                    <xdr:row>393</xdr:row>
                    <xdr:rowOff>18720</xdr:rowOff>
                  </from>
                  <to>
                    <xdr:col>1</xdr:col>
                    <xdr:colOff>-1155960</xdr:colOff>
                    <xdr:row>394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95">
              <controlPr defaultSize="0" print="false" autoFill="0" autoPict="0" macro="Module3.Home">
                <anchor moveWithCells="true" sizeWithCells="false">
                  <from>
                    <xdr:col>0</xdr:col>
                    <xdr:colOff>81000</xdr:colOff>
                    <xdr:row>459</xdr:row>
                    <xdr:rowOff>75960</xdr:rowOff>
                  </from>
                  <to>
                    <xdr:col>1</xdr:col>
                    <xdr:colOff>-1277280</xdr:colOff>
                    <xdr:row>460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96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525</xdr:row>
                    <xdr:rowOff>142920</xdr:rowOff>
                  </from>
                  <to>
                    <xdr:col>1</xdr:col>
                    <xdr:colOff>-1196280</xdr:colOff>
                    <xdr:row>527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97">
              <controlPr defaultSize="0" print="false" autoFill="0" autoPict="0" macro="Module3.Home">
                <anchor moveWithCells="true" sizeWithCells="false">
                  <from>
                    <xdr:col>0</xdr:col>
                    <xdr:colOff>71280</xdr:colOff>
                    <xdr:row>591</xdr:row>
                    <xdr:rowOff>9360</xdr:rowOff>
                  </from>
                  <to>
                    <xdr:col>1</xdr:col>
                    <xdr:colOff>-1287000</xdr:colOff>
                    <xdr:row>592</xdr:row>
                    <xdr:rowOff>66240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98">
              <controlPr defaultSize="0" print="false" autoFill="0" autoPict="0" macro="Module3.Home">
                <anchor moveWithCells="true" sizeWithCells="false">
                  <from>
                    <xdr:col>0</xdr:col>
                    <xdr:colOff>121320</xdr:colOff>
                    <xdr:row>657</xdr:row>
                    <xdr:rowOff>105120</xdr:rowOff>
                  </from>
                  <to>
                    <xdr:col>1</xdr:col>
                    <xdr:colOff>-1236960</xdr:colOff>
                    <xdr:row>658</xdr:row>
                    <xdr:rowOff>152280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99">
              <controlPr defaultSize="0" print="false" autoFill="0" autoPict="0" macro="Module3.Home">
                <anchor moveWithCells="true" sizeWithCells="false">
                  <from>
                    <xdr:col>0</xdr:col>
                    <xdr:colOff>131040</xdr:colOff>
                    <xdr:row>723</xdr:row>
                    <xdr:rowOff>28440</xdr:rowOff>
                  </from>
                  <to>
                    <xdr:col>1</xdr:col>
                    <xdr:colOff>-1215720</xdr:colOff>
                    <xdr:row>724</xdr:row>
                    <xdr:rowOff>75960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100">
              <controlPr defaultSize="0" print="false" autoFill="0" autoPict="0" macro="Module3.Home">
                <anchor moveWithCells="true" sizeWithCells="false">
                  <from>
                    <xdr:col>0</xdr:col>
                    <xdr:colOff>100080</xdr:colOff>
                    <xdr:row>789</xdr:row>
                    <xdr:rowOff>56880</xdr:rowOff>
                  </from>
                  <to>
                    <xdr:col>1</xdr:col>
                    <xdr:colOff>-1256040</xdr:colOff>
                    <xdr:row>790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101">
              <controlPr defaultSize="0" print="false" autoFill="0" autoPict="0" macro="Module3.Home">
                <anchor moveWithCells="true" sizeWithCells="false">
                  <from>
                    <xdr:col>0</xdr:col>
                    <xdr:colOff>140760</xdr:colOff>
                    <xdr:row>855</xdr:row>
                    <xdr:rowOff>142920</xdr:rowOff>
                  </from>
                  <to>
                    <xdr:col>1</xdr:col>
                    <xdr:colOff>-1215720</xdr:colOff>
                    <xdr:row>857</xdr:row>
                    <xdr:rowOff>29160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102">
              <controlPr defaultSize="0" print="false" autoFill="0" autoPict="0" macro="Module3.Home">
                <anchor moveWithCells="true" sizeWithCells="false">
                  <from>
                    <xdr:col>0</xdr:col>
                    <xdr:colOff>221400</xdr:colOff>
                    <xdr:row>921</xdr:row>
                    <xdr:rowOff>28440</xdr:rowOff>
                  </from>
                  <to>
                    <xdr:col>1</xdr:col>
                    <xdr:colOff>-1134720</xdr:colOff>
                    <xdr:row>922</xdr:row>
                    <xdr:rowOff>75960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103">
              <controlPr defaultSize="0" print="false" autoFill="0" autoPict="0" macro="Module3.Home">
                <anchor moveWithCells="true" sizeWithCells="false">
                  <from>
                    <xdr:col>0</xdr:col>
                    <xdr:colOff>171360</xdr:colOff>
                    <xdr:row>987</xdr:row>
                    <xdr:rowOff>0</xdr:rowOff>
                  </from>
                  <to>
                    <xdr:col>1</xdr:col>
                    <xdr:colOff>-1184760</xdr:colOff>
                    <xdr:row>988</xdr:row>
                    <xdr:rowOff>47520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104">
              <controlPr defaultSize="0" print="false" autoFill="0" autoPict="0" macro="Module3.Home">
                <anchor moveWithCells="true" sizeWithCells="false">
                  <from>
                    <xdr:col>0</xdr:col>
                    <xdr:colOff>150120</xdr:colOff>
                    <xdr:row>1053</xdr:row>
                    <xdr:rowOff>142920</xdr:rowOff>
                  </from>
                  <to>
                    <xdr:col>1</xdr:col>
                    <xdr:colOff>-1206000</xdr:colOff>
                    <xdr:row>1055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105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1185</xdr:row>
                    <xdr:rowOff>66240</xdr:rowOff>
                  </from>
                  <to>
                    <xdr:col>1</xdr:col>
                    <xdr:colOff>-1196280</xdr:colOff>
                    <xdr:row>1186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106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1251</xdr:row>
                    <xdr:rowOff>66240</xdr:rowOff>
                  </from>
                  <to>
                    <xdr:col>1</xdr:col>
                    <xdr:colOff>-1196280</xdr:colOff>
                    <xdr:row>1252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107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1317</xdr:row>
                    <xdr:rowOff>66240</xdr:rowOff>
                  </from>
                  <to>
                    <xdr:col>1</xdr:col>
                    <xdr:colOff>-1196280</xdr:colOff>
                    <xdr:row>1318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108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1383</xdr:row>
                    <xdr:rowOff>66240</xdr:rowOff>
                  </from>
                  <to>
                    <xdr:col>1</xdr:col>
                    <xdr:colOff>-1196280</xdr:colOff>
                    <xdr:row>1384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109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1449</xdr:row>
                    <xdr:rowOff>66240</xdr:rowOff>
                  </from>
                  <to>
                    <xdr:col>1</xdr:col>
                    <xdr:colOff>-1196280</xdr:colOff>
                    <xdr:row>1450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110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1515</xdr:row>
                    <xdr:rowOff>66240</xdr:rowOff>
                  </from>
                  <to>
                    <xdr:col>1</xdr:col>
                    <xdr:colOff>-1196280</xdr:colOff>
                    <xdr:row>1516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" r:id="rId26" name="Button 111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1581</xdr:row>
                    <xdr:rowOff>66240</xdr:rowOff>
                  </from>
                  <to>
                    <xdr:col>1</xdr:col>
                    <xdr:colOff>-1196280</xdr:colOff>
                    <xdr:row>1582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27" name="Button 112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1647</xdr:row>
                    <xdr:rowOff>66600</xdr:rowOff>
                  </from>
                  <to>
                    <xdr:col>1</xdr:col>
                    <xdr:colOff>-1196280</xdr:colOff>
                    <xdr:row>1648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28" name="Button 113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1713</xdr:row>
                    <xdr:rowOff>66600</xdr:rowOff>
                  </from>
                  <to>
                    <xdr:col>1</xdr:col>
                    <xdr:colOff>-1196280</xdr:colOff>
                    <xdr:row>1714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29" name="Button 114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1779</xdr:row>
                    <xdr:rowOff>66600</xdr:rowOff>
                  </from>
                  <to>
                    <xdr:col>1</xdr:col>
                    <xdr:colOff>-1196280</xdr:colOff>
                    <xdr:row>1780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30" name="Button 115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1845</xdr:row>
                    <xdr:rowOff>66240</xdr:rowOff>
                  </from>
                  <to>
                    <xdr:col>1</xdr:col>
                    <xdr:colOff>-1196280</xdr:colOff>
                    <xdr:row>1846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31" name="Button 116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1911</xdr:row>
                    <xdr:rowOff>66240</xdr:rowOff>
                  </from>
                  <to>
                    <xdr:col>1</xdr:col>
                    <xdr:colOff>-1196280</xdr:colOff>
                    <xdr:row>1912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32" name="Button 117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1977</xdr:row>
                    <xdr:rowOff>66240</xdr:rowOff>
                  </from>
                  <to>
                    <xdr:col>1</xdr:col>
                    <xdr:colOff>-1196280</xdr:colOff>
                    <xdr:row>1978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33" name="Button 118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2043</xdr:row>
                    <xdr:rowOff>66600</xdr:rowOff>
                  </from>
                  <to>
                    <xdr:col>1</xdr:col>
                    <xdr:colOff>-1196280</xdr:colOff>
                    <xdr:row>2044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34" name="Button 119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2108</xdr:row>
                    <xdr:rowOff>66600</xdr:rowOff>
                  </from>
                  <to>
                    <xdr:col>1</xdr:col>
                    <xdr:colOff>-1196280</xdr:colOff>
                    <xdr:row>2109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35" name="Button 120">
              <controlPr defaultSize="0" print="false" autoFill="0" autoPict="0" macro="Module3.Home">
                <anchor moveWithCells="true" sizeWithCells="false">
                  <from>
                    <xdr:col>0</xdr:col>
                    <xdr:colOff>162000</xdr:colOff>
                    <xdr:row>2175</xdr:row>
                    <xdr:rowOff>66600</xdr:rowOff>
                  </from>
                  <to>
                    <xdr:col>1</xdr:col>
                    <xdr:colOff>-1196280</xdr:colOff>
                    <xdr:row>2176</xdr:row>
                    <xdr:rowOff>114480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249"/>
  <sheetViews>
    <sheetView showFormulas="false" showGridLines="true" showRowColHeaders="true" showZeros="true" rightToLeft="false" tabSelected="false" showOutlineSymbols="true" defaultGridColor="true" view="normal" topLeftCell="T1" colorId="64" zoomScale="100" zoomScaleNormal="100" zoomScalePageLayoutView="100" workbookViewId="0">
      <selection pane="topLeft" activeCell="AC2" activeCellId="0" sqref="A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14"/>
    <col collapsed="false" customWidth="true" hidden="false" outlineLevel="0" max="2" min="2" style="0" width="12.28"/>
    <col collapsed="false" customWidth="true" hidden="false" outlineLevel="0" max="9" min="3" style="0" width="11.42"/>
    <col collapsed="false" customWidth="true" hidden="false" outlineLevel="0" max="10" min="10" style="0" width="11.13"/>
    <col collapsed="false" customWidth="true" hidden="false" outlineLevel="0" max="11" min="11" style="0" width="13.85"/>
    <col collapsed="false" customWidth="true" hidden="false" outlineLevel="0" max="21" min="12" style="0" width="10.71"/>
    <col collapsed="false" customWidth="true" hidden="false" outlineLevel="0" max="22" min="22" style="263" width="11.13"/>
    <col collapsed="false" customWidth="true" hidden="false" outlineLevel="0" max="23" min="23" style="419" width="11.7"/>
    <col collapsed="false" customWidth="true" hidden="false" outlineLevel="0" max="24" min="24" style="420" width="11.7"/>
    <col collapsed="false" customWidth="true" hidden="false" outlineLevel="0" max="25" min="25" style="419" width="9.56"/>
    <col collapsed="false" customWidth="true" hidden="false" outlineLevel="0" max="26" min="26" style="420" width="10.41"/>
    <col collapsed="false" customWidth="true" hidden="false" outlineLevel="0" max="28" min="27" style="419" width="9.56"/>
    <col collapsed="false" customWidth="true" hidden="false" outlineLevel="0" max="30" min="29" style="419" width="10.41"/>
  </cols>
  <sheetData>
    <row r="1" customFormat="false" ht="12.75" hidden="false" customHeight="false" outlineLevel="0" collapsed="false">
      <c r="A1" s="263" t="str">
        <f aca="false">IS!$C$2</f>
        <v>Peak</v>
      </c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  <c r="K4" s="219"/>
    </row>
    <row r="5" customFormat="false" ht="12.75" hidden="false" customHeight="false" outlineLevel="0" collapsed="false">
      <c r="A5" s="263"/>
    </row>
    <row r="6" customFormat="false" ht="12.75" hidden="false" customHeight="false" outlineLevel="0" collapsed="false">
      <c r="A6" s="263"/>
    </row>
    <row r="7" customFormat="false" ht="12.75" hidden="false" customHeight="false" outlineLevel="0" collapsed="false">
      <c r="V7" s="368" t="s">
        <v>297</v>
      </c>
      <c r="W7" s="421" t="s">
        <v>21</v>
      </c>
      <c r="X7" s="421" t="s">
        <v>297</v>
      </c>
      <c r="Y7" s="421" t="s">
        <v>271</v>
      </c>
      <c r="Z7" s="421" t="s">
        <v>297</v>
      </c>
      <c r="AA7" s="421" t="s">
        <v>111</v>
      </c>
      <c r="AB7" s="421" t="s">
        <v>297</v>
      </c>
      <c r="AC7" s="421" t="s">
        <v>112</v>
      </c>
      <c r="AD7" s="421" t="s">
        <v>297</v>
      </c>
    </row>
    <row r="8" customFormat="false" ht="12.75" hidden="false" customHeight="false" outlineLevel="0" collapsed="false">
      <c r="B8" s="368" t="s">
        <v>273</v>
      </c>
      <c r="C8" s="368" t="s">
        <v>274</v>
      </c>
      <c r="D8" s="368" t="s">
        <v>275</v>
      </c>
      <c r="E8" s="368" t="s">
        <v>276</v>
      </c>
      <c r="F8" s="368" t="s">
        <v>277</v>
      </c>
      <c r="G8" s="368" t="s">
        <v>278</v>
      </c>
      <c r="H8" s="368" t="s">
        <v>279</v>
      </c>
      <c r="I8" s="368" t="s">
        <v>280</v>
      </c>
      <c r="J8" s="368" t="s">
        <v>281</v>
      </c>
      <c r="K8" s="368" t="s">
        <v>282</v>
      </c>
      <c r="L8" s="368" t="s">
        <v>283</v>
      </c>
      <c r="M8" s="368" t="s">
        <v>284</v>
      </c>
      <c r="N8" s="368" t="s">
        <v>285</v>
      </c>
      <c r="O8" s="368" t="s">
        <v>286</v>
      </c>
      <c r="P8" s="368" t="s">
        <v>287</v>
      </c>
      <c r="Q8" s="368" t="s">
        <v>288</v>
      </c>
      <c r="R8" s="368" t="s">
        <v>289</v>
      </c>
      <c r="S8" s="368" t="s">
        <v>290</v>
      </c>
      <c r="T8" s="368" t="s">
        <v>291</v>
      </c>
      <c r="U8" s="368" t="s">
        <v>292</v>
      </c>
      <c r="V8" s="368" t="s">
        <v>20</v>
      </c>
      <c r="W8" s="421" t="s">
        <v>272</v>
      </c>
      <c r="X8" s="421" t="s">
        <v>21</v>
      </c>
      <c r="Y8" s="421" t="s">
        <v>272</v>
      </c>
      <c r="Z8" s="421" t="s">
        <v>271</v>
      </c>
      <c r="AA8" s="421" t="s">
        <v>272</v>
      </c>
      <c r="AB8" s="421" t="s">
        <v>111</v>
      </c>
      <c r="AC8" s="421" t="s">
        <v>272</v>
      </c>
      <c r="AD8" s="421" t="s">
        <v>112</v>
      </c>
    </row>
    <row r="10" customFormat="false" ht="12.75" hidden="false" customHeight="false" outlineLevel="0" collapsed="false">
      <c r="A10" s="400" t="n">
        <v>36540</v>
      </c>
      <c r="B10" s="417" t="n">
        <f aca="false">IF($A$1="BL",0,'Peak Hours'!B10*Peak!H11*'Peak Hours'!$Y10)</f>
        <v>0</v>
      </c>
      <c r="C10" s="417" t="n">
        <f aca="false">IF($A$1="BL",0,'Peak Hours'!C10*Peak!I11*'Peak Hours'!$Y10)</f>
        <v>0</v>
      </c>
      <c r="D10" s="417" t="n">
        <f aca="false">IF($A$1="BL",0,'Peak Hours'!D10*Peak!J11*'Peak Hours'!$Y10)</f>
        <v>0</v>
      </c>
      <c r="E10" s="417" t="n">
        <f aca="false">IF($A$1="BL",0,'Peak Hours'!E10*Peak!K11*'Peak Hours'!$Y10)</f>
        <v>0</v>
      </c>
      <c r="F10" s="417" t="n">
        <f aca="false">IF($A$1="BL",0,'Peak Hours'!F10*Peak!L11*'Peak Hours'!$Y10)</f>
        <v>0</v>
      </c>
      <c r="G10" s="417" t="n">
        <f aca="false">IF($A$1="BL",0,'Peak Hours'!G10*Peak!M11*'Peak Hours'!$Y10)</f>
        <v>0</v>
      </c>
      <c r="H10" s="417" t="n">
        <f aca="false">IF($A$1="BL",0,'Peak Hours'!H10*Peak!N11*'Peak Hours'!$Y10)</f>
        <v>0</v>
      </c>
      <c r="I10" s="417" t="n">
        <f aca="false">IF($A$1="BL",0,'Peak Hours'!I10*Peak!O11*'Peak Hours'!$Y10)</f>
        <v>0</v>
      </c>
      <c r="J10" s="417" t="n">
        <f aca="false">IF($A$1="BL",0,'Peak Hours'!J10*Peak!P11*'Peak Hours'!$Y10)</f>
        <v>0</v>
      </c>
      <c r="K10" s="417" t="n">
        <f aca="false">IF($A$1="BL",0,'Peak Hours'!K10*Peak!Q11*'Peak Hours'!$Y10)</f>
        <v>0</v>
      </c>
      <c r="L10" s="417" t="n">
        <f aca="false">IF($A$1="BL",0,'Peak Hours'!L10*Peak!R11*'Peak Hours'!$Y10)</f>
        <v>0</v>
      </c>
      <c r="M10" s="417" t="n">
        <f aca="false">IF($A$1="BL",0,'Peak Hours'!M10*Peak!S11*'Peak Hours'!$Y10)</f>
        <v>0</v>
      </c>
      <c r="N10" s="417" t="n">
        <f aca="false">IF($A$1="BL",0,'Peak Hours'!N10*Peak!T11*'Peak Hours'!$Y10)</f>
        <v>0</v>
      </c>
      <c r="O10" s="417" t="n">
        <f aca="false">IF($A$1="BL",0,'Peak Hours'!O10*Peak!U11*'Peak Hours'!$Y10)</f>
        <v>0</v>
      </c>
      <c r="P10" s="417" t="n">
        <f aca="false">IF($A$1="BL",0,'Peak Hours'!P10*Peak!V11*'Peak Hours'!$Y10)</f>
        <v>0</v>
      </c>
      <c r="Q10" s="417" t="n">
        <f aca="false">IF($A$1="BL",0,'Peak Hours'!Q10*Peak!W11*'Peak Hours'!$Y10)</f>
        <v>0</v>
      </c>
      <c r="R10" s="417" t="n">
        <f aca="false">IF($A$1="BL",0,'Peak Hours'!R10*Peak!X11*'Peak Hours'!$Y10)</f>
        <v>0</v>
      </c>
      <c r="S10" s="417" t="n">
        <f aca="false">IF($A$1="BL",0,'Peak Hours'!S10*Peak!Y11*'Peak Hours'!$Y10)</f>
        <v>0</v>
      </c>
      <c r="T10" s="417" t="n">
        <f aca="false">IF($A$1="BL",0,'Peak Hours'!T10*Peak!Z11*'Peak Hours'!$Y10)</f>
        <v>0</v>
      </c>
      <c r="U10" s="417" t="n">
        <f aca="false">IF($A$1="BL",0,'Peak Hours'!U10*Peak!AA11*'Peak Hours'!$Y10)</f>
        <v>0</v>
      </c>
      <c r="V10" s="418"/>
      <c r="W10" s="422" t="n">
        <f aca="false">(IF($A$1="BL",0,Peak!C11*'Peak Hours'!V10*'Peak Hours'!$Y10))*-1</f>
        <v>-0</v>
      </c>
      <c r="X10" s="418"/>
      <c r="Y10" s="422" t="n">
        <f aca="false">(IF($A$1="bl",0,Peak!D11*'Peak Hours'!V10*'Peak Hours'!$Y10))*-1</f>
        <v>-0</v>
      </c>
      <c r="Z10" s="418"/>
      <c r="AA10" s="422" t="n">
        <f aca="false">(Peak!E11*'Peak Hours'!V10*'Peak Hours'!$Y10)*-1</f>
        <v>-0</v>
      </c>
      <c r="AB10" s="423"/>
      <c r="AC10" s="422" t="n">
        <f aca="false">(Peak!F11*'Peak Hours'!V10*'Peak Hours'!$Y10)*-1</f>
        <v>-0</v>
      </c>
      <c r="AD10" s="423"/>
    </row>
    <row r="11" customFormat="false" ht="12.75" hidden="false" customHeight="false" outlineLevel="0" collapsed="false">
      <c r="A11" s="400" t="n">
        <f aca="false">A10+30.417</f>
        <v>36570.417</v>
      </c>
      <c r="B11" s="417" t="n">
        <f aca="false">IF($A$1="BL",0,'Peak Hours'!B11*Peak!H12*'Peak Hours'!$Y11)</f>
        <v>0</v>
      </c>
      <c r="C11" s="417" t="n">
        <f aca="false">IF($A$1="BL",0,'Peak Hours'!C11*Peak!I12*'Peak Hours'!$Y11)</f>
        <v>0</v>
      </c>
      <c r="D11" s="417" t="n">
        <f aca="false">IF($A$1="BL",0,'Peak Hours'!D11*Peak!J12*'Peak Hours'!$Y11)</f>
        <v>0</v>
      </c>
      <c r="E11" s="417" t="n">
        <f aca="false">IF($A$1="BL",0,'Peak Hours'!E11*Peak!K12*'Peak Hours'!$Y11)</f>
        <v>0</v>
      </c>
      <c r="F11" s="417" t="n">
        <f aca="false">IF($A$1="BL",0,'Peak Hours'!F11*Peak!L12*'Peak Hours'!$Y11)</f>
        <v>0</v>
      </c>
      <c r="G11" s="417" t="n">
        <f aca="false">IF($A$1="BL",0,'Peak Hours'!G11*Peak!M12*'Peak Hours'!$Y11)</f>
        <v>0</v>
      </c>
      <c r="H11" s="417" t="n">
        <f aca="false">IF($A$1="BL",0,'Peak Hours'!H11*Peak!N12*'Peak Hours'!$Y11)</f>
        <v>0</v>
      </c>
      <c r="I11" s="417" t="n">
        <f aca="false">IF($A$1="BL",0,'Peak Hours'!I11*Peak!O12*'Peak Hours'!$Y11)</f>
        <v>0</v>
      </c>
      <c r="J11" s="417" t="n">
        <f aca="false">IF($A$1="BL",0,'Peak Hours'!J11*Peak!P12*'Peak Hours'!$Y11)</f>
        <v>0</v>
      </c>
      <c r="K11" s="417" t="n">
        <f aca="false">IF($A$1="BL",0,'Peak Hours'!K11*Peak!Q12*'Peak Hours'!$Y11)</f>
        <v>0</v>
      </c>
      <c r="L11" s="417" t="n">
        <f aca="false">IF($A$1="BL",0,'Peak Hours'!L11*Peak!R12*'Peak Hours'!$Y11)</f>
        <v>0</v>
      </c>
      <c r="M11" s="417" t="n">
        <f aca="false">IF($A$1="BL",0,'Peak Hours'!M11*Peak!S12*'Peak Hours'!$Y11)</f>
        <v>0</v>
      </c>
      <c r="N11" s="417" t="n">
        <f aca="false">IF($A$1="BL",0,'Peak Hours'!N11*Peak!T12*'Peak Hours'!$Y11)</f>
        <v>0</v>
      </c>
      <c r="O11" s="417" t="n">
        <f aca="false">IF($A$1="BL",0,'Peak Hours'!O11*Peak!U12*'Peak Hours'!$Y11)</f>
        <v>0</v>
      </c>
      <c r="P11" s="417" t="n">
        <f aca="false">IF($A$1="BL",0,'Peak Hours'!P11*Peak!V12*'Peak Hours'!$Y11)</f>
        <v>0</v>
      </c>
      <c r="Q11" s="417" t="n">
        <f aca="false">IF($A$1="BL",0,'Peak Hours'!Q11*Peak!W12*'Peak Hours'!$Y11)</f>
        <v>0</v>
      </c>
      <c r="R11" s="417" t="n">
        <f aca="false">IF($A$1="BL",0,'Peak Hours'!R11*Peak!X12*'Peak Hours'!$Y11)</f>
        <v>0</v>
      </c>
      <c r="S11" s="417" t="n">
        <f aca="false">IF($A$1="BL",0,'Peak Hours'!S11*Peak!Y12*'Peak Hours'!$Y11)</f>
        <v>0</v>
      </c>
      <c r="T11" s="417" t="n">
        <f aca="false">IF($A$1="BL",0,'Peak Hours'!T11*Peak!Z12*'Peak Hours'!$Y11)</f>
        <v>0</v>
      </c>
      <c r="U11" s="417" t="n">
        <f aca="false">IF($A$1="BL",0,'Peak Hours'!U11*Peak!AA12*'Peak Hours'!$Y11)</f>
        <v>0</v>
      </c>
      <c r="V11" s="424"/>
      <c r="W11" s="422" t="n">
        <f aca="false">(IF($A$1="BL",0,Peak!C12*'Peak Hours'!V11*'Peak Hours'!$Y11))*-1</f>
        <v>-0</v>
      </c>
      <c r="X11" s="424"/>
      <c r="Y11" s="422" t="n">
        <f aca="false">(IF($A$1="bl",0,Peak!D12*'Peak Hours'!V11*'Peak Hours'!$Y11))*-1</f>
        <v>-0</v>
      </c>
      <c r="Z11" s="424"/>
      <c r="AA11" s="422" t="n">
        <f aca="false">(Peak!E12*'Peak Hours'!V11*'Peak Hours'!$Y11)*-1</f>
        <v>-0</v>
      </c>
      <c r="AB11" s="425"/>
      <c r="AC11" s="422" t="n">
        <f aca="false">(Peak!F12*'Peak Hours'!V11*'Peak Hours'!$Y11)*-1</f>
        <v>-0</v>
      </c>
      <c r="AD11" s="425"/>
    </row>
    <row r="12" customFormat="false" ht="12.75" hidden="false" customHeight="false" outlineLevel="0" collapsed="false">
      <c r="A12" s="400" t="n">
        <f aca="false">A11+30.417</f>
        <v>36600.834</v>
      </c>
      <c r="B12" s="417" t="n">
        <f aca="false">IF($A$1="BL",0,'Peak Hours'!B12*Peak!H13*'Peak Hours'!$Y12)</f>
        <v>0</v>
      </c>
      <c r="C12" s="417" t="n">
        <f aca="false">IF($A$1="BL",0,'Peak Hours'!C12*Peak!I13*'Peak Hours'!$Y12)</f>
        <v>0</v>
      </c>
      <c r="D12" s="417" t="n">
        <f aca="false">IF($A$1="BL",0,'Peak Hours'!D12*Peak!J13*'Peak Hours'!$Y12)</f>
        <v>0</v>
      </c>
      <c r="E12" s="417" t="n">
        <f aca="false">IF($A$1="BL",0,'Peak Hours'!E12*Peak!K13*'Peak Hours'!$Y12)</f>
        <v>0</v>
      </c>
      <c r="F12" s="417" t="n">
        <f aca="false">IF($A$1="BL",0,'Peak Hours'!F12*Peak!L13*'Peak Hours'!$Y12)</f>
        <v>0</v>
      </c>
      <c r="G12" s="417" t="n">
        <f aca="false">IF($A$1="BL",0,'Peak Hours'!G12*Peak!M13*'Peak Hours'!$Y12)</f>
        <v>0</v>
      </c>
      <c r="H12" s="417" t="n">
        <f aca="false">IF($A$1="BL",0,'Peak Hours'!H12*Peak!N13*'Peak Hours'!$Y12)</f>
        <v>0</v>
      </c>
      <c r="I12" s="417" t="n">
        <f aca="false">IF($A$1="BL",0,'Peak Hours'!I12*Peak!O13*'Peak Hours'!$Y12)</f>
        <v>0</v>
      </c>
      <c r="J12" s="417" t="n">
        <f aca="false">IF($A$1="BL",0,'Peak Hours'!J12*Peak!P13*'Peak Hours'!$Y12)</f>
        <v>0</v>
      </c>
      <c r="K12" s="417" t="n">
        <f aca="false">IF($A$1="BL",0,'Peak Hours'!K12*Peak!Q13*'Peak Hours'!$Y12)</f>
        <v>0</v>
      </c>
      <c r="L12" s="417" t="n">
        <f aca="false">IF($A$1="BL",0,'Peak Hours'!L12*Peak!R13*'Peak Hours'!$Y12)</f>
        <v>0</v>
      </c>
      <c r="M12" s="417" t="n">
        <f aca="false">IF($A$1="BL",0,'Peak Hours'!M12*Peak!S13*'Peak Hours'!$Y12)</f>
        <v>0</v>
      </c>
      <c r="N12" s="417" t="n">
        <f aca="false">IF($A$1="BL",0,'Peak Hours'!N12*Peak!T13*'Peak Hours'!$Y12)</f>
        <v>0</v>
      </c>
      <c r="O12" s="417" t="n">
        <f aca="false">IF($A$1="BL",0,'Peak Hours'!O12*Peak!U13*'Peak Hours'!$Y12)</f>
        <v>0</v>
      </c>
      <c r="P12" s="417" t="n">
        <f aca="false">IF($A$1="BL",0,'Peak Hours'!P12*Peak!V13*'Peak Hours'!$Y12)</f>
        <v>0</v>
      </c>
      <c r="Q12" s="417" t="n">
        <f aca="false">IF($A$1="BL",0,'Peak Hours'!Q12*Peak!W13*'Peak Hours'!$Y12)</f>
        <v>0</v>
      </c>
      <c r="R12" s="417" t="n">
        <f aca="false">IF($A$1="BL",0,'Peak Hours'!R12*Peak!X13*'Peak Hours'!$Y12)</f>
        <v>0</v>
      </c>
      <c r="S12" s="417" t="n">
        <f aca="false">IF($A$1="BL",0,'Peak Hours'!S12*Peak!Y13*'Peak Hours'!$Y12)</f>
        <v>0</v>
      </c>
      <c r="T12" s="417" t="n">
        <f aca="false">IF($A$1="BL",0,'Peak Hours'!T12*Peak!Z13*'Peak Hours'!$Y12)</f>
        <v>0</v>
      </c>
      <c r="U12" s="417" t="n">
        <f aca="false">IF($A$1="BL",0,'Peak Hours'!U12*Peak!AA13*'Peak Hours'!$Y12)</f>
        <v>0</v>
      </c>
      <c r="V12" s="424"/>
      <c r="W12" s="422" t="n">
        <f aca="false">(IF($A$1="BL",0,Peak!C13*'Peak Hours'!V12*'Peak Hours'!$Y12))*-1</f>
        <v>-0</v>
      </c>
      <c r="X12" s="424"/>
      <c r="Y12" s="422" t="n">
        <f aca="false">(IF($A$1="bl",0,Peak!D13*'Peak Hours'!V12*'Peak Hours'!$Y12))*-1</f>
        <v>-0</v>
      </c>
      <c r="Z12" s="424"/>
      <c r="AA12" s="422" t="n">
        <f aca="false">(Peak!E13*'Peak Hours'!V12*'Peak Hours'!$Y12)*-1</f>
        <v>-0</v>
      </c>
      <c r="AB12" s="425"/>
      <c r="AC12" s="422" t="n">
        <f aca="false">(Peak!F13*'Peak Hours'!V12*'Peak Hours'!$Y12)*-1</f>
        <v>-0</v>
      </c>
      <c r="AD12" s="425"/>
    </row>
    <row r="13" customFormat="false" ht="12.75" hidden="false" customHeight="false" outlineLevel="0" collapsed="false">
      <c r="A13" s="400" t="n">
        <f aca="false">A12+30.417</f>
        <v>36631.251</v>
      </c>
      <c r="B13" s="417" t="n">
        <f aca="false">IF($A$1="BL",0,'Peak Hours'!B13*Peak!H14*'Peak Hours'!$Y13)</f>
        <v>0</v>
      </c>
      <c r="C13" s="417" t="n">
        <f aca="false">IF($A$1="BL",0,'Peak Hours'!C13*Peak!I14*'Peak Hours'!$Y13)</f>
        <v>0</v>
      </c>
      <c r="D13" s="417" t="n">
        <f aca="false">IF($A$1="BL",0,'Peak Hours'!D13*Peak!J14*'Peak Hours'!$Y13)</f>
        <v>0</v>
      </c>
      <c r="E13" s="417" t="n">
        <f aca="false">IF($A$1="BL",0,'Peak Hours'!E13*Peak!K14*'Peak Hours'!$Y13)</f>
        <v>0</v>
      </c>
      <c r="F13" s="417" t="n">
        <f aca="false">IF($A$1="BL",0,'Peak Hours'!F13*Peak!L14*'Peak Hours'!$Y13)</f>
        <v>0</v>
      </c>
      <c r="G13" s="417" t="n">
        <f aca="false">IF($A$1="BL",0,'Peak Hours'!G13*Peak!M14*'Peak Hours'!$Y13)</f>
        <v>0</v>
      </c>
      <c r="H13" s="417" t="n">
        <f aca="false">IF($A$1="BL",0,'Peak Hours'!H13*Peak!N14*'Peak Hours'!$Y13)</f>
        <v>0</v>
      </c>
      <c r="I13" s="417" t="n">
        <f aca="false">IF($A$1="BL",0,'Peak Hours'!I13*Peak!O14*'Peak Hours'!$Y13)</f>
        <v>0</v>
      </c>
      <c r="J13" s="417" t="n">
        <f aca="false">IF($A$1="BL",0,'Peak Hours'!J13*Peak!P14*'Peak Hours'!$Y13)</f>
        <v>0</v>
      </c>
      <c r="K13" s="417" t="n">
        <f aca="false">IF($A$1="BL",0,'Peak Hours'!K13*Peak!Q14*'Peak Hours'!$Y13)</f>
        <v>0</v>
      </c>
      <c r="L13" s="417" t="n">
        <f aca="false">IF($A$1="BL",0,'Peak Hours'!L13*Peak!R14*'Peak Hours'!$Y13)</f>
        <v>0</v>
      </c>
      <c r="M13" s="417" t="n">
        <f aca="false">IF($A$1="BL",0,'Peak Hours'!M13*Peak!S14*'Peak Hours'!$Y13)</f>
        <v>0</v>
      </c>
      <c r="N13" s="417" t="n">
        <f aca="false">IF($A$1="BL",0,'Peak Hours'!N13*Peak!T14*'Peak Hours'!$Y13)</f>
        <v>0</v>
      </c>
      <c r="O13" s="417" t="n">
        <f aca="false">IF($A$1="BL",0,'Peak Hours'!O13*Peak!U14*'Peak Hours'!$Y13)</f>
        <v>0</v>
      </c>
      <c r="P13" s="417" t="n">
        <f aca="false">IF($A$1="BL",0,'Peak Hours'!P13*Peak!V14*'Peak Hours'!$Y13)</f>
        <v>0</v>
      </c>
      <c r="Q13" s="417" t="n">
        <f aca="false">IF($A$1="BL",0,'Peak Hours'!Q13*Peak!W14*'Peak Hours'!$Y13)</f>
        <v>0</v>
      </c>
      <c r="R13" s="417" t="n">
        <f aca="false">IF($A$1="BL",0,'Peak Hours'!R13*Peak!X14*'Peak Hours'!$Y13)</f>
        <v>0</v>
      </c>
      <c r="S13" s="417" t="n">
        <f aca="false">IF($A$1="BL",0,'Peak Hours'!S13*Peak!Y14*'Peak Hours'!$Y13)</f>
        <v>0</v>
      </c>
      <c r="T13" s="417" t="n">
        <f aca="false">IF($A$1="BL",0,'Peak Hours'!T13*Peak!Z14*'Peak Hours'!$Y13)</f>
        <v>0</v>
      </c>
      <c r="U13" s="417" t="n">
        <f aca="false">IF($A$1="BL",0,'Peak Hours'!U13*Peak!AA14*'Peak Hours'!$Y13)</f>
        <v>0</v>
      </c>
      <c r="V13" s="424"/>
      <c r="W13" s="422" t="n">
        <f aca="false">(IF($A$1="BL",0,Peak!C14*'Peak Hours'!V13*'Peak Hours'!$Y13))*-1</f>
        <v>-0</v>
      </c>
      <c r="X13" s="424"/>
      <c r="Y13" s="422" t="n">
        <f aca="false">(IF($A$1="bl",0,Peak!D14*'Peak Hours'!V13*'Peak Hours'!$Y13))*-1</f>
        <v>-0</v>
      </c>
      <c r="Z13" s="424"/>
      <c r="AA13" s="422" t="n">
        <f aca="false">(Peak!E14*'Peak Hours'!V13*'Peak Hours'!$Y13)*-1</f>
        <v>-0</v>
      </c>
      <c r="AB13" s="425"/>
      <c r="AC13" s="422" t="n">
        <f aca="false">(Peak!F14*'Peak Hours'!V13*'Peak Hours'!$Y13)*-1</f>
        <v>-0</v>
      </c>
      <c r="AD13" s="425"/>
    </row>
    <row r="14" customFormat="false" ht="12.75" hidden="false" customHeight="false" outlineLevel="0" collapsed="false">
      <c r="A14" s="400" t="n">
        <f aca="false">A13+30.417</f>
        <v>36661.668</v>
      </c>
      <c r="B14" s="417" t="n">
        <f aca="false">IF($A$1="BL",0,'Peak Hours'!B14*Peak!H15*'Peak Hours'!$Y14)</f>
        <v>0</v>
      </c>
      <c r="C14" s="417" t="n">
        <f aca="false">IF($A$1="BL",0,'Peak Hours'!C14*Peak!I15*'Peak Hours'!$Y14)</f>
        <v>0</v>
      </c>
      <c r="D14" s="417" t="n">
        <f aca="false">IF($A$1="BL",0,'Peak Hours'!D14*Peak!J15*'Peak Hours'!$Y14)</f>
        <v>0</v>
      </c>
      <c r="E14" s="417" t="n">
        <f aca="false">IF($A$1="BL",0,'Peak Hours'!E14*Peak!K15*'Peak Hours'!$Y14)</f>
        <v>0</v>
      </c>
      <c r="F14" s="417" t="n">
        <f aca="false">IF($A$1="BL",0,'Peak Hours'!F14*Peak!L15*'Peak Hours'!$Y14)</f>
        <v>0</v>
      </c>
      <c r="G14" s="417" t="n">
        <f aca="false">IF($A$1="BL",0,'Peak Hours'!G14*Peak!M15*'Peak Hours'!$Y14)</f>
        <v>0</v>
      </c>
      <c r="H14" s="417" t="n">
        <f aca="false">IF($A$1="BL",0,'Peak Hours'!H14*Peak!N15*'Peak Hours'!$Y14)</f>
        <v>0</v>
      </c>
      <c r="I14" s="417" t="n">
        <f aca="false">IF($A$1="BL",0,'Peak Hours'!I14*Peak!O15*'Peak Hours'!$Y14)</f>
        <v>0</v>
      </c>
      <c r="J14" s="417" t="n">
        <f aca="false">IF($A$1="BL",0,'Peak Hours'!J14*Peak!P15*'Peak Hours'!$Y14)</f>
        <v>0</v>
      </c>
      <c r="K14" s="417" t="n">
        <f aca="false">IF($A$1="BL",0,'Peak Hours'!K14*Peak!Q15*'Peak Hours'!$Y14)</f>
        <v>0</v>
      </c>
      <c r="L14" s="417" t="n">
        <f aca="false">IF($A$1="BL",0,'Peak Hours'!L14*Peak!R15*'Peak Hours'!$Y14)</f>
        <v>0</v>
      </c>
      <c r="M14" s="417" t="n">
        <f aca="false">IF($A$1="BL",0,'Peak Hours'!M14*Peak!S15*'Peak Hours'!$Y14)</f>
        <v>0</v>
      </c>
      <c r="N14" s="417" t="n">
        <f aca="false">IF($A$1="BL",0,'Peak Hours'!N14*Peak!T15*'Peak Hours'!$Y14)</f>
        <v>0</v>
      </c>
      <c r="O14" s="417" t="n">
        <f aca="false">IF($A$1="BL",0,'Peak Hours'!O14*Peak!U15*'Peak Hours'!$Y14)</f>
        <v>0</v>
      </c>
      <c r="P14" s="417" t="n">
        <f aca="false">IF($A$1="BL",0,'Peak Hours'!P14*Peak!V15*'Peak Hours'!$Y14)</f>
        <v>0</v>
      </c>
      <c r="Q14" s="417" t="n">
        <f aca="false">IF($A$1="BL",0,'Peak Hours'!Q14*Peak!W15*'Peak Hours'!$Y14)</f>
        <v>0</v>
      </c>
      <c r="R14" s="417" t="n">
        <f aca="false">IF($A$1="BL",0,'Peak Hours'!R14*Peak!X15*'Peak Hours'!$Y14)</f>
        <v>0</v>
      </c>
      <c r="S14" s="417" t="n">
        <f aca="false">IF($A$1="BL",0,'Peak Hours'!S14*Peak!Y15*'Peak Hours'!$Y14)</f>
        <v>0</v>
      </c>
      <c r="T14" s="417" t="n">
        <f aca="false">IF($A$1="BL",0,'Peak Hours'!T14*Peak!Z15*'Peak Hours'!$Y14)</f>
        <v>0</v>
      </c>
      <c r="U14" s="417" t="n">
        <f aca="false">IF($A$1="BL",0,'Peak Hours'!U14*Peak!AA15*'Peak Hours'!$Y14)</f>
        <v>0</v>
      </c>
      <c r="V14" s="424"/>
      <c r="W14" s="422" t="n">
        <f aca="false">(IF($A$1="BL",0,Peak!C15*'Peak Hours'!V14*'Peak Hours'!$Y14))*-1</f>
        <v>-0</v>
      </c>
      <c r="X14" s="424"/>
      <c r="Y14" s="422" t="n">
        <f aca="false">(IF($A$1="bl",0,Peak!D15*'Peak Hours'!V14*'Peak Hours'!$Y14))*-1</f>
        <v>-0</v>
      </c>
      <c r="Z14" s="424"/>
      <c r="AA14" s="422" t="n">
        <f aca="false">(Peak!E15*'Peak Hours'!V14*'Peak Hours'!$Y14)*-1</f>
        <v>-0</v>
      </c>
      <c r="AB14" s="425"/>
      <c r="AC14" s="422" t="n">
        <f aca="false">(Peak!F15*'Peak Hours'!V14*'Peak Hours'!$Y14)*-1</f>
        <v>-0</v>
      </c>
      <c r="AD14" s="425"/>
    </row>
    <row r="15" customFormat="false" ht="12.75" hidden="false" customHeight="false" outlineLevel="0" collapsed="false">
      <c r="A15" s="400" t="n">
        <f aca="false">A14+30.417</f>
        <v>36692.085</v>
      </c>
      <c r="B15" s="417" t="n">
        <f aca="false">IF($A$1="BL",0,'Peak Hours'!B15*Peak!H16*'Peak Hours'!$Y15)</f>
        <v>0</v>
      </c>
      <c r="C15" s="417" t="n">
        <f aca="false">IF($A$1="BL",0,'Peak Hours'!C15*Peak!I16*'Peak Hours'!$Y15)</f>
        <v>0</v>
      </c>
      <c r="D15" s="417" t="n">
        <f aca="false">IF($A$1="BL",0,'Peak Hours'!D15*Peak!J16*'Peak Hours'!$Y15)</f>
        <v>0</v>
      </c>
      <c r="E15" s="417" t="n">
        <f aca="false">IF($A$1="BL",0,'Peak Hours'!E15*Peak!K16*'Peak Hours'!$Y15)</f>
        <v>0</v>
      </c>
      <c r="F15" s="417" t="n">
        <f aca="false">IF($A$1="BL",0,'Peak Hours'!F15*Peak!L16*'Peak Hours'!$Y15)</f>
        <v>0</v>
      </c>
      <c r="G15" s="417" t="n">
        <f aca="false">IF($A$1="BL",0,'Peak Hours'!G15*Peak!M16*'Peak Hours'!$Y15)</f>
        <v>0</v>
      </c>
      <c r="H15" s="417" t="n">
        <f aca="false">IF($A$1="BL",0,'Peak Hours'!H15*Peak!N16*'Peak Hours'!$Y15)</f>
        <v>0</v>
      </c>
      <c r="I15" s="417" t="n">
        <f aca="false">IF($A$1="BL",0,'Peak Hours'!I15*Peak!O16*'Peak Hours'!$Y15)</f>
        <v>0</v>
      </c>
      <c r="J15" s="417" t="n">
        <f aca="false">IF($A$1="BL",0,'Peak Hours'!J15*Peak!P16*'Peak Hours'!$Y15)</f>
        <v>0</v>
      </c>
      <c r="K15" s="417" t="n">
        <f aca="false">IF($A$1="BL",0,'Peak Hours'!K15*Peak!Q16*'Peak Hours'!$Y15)</f>
        <v>0</v>
      </c>
      <c r="L15" s="417" t="n">
        <f aca="false">IF($A$1="BL",0,'Peak Hours'!L15*Peak!R16*'Peak Hours'!$Y15)</f>
        <v>0</v>
      </c>
      <c r="M15" s="417" t="n">
        <f aca="false">IF($A$1="BL",0,'Peak Hours'!M15*Peak!S16*'Peak Hours'!$Y15)</f>
        <v>0</v>
      </c>
      <c r="N15" s="417" t="n">
        <f aca="false">IF($A$1="BL",0,'Peak Hours'!N15*Peak!T16*'Peak Hours'!$Y15)</f>
        <v>0</v>
      </c>
      <c r="O15" s="417" t="n">
        <f aca="false">IF($A$1="BL",0,'Peak Hours'!O15*Peak!U16*'Peak Hours'!$Y15)</f>
        <v>0</v>
      </c>
      <c r="P15" s="417" t="n">
        <f aca="false">IF($A$1="BL",0,'Peak Hours'!P15*Peak!V16*'Peak Hours'!$Y15)</f>
        <v>0</v>
      </c>
      <c r="Q15" s="417" t="n">
        <f aca="false">IF($A$1="BL",0,'Peak Hours'!Q15*Peak!W16*'Peak Hours'!$Y15)</f>
        <v>0</v>
      </c>
      <c r="R15" s="417" t="n">
        <f aca="false">IF($A$1="BL",0,'Peak Hours'!R15*Peak!X16*'Peak Hours'!$Y15)</f>
        <v>0</v>
      </c>
      <c r="S15" s="417" t="n">
        <f aca="false">IF($A$1="BL",0,'Peak Hours'!S15*Peak!Y16*'Peak Hours'!$Y15)</f>
        <v>0</v>
      </c>
      <c r="T15" s="417" t="n">
        <f aca="false">IF($A$1="BL",0,'Peak Hours'!T15*Peak!Z16*'Peak Hours'!$Y15)</f>
        <v>0</v>
      </c>
      <c r="U15" s="417" t="n">
        <f aca="false">IF($A$1="BL",0,'Peak Hours'!U15*Peak!AA16*'Peak Hours'!$Y15)</f>
        <v>0</v>
      </c>
      <c r="V15" s="424"/>
      <c r="W15" s="422" t="n">
        <f aca="false">(IF($A$1="BL",0,Peak!C16*'Peak Hours'!V15*'Peak Hours'!$Y15))*-1</f>
        <v>-0</v>
      </c>
      <c r="X15" s="424"/>
      <c r="Y15" s="422" t="n">
        <f aca="false">(IF($A$1="bl",0,Peak!D16*'Peak Hours'!V15*'Peak Hours'!$Y15))*-1</f>
        <v>-0</v>
      </c>
      <c r="Z15" s="424"/>
      <c r="AA15" s="422" t="n">
        <f aca="false">(Peak!E16*'Peak Hours'!V15*'Peak Hours'!$Y15)*-1</f>
        <v>-0</v>
      </c>
      <c r="AB15" s="425"/>
      <c r="AC15" s="422" t="n">
        <f aca="false">(Peak!F16*'Peak Hours'!V15*'Peak Hours'!$Y15)*-1</f>
        <v>-0</v>
      </c>
      <c r="AD15" s="425"/>
    </row>
    <row r="16" customFormat="false" ht="12.75" hidden="false" customHeight="false" outlineLevel="0" collapsed="false">
      <c r="A16" s="400" t="n">
        <f aca="false">A15+30.417</f>
        <v>36722.502</v>
      </c>
      <c r="B16" s="417" t="n">
        <f aca="false">IF($A$1="BL",0,'Peak Hours'!B16*Peak!H17*'Peak Hours'!$Y16)</f>
        <v>0</v>
      </c>
      <c r="C16" s="417" t="n">
        <f aca="false">IF($A$1="BL",0,'Peak Hours'!C16*Peak!I17*'Peak Hours'!$Y16)</f>
        <v>0</v>
      </c>
      <c r="D16" s="417" t="n">
        <f aca="false">IF($A$1="BL",0,'Peak Hours'!D16*Peak!J17*'Peak Hours'!$Y16)</f>
        <v>0</v>
      </c>
      <c r="E16" s="417" t="n">
        <f aca="false">IF($A$1="BL",0,'Peak Hours'!E16*Peak!K17*'Peak Hours'!$Y16)</f>
        <v>0</v>
      </c>
      <c r="F16" s="417" t="n">
        <f aca="false">IF($A$1="BL",0,'Peak Hours'!F16*Peak!L17*'Peak Hours'!$Y16)</f>
        <v>0</v>
      </c>
      <c r="G16" s="417" t="n">
        <f aca="false">IF($A$1="BL",0,'Peak Hours'!G16*Peak!M17*'Peak Hours'!$Y16)</f>
        <v>0</v>
      </c>
      <c r="H16" s="417" t="n">
        <f aca="false">IF($A$1="BL",0,'Peak Hours'!H16*Peak!N17*'Peak Hours'!$Y16)</f>
        <v>0</v>
      </c>
      <c r="I16" s="417" t="n">
        <f aca="false">IF($A$1="BL",0,'Peak Hours'!I16*Peak!O17*'Peak Hours'!$Y16)</f>
        <v>0</v>
      </c>
      <c r="J16" s="417" t="n">
        <f aca="false">IF($A$1="BL",0,'Peak Hours'!J16*Peak!P17*'Peak Hours'!$Y16)</f>
        <v>0</v>
      </c>
      <c r="K16" s="417" t="n">
        <f aca="false">IF($A$1="BL",0,'Peak Hours'!K16*Peak!Q17*'Peak Hours'!$Y16)</f>
        <v>0</v>
      </c>
      <c r="L16" s="417" t="n">
        <f aca="false">IF($A$1="BL",0,'Peak Hours'!L16*Peak!R17*'Peak Hours'!$Y16)</f>
        <v>0</v>
      </c>
      <c r="M16" s="417" t="n">
        <f aca="false">IF($A$1="BL",0,'Peak Hours'!M16*Peak!S17*'Peak Hours'!$Y16)</f>
        <v>0</v>
      </c>
      <c r="N16" s="417" t="n">
        <f aca="false">IF($A$1="BL",0,'Peak Hours'!N16*Peak!T17*'Peak Hours'!$Y16)</f>
        <v>0</v>
      </c>
      <c r="O16" s="417" t="n">
        <f aca="false">IF($A$1="BL",0,'Peak Hours'!O16*Peak!U17*'Peak Hours'!$Y16)</f>
        <v>0</v>
      </c>
      <c r="P16" s="417" t="n">
        <f aca="false">IF($A$1="BL",0,'Peak Hours'!P16*Peak!V17*'Peak Hours'!$Y16)</f>
        <v>0</v>
      </c>
      <c r="Q16" s="417" t="n">
        <f aca="false">IF($A$1="BL",0,'Peak Hours'!Q16*Peak!W17*'Peak Hours'!$Y16)</f>
        <v>0</v>
      </c>
      <c r="R16" s="417" t="n">
        <f aca="false">IF($A$1="BL",0,'Peak Hours'!R16*Peak!X17*'Peak Hours'!$Y16)</f>
        <v>0</v>
      </c>
      <c r="S16" s="417" t="n">
        <f aca="false">IF($A$1="BL",0,'Peak Hours'!S16*Peak!Y17*'Peak Hours'!$Y16)</f>
        <v>0</v>
      </c>
      <c r="T16" s="417" t="n">
        <f aca="false">IF($A$1="BL",0,'Peak Hours'!T16*Peak!Z17*'Peak Hours'!$Y16)</f>
        <v>0</v>
      </c>
      <c r="U16" s="417" t="n">
        <f aca="false">IF($A$1="BL",0,'Peak Hours'!U16*Peak!AA17*'Peak Hours'!$Y16)</f>
        <v>0</v>
      </c>
      <c r="V16" s="424"/>
      <c r="W16" s="422" t="n">
        <f aca="false">(IF($A$1="BL",0,Peak!C17*'Peak Hours'!V16*'Peak Hours'!$Y16))*-1</f>
        <v>-0</v>
      </c>
      <c r="X16" s="424"/>
      <c r="Y16" s="422" t="n">
        <f aca="false">(IF($A$1="bl",0,Peak!D17*'Peak Hours'!V16*'Peak Hours'!$Y16))*-1</f>
        <v>-0</v>
      </c>
      <c r="Z16" s="424"/>
      <c r="AA16" s="422" t="n">
        <f aca="false">(Peak!E17*'Peak Hours'!V16*'Peak Hours'!$Y16)*-1</f>
        <v>-0</v>
      </c>
      <c r="AB16" s="425"/>
      <c r="AC16" s="422" t="n">
        <f aca="false">(Peak!F17*'Peak Hours'!V16*'Peak Hours'!$Y16)*-1</f>
        <v>-0</v>
      </c>
      <c r="AD16" s="425"/>
    </row>
    <row r="17" customFormat="false" ht="12.75" hidden="false" customHeight="false" outlineLevel="0" collapsed="false">
      <c r="A17" s="400" t="n">
        <f aca="false">A16+30.417</f>
        <v>36752.919</v>
      </c>
      <c r="B17" s="417" t="n">
        <f aca="false">IF($A$1="BL",0,'Peak Hours'!B17*Peak!H18*'Peak Hours'!$Y17)</f>
        <v>0</v>
      </c>
      <c r="C17" s="417" t="n">
        <f aca="false">IF($A$1="BL",0,'Peak Hours'!C17*Peak!I18*'Peak Hours'!$Y17)</f>
        <v>0</v>
      </c>
      <c r="D17" s="417" t="n">
        <f aca="false">IF($A$1="BL",0,'Peak Hours'!D17*Peak!J18*'Peak Hours'!$Y17)</f>
        <v>0</v>
      </c>
      <c r="E17" s="417" t="n">
        <f aca="false">IF($A$1="BL",0,'Peak Hours'!E17*Peak!K18*'Peak Hours'!$Y17)</f>
        <v>0</v>
      </c>
      <c r="F17" s="417" t="n">
        <f aca="false">IF($A$1="BL",0,'Peak Hours'!F17*Peak!L18*'Peak Hours'!$Y17)</f>
        <v>0</v>
      </c>
      <c r="G17" s="417" t="n">
        <f aca="false">IF($A$1="BL",0,'Peak Hours'!G17*Peak!M18*'Peak Hours'!$Y17)</f>
        <v>0</v>
      </c>
      <c r="H17" s="417" t="n">
        <f aca="false">IF($A$1="BL",0,'Peak Hours'!H17*Peak!N18*'Peak Hours'!$Y17)</f>
        <v>0</v>
      </c>
      <c r="I17" s="417" t="n">
        <f aca="false">IF($A$1="BL",0,'Peak Hours'!I17*Peak!O18*'Peak Hours'!$Y17)</f>
        <v>0</v>
      </c>
      <c r="J17" s="417" t="n">
        <f aca="false">IF($A$1="BL",0,'Peak Hours'!J17*Peak!P18*'Peak Hours'!$Y17)</f>
        <v>0</v>
      </c>
      <c r="K17" s="417" t="n">
        <f aca="false">IF($A$1="BL",0,'Peak Hours'!K17*Peak!Q18*'Peak Hours'!$Y17)</f>
        <v>0</v>
      </c>
      <c r="L17" s="417" t="n">
        <f aca="false">IF($A$1="BL",0,'Peak Hours'!L17*Peak!R18*'Peak Hours'!$Y17)</f>
        <v>0</v>
      </c>
      <c r="M17" s="417" t="n">
        <f aca="false">IF($A$1="BL",0,'Peak Hours'!M17*Peak!S18*'Peak Hours'!$Y17)</f>
        <v>0</v>
      </c>
      <c r="N17" s="417" t="n">
        <f aca="false">IF($A$1="BL",0,'Peak Hours'!N17*Peak!T18*'Peak Hours'!$Y17)</f>
        <v>0</v>
      </c>
      <c r="O17" s="417" t="n">
        <f aca="false">IF($A$1="BL",0,'Peak Hours'!O17*Peak!U18*'Peak Hours'!$Y17)</f>
        <v>0</v>
      </c>
      <c r="P17" s="417" t="n">
        <f aca="false">IF($A$1="BL",0,'Peak Hours'!P17*Peak!V18*'Peak Hours'!$Y17)</f>
        <v>0</v>
      </c>
      <c r="Q17" s="417" t="n">
        <f aca="false">IF($A$1="BL",0,'Peak Hours'!Q17*Peak!W18*'Peak Hours'!$Y17)</f>
        <v>0</v>
      </c>
      <c r="R17" s="417" t="n">
        <f aca="false">IF($A$1="BL",0,'Peak Hours'!R17*Peak!X18*'Peak Hours'!$Y17)</f>
        <v>0</v>
      </c>
      <c r="S17" s="417" t="n">
        <f aca="false">IF($A$1="BL",0,'Peak Hours'!S17*Peak!Y18*'Peak Hours'!$Y17)</f>
        <v>0</v>
      </c>
      <c r="T17" s="417" t="n">
        <f aca="false">IF($A$1="BL",0,'Peak Hours'!T17*Peak!Z18*'Peak Hours'!$Y17)</f>
        <v>0</v>
      </c>
      <c r="U17" s="417" t="n">
        <f aca="false">IF($A$1="BL",0,'Peak Hours'!U17*Peak!AA18*'Peak Hours'!$Y17)</f>
        <v>0</v>
      </c>
      <c r="V17" s="424"/>
      <c r="W17" s="422" t="n">
        <f aca="false">(IF($A$1="BL",0,Peak!C18*'Peak Hours'!V17*'Peak Hours'!$Y17))*-1</f>
        <v>-0</v>
      </c>
      <c r="X17" s="424"/>
      <c r="Y17" s="422" t="n">
        <f aca="false">(IF($A$1="bl",0,Peak!D18*'Peak Hours'!V17*'Peak Hours'!$Y17))*-1</f>
        <v>-0</v>
      </c>
      <c r="Z17" s="424"/>
      <c r="AA17" s="422" t="n">
        <f aca="false">(Peak!E18*'Peak Hours'!V17*'Peak Hours'!$Y17)*-1</f>
        <v>-0</v>
      </c>
      <c r="AB17" s="425"/>
      <c r="AC17" s="422" t="n">
        <f aca="false">(Peak!F18*'Peak Hours'!V17*'Peak Hours'!$Y17)*-1</f>
        <v>-0</v>
      </c>
      <c r="AD17" s="425"/>
    </row>
    <row r="18" customFormat="false" ht="12.75" hidden="false" customHeight="false" outlineLevel="0" collapsed="false">
      <c r="A18" s="400" t="n">
        <f aca="false">A17+30.417</f>
        <v>36783.336</v>
      </c>
      <c r="B18" s="417" t="n">
        <f aca="false">IF($A$1="BL",0,'Peak Hours'!B18*Peak!H19*'Peak Hours'!$Y18)</f>
        <v>0</v>
      </c>
      <c r="C18" s="417" t="n">
        <f aca="false">IF($A$1="BL",0,'Peak Hours'!C18*Peak!I19*'Peak Hours'!$Y18)</f>
        <v>0</v>
      </c>
      <c r="D18" s="417" t="n">
        <f aca="false">IF($A$1="BL",0,'Peak Hours'!D18*Peak!J19*'Peak Hours'!$Y18)</f>
        <v>0</v>
      </c>
      <c r="E18" s="417" t="n">
        <f aca="false">IF($A$1="BL",0,'Peak Hours'!E18*Peak!K19*'Peak Hours'!$Y18)</f>
        <v>0</v>
      </c>
      <c r="F18" s="417" t="n">
        <f aca="false">IF($A$1="BL",0,'Peak Hours'!F18*Peak!L19*'Peak Hours'!$Y18)</f>
        <v>0</v>
      </c>
      <c r="G18" s="417" t="n">
        <f aca="false">IF($A$1="BL",0,'Peak Hours'!G18*Peak!M19*'Peak Hours'!$Y18)</f>
        <v>0</v>
      </c>
      <c r="H18" s="417" t="n">
        <f aca="false">IF($A$1="BL",0,'Peak Hours'!H18*Peak!N19*'Peak Hours'!$Y18)</f>
        <v>0</v>
      </c>
      <c r="I18" s="417" t="n">
        <f aca="false">IF($A$1="BL",0,'Peak Hours'!I18*Peak!O19*'Peak Hours'!$Y18)</f>
        <v>0</v>
      </c>
      <c r="J18" s="417" t="n">
        <f aca="false">IF($A$1="BL",0,'Peak Hours'!J18*Peak!P19*'Peak Hours'!$Y18)</f>
        <v>0</v>
      </c>
      <c r="K18" s="417" t="n">
        <f aca="false">IF($A$1="BL",0,'Peak Hours'!K18*Peak!Q19*'Peak Hours'!$Y18)</f>
        <v>0</v>
      </c>
      <c r="L18" s="417" t="n">
        <f aca="false">IF($A$1="BL",0,'Peak Hours'!L18*Peak!R19*'Peak Hours'!$Y18)</f>
        <v>0</v>
      </c>
      <c r="M18" s="417" t="n">
        <f aca="false">IF($A$1="BL",0,'Peak Hours'!M18*Peak!S19*'Peak Hours'!$Y18)</f>
        <v>0</v>
      </c>
      <c r="N18" s="417" t="n">
        <f aca="false">IF($A$1="BL",0,'Peak Hours'!N18*Peak!T19*'Peak Hours'!$Y18)</f>
        <v>0</v>
      </c>
      <c r="O18" s="417" t="n">
        <f aca="false">IF($A$1="BL",0,'Peak Hours'!O18*Peak!U19*'Peak Hours'!$Y18)</f>
        <v>0</v>
      </c>
      <c r="P18" s="417" t="n">
        <f aca="false">IF($A$1="BL",0,'Peak Hours'!P18*Peak!V19*'Peak Hours'!$Y18)</f>
        <v>0</v>
      </c>
      <c r="Q18" s="417" t="n">
        <f aca="false">IF($A$1="BL",0,'Peak Hours'!Q18*Peak!W19*'Peak Hours'!$Y18)</f>
        <v>0</v>
      </c>
      <c r="R18" s="417" t="n">
        <f aca="false">IF($A$1="BL",0,'Peak Hours'!R18*Peak!X19*'Peak Hours'!$Y18)</f>
        <v>0</v>
      </c>
      <c r="S18" s="417" t="n">
        <f aca="false">IF($A$1="BL",0,'Peak Hours'!S18*Peak!Y19*'Peak Hours'!$Y18)</f>
        <v>0</v>
      </c>
      <c r="T18" s="417" t="n">
        <f aca="false">IF($A$1="BL",0,'Peak Hours'!T18*Peak!Z19*'Peak Hours'!$Y18)</f>
        <v>0</v>
      </c>
      <c r="U18" s="417" t="n">
        <f aca="false">IF($A$1="BL",0,'Peak Hours'!U18*Peak!AA19*'Peak Hours'!$Y18)</f>
        <v>0</v>
      </c>
      <c r="V18" s="424"/>
      <c r="W18" s="422" t="n">
        <f aca="false">(IF($A$1="BL",0,Peak!C19*'Peak Hours'!V18*'Peak Hours'!$Y18))*-1</f>
        <v>-0</v>
      </c>
      <c r="X18" s="424"/>
      <c r="Y18" s="422" t="n">
        <f aca="false">(IF($A$1="bl",0,Peak!D19*'Peak Hours'!V18*'Peak Hours'!$Y18))*-1</f>
        <v>-0</v>
      </c>
      <c r="Z18" s="424"/>
      <c r="AA18" s="422" t="n">
        <f aca="false">(Peak!E19*'Peak Hours'!V18*'Peak Hours'!$Y18)*-1</f>
        <v>-0</v>
      </c>
      <c r="AB18" s="425"/>
      <c r="AC18" s="422" t="n">
        <f aca="false">(Peak!F19*'Peak Hours'!V18*'Peak Hours'!$Y18)*-1</f>
        <v>-0</v>
      </c>
      <c r="AD18" s="425"/>
    </row>
    <row r="19" customFormat="false" ht="12.75" hidden="false" customHeight="false" outlineLevel="0" collapsed="false">
      <c r="A19" s="400" t="n">
        <f aca="false">A18+30.417</f>
        <v>36813.753</v>
      </c>
      <c r="B19" s="417" t="n">
        <f aca="false">IF($A$1="BL",0,'Peak Hours'!B19*Peak!H20*'Peak Hours'!$Y19)</f>
        <v>0</v>
      </c>
      <c r="C19" s="417" t="n">
        <f aca="false">IF($A$1="BL",0,'Peak Hours'!C19*Peak!I20*'Peak Hours'!$Y19)</f>
        <v>0</v>
      </c>
      <c r="D19" s="417" t="n">
        <f aca="false">IF($A$1="BL",0,'Peak Hours'!D19*Peak!J20*'Peak Hours'!$Y19)</f>
        <v>0</v>
      </c>
      <c r="E19" s="417" t="n">
        <f aca="false">IF($A$1="BL",0,'Peak Hours'!E19*Peak!K20*'Peak Hours'!$Y19)</f>
        <v>0</v>
      </c>
      <c r="F19" s="417" t="n">
        <f aca="false">IF($A$1="BL",0,'Peak Hours'!F19*Peak!L20*'Peak Hours'!$Y19)</f>
        <v>0</v>
      </c>
      <c r="G19" s="417" t="n">
        <f aca="false">IF($A$1="BL",0,'Peak Hours'!G19*Peak!M20*'Peak Hours'!$Y19)</f>
        <v>0</v>
      </c>
      <c r="H19" s="417" t="n">
        <f aca="false">IF($A$1="BL",0,'Peak Hours'!H19*Peak!N20*'Peak Hours'!$Y19)</f>
        <v>0</v>
      </c>
      <c r="I19" s="417" t="n">
        <f aca="false">IF($A$1="BL",0,'Peak Hours'!I19*Peak!O20*'Peak Hours'!$Y19)</f>
        <v>0</v>
      </c>
      <c r="J19" s="417" t="n">
        <f aca="false">IF($A$1="BL",0,'Peak Hours'!J19*Peak!P20*'Peak Hours'!$Y19)</f>
        <v>0</v>
      </c>
      <c r="K19" s="417" t="n">
        <f aca="false">IF($A$1="BL",0,'Peak Hours'!K19*Peak!Q20*'Peak Hours'!$Y19)</f>
        <v>0</v>
      </c>
      <c r="L19" s="417" t="n">
        <f aca="false">IF($A$1="BL",0,'Peak Hours'!L19*Peak!R20*'Peak Hours'!$Y19)</f>
        <v>0</v>
      </c>
      <c r="M19" s="417" t="n">
        <f aca="false">IF($A$1="BL",0,'Peak Hours'!M19*Peak!S20*'Peak Hours'!$Y19)</f>
        <v>0</v>
      </c>
      <c r="N19" s="417" t="n">
        <f aca="false">IF($A$1="BL",0,'Peak Hours'!N19*Peak!T20*'Peak Hours'!$Y19)</f>
        <v>0</v>
      </c>
      <c r="O19" s="417" t="n">
        <f aca="false">IF($A$1="BL",0,'Peak Hours'!O19*Peak!U20*'Peak Hours'!$Y19)</f>
        <v>0</v>
      </c>
      <c r="P19" s="417" t="n">
        <f aca="false">IF($A$1="BL",0,'Peak Hours'!P19*Peak!V20*'Peak Hours'!$Y19)</f>
        <v>0</v>
      </c>
      <c r="Q19" s="417" t="n">
        <f aca="false">IF($A$1="BL",0,'Peak Hours'!Q19*Peak!W20*'Peak Hours'!$Y19)</f>
        <v>0</v>
      </c>
      <c r="R19" s="417" t="n">
        <f aca="false">IF($A$1="BL",0,'Peak Hours'!R19*Peak!X20*'Peak Hours'!$Y19)</f>
        <v>0</v>
      </c>
      <c r="S19" s="417" t="n">
        <f aca="false">IF($A$1="BL",0,'Peak Hours'!S19*Peak!Y20*'Peak Hours'!$Y19)</f>
        <v>0</v>
      </c>
      <c r="T19" s="417" t="n">
        <f aca="false">IF($A$1="BL",0,'Peak Hours'!T19*Peak!Z20*'Peak Hours'!$Y19)</f>
        <v>0</v>
      </c>
      <c r="U19" s="417" t="n">
        <f aca="false">IF($A$1="BL",0,'Peak Hours'!U19*Peak!AA20*'Peak Hours'!$Y19)</f>
        <v>0</v>
      </c>
      <c r="V19" s="424"/>
      <c r="W19" s="422" t="n">
        <f aca="false">(IF($A$1="BL",0,Peak!C20*'Peak Hours'!V19*'Peak Hours'!$Y19))*-1</f>
        <v>-0</v>
      </c>
      <c r="X19" s="424"/>
      <c r="Y19" s="422" t="n">
        <f aca="false">(IF($A$1="bl",0,Peak!D20*'Peak Hours'!V19*'Peak Hours'!$Y19))*-1</f>
        <v>-0</v>
      </c>
      <c r="Z19" s="424"/>
      <c r="AA19" s="422" t="n">
        <f aca="false">(Peak!E20*'Peak Hours'!V19*'Peak Hours'!$Y19)*-1</f>
        <v>-0</v>
      </c>
      <c r="AB19" s="425"/>
      <c r="AC19" s="422" t="n">
        <f aca="false">(Peak!F20*'Peak Hours'!V19*'Peak Hours'!$Y19)*-1</f>
        <v>-0</v>
      </c>
      <c r="AD19" s="425"/>
    </row>
    <row r="20" customFormat="false" ht="12.75" hidden="false" customHeight="false" outlineLevel="0" collapsed="false">
      <c r="A20" s="400" t="n">
        <f aca="false">A19+30.417</f>
        <v>36844.17</v>
      </c>
      <c r="B20" s="417" t="n">
        <f aca="false">IF($A$1="BL",0,'Peak Hours'!B20*Peak!H21*'Peak Hours'!$Y20)</f>
        <v>0</v>
      </c>
      <c r="C20" s="417" t="n">
        <f aca="false">IF($A$1="BL",0,'Peak Hours'!C20*Peak!I21*'Peak Hours'!$Y20)</f>
        <v>0</v>
      </c>
      <c r="D20" s="417" t="n">
        <f aca="false">IF($A$1="BL",0,'Peak Hours'!D20*Peak!J21*'Peak Hours'!$Y20)</f>
        <v>0</v>
      </c>
      <c r="E20" s="417" t="n">
        <f aca="false">IF($A$1="BL",0,'Peak Hours'!E20*Peak!K21*'Peak Hours'!$Y20)</f>
        <v>0</v>
      </c>
      <c r="F20" s="417" t="n">
        <f aca="false">IF($A$1="BL",0,'Peak Hours'!F20*Peak!L21*'Peak Hours'!$Y20)</f>
        <v>0</v>
      </c>
      <c r="G20" s="417" t="n">
        <f aca="false">IF($A$1="BL",0,'Peak Hours'!G20*Peak!M21*'Peak Hours'!$Y20)</f>
        <v>0</v>
      </c>
      <c r="H20" s="417" t="n">
        <f aca="false">IF($A$1="BL",0,'Peak Hours'!H20*Peak!N21*'Peak Hours'!$Y20)</f>
        <v>0</v>
      </c>
      <c r="I20" s="417" t="n">
        <f aca="false">IF($A$1="BL",0,'Peak Hours'!I20*Peak!O21*'Peak Hours'!$Y20)</f>
        <v>0</v>
      </c>
      <c r="J20" s="417" t="n">
        <f aca="false">IF($A$1="BL",0,'Peak Hours'!J20*Peak!P21*'Peak Hours'!$Y20)</f>
        <v>0</v>
      </c>
      <c r="K20" s="417" t="n">
        <f aca="false">IF($A$1="BL",0,'Peak Hours'!K20*Peak!Q21*'Peak Hours'!$Y20)</f>
        <v>0</v>
      </c>
      <c r="L20" s="417" t="n">
        <f aca="false">IF($A$1="BL",0,'Peak Hours'!L20*Peak!R21*'Peak Hours'!$Y20)</f>
        <v>0</v>
      </c>
      <c r="M20" s="417" t="n">
        <f aca="false">IF($A$1="BL",0,'Peak Hours'!M20*Peak!S21*'Peak Hours'!$Y20)</f>
        <v>0</v>
      </c>
      <c r="N20" s="417" t="n">
        <f aca="false">IF($A$1="BL",0,'Peak Hours'!N20*Peak!T21*'Peak Hours'!$Y20)</f>
        <v>0</v>
      </c>
      <c r="O20" s="417" t="n">
        <f aca="false">IF($A$1="BL",0,'Peak Hours'!O20*Peak!U21*'Peak Hours'!$Y20)</f>
        <v>0</v>
      </c>
      <c r="P20" s="417" t="n">
        <f aca="false">IF($A$1="BL",0,'Peak Hours'!P20*Peak!V21*'Peak Hours'!$Y20)</f>
        <v>0</v>
      </c>
      <c r="Q20" s="417" t="n">
        <f aca="false">IF($A$1="BL",0,'Peak Hours'!Q20*Peak!W21*'Peak Hours'!$Y20)</f>
        <v>0</v>
      </c>
      <c r="R20" s="417" t="n">
        <f aca="false">IF($A$1="BL",0,'Peak Hours'!R20*Peak!X21*'Peak Hours'!$Y20)</f>
        <v>0</v>
      </c>
      <c r="S20" s="417" t="n">
        <f aca="false">IF($A$1="BL",0,'Peak Hours'!S20*Peak!Y21*'Peak Hours'!$Y20)</f>
        <v>0</v>
      </c>
      <c r="T20" s="417" t="n">
        <f aca="false">IF($A$1="BL",0,'Peak Hours'!T20*Peak!Z21*'Peak Hours'!$Y20)</f>
        <v>0</v>
      </c>
      <c r="U20" s="417" t="n">
        <f aca="false">IF($A$1="BL",0,'Peak Hours'!U20*Peak!AA21*'Peak Hours'!$Y20)</f>
        <v>0</v>
      </c>
      <c r="V20" s="424"/>
      <c r="W20" s="422" t="n">
        <f aca="false">(IF($A$1="BL",0,Peak!C21*'Peak Hours'!V20*'Peak Hours'!$Y20))*-1</f>
        <v>-0</v>
      </c>
      <c r="X20" s="424"/>
      <c r="Y20" s="422" t="n">
        <f aca="false">(IF($A$1="bl",0,Peak!D21*'Peak Hours'!V20*'Peak Hours'!$Y20))*-1</f>
        <v>-0</v>
      </c>
      <c r="Z20" s="424"/>
      <c r="AA20" s="422" t="n">
        <f aca="false">(Peak!E21*'Peak Hours'!V20*'Peak Hours'!$Y20)*-1</f>
        <v>-0</v>
      </c>
      <c r="AB20" s="425"/>
      <c r="AC20" s="422" t="n">
        <f aca="false">(Peak!F21*'Peak Hours'!V20*'Peak Hours'!$Y20)*-1</f>
        <v>-0</v>
      </c>
      <c r="AD20" s="425"/>
    </row>
    <row r="21" customFormat="false" ht="12.75" hidden="false" customHeight="false" outlineLevel="0" collapsed="false">
      <c r="A21" s="400" t="n">
        <f aca="false">A20+30.417</f>
        <v>36874.587</v>
      </c>
      <c r="B21" s="417" t="n">
        <f aca="false">IF($A$1="BL",0,'Peak Hours'!B21*Peak!H22*'Peak Hours'!$Y21)</f>
        <v>0</v>
      </c>
      <c r="C21" s="417" t="n">
        <f aca="false">IF($A$1="BL",0,'Peak Hours'!C21*Peak!I22*'Peak Hours'!$Y21)</f>
        <v>0</v>
      </c>
      <c r="D21" s="417" t="n">
        <f aca="false">IF($A$1="BL",0,'Peak Hours'!D21*Peak!J22*'Peak Hours'!$Y21)</f>
        <v>0</v>
      </c>
      <c r="E21" s="417" t="n">
        <f aca="false">IF($A$1="BL",0,'Peak Hours'!E21*Peak!K22*'Peak Hours'!$Y21)</f>
        <v>0</v>
      </c>
      <c r="F21" s="417" t="n">
        <f aca="false">IF($A$1="BL",0,'Peak Hours'!F21*Peak!L22*'Peak Hours'!$Y21)</f>
        <v>0</v>
      </c>
      <c r="G21" s="417" t="n">
        <f aca="false">IF($A$1="BL",0,'Peak Hours'!G21*Peak!M22*'Peak Hours'!$Y21)</f>
        <v>0</v>
      </c>
      <c r="H21" s="417" t="n">
        <f aca="false">IF($A$1="BL",0,'Peak Hours'!H21*Peak!N22*'Peak Hours'!$Y21)</f>
        <v>0</v>
      </c>
      <c r="I21" s="417" t="n">
        <f aca="false">IF($A$1="BL",0,'Peak Hours'!I21*Peak!O22*'Peak Hours'!$Y21)</f>
        <v>0</v>
      </c>
      <c r="J21" s="417" t="n">
        <f aca="false">IF($A$1="BL",0,'Peak Hours'!J21*Peak!P22*'Peak Hours'!$Y21)</f>
        <v>0</v>
      </c>
      <c r="K21" s="417" t="n">
        <f aca="false">IF($A$1="BL",0,'Peak Hours'!K21*Peak!Q22*'Peak Hours'!$Y21)</f>
        <v>0</v>
      </c>
      <c r="L21" s="417" t="n">
        <f aca="false">IF($A$1="BL",0,'Peak Hours'!L21*Peak!R22*'Peak Hours'!$Y21)</f>
        <v>0</v>
      </c>
      <c r="M21" s="417" t="n">
        <f aca="false">IF($A$1="BL",0,'Peak Hours'!M21*Peak!S22*'Peak Hours'!$Y21)</f>
        <v>0</v>
      </c>
      <c r="N21" s="417" t="n">
        <f aca="false">IF($A$1="BL",0,'Peak Hours'!N21*Peak!T22*'Peak Hours'!$Y21)</f>
        <v>0</v>
      </c>
      <c r="O21" s="417" t="n">
        <f aca="false">IF($A$1="BL",0,'Peak Hours'!O21*Peak!U22*'Peak Hours'!$Y21)</f>
        <v>0</v>
      </c>
      <c r="P21" s="417" t="n">
        <f aca="false">IF($A$1="BL",0,'Peak Hours'!P21*Peak!V22*'Peak Hours'!$Y21)</f>
        <v>0</v>
      </c>
      <c r="Q21" s="417" t="n">
        <f aca="false">IF($A$1="BL",0,'Peak Hours'!Q21*Peak!W22*'Peak Hours'!$Y21)</f>
        <v>0</v>
      </c>
      <c r="R21" s="417" t="n">
        <f aca="false">IF($A$1="BL",0,'Peak Hours'!R21*Peak!X22*'Peak Hours'!$Y21)</f>
        <v>0</v>
      </c>
      <c r="S21" s="417" t="n">
        <f aca="false">IF($A$1="BL",0,'Peak Hours'!S21*Peak!Y22*'Peak Hours'!$Y21)</f>
        <v>0</v>
      </c>
      <c r="T21" s="417" t="n">
        <f aca="false">IF($A$1="BL",0,'Peak Hours'!T21*Peak!Z22*'Peak Hours'!$Y21)</f>
        <v>0</v>
      </c>
      <c r="U21" s="417" t="n">
        <f aca="false">IF($A$1="BL",0,'Peak Hours'!U21*Peak!AA22*'Peak Hours'!$Y21)</f>
        <v>0</v>
      </c>
      <c r="V21" s="426" t="n">
        <f aca="false">SUM(B10:U21)</f>
        <v>0</v>
      </c>
      <c r="W21" s="422" t="n">
        <f aca="false">(IF($A$1="BL",0,Peak!C22*'Peak Hours'!V21*'Peak Hours'!$Y21))*-1</f>
        <v>-0</v>
      </c>
      <c r="X21" s="426" t="n">
        <f aca="false">SUM(W10:W21)</f>
        <v>0</v>
      </c>
      <c r="Y21" s="422" t="n">
        <f aca="false">(IF($A$1="bl",0,Peak!D22*'Peak Hours'!V21*'Peak Hours'!$Y21))*-1</f>
        <v>-0</v>
      </c>
      <c r="Z21" s="426" t="n">
        <f aca="false">SUM(Y10:Y21)</f>
        <v>0</v>
      </c>
      <c r="AA21" s="422" t="n">
        <f aca="false">(Peak!E22*'Peak Hours'!V21*'Peak Hours'!$Y21)*-1</f>
        <v>-0</v>
      </c>
      <c r="AB21" s="427" t="n">
        <f aca="false">SUM(AA10:AA21)</f>
        <v>0</v>
      </c>
      <c r="AC21" s="422" t="n">
        <f aca="false">(Peak!F22*'Peak Hours'!V21*'Peak Hours'!$Y21)*-1</f>
        <v>-0</v>
      </c>
      <c r="AD21" s="427" t="n">
        <f aca="false">SUM(AC10:AC21)</f>
        <v>0</v>
      </c>
    </row>
    <row r="22" customFormat="false" ht="12.75" hidden="false" customHeight="false" outlineLevel="0" collapsed="false">
      <c r="A22" s="400" t="n">
        <f aca="false">A21+30.417</f>
        <v>36905.004</v>
      </c>
      <c r="B22" s="417" t="n">
        <f aca="false">IF($A$1="BL",0,'Peak Hours'!B22*Peak!H23*'Peak Hours'!$Y22)</f>
        <v>213407.241494166</v>
      </c>
      <c r="C22" s="417" t="n">
        <f aca="false">IF($A$1="BL",0,'Peak Hours'!C22*Peak!I23*'Peak Hours'!$Y22)</f>
        <v>209700.975270494</v>
      </c>
      <c r="D22" s="417" t="n">
        <f aca="false">IF($A$1="BL",0,'Peak Hours'!D22*Peak!J23*'Peak Hours'!$Y22)</f>
        <v>406030.650064955</v>
      </c>
      <c r="E22" s="417" t="n">
        <f aca="false">IF($A$1="BL",0,'Peak Hours'!E22*Peak!K23*'Peak Hours'!$Y22)</f>
        <v>769594.326910408</v>
      </c>
      <c r="F22" s="417" t="n">
        <f aca="false">IF($A$1="BL",0,'Peak Hours'!F22*Peak!L23*'Peak Hours'!$Y22)</f>
        <v>762769.442327048</v>
      </c>
      <c r="G22" s="417" t="n">
        <f aca="false">IF($A$1="BL",0,'Peak Hours'!G22*Peak!M23*'Peak Hours'!$Y22)</f>
        <v>1514438.79700056</v>
      </c>
      <c r="H22" s="417" t="n">
        <f aca="false">IF($A$1="BL",0,'Peak Hours'!H22*Peak!N23*'Peak Hours'!$Y22)</f>
        <v>1407196.82419172</v>
      </c>
      <c r="I22" s="417" t="n">
        <f aca="false">IF($A$1="BL",0,'Peak Hours'!I22*Peak!O23*'Peak Hours'!$Y22)</f>
        <v>0</v>
      </c>
      <c r="J22" s="417" t="n">
        <f aca="false">IF($A$1="BL",0,'Peak Hours'!J22*Peak!P23*'Peak Hours'!$Y22)</f>
        <v>0</v>
      </c>
      <c r="K22" s="417" t="n">
        <f aca="false">IF($A$1="BL",0,'Peak Hours'!K22*Peak!Q23*'Peak Hours'!$Y22)</f>
        <v>0</v>
      </c>
      <c r="L22" s="417" t="n">
        <f aca="false">IF($A$1="BL",0,'Peak Hours'!L22*Peak!R23*'Peak Hours'!$Y22)</f>
        <v>0</v>
      </c>
      <c r="M22" s="417" t="n">
        <f aca="false">IF($A$1="BL",0,'Peak Hours'!M22*Peak!S23*'Peak Hours'!$Y22)</f>
        <v>0</v>
      </c>
      <c r="N22" s="417" t="n">
        <f aca="false">IF($A$1="BL",0,'Peak Hours'!N22*Peak!T23*'Peak Hours'!$Y22)</f>
        <v>0</v>
      </c>
      <c r="O22" s="417" t="n">
        <f aca="false">IF($A$1="BL",0,'Peak Hours'!O22*Peak!U23*'Peak Hours'!$Y22)</f>
        <v>0</v>
      </c>
      <c r="P22" s="417" t="n">
        <f aca="false">IF($A$1="BL",0,'Peak Hours'!P22*Peak!V23*'Peak Hours'!$Y22)</f>
        <v>0</v>
      </c>
      <c r="Q22" s="417" t="n">
        <f aca="false">IF($A$1="BL",0,'Peak Hours'!Q22*Peak!W23*'Peak Hours'!$Y22)</f>
        <v>0</v>
      </c>
      <c r="R22" s="417" t="n">
        <f aca="false">IF($A$1="BL",0,'Peak Hours'!R22*Peak!X23*'Peak Hours'!$Y22)</f>
        <v>0</v>
      </c>
      <c r="S22" s="417" t="n">
        <f aca="false">IF($A$1="BL",0,'Peak Hours'!S22*Peak!Y23*'Peak Hours'!$Y22)</f>
        <v>0</v>
      </c>
      <c r="T22" s="417" t="n">
        <f aca="false">IF($A$1="BL",0,'Peak Hours'!T22*Peak!Z23*'Peak Hours'!$Y22)</f>
        <v>0</v>
      </c>
      <c r="U22" s="417" t="n">
        <f aca="false">IF($A$1="BL",0,'Peak Hours'!U22*Peak!AA23*'Peak Hours'!$Y22)</f>
        <v>0</v>
      </c>
      <c r="V22" s="424"/>
      <c r="W22" s="422" t="n">
        <f aca="false">(IF($A$1="BL",0,Peak!C23*'Peak Hours'!V22*'Peak Hours'!$Y22))*-1</f>
        <v>-4708066.0629575</v>
      </c>
      <c r="X22" s="424"/>
      <c r="Y22" s="422" t="n">
        <f aca="false">(IF($A$1="bl",0,Peak!D23*'Peak Hours'!V22*'Peak Hours'!$Y22))*-1</f>
        <v>-56119.6677490673</v>
      </c>
      <c r="Z22" s="424"/>
      <c r="AA22" s="422" t="n">
        <f aca="false">(Peak!E23*'Peak Hours'!V22*'Peak Hours'!$Y22)*-1</f>
        <v>-0</v>
      </c>
      <c r="AB22" s="425"/>
      <c r="AC22" s="422" t="n">
        <f aca="false">(Peak!F23*'Peak Hours'!V22*'Peak Hours'!$Y22)*-1</f>
        <v>-0</v>
      </c>
      <c r="AD22" s="425"/>
    </row>
    <row r="23" customFormat="false" ht="12.75" hidden="false" customHeight="false" outlineLevel="0" collapsed="false">
      <c r="A23" s="400" t="n">
        <f aca="false">A22+30.417</f>
        <v>36935.421</v>
      </c>
      <c r="B23" s="417" t="n">
        <f aca="false">IF($A$1="BL",0,'Peak Hours'!B23*Peak!H24*'Peak Hours'!$Y23)</f>
        <v>235545.757698194</v>
      </c>
      <c r="C23" s="417" t="n">
        <f aca="false">IF($A$1="BL",0,'Peak Hours'!C23*Peak!I24*'Peak Hours'!$Y23)</f>
        <v>228855.347713891</v>
      </c>
      <c r="D23" s="417" t="n">
        <f aca="false">IF($A$1="BL",0,'Peak Hours'!D23*Peak!J24*'Peak Hours'!$Y23)</f>
        <v>436359.457425309</v>
      </c>
      <c r="E23" s="417" t="n">
        <f aca="false">IF($A$1="BL",0,'Peak Hours'!E23*Peak!K24*'Peak Hours'!$Y23)</f>
        <v>847708.426766742</v>
      </c>
      <c r="F23" s="417" t="n">
        <f aca="false">IF($A$1="BL",0,'Peak Hours'!F23*Peak!L24*'Peak Hours'!$Y23)</f>
        <v>845633.860386123</v>
      </c>
      <c r="G23" s="417" t="n">
        <f aca="false">IF($A$1="BL",0,'Peak Hours'!G23*Peak!M24*'Peak Hours'!$Y23)</f>
        <v>1613097.80338684</v>
      </c>
      <c r="H23" s="417" t="n">
        <f aca="false">IF($A$1="BL",0,'Peak Hours'!H23*Peak!N24*'Peak Hours'!$Y23)</f>
        <v>1371035.39923606</v>
      </c>
      <c r="I23" s="417" t="n">
        <f aca="false">IF($A$1="BL",0,'Peak Hours'!I23*Peak!O24*'Peak Hours'!$Y23)</f>
        <v>0</v>
      </c>
      <c r="J23" s="417" t="n">
        <f aca="false">IF($A$1="BL",0,'Peak Hours'!J23*Peak!P24*'Peak Hours'!$Y23)</f>
        <v>0</v>
      </c>
      <c r="K23" s="417" t="n">
        <f aca="false">IF($A$1="BL",0,'Peak Hours'!K23*Peak!Q24*'Peak Hours'!$Y23)</f>
        <v>0</v>
      </c>
      <c r="L23" s="417" t="n">
        <f aca="false">IF($A$1="BL",0,'Peak Hours'!L23*Peak!R24*'Peak Hours'!$Y23)</f>
        <v>0</v>
      </c>
      <c r="M23" s="417" t="n">
        <f aca="false">IF($A$1="BL",0,'Peak Hours'!M23*Peak!S24*'Peak Hours'!$Y23)</f>
        <v>0</v>
      </c>
      <c r="N23" s="417" t="n">
        <f aca="false">IF($A$1="BL",0,'Peak Hours'!N23*Peak!T24*'Peak Hours'!$Y23)</f>
        <v>0</v>
      </c>
      <c r="O23" s="417" t="n">
        <f aca="false">IF($A$1="BL",0,'Peak Hours'!O23*Peak!U24*'Peak Hours'!$Y23)</f>
        <v>0</v>
      </c>
      <c r="P23" s="417" t="n">
        <f aca="false">IF($A$1="BL",0,'Peak Hours'!P23*Peak!V24*'Peak Hours'!$Y23)</f>
        <v>0</v>
      </c>
      <c r="Q23" s="417" t="n">
        <f aca="false">IF($A$1="BL",0,'Peak Hours'!Q23*Peak!W24*'Peak Hours'!$Y23)</f>
        <v>0</v>
      </c>
      <c r="R23" s="417" t="n">
        <f aca="false">IF($A$1="BL",0,'Peak Hours'!R23*Peak!X24*'Peak Hours'!$Y23)</f>
        <v>0</v>
      </c>
      <c r="S23" s="417" t="n">
        <f aca="false">IF($A$1="BL",0,'Peak Hours'!S23*Peak!Y24*'Peak Hours'!$Y23)</f>
        <v>0</v>
      </c>
      <c r="T23" s="417" t="n">
        <f aca="false">IF($A$1="BL",0,'Peak Hours'!T23*Peak!Z24*'Peak Hours'!$Y23)</f>
        <v>0</v>
      </c>
      <c r="U23" s="417" t="n">
        <f aca="false">IF($A$1="BL",0,'Peak Hours'!U23*Peak!AA24*'Peak Hours'!$Y23)</f>
        <v>0</v>
      </c>
      <c r="V23" s="424"/>
      <c r="W23" s="422" t="n">
        <f aca="false">(IF($A$1="BL",0,Peak!C24*'Peak Hours'!V23*'Peak Hours'!$Y23))*-1</f>
        <v>-4219729.42344861</v>
      </c>
      <c r="X23" s="424"/>
      <c r="Y23" s="422" t="n">
        <f aca="false">(IF($A$1="bl",0,Peak!D24*'Peak Hours'!V23*'Peak Hours'!$Y23))*-1</f>
        <v>-56213.200528649</v>
      </c>
      <c r="Z23" s="424"/>
      <c r="AA23" s="422" t="n">
        <f aca="false">(Peak!E24*'Peak Hours'!V23*'Peak Hours'!$Y23)*-1</f>
        <v>-0</v>
      </c>
      <c r="AB23" s="425"/>
      <c r="AC23" s="422" t="n">
        <f aca="false">(Peak!F24*'Peak Hours'!V23*'Peak Hours'!$Y23)*-1</f>
        <v>-0</v>
      </c>
      <c r="AD23" s="425"/>
    </row>
    <row r="24" customFormat="false" ht="12.75" hidden="false" customHeight="false" outlineLevel="0" collapsed="false">
      <c r="A24" s="400" t="n">
        <f aca="false">A23+30.417</f>
        <v>36965.838</v>
      </c>
      <c r="B24" s="417" t="n">
        <f aca="false">IF($A$1="BL",0,'Peak Hours'!B24*Peak!H25*'Peak Hours'!$Y24)</f>
        <v>235837.604405766</v>
      </c>
      <c r="C24" s="417" t="n">
        <f aca="false">IF($A$1="BL",0,'Peak Hours'!C24*Peak!I25*'Peak Hours'!$Y24)</f>
        <v>229344.372376323</v>
      </c>
      <c r="D24" s="417" t="n">
        <f aca="false">IF($A$1="BL",0,'Peak Hours'!D24*Peak!J25*'Peak Hours'!$Y24)</f>
        <v>444309.809407445</v>
      </c>
      <c r="E24" s="417" t="n">
        <f aca="false">IF($A$1="BL",0,'Peak Hours'!E24*Peak!K25*'Peak Hours'!$Y24)</f>
        <v>857706.372131476</v>
      </c>
      <c r="F24" s="417" t="n">
        <f aca="false">IF($A$1="BL",0,'Peak Hours'!F24*Peak!L25*'Peak Hours'!$Y24)</f>
        <v>853023.384093136</v>
      </c>
      <c r="G24" s="417" t="n">
        <f aca="false">IF($A$1="BL",0,'Peak Hours'!G24*Peak!M25*'Peak Hours'!$Y24)</f>
        <v>1675744.64608821</v>
      </c>
      <c r="H24" s="417" t="n">
        <f aca="false">IF($A$1="BL",0,'Peak Hours'!H24*Peak!N25*'Peak Hours'!$Y24)</f>
        <v>1549432.12479652</v>
      </c>
      <c r="I24" s="417" t="n">
        <f aca="false">IF($A$1="BL",0,'Peak Hours'!I24*Peak!O25*'Peak Hours'!$Y24)</f>
        <v>1249720.87654406</v>
      </c>
      <c r="J24" s="417" t="n">
        <f aca="false">IF($A$1="BL",0,'Peak Hours'!J24*Peak!P25*'Peak Hours'!$Y24)</f>
        <v>0</v>
      </c>
      <c r="K24" s="417" t="n">
        <f aca="false">IF($A$1="BL",0,'Peak Hours'!K24*Peak!Q25*'Peak Hours'!$Y24)</f>
        <v>0</v>
      </c>
      <c r="L24" s="417" t="n">
        <f aca="false">IF($A$1="BL",0,'Peak Hours'!L24*Peak!R25*'Peak Hours'!$Y24)</f>
        <v>0</v>
      </c>
      <c r="M24" s="417" t="n">
        <f aca="false">IF($A$1="BL",0,'Peak Hours'!M24*Peak!S25*'Peak Hours'!$Y24)</f>
        <v>0</v>
      </c>
      <c r="N24" s="417" t="n">
        <f aca="false">IF($A$1="BL",0,'Peak Hours'!N24*Peak!T25*'Peak Hours'!$Y24)</f>
        <v>0</v>
      </c>
      <c r="O24" s="417" t="n">
        <f aca="false">IF($A$1="BL",0,'Peak Hours'!O24*Peak!U25*'Peak Hours'!$Y24)</f>
        <v>0</v>
      </c>
      <c r="P24" s="417" t="n">
        <f aca="false">IF($A$1="BL",0,'Peak Hours'!P24*Peak!V25*'Peak Hours'!$Y24)</f>
        <v>0</v>
      </c>
      <c r="Q24" s="417" t="n">
        <f aca="false">IF($A$1="BL",0,'Peak Hours'!Q24*Peak!W25*'Peak Hours'!$Y24)</f>
        <v>0</v>
      </c>
      <c r="R24" s="417" t="n">
        <f aca="false">IF($A$1="BL",0,'Peak Hours'!R24*Peak!X25*'Peak Hours'!$Y24)</f>
        <v>0</v>
      </c>
      <c r="S24" s="417" t="n">
        <f aca="false">IF($A$1="BL",0,'Peak Hours'!S24*Peak!Y25*'Peak Hours'!$Y24)</f>
        <v>0</v>
      </c>
      <c r="T24" s="417" t="n">
        <f aca="false">IF($A$1="BL",0,'Peak Hours'!T24*Peak!Z25*'Peak Hours'!$Y24)</f>
        <v>0</v>
      </c>
      <c r="U24" s="417" t="n">
        <f aca="false">IF($A$1="BL",0,'Peak Hours'!U24*Peak!AA25*'Peak Hours'!$Y24)</f>
        <v>0</v>
      </c>
      <c r="V24" s="424"/>
      <c r="W24" s="422" t="n">
        <f aca="false">(IF($A$1="BL",0,Peak!C25*'Peak Hours'!V24*'Peak Hours'!$Y24))*-1</f>
        <v>-5482592.15999869</v>
      </c>
      <c r="X24" s="424"/>
      <c r="Y24" s="422" t="n">
        <f aca="false">(IF($A$1="bl",0,Peak!D25*'Peak Hours'!V24*'Peak Hours'!$Y24))*-1</f>
        <v>-74409.3725132004</v>
      </c>
      <c r="Z24" s="424"/>
      <c r="AA24" s="422" t="n">
        <f aca="false">(Peak!E25*'Peak Hours'!V24*'Peak Hours'!$Y24)*-1</f>
        <v>-0</v>
      </c>
      <c r="AB24" s="425"/>
      <c r="AC24" s="422" t="n">
        <f aca="false">(Peak!F25*'Peak Hours'!V24*'Peak Hours'!$Y24)*-1</f>
        <v>-0</v>
      </c>
      <c r="AD24" s="425"/>
    </row>
    <row r="25" customFormat="false" ht="12.75" hidden="false" customHeight="false" outlineLevel="0" collapsed="false">
      <c r="A25" s="400" t="n">
        <f aca="false">A24+30.417</f>
        <v>36996.255</v>
      </c>
      <c r="B25" s="417" t="n">
        <f aca="false">IF($A$1="BL",0,'Peak Hours'!B25*Peak!H26*'Peak Hours'!$Y25)</f>
        <v>232207.044233905</v>
      </c>
      <c r="C25" s="417" t="n">
        <f aca="false">IF($A$1="BL",0,'Peak Hours'!C25*Peak!I26*'Peak Hours'!$Y25)</f>
        <v>223283.195624317</v>
      </c>
      <c r="D25" s="417" t="n">
        <f aca="false">IF($A$1="BL",0,'Peak Hours'!D25*Peak!J26*'Peak Hours'!$Y25)</f>
        <v>439647.888681611</v>
      </c>
      <c r="E25" s="417" t="n">
        <f aca="false">IF($A$1="BL",0,'Peak Hours'!E25*Peak!K26*'Peak Hours'!$Y25)</f>
        <v>878153.695922711</v>
      </c>
      <c r="F25" s="417" t="n">
        <f aca="false">IF($A$1="BL",0,'Peak Hours'!F25*Peak!L26*'Peak Hours'!$Y25)</f>
        <v>865469.158157437</v>
      </c>
      <c r="G25" s="417" t="n">
        <f aca="false">IF($A$1="BL",0,'Peak Hours'!G25*Peak!M26*'Peak Hours'!$Y25)</f>
        <v>1592727.84990262</v>
      </c>
      <c r="H25" s="417" t="n">
        <f aca="false">IF($A$1="BL",0,'Peak Hours'!H25*Peak!N26*'Peak Hours'!$Y25)</f>
        <v>1266723.20344902</v>
      </c>
      <c r="I25" s="417" t="n">
        <f aca="false">IF($A$1="BL",0,'Peak Hours'!I25*Peak!O26*'Peak Hours'!$Y25)</f>
        <v>0</v>
      </c>
      <c r="J25" s="417" t="n">
        <f aca="false">IF($A$1="BL",0,'Peak Hours'!J25*Peak!P26*'Peak Hours'!$Y25)</f>
        <v>0</v>
      </c>
      <c r="K25" s="417" t="n">
        <f aca="false">IF($A$1="BL",0,'Peak Hours'!K25*Peak!Q26*'Peak Hours'!$Y25)</f>
        <v>0</v>
      </c>
      <c r="L25" s="417" t="n">
        <f aca="false">IF($A$1="BL",0,'Peak Hours'!L25*Peak!R26*'Peak Hours'!$Y25)</f>
        <v>0</v>
      </c>
      <c r="M25" s="417" t="n">
        <f aca="false">IF($A$1="BL",0,'Peak Hours'!M25*Peak!S26*'Peak Hours'!$Y25)</f>
        <v>0</v>
      </c>
      <c r="N25" s="417" t="n">
        <f aca="false">IF($A$1="BL",0,'Peak Hours'!N25*Peak!T26*'Peak Hours'!$Y25)</f>
        <v>0</v>
      </c>
      <c r="O25" s="417" t="n">
        <f aca="false">IF($A$1="BL",0,'Peak Hours'!O25*Peak!U26*'Peak Hours'!$Y25)</f>
        <v>0</v>
      </c>
      <c r="P25" s="417" t="n">
        <f aca="false">IF($A$1="BL",0,'Peak Hours'!P25*Peak!V26*'Peak Hours'!$Y25)</f>
        <v>0</v>
      </c>
      <c r="Q25" s="417" t="n">
        <f aca="false">IF($A$1="BL",0,'Peak Hours'!Q25*Peak!W26*'Peak Hours'!$Y25)</f>
        <v>0</v>
      </c>
      <c r="R25" s="417" t="n">
        <f aca="false">IF($A$1="BL",0,'Peak Hours'!R25*Peak!X26*'Peak Hours'!$Y25)</f>
        <v>0</v>
      </c>
      <c r="S25" s="417" t="n">
        <f aca="false">IF($A$1="BL",0,'Peak Hours'!S25*Peak!Y26*'Peak Hours'!$Y25)</f>
        <v>0</v>
      </c>
      <c r="T25" s="417" t="n">
        <f aca="false">IF($A$1="BL",0,'Peak Hours'!T25*Peak!Z26*'Peak Hours'!$Y25)</f>
        <v>0</v>
      </c>
      <c r="U25" s="417" t="n">
        <f aca="false">IF($A$1="BL",0,'Peak Hours'!U25*Peak!AA26*'Peak Hours'!$Y25)</f>
        <v>0</v>
      </c>
      <c r="V25" s="424"/>
      <c r="W25" s="422" t="n">
        <f aca="false">(IF($A$1="BL",0,Peak!C26*'Peak Hours'!V25*'Peak Hours'!$Y25))*-1</f>
        <v>-4054029.41408354</v>
      </c>
      <c r="X25" s="424"/>
      <c r="Y25" s="422" t="n">
        <f aca="false">(IF($A$1="bl",0,Peak!D26*'Peak Hours'!V25*'Peak Hours'!$Y25))*-1</f>
        <v>-57970.4129931544</v>
      </c>
      <c r="Z25" s="424"/>
      <c r="AA25" s="422" t="n">
        <f aca="false">(Peak!E26*'Peak Hours'!V25*'Peak Hours'!$Y25)*-1</f>
        <v>-0</v>
      </c>
      <c r="AB25" s="425"/>
      <c r="AC25" s="422" t="n">
        <f aca="false">(Peak!F26*'Peak Hours'!V25*'Peak Hours'!$Y25)*-1</f>
        <v>-0</v>
      </c>
      <c r="AD25" s="425"/>
    </row>
    <row r="26" customFormat="false" ht="12.75" hidden="false" customHeight="false" outlineLevel="0" collapsed="false">
      <c r="A26" s="400" t="n">
        <f aca="false">A25+30.417</f>
        <v>37026.672</v>
      </c>
      <c r="B26" s="417" t="n">
        <f aca="false">IF($A$1="BL",0,'Peak Hours'!B26*Peak!H27*'Peak Hours'!$Y26)</f>
        <v>211352.941114881</v>
      </c>
      <c r="C26" s="417" t="n">
        <f aca="false">IF($A$1="BL",0,'Peak Hours'!C26*Peak!I27*'Peak Hours'!$Y26)</f>
        <v>186023.379063591</v>
      </c>
      <c r="D26" s="417" t="n">
        <f aca="false">IF($A$1="BL",0,'Peak Hours'!D26*Peak!J27*'Peak Hours'!$Y26)</f>
        <v>359689.97482452</v>
      </c>
      <c r="E26" s="417" t="n">
        <f aca="false">IF($A$1="BL",0,'Peak Hours'!E26*Peak!K27*'Peak Hours'!$Y26)</f>
        <v>688243.780363238</v>
      </c>
      <c r="F26" s="417" t="n">
        <f aca="false">IF($A$1="BL",0,'Peak Hours'!F26*Peak!L27*'Peak Hours'!$Y26)</f>
        <v>644146.883039962</v>
      </c>
      <c r="G26" s="417" t="n">
        <f aca="false">IF($A$1="BL",0,'Peak Hours'!G26*Peak!M27*'Peak Hours'!$Y26)</f>
        <v>1256266.99470973</v>
      </c>
      <c r="H26" s="417" t="n">
        <f aca="false">IF($A$1="BL",0,'Peak Hours'!H26*Peak!N27*'Peak Hours'!$Y26)</f>
        <v>0</v>
      </c>
      <c r="I26" s="417" t="n">
        <f aca="false">IF($A$1="BL",0,'Peak Hours'!I26*Peak!O27*'Peak Hours'!$Y26)</f>
        <v>0</v>
      </c>
      <c r="J26" s="417" t="n">
        <f aca="false">IF($A$1="BL",0,'Peak Hours'!J26*Peak!P27*'Peak Hours'!$Y26)</f>
        <v>0</v>
      </c>
      <c r="K26" s="417" t="n">
        <f aca="false">IF($A$1="BL",0,'Peak Hours'!K26*Peak!Q27*'Peak Hours'!$Y26)</f>
        <v>0</v>
      </c>
      <c r="L26" s="417" t="n">
        <f aca="false">IF($A$1="BL",0,'Peak Hours'!L26*Peak!R27*'Peak Hours'!$Y26)</f>
        <v>0</v>
      </c>
      <c r="M26" s="417" t="n">
        <f aca="false">IF($A$1="BL",0,'Peak Hours'!M26*Peak!S27*'Peak Hours'!$Y26)</f>
        <v>0</v>
      </c>
      <c r="N26" s="417" t="n">
        <f aca="false">IF($A$1="BL",0,'Peak Hours'!N26*Peak!T27*'Peak Hours'!$Y26)</f>
        <v>0</v>
      </c>
      <c r="O26" s="417" t="n">
        <f aca="false">IF($A$1="BL",0,'Peak Hours'!O26*Peak!U27*'Peak Hours'!$Y26)</f>
        <v>0</v>
      </c>
      <c r="P26" s="417" t="n">
        <f aca="false">IF($A$1="BL",0,'Peak Hours'!P26*Peak!V27*'Peak Hours'!$Y26)</f>
        <v>0</v>
      </c>
      <c r="Q26" s="417" t="n">
        <f aca="false">IF($A$1="BL",0,'Peak Hours'!Q26*Peak!W27*'Peak Hours'!$Y26)</f>
        <v>0</v>
      </c>
      <c r="R26" s="417" t="n">
        <f aca="false">IF($A$1="BL",0,'Peak Hours'!R26*Peak!X27*'Peak Hours'!$Y26)</f>
        <v>0</v>
      </c>
      <c r="S26" s="417" t="n">
        <f aca="false">IF($A$1="BL",0,'Peak Hours'!S26*Peak!Y27*'Peak Hours'!$Y26)</f>
        <v>0</v>
      </c>
      <c r="T26" s="417" t="n">
        <f aca="false">IF($A$1="BL",0,'Peak Hours'!T26*Peak!Z27*'Peak Hours'!$Y26)</f>
        <v>0</v>
      </c>
      <c r="U26" s="417" t="n">
        <f aca="false">IF($A$1="BL",0,'Peak Hours'!U26*Peak!AA27*'Peak Hours'!$Y26)</f>
        <v>0</v>
      </c>
      <c r="V26" s="424"/>
      <c r="W26" s="422" t="n">
        <f aca="false">(IF($A$1="BL",0,Peak!C27*'Peak Hours'!V26*'Peak Hours'!$Y26))*-1</f>
        <v>-3048948.80348686</v>
      </c>
      <c r="X26" s="424"/>
      <c r="Y26" s="422" t="n">
        <f aca="false">(IF($A$1="bl",0,Peak!D27*'Peak Hours'!V26*'Peak Hours'!$Y26))*-1</f>
        <v>-41476.4502486736</v>
      </c>
      <c r="Z26" s="424"/>
      <c r="AA26" s="422" t="n">
        <f aca="false">(Peak!E27*'Peak Hours'!V26*'Peak Hours'!$Y26)*-1</f>
        <v>-0</v>
      </c>
      <c r="AB26" s="425"/>
      <c r="AC26" s="422" t="n">
        <f aca="false">(Peak!F27*'Peak Hours'!V26*'Peak Hours'!$Y26)*-1</f>
        <v>-0</v>
      </c>
      <c r="AD26" s="425"/>
    </row>
    <row r="27" customFormat="false" ht="12.75" hidden="false" customHeight="false" outlineLevel="0" collapsed="false">
      <c r="A27" s="400" t="n">
        <f aca="false">A26+30.417</f>
        <v>37057.089</v>
      </c>
      <c r="B27" s="417" t="n">
        <f aca="false">IF($A$1="BL",0,'Peak Hours'!B27*Peak!H28*'Peak Hours'!$Y27)</f>
        <v>574492.154040991</v>
      </c>
      <c r="C27" s="417" t="n">
        <f aca="false">IF($A$1="BL",0,'Peak Hours'!C27*Peak!I28*'Peak Hours'!$Y27)</f>
        <v>300040.981397189</v>
      </c>
      <c r="D27" s="417" t="n">
        <f aca="false">IF($A$1="BL",0,'Peak Hours'!D27*Peak!J28*'Peak Hours'!$Y27)</f>
        <v>533595.1799035</v>
      </c>
      <c r="E27" s="417" t="n">
        <f aca="false">IF($A$1="BL",0,'Peak Hours'!E27*Peak!K28*'Peak Hours'!$Y27)</f>
        <v>1000967.13642871</v>
      </c>
      <c r="F27" s="417" t="n">
        <f aca="false">IF($A$1="BL",0,'Peak Hours'!F27*Peak!L28*'Peak Hours'!$Y27)</f>
        <v>928604.982094024</v>
      </c>
      <c r="G27" s="417" t="n">
        <f aca="false">IF($A$1="BL",0,'Peak Hours'!G27*Peak!M28*'Peak Hours'!$Y27)</f>
        <v>1817820.38934617</v>
      </c>
      <c r="H27" s="417" t="n">
        <f aca="false">IF($A$1="BL",0,'Peak Hours'!H27*Peak!N28*'Peak Hours'!$Y27)</f>
        <v>1499498.27982187</v>
      </c>
      <c r="I27" s="417" t="n">
        <f aca="false">IF($A$1="BL",0,'Peak Hours'!I27*Peak!O28*'Peak Hours'!$Y27)</f>
        <v>0</v>
      </c>
      <c r="J27" s="417" t="n">
        <f aca="false">IF($A$1="BL",0,'Peak Hours'!J27*Peak!P28*'Peak Hours'!$Y27)</f>
        <v>0</v>
      </c>
      <c r="K27" s="417" t="n">
        <f aca="false">IF($A$1="BL",0,'Peak Hours'!K27*Peak!Q28*'Peak Hours'!$Y27)</f>
        <v>0</v>
      </c>
      <c r="L27" s="417" t="n">
        <f aca="false">IF($A$1="BL",0,'Peak Hours'!L27*Peak!R28*'Peak Hours'!$Y27)</f>
        <v>0</v>
      </c>
      <c r="M27" s="417" t="n">
        <f aca="false">IF($A$1="BL",0,'Peak Hours'!M27*Peak!S28*'Peak Hours'!$Y27)</f>
        <v>0</v>
      </c>
      <c r="N27" s="417" t="n">
        <f aca="false">IF($A$1="BL",0,'Peak Hours'!N27*Peak!T28*'Peak Hours'!$Y27)</f>
        <v>0</v>
      </c>
      <c r="O27" s="417" t="n">
        <f aca="false">IF($A$1="BL",0,'Peak Hours'!O27*Peak!U28*'Peak Hours'!$Y27)</f>
        <v>0</v>
      </c>
      <c r="P27" s="417" t="n">
        <f aca="false">IF($A$1="BL",0,'Peak Hours'!P27*Peak!V28*'Peak Hours'!$Y27)</f>
        <v>0</v>
      </c>
      <c r="Q27" s="417" t="n">
        <f aca="false">IF($A$1="BL",0,'Peak Hours'!Q27*Peak!W28*'Peak Hours'!$Y27)</f>
        <v>0</v>
      </c>
      <c r="R27" s="417" t="n">
        <f aca="false">IF($A$1="BL",0,'Peak Hours'!R27*Peak!X28*'Peak Hours'!$Y27)</f>
        <v>0</v>
      </c>
      <c r="S27" s="417" t="n">
        <f aca="false">IF($A$1="BL",0,'Peak Hours'!S27*Peak!Y28*'Peak Hours'!$Y27)</f>
        <v>0</v>
      </c>
      <c r="T27" s="417" t="n">
        <f aca="false">IF($A$1="BL",0,'Peak Hours'!T27*Peak!Z28*'Peak Hours'!$Y27)</f>
        <v>0</v>
      </c>
      <c r="U27" s="417" t="n">
        <f aca="false">IF($A$1="BL",0,'Peak Hours'!U27*Peak!AA28*'Peak Hours'!$Y27)</f>
        <v>0</v>
      </c>
      <c r="V27" s="424"/>
      <c r="W27" s="422" t="n">
        <f aca="false">(IF($A$1="BL",0,Peak!C28*'Peak Hours'!V27*'Peak Hours'!$Y27))*-1</f>
        <v>-4135914.02747511</v>
      </c>
      <c r="X27" s="424"/>
      <c r="Y27" s="422" t="n">
        <f aca="false">(IF($A$1="bl",0,Peak!D28*'Peak Hours'!V27*'Peak Hours'!$Y27))*-1</f>
        <v>-59150.8399393581</v>
      </c>
      <c r="Z27" s="424"/>
      <c r="AA27" s="422" t="n">
        <f aca="false">(Peak!E28*'Peak Hours'!V27*'Peak Hours'!$Y27)*-1</f>
        <v>-0</v>
      </c>
      <c r="AB27" s="425"/>
      <c r="AC27" s="422" t="n">
        <f aca="false">(Peak!F28*'Peak Hours'!V27*'Peak Hours'!$Y27)*-1</f>
        <v>-0</v>
      </c>
      <c r="AD27" s="425"/>
    </row>
    <row r="28" customFormat="false" ht="12.75" hidden="false" customHeight="false" outlineLevel="0" collapsed="false">
      <c r="A28" s="400" t="n">
        <f aca="false">A27+30.417</f>
        <v>37087.506</v>
      </c>
      <c r="B28" s="417" t="n">
        <f aca="false">IF($A$1="BL",0,'Peak Hours'!B28*Peak!H29*'Peak Hours'!$Y28)</f>
        <v>4548680.92752914</v>
      </c>
      <c r="C28" s="417" t="n">
        <f aca="false">IF($A$1="BL",0,'Peak Hours'!C28*Peak!I29*'Peak Hours'!$Y28)</f>
        <v>2290340.81488345</v>
      </c>
      <c r="D28" s="417" t="n">
        <f aca="false">IF($A$1="BL",0,'Peak Hours'!D28*Peak!J29*'Peak Hours'!$Y28)</f>
        <v>2719824.36174233</v>
      </c>
      <c r="E28" s="417" t="n">
        <f aca="false">IF($A$1="BL",0,'Peak Hours'!E28*Peak!K29*'Peak Hours'!$Y28)</f>
        <v>3190344.89258591</v>
      </c>
      <c r="F28" s="417" t="n">
        <f aca="false">IF($A$1="BL",0,'Peak Hours'!F28*Peak!L29*'Peak Hours'!$Y28)</f>
        <v>1012066.56573609</v>
      </c>
      <c r="G28" s="417" t="n">
        <f aca="false">IF($A$1="BL",0,'Peak Hours'!G28*Peak!M29*'Peak Hours'!$Y28)</f>
        <v>1463226.62339255</v>
      </c>
      <c r="H28" s="417" t="n">
        <f aca="false">IF($A$1="BL",0,'Peak Hours'!H28*Peak!N29*'Peak Hours'!$Y28)</f>
        <v>1349482.04492522</v>
      </c>
      <c r="I28" s="417" t="n">
        <f aca="false">IF($A$1="BL",0,'Peak Hours'!I28*Peak!O29*'Peak Hours'!$Y28)</f>
        <v>1274582.02933402</v>
      </c>
      <c r="J28" s="417" t="n">
        <f aca="false">IF($A$1="BL",0,'Peak Hours'!J28*Peak!P29*'Peak Hours'!$Y28)</f>
        <v>1242789.36933316</v>
      </c>
      <c r="K28" s="417" t="n">
        <f aca="false">IF($A$1="BL",0,'Peak Hours'!K28*Peak!Q29*'Peak Hours'!$Y28)</f>
        <v>0</v>
      </c>
      <c r="L28" s="417" t="n">
        <f aca="false">IF($A$1="BL",0,'Peak Hours'!L28*Peak!R29*'Peak Hours'!$Y28)</f>
        <v>0</v>
      </c>
      <c r="M28" s="417" t="n">
        <f aca="false">IF($A$1="BL",0,'Peak Hours'!M28*Peak!S29*'Peak Hours'!$Y28)</f>
        <v>0</v>
      </c>
      <c r="N28" s="417" t="n">
        <f aca="false">IF($A$1="BL",0,'Peak Hours'!N28*Peak!T29*'Peak Hours'!$Y28)</f>
        <v>0</v>
      </c>
      <c r="O28" s="417" t="n">
        <f aca="false">IF($A$1="BL",0,'Peak Hours'!O28*Peak!U29*'Peak Hours'!$Y28)</f>
        <v>0</v>
      </c>
      <c r="P28" s="417" t="n">
        <f aca="false">IF($A$1="BL",0,'Peak Hours'!P28*Peak!V29*'Peak Hours'!$Y28)</f>
        <v>0</v>
      </c>
      <c r="Q28" s="417" t="n">
        <f aca="false">IF($A$1="BL",0,'Peak Hours'!Q28*Peak!W29*'Peak Hours'!$Y28)</f>
        <v>0</v>
      </c>
      <c r="R28" s="417" t="n">
        <f aca="false">IF($A$1="BL",0,'Peak Hours'!R28*Peak!X29*'Peak Hours'!$Y28)</f>
        <v>0</v>
      </c>
      <c r="S28" s="417" t="n">
        <f aca="false">IF($A$1="BL",0,'Peak Hours'!S28*Peak!Y29*'Peak Hours'!$Y28)</f>
        <v>0</v>
      </c>
      <c r="T28" s="417" t="n">
        <f aca="false">IF($A$1="BL",0,'Peak Hours'!T28*Peak!Z29*'Peak Hours'!$Y28)</f>
        <v>0</v>
      </c>
      <c r="U28" s="417" t="n">
        <f aca="false">IF($A$1="BL",0,'Peak Hours'!U28*Peak!AA29*'Peak Hours'!$Y28)</f>
        <v>0</v>
      </c>
      <c r="V28" s="424"/>
      <c r="W28" s="422" t="n">
        <f aca="false">(IF($A$1="BL",0,Peak!C29*'Peak Hours'!V28*'Peak Hours'!$Y28))*-1</f>
        <v>-6478726.08734234</v>
      </c>
      <c r="X28" s="424"/>
      <c r="Y28" s="422" t="n">
        <f aca="false">(IF($A$1="bl",0,Peak!D29*'Peak Hours'!V28*'Peak Hours'!$Y28))*-1</f>
        <v>-93106.2387712135</v>
      </c>
      <c r="Z28" s="424"/>
      <c r="AA28" s="422" t="n">
        <f aca="false">(Peak!E29*'Peak Hours'!V28*'Peak Hours'!$Y28)*-1</f>
        <v>-0</v>
      </c>
      <c r="AB28" s="425"/>
      <c r="AC28" s="422" t="n">
        <f aca="false">(Peak!F29*'Peak Hours'!V28*'Peak Hours'!$Y28)*-1</f>
        <v>-0</v>
      </c>
      <c r="AD28" s="425"/>
    </row>
    <row r="29" customFormat="false" ht="12.75" hidden="false" customHeight="false" outlineLevel="0" collapsed="false">
      <c r="A29" s="400" t="n">
        <f aca="false">A28+30.417</f>
        <v>37117.923</v>
      </c>
      <c r="B29" s="417" t="n">
        <f aca="false">IF($A$1="BL",0,'Peak Hours'!B29*Peak!H30*'Peak Hours'!$Y29)</f>
        <v>14890043.5267395</v>
      </c>
      <c r="C29" s="417" t="n">
        <f aca="false">IF($A$1="BL",0,'Peak Hours'!C29*Peak!I30*'Peak Hours'!$Y29)</f>
        <v>5612990.95382359</v>
      </c>
      <c r="D29" s="417" t="n">
        <f aca="false">IF($A$1="BL",0,'Peak Hours'!D29*Peak!J30*'Peak Hours'!$Y29)</f>
        <v>5992268.26128569</v>
      </c>
      <c r="E29" s="417" t="n">
        <f aca="false">IF($A$1="BL",0,'Peak Hours'!E29*Peak!K30*'Peak Hours'!$Y29)</f>
        <v>5486229.53573572</v>
      </c>
      <c r="F29" s="417" t="n">
        <f aca="false">IF($A$1="BL",0,'Peak Hours'!F29*Peak!L30*'Peak Hours'!$Y29)</f>
        <v>3045258.73202145</v>
      </c>
      <c r="G29" s="417" t="n">
        <f aca="false">IF($A$1="BL",0,'Peak Hours'!G29*Peak!M30*'Peak Hours'!$Y29)</f>
        <v>1551620.7672092</v>
      </c>
      <c r="H29" s="417" t="n">
        <f aca="false">IF($A$1="BL",0,'Peak Hours'!H29*Peak!N30*'Peak Hours'!$Y29)</f>
        <v>1229431.66644886</v>
      </c>
      <c r="I29" s="417" t="n">
        <f aca="false">IF($A$1="BL",0,'Peak Hours'!I29*Peak!O30*'Peak Hours'!$Y29)</f>
        <v>0</v>
      </c>
      <c r="J29" s="417" t="n">
        <f aca="false">IF($A$1="BL",0,'Peak Hours'!J29*Peak!P30*'Peak Hours'!$Y29)</f>
        <v>0</v>
      </c>
      <c r="K29" s="417" t="n">
        <f aca="false">IF($A$1="BL",0,'Peak Hours'!K29*Peak!Q30*'Peak Hours'!$Y29)</f>
        <v>0</v>
      </c>
      <c r="L29" s="417" t="n">
        <f aca="false">IF($A$1="BL",0,'Peak Hours'!L29*Peak!R30*'Peak Hours'!$Y29)</f>
        <v>0</v>
      </c>
      <c r="M29" s="417" t="n">
        <f aca="false">IF($A$1="BL",0,'Peak Hours'!M29*Peak!S30*'Peak Hours'!$Y29)</f>
        <v>0</v>
      </c>
      <c r="N29" s="417" t="n">
        <f aca="false">IF($A$1="BL",0,'Peak Hours'!N29*Peak!T30*'Peak Hours'!$Y29)</f>
        <v>0</v>
      </c>
      <c r="O29" s="417" t="n">
        <f aca="false">IF($A$1="BL",0,'Peak Hours'!O29*Peak!U30*'Peak Hours'!$Y29)</f>
        <v>0</v>
      </c>
      <c r="P29" s="417" t="n">
        <f aca="false">IF($A$1="BL",0,'Peak Hours'!P29*Peak!V30*'Peak Hours'!$Y29)</f>
        <v>0</v>
      </c>
      <c r="Q29" s="417" t="n">
        <f aca="false">IF($A$1="BL",0,'Peak Hours'!Q29*Peak!W30*'Peak Hours'!$Y29)</f>
        <v>0</v>
      </c>
      <c r="R29" s="417" t="n">
        <f aca="false">IF($A$1="BL",0,'Peak Hours'!R29*Peak!X30*'Peak Hours'!$Y29)</f>
        <v>0</v>
      </c>
      <c r="S29" s="417" t="n">
        <f aca="false">IF($A$1="BL",0,'Peak Hours'!S29*Peak!Y30*'Peak Hours'!$Y29)</f>
        <v>0</v>
      </c>
      <c r="T29" s="417" t="n">
        <f aca="false">IF($A$1="BL",0,'Peak Hours'!T29*Peak!Z30*'Peak Hours'!$Y29)</f>
        <v>0</v>
      </c>
      <c r="U29" s="417" t="n">
        <f aca="false">IF($A$1="BL",0,'Peak Hours'!U29*Peak!AA30*'Peak Hours'!$Y29)</f>
        <v>0</v>
      </c>
      <c r="V29" s="424"/>
      <c r="W29" s="422" t="n">
        <f aca="false">(IF($A$1="BL",0,Peak!C30*'Peak Hours'!V29*'Peak Hours'!$Y29))*-1</f>
        <v>-3909049.54495538</v>
      </c>
      <c r="X29" s="424"/>
      <c r="Y29" s="422" t="n">
        <f aca="false">(IF($A$1="bl",0,Peak!D30*'Peak Hours'!V29*'Peak Hours'!$Y29))*-1</f>
        <v>-59348.1737137114</v>
      </c>
      <c r="Z29" s="424"/>
      <c r="AA29" s="422" t="n">
        <f aca="false">(Peak!E30*'Peak Hours'!V29*'Peak Hours'!$Y29)*-1</f>
        <v>-0</v>
      </c>
      <c r="AB29" s="425"/>
      <c r="AC29" s="422" t="n">
        <f aca="false">(Peak!F30*'Peak Hours'!V29*'Peak Hours'!$Y29)*-1</f>
        <v>-0</v>
      </c>
      <c r="AD29" s="425"/>
    </row>
    <row r="30" customFormat="false" ht="12.75" hidden="false" customHeight="false" outlineLevel="0" collapsed="false">
      <c r="A30" s="400" t="n">
        <f aca="false">A29+30.417</f>
        <v>37148.34</v>
      </c>
      <c r="B30" s="417" t="n">
        <f aca="false">IF($A$1="BL",0,'Peak Hours'!B30*Peak!H31*'Peak Hours'!$Y30)</f>
        <v>1559187.41838148</v>
      </c>
      <c r="C30" s="417" t="n">
        <f aca="false">IF($A$1="BL",0,'Peak Hours'!C30*Peak!I31*'Peak Hours'!$Y30)</f>
        <v>887158.175614088</v>
      </c>
      <c r="D30" s="417" t="n">
        <f aca="false">IF($A$1="BL",0,'Peak Hours'!D30*Peak!J31*'Peak Hours'!$Y30)</f>
        <v>1220904.81694311</v>
      </c>
      <c r="E30" s="417" t="n">
        <f aca="false">IF($A$1="BL",0,'Peak Hours'!E30*Peak!K31*'Peak Hours'!$Y30)</f>
        <v>981550.343453471</v>
      </c>
      <c r="F30" s="417" t="n">
        <f aca="false">IF($A$1="BL",0,'Peak Hours'!F30*Peak!L31*'Peak Hours'!$Y30)</f>
        <v>668779.120244729</v>
      </c>
      <c r="G30" s="417" t="n">
        <f aca="false">IF($A$1="BL",0,'Peak Hours'!G30*Peak!M31*'Peak Hours'!$Y30)</f>
        <v>1164559.9443688</v>
      </c>
      <c r="H30" s="417" t="n">
        <f aca="false">IF($A$1="BL",0,'Peak Hours'!H30*Peak!N31*'Peak Hours'!$Y30)</f>
        <v>0</v>
      </c>
      <c r="I30" s="417" t="n">
        <f aca="false">IF($A$1="BL",0,'Peak Hours'!I30*Peak!O31*'Peak Hours'!$Y30)</f>
        <v>0</v>
      </c>
      <c r="J30" s="417" t="n">
        <f aca="false">IF($A$1="BL",0,'Peak Hours'!J30*Peak!P31*'Peak Hours'!$Y30)</f>
        <v>0</v>
      </c>
      <c r="K30" s="417" t="n">
        <f aca="false">IF($A$1="BL",0,'Peak Hours'!K30*Peak!Q31*'Peak Hours'!$Y30)</f>
        <v>0</v>
      </c>
      <c r="L30" s="417" t="n">
        <f aca="false">IF($A$1="BL",0,'Peak Hours'!L30*Peak!R31*'Peak Hours'!$Y30)</f>
        <v>0</v>
      </c>
      <c r="M30" s="417" t="n">
        <f aca="false">IF($A$1="BL",0,'Peak Hours'!M30*Peak!S31*'Peak Hours'!$Y30)</f>
        <v>0</v>
      </c>
      <c r="N30" s="417" t="n">
        <f aca="false">IF($A$1="BL",0,'Peak Hours'!N30*Peak!T31*'Peak Hours'!$Y30)</f>
        <v>0</v>
      </c>
      <c r="O30" s="417" t="n">
        <f aca="false">IF($A$1="BL",0,'Peak Hours'!O30*Peak!U31*'Peak Hours'!$Y30)</f>
        <v>0</v>
      </c>
      <c r="P30" s="417" t="n">
        <f aca="false">IF($A$1="BL",0,'Peak Hours'!P30*Peak!V31*'Peak Hours'!$Y30)</f>
        <v>0</v>
      </c>
      <c r="Q30" s="417" t="n">
        <f aca="false">IF($A$1="BL",0,'Peak Hours'!Q30*Peak!W31*'Peak Hours'!$Y30)</f>
        <v>0</v>
      </c>
      <c r="R30" s="417" t="n">
        <f aca="false">IF($A$1="BL",0,'Peak Hours'!R30*Peak!X31*'Peak Hours'!$Y30)</f>
        <v>0</v>
      </c>
      <c r="S30" s="417" t="n">
        <f aca="false">IF($A$1="BL",0,'Peak Hours'!S30*Peak!Y31*'Peak Hours'!$Y30)</f>
        <v>0</v>
      </c>
      <c r="T30" s="417" t="n">
        <f aca="false">IF($A$1="BL",0,'Peak Hours'!T30*Peak!Z31*'Peak Hours'!$Y30)</f>
        <v>0</v>
      </c>
      <c r="U30" s="417" t="n">
        <f aca="false">IF($A$1="BL",0,'Peak Hours'!U30*Peak!AA31*'Peak Hours'!$Y30)</f>
        <v>0</v>
      </c>
      <c r="V30" s="424"/>
      <c r="W30" s="422" t="n">
        <f aca="false">(IF($A$1="BL",0,Peak!C31*'Peak Hours'!V30*'Peak Hours'!$Y30))*-1</f>
        <v>-2736393.24775253</v>
      </c>
      <c r="X30" s="424"/>
      <c r="Y30" s="422" t="n">
        <f aca="false">(IF($A$1="bl",0,Peak!D31*'Peak Hours'!V30*'Peak Hours'!$Y30))*-1</f>
        <v>-41753.6519595714</v>
      </c>
      <c r="Z30" s="424"/>
      <c r="AA30" s="422" t="n">
        <f aca="false">(Peak!E31*'Peak Hours'!V30*'Peak Hours'!$Y30)*-1</f>
        <v>-0</v>
      </c>
      <c r="AB30" s="425"/>
      <c r="AC30" s="422" t="n">
        <f aca="false">(Peak!F31*'Peak Hours'!V30*'Peak Hours'!$Y30)*-1</f>
        <v>-0</v>
      </c>
      <c r="AD30" s="425"/>
    </row>
    <row r="31" customFormat="false" ht="12.75" hidden="false" customHeight="false" outlineLevel="0" collapsed="false">
      <c r="A31" s="400" t="n">
        <f aca="false">A30+30.417</f>
        <v>37178.757</v>
      </c>
      <c r="B31" s="417" t="n">
        <f aca="false">IF($A$1="BL",0,'Peak Hours'!B31*Peak!H32*'Peak Hours'!$Y31)</f>
        <v>205292.589478313</v>
      </c>
      <c r="C31" s="417" t="n">
        <f aca="false">IF($A$1="BL",0,'Peak Hours'!C31*Peak!I32*'Peak Hours'!$Y31)</f>
        <v>201658.181194554</v>
      </c>
      <c r="D31" s="417" t="n">
        <f aca="false">IF($A$1="BL",0,'Peak Hours'!D31*Peak!J32*'Peak Hours'!$Y31)</f>
        <v>395258.972832097</v>
      </c>
      <c r="E31" s="417" t="n">
        <f aca="false">IF($A$1="BL",0,'Peak Hours'!E31*Peak!K32*'Peak Hours'!$Y31)</f>
        <v>747546.243610255</v>
      </c>
      <c r="F31" s="417" t="n">
        <f aca="false">IF($A$1="BL",0,'Peak Hours'!F31*Peak!L32*'Peak Hours'!$Y31)</f>
        <v>727815.345051431</v>
      </c>
      <c r="G31" s="417" t="n">
        <f aca="false">IF($A$1="BL",0,'Peak Hours'!G31*Peak!M32*'Peak Hours'!$Y31)</f>
        <v>1453156.09841273</v>
      </c>
      <c r="H31" s="417" t="n">
        <f aca="false">IF($A$1="BL",0,'Peak Hours'!H31*Peak!N32*'Peak Hours'!$Y31)</f>
        <v>1407798.95634823</v>
      </c>
      <c r="I31" s="417" t="n">
        <f aca="false">IF($A$1="BL",0,'Peak Hours'!I31*Peak!O32*'Peak Hours'!$Y31)</f>
        <v>0</v>
      </c>
      <c r="J31" s="417" t="n">
        <f aca="false">IF($A$1="BL",0,'Peak Hours'!J31*Peak!P32*'Peak Hours'!$Y31)</f>
        <v>0</v>
      </c>
      <c r="K31" s="417" t="n">
        <f aca="false">IF($A$1="BL",0,'Peak Hours'!K31*Peak!Q32*'Peak Hours'!$Y31)</f>
        <v>0</v>
      </c>
      <c r="L31" s="417" t="n">
        <f aca="false">IF($A$1="BL",0,'Peak Hours'!L31*Peak!R32*'Peak Hours'!$Y31)</f>
        <v>0</v>
      </c>
      <c r="M31" s="417" t="n">
        <f aca="false">IF($A$1="BL",0,'Peak Hours'!M31*Peak!S32*'Peak Hours'!$Y31)</f>
        <v>0</v>
      </c>
      <c r="N31" s="417" t="n">
        <f aca="false">IF($A$1="BL",0,'Peak Hours'!N31*Peak!T32*'Peak Hours'!$Y31)</f>
        <v>0</v>
      </c>
      <c r="O31" s="417" t="n">
        <f aca="false">IF($A$1="BL",0,'Peak Hours'!O31*Peak!U32*'Peak Hours'!$Y31)</f>
        <v>0</v>
      </c>
      <c r="P31" s="417" t="n">
        <f aca="false">IF($A$1="BL",0,'Peak Hours'!P31*Peak!V32*'Peak Hours'!$Y31)</f>
        <v>0</v>
      </c>
      <c r="Q31" s="417" t="n">
        <f aca="false">IF($A$1="BL",0,'Peak Hours'!Q31*Peak!W32*'Peak Hours'!$Y31)</f>
        <v>0</v>
      </c>
      <c r="R31" s="417" t="n">
        <f aca="false">IF($A$1="BL",0,'Peak Hours'!R31*Peak!X32*'Peak Hours'!$Y31)</f>
        <v>0</v>
      </c>
      <c r="S31" s="417" t="n">
        <f aca="false">IF($A$1="BL",0,'Peak Hours'!S31*Peak!Y32*'Peak Hours'!$Y31)</f>
        <v>0</v>
      </c>
      <c r="T31" s="417" t="n">
        <f aca="false">IF($A$1="BL",0,'Peak Hours'!T31*Peak!Z32*'Peak Hours'!$Y31)</f>
        <v>0</v>
      </c>
      <c r="U31" s="417" t="n">
        <f aca="false">IF($A$1="BL",0,'Peak Hours'!U31*Peak!AA32*'Peak Hours'!$Y31)</f>
        <v>0</v>
      </c>
      <c r="V31" s="424"/>
      <c r="W31" s="422" t="n">
        <f aca="false">(IF($A$1="BL",0,Peak!C32*'Peak Hours'!V31*'Peak Hours'!$Y31))*-1</f>
        <v>-4242788.45558584</v>
      </c>
      <c r="X31" s="424"/>
      <c r="Y31" s="422" t="n">
        <f aca="false">(IF($A$1="bl",0,Peak!D32*'Peak Hours'!V31*'Peak Hours'!$Y31))*-1</f>
        <v>-58552.5379313056</v>
      </c>
      <c r="Z31" s="424"/>
      <c r="AA31" s="422" t="n">
        <f aca="false">(Peak!E32*'Peak Hours'!V31*'Peak Hours'!$Y31)*-1</f>
        <v>-0</v>
      </c>
      <c r="AB31" s="425"/>
      <c r="AC31" s="422" t="n">
        <f aca="false">(Peak!F32*'Peak Hours'!V31*'Peak Hours'!$Y31)*-1</f>
        <v>-0</v>
      </c>
      <c r="AD31" s="425"/>
    </row>
    <row r="32" customFormat="false" ht="12.75" hidden="false" customHeight="false" outlineLevel="0" collapsed="false">
      <c r="A32" s="400" t="n">
        <f aca="false">A31+30.417</f>
        <v>37209.174</v>
      </c>
      <c r="B32" s="417" t="n">
        <f aca="false">IF($A$1="BL",0,'Peak Hours'!B32*Peak!H33*'Peak Hours'!$Y32)</f>
        <v>300053.896242229</v>
      </c>
      <c r="C32" s="417" t="n">
        <f aca="false">IF($A$1="BL",0,'Peak Hours'!C32*Peak!I33*'Peak Hours'!$Y32)</f>
        <v>265098.311690839</v>
      </c>
      <c r="D32" s="417" t="n">
        <f aca="false">IF($A$1="BL",0,'Peak Hours'!D32*Peak!J33*'Peak Hours'!$Y32)</f>
        <v>464783.858893417</v>
      </c>
      <c r="E32" s="417" t="n">
        <f aca="false">IF($A$1="BL",0,'Peak Hours'!E32*Peak!K33*'Peak Hours'!$Y32)</f>
        <v>793005.518088542</v>
      </c>
      <c r="F32" s="417" t="n">
        <f aca="false">IF($A$1="BL",0,'Peak Hours'!F32*Peak!L33*'Peak Hours'!$Y32)</f>
        <v>760285.823505734</v>
      </c>
      <c r="G32" s="417" t="n">
        <f aca="false">IF($A$1="BL",0,'Peak Hours'!G32*Peak!M33*'Peak Hours'!$Y32)</f>
        <v>1425281.00095223</v>
      </c>
      <c r="H32" s="417" t="n">
        <f aca="false">IF($A$1="BL",0,'Peak Hours'!H32*Peak!N33*'Peak Hours'!$Y32)</f>
        <v>1358467.65487682</v>
      </c>
      <c r="I32" s="417" t="n">
        <f aca="false">IF($A$1="BL",0,'Peak Hours'!I32*Peak!O33*'Peak Hours'!$Y32)</f>
        <v>1355795.78983863</v>
      </c>
      <c r="J32" s="417" t="n">
        <f aca="false">IF($A$1="BL",0,'Peak Hours'!J32*Peak!P33*'Peak Hours'!$Y32)</f>
        <v>0</v>
      </c>
      <c r="K32" s="417" t="n">
        <f aca="false">IF($A$1="BL",0,'Peak Hours'!K32*Peak!Q33*'Peak Hours'!$Y32)</f>
        <v>0</v>
      </c>
      <c r="L32" s="417" t="n">
        <f aca="false">IF($A$1="BL",0,'Peak Hours'!L32*Peak!R33*'Peak Hours'!$Y32)</f>
        <v>0</v>
      </c>
      <c r="M32" s="417" t="n">
        <f aca="false">IF($A$1="BL",0,'Peak Hours'!M32*Peak!S33*'Peak Hours'!$Y32)</f>
        <v>0</v>
      </c>
      <c r="N32" s="417" t="n">
        <f aca="false">IF($A$1="BL",0,'Peak Hours'!N32*Peak!T33*'Peak Hours'!$Y32)</f>
        <v>0</v>
      </c>
      <c r="O32" s="417" t="n">
        <f aca="false">IF($A$1="BL",0,'Peak Hours'!O32*Peak!U33*'Peak Hours'!$Y32)</f>
        <v>0</v>
      </c>
      <c r="P32" s="417" t="n">
        <f aca="false">IF($A$1="BL",0,'Peak Hours'!P32*Peak!V33*'Peak Hours'!$Y32)</f>
        <v>0</v>
      </c>
      <c r="Q32" s="417" t="n">
        <f aca="false">IF($A$1="BL",0,'Peak Hours'!Q32*Peak!W33*'Peak Hours'!$Y32)</f>
        <v>0</v>
      </c>
      <c r="R32" s="417" t="n">
        <f aca="false">IF($A$1="BL",0,'Peak Hours'!R32*Peak!X33*'Peak Hours'!$Y32)</f>
        <v>0</v>
      </c>
      <c r="S32" s="417" t="n">
        <f aca="false">IF($A$1="BL",0,'Peak Hours'!S32*Peak!Y33*'Peak Hours'!$Y32)</f>
        <v>0</v>
      </c>
      <c r="T32" s="417" t="n">
        <f aca="false">IF($A$1="BL",0,'Peak Hours'!T32*Peak!Z33*'Peak Hours'!$Y32)</f>
        <v>0</v>
      </c>
      <c r="U32" s="417" t="n">
        <f aca="false">IF($A$1="BL",0,'Peak Hours'!U32*Peak!AA33*'Peak Hours'!$Y32)</f>
        <v>0</v>
      </c>
      <c r="V32" s="424"/>
      <c r="W32" s="422" t="n">
        <f aca="false">(IF($A$1="BL",0,Peak!C33*'Peak Hours'!V32*'Peak Hours'!$Y32))*-1</f>
        <v>-5973488.23871085</v>
      </c>
      <c r="X32" s="424"/>
      <c r="Y32" s="422" t="n">
        <f aca="false">(IF($A$1="bl",0,Peak!D33*'Peak Hours'!V32*'Peak Hours'!$Y32))*-1</f>
        <v>-75407.3042072457</v>
      </c>
      <c r="Z32" s="424"/>
      <c r="AA32" s="422" t="n">
        <f aca="false">(Peak!E33*'Peak Hours'!V32*'Peak Hours'!$Y32)*-1</f>
        <v>-0</v>
      </c>
      <c r="AB32" s="425"/>
      <c r="AC32" s="422" t="n">
        <f aca="false">(Peak!F33*'Peak Hours'!V32*'Peak Hours'!$Y32)*-1</f>
        <v>-0</v>
      </c>
      <c r="AD32" s="425"/>
    </row>
    <row r="33" customFormat="false" ht="12.75" hidden="false" customHeight="false" outlineLevel="0" collapsed="false">
      <c r="A33" s="400" t="n">
        <f aca="false">A32+30.417</f>
        <v>37239.591</v>
      </c>
      <c r="B33" s="417" t="n">
        <f aca="false">IF($A$1="BL",0,'Peak Hours'!B33*Peak!H34*'Peak Hours'!$Y33)</f>
        <v>303909.037330729</v>
      </c>
      <c r="C33" s="417" t="n">
        <f aca="false">IF($A$1="BL",0,'Peak Hours'!C33*Peak!I34*'Peak Hours'!$Y33)</f>
        <v>292289.92157067</v>
      </c>
      <c r="D33" s="417" t="n">
        <f aca="false">IF($A$1="BL",0,'Peak Hours'!D33*Peak!J34*'Peak Hours'!$Y33)</f>
        <v>565662.130615777</v>
      </c>
      <c r="E33" s="417" t="n">
        <f aca="false">IF($A$1="BL",0,'Peak Hours'!E33*Peak!K34*'Peak Hours'!$Y33)</f>
        <v>1124782.1991699</v>
      </c>
      <c r="F33" s="417" t="n">
        <f aca="false">IF($A$1="BL",0,'Peak Hours'!F33*Peak!L34*'Peak Hours'!$Y33)</f>
        <v>1124557.76305076</v>
      </c>
      <c r="G33" s="417" t="n">
        <f aca="false">IF($A$1="BL",0,'Peak Hours'!G33*Peak!M34*'Peak Hours'!$Y33)</f>
        <v>2151214.61226302</v>
      </c>
      <c r="H33" s="417" t="n">
        <f aca="false">IF($A$1="BL",0,'Peak Hours'!H33*Peak!N34*'Peak Hours'!$Y33)</f>
        <v>1713224.37225278</v>
      </c>
      <c r="I33" s="417" t="n">
        <f aca="false">IF($A$1="BL",0,'Peak Hours'!I33*Peak!O34*'Peak Hours'!$Y33)</f>
        <v>1517259.72584239</v>
      </c>
      <c r="J33" s="417" t="n">
        <f aca="false">IF($A$1="BL",0,'Peak Hours'!J33*Peak!P34*'Peak Hours'!$Y33)</f>
        <v>1444491.83954755</v>
      </c>
      <c r="K33" s="417" t="n">
        <f aca="false">IF($A$1="BL",0,'Peak Hours'!K33*Peak!Q34*'Peak Hours'!$Y33)</f>
        <v>1442251.2162029</v>
      </c>
      <c r="L33" s="417" t="n">
        <f aca="false">IF($A$1="BL",0,'Peak Hours'!L33*Peak!R34*'Peak Hours'!$Y33)</f>
        <v>0</v>
      </c>
      <c r="M33" s="417" t="n">
        <f aca="false">IF($A$1="BL",0,'Peak Hours'!M33*Peak!S34*'Peak Hours'!$Y33)</f>
        <v>0</v>
      </c>
      <c r="N33" s="417" t="n">
        <f aca="false">IF($A$1="BL",0,'Peak Hours'!N33*Peak!T34*'Peak Hours'!$Y33)</f>
        <v>0</v>
      </c>
      <c r="O33" s="417" t="n">
        <f aca="false">IF($A$1="BL",0,'Peak Hours'!O33*Peak!U34*'Peak Hours'!$Y33)</f>
        <v>0</v>
      </c>
      <c r="P33" s="417" t="n">
        <f aca="false">IF($A$1="BL",0,'Peak Hours'!P33*Peak!V34*'Peak Hours'!$Y33)</f>
        <v>0</v>
      </c>
      <c r="Q33" s="417" t="n">
        <f aca="false">IF($A$1="BL",0,'Peak Hours'!Q33*Peak!W34*'Peak Hours'!$Y33)</f>
        <v>0</v>
      </c>
      <c r="R33" s="417" t="n">
        <f aca="false">IF($A$1="BL",0,'Peak Hours'!R33*Peak!X34*'Peak Hours'!$Y33)</f>
        <v>0</v>
      </c>
      <c r="S33" s="417" t="n">
        <f aca="false">IF($A$1="BL",0,'Peak Hours'!S33*Peak!Y34*'Peak Hours'!$Y33)</f>
        <v>0</v>
      </c>
      <c r="T33" s="417" t="n">
        <f aca="false">IF($A$1="BL",0,'Peak Hours'!T33*Peak!Z34*'Peak Hours'!$Y33)</f>
        <v>0</v>
      </c>
      <c r="U33" s="417" t="n">
        <f aca="false">IF($A$1="BL",0,'Peak Hours'!U33*Peak!AA34*'Peak Hours'!$Y33)</f>
        <v>0</v>
      </c>
      <c r="V33" s="426" t="n">
        <f aca="false">SUM(B22:U33)</f>
        <v>120377710.54243</v>
      </c>
      <c r="W33" s="422" t="n">
        <f aca="false">(IF($A$1="BL",0,Peak!C34*'Peak Hours'!V33*'Peak Hours'!$Y33))*-1</f>
        <v>-9084611.76991141</v>
      </c>
      <c r="X33" s="426" t="n">
        <f aca="false">SUM(W22:W33)</f>
        <v>-58074337.2357087</v>
      </c>
      <c r="Y33" s="422" t="n">
        <f aca="false">(IF($A$1="bl",0,Peak!D34*'Peak Hours'!V33*'Peak Hours'!$Y33))*-1</f>
        <v>-106148.98389646</v>
      </c>
      <c r="Z33" s="426" t="n">
        <f aca="false">SUM(Y22:Y33)</f>
        <v>-779656.834451611</v>
      </c>
      <c r="AA33" s="422" t="n">
        <f aca="false">(Peak!E34*'Peak Hours'!V33*'Peak Hours'!$Y33)*-1</f>
        <v>-0</v>
      </c>
      <c r="AB33" s="427" t="n">
        <f aca="false">SUM(AA22:AA33)</f>
        <v>0</v>
      </c>
      <c r="AC33" s="422" t="n">
        <f aca="false">(Peak!F34*'Peak Hours'!V33*'Peak Hours'!$Y33)*-1</f>
        <v>-0</v>
      </c>
      <c r="AD33" s="427" t="n">
        <f aca="false">SUM(AC22:AC33)</f>
        <v>0</v>
      </c>
    </row>
    <row r="34" customFormat="false" ht="12.75" hidden="false" customHeight="false" outlineLevel="0" collapsed="false">
      <c r="A34" s="400" t="n">
        <f aca="false">A33+30.417</f>
        <v>37270.008</v>
      </c>
      <c r="B34" s="417" t="n">
        <f aca="false">IF($A$1="BL",0,'Peak Hours'!B34*Peak!H35*'Peak Hours'!$Y34)</f>
        <v>252890.774339995</v>
      </c>
      <c r="C34" s="417" t="n">
        <f aca="false">IF($A$1="BL",0,'Peak Hours'!C34*Peak!I35*'Peak Hours'!$Y34)</f>
        <v>246672.78642606</v>
      </c>
      <c r="D34" s="417" t="n">
        <f aca="false">IF($A$1="BL",0,'Peak Hours'!D34*Peak!J35*'Peak Hours'!$Y34)</f>
        <v>480788.283593643</v>
      </c>
      <c r="E34" s="417" t="n">
        <f aca="false">IF($A$1="BL",0,'Peak Hours'!E34*Peak!K35*'Peak Hours'!$Y34)</f>
        <v>908259.04254078</v>
      </c>
      <c r="F34" s="417" t="n">
        <f aca="false">IF($A$1="BL",0,'Peak Hours'!F34*Peak!L35*'Peak Hours'!$Y34)</f>
        <v>894769.079808138</v>
      </c>
      <c r="G34" s="417" t="n">
        <f aca="false">IF($A$1="BL",0,'Peak Hours'!G34*Peak!M35*'Peak Hours'!$Y34)</f>
        <v>1780208.13497339</v>
      </c>
      <c r="H34" s="417" t="n">
        <f aca="false">IF($A$1="BL",0,'Peak Hours'!H34*Peak!N35*'Peak Hours'!$Y34)</f>
        <v>1679503.92554317</v>
      </c>
      <c r="I34" s="417" t="n">
        <f aca="false">IF($A$1="BL",0,'Peak Hours'!I34*Peak!O35*'Peak Hours'!$Y34)</f>
        <v>1370489.21930215</v>
      </c>
      <c r="J34" s="417" t="n">
        <f aca="false">IF($A$1="BL",0,'Peak Hours'!J34*Peak!P35*'Peak Hours'!$Y34)</f>
        <v>0</v>
      </c>
      <c r="K34" s="417" t="n">
        <f aca="false">IF($A$1="BL",0,'Peak Hours'!K34*Peak!Q35*'Peak Hours'!$Y34)</f>
        <v>0</v>
      </c>
      <c r="L34" s="417" t="n">
        <f aca="false">IF($A$1="BL",0,'Peak Hours'!L34*Peak!R35*'Peak Hours'!$Y34)</f>
        <v>0</v>
      </c>
      <c r="M34" s="417" t="n">
        <f aca="false">IF($A$1="BL",0,'Peak Hours'!M34*Peak!S35*'Peak Hours'!$Y34)</f>
        <v>0</v>
      </c>
      <c r="N34" s="417" t="n">
        <f aca="false">IF($A$1="BL",0,'Peak Hours'!N34*Peak!T35*'Peak Hours'!$Y34)</f>
        <v>0</v>
      </c>
      <c r="O34" s="417" t="n">
        <f aca="false">IF($A$1="BL",0,'Peak Hours'!O34*Peak!U35*'Peak Hours'!$Y34)</f>
        <v>0</v>
      </c>
      <c r="P34" s="417" t="n">
        <f aca="false">IF($A$1="BL",0,'Peak Hours'!P34*Peak!V35*'Peak Hours'!$Y34)</f>
        <v>0</v>
      </c>
      <c r="Q34" s="417" t="n">
        <f aca="false">IF($A$1="BL",0,'Peak Hours'!Q34*Peak!W35*'Peak Hours'!$Y34)</f>
        <v>0</v>
      </c>
      <c r="R34" s="417" t="n">
        <f aca="false">IF($A$1="BL",0,'Peak Hours'!R34*Peak!X35*'Peak Hours'!$Y34)</f>
        <v>0</v>
      </c>
      <c r="S34" s="417" t="n">
        <f aca="false">IF($A$1="BL",0,'Peak Hours'!S34*Peak!Y35*'Peak Hours'!$Y34)</f>
        <v>0</v>
      </c>
      <c r="T34" s="417" t="n">
        <f aca="false">IF($A$1="BL",0,'Peak Hours'!T34*Peak!Z35*'Peak Hours'!$Y34)</f>
        <v>0</v>
      </c>
      <c r="U34" s="417" t="n">
        <f aca="false">IF($A$1="BL",0,'Peak Hours'!U34*Peak!AA35*'Peak Hours'!$Y34)</f>
        <v>0</v>
      </c>
      <c r="V34" s="424"/>
      <c r="W34" s="422" t="n">
        <f aca="false">(IF($A$1="BL",0,Peak!C35*'Peak Hours'!V34*'Peak Hours'!$Y34))*-1</f>
        <v>-5516841.36574264</v>
      </c>
      <c r="X34" s="424"/>
      <c r="Y34" s="422" t="n">
        <f aca="false">(IF($A$1="bl",0,Peak!D35*'Peak Hours'!V34*'Peak Hours'!$Y34))*-1</f>
        <v>-73610.2376789685</v>
      </c>
      <c r="Z34" s="424"/>
      <c r="AA34" s="422" t="n">
        <f aca="false">(Peak!E35*'Peak Hours'!V34*'Peak Hours'!$Y34)*-1</f>
        <v>-0</v>
      </c>
      <c r="AB34" s="425"/>
      <c r="AC34" s="422" t="n">
        <f aca="false">(Peak!F35*'Peak Hours'!V34*'Peak Hours'!$Y34)*-1</f>
        <v>-0</v>
      </c>
      <c r="AD34" s="425"/>
    </row>
    <row r="35" customFormat="false" ht="12.75" hidden="false" customHeight="false" outlineLevel="0" collapsed="false">
      <c r="A35" s="400" t="n">
        <f aca="false">A34+30.417</f>
        <v>37300.425</v>
      </c>
      <c r="B35" s="417" t="n">
        <f aca="false">IF($A$1="BL",0,'Peak Hours'!B35*Peak!H36*'Peak Hours'!$Y35)</f>
        <v>611009.541230401</v>
      </c>
      <c r="C35" s="417" t="n">
        <f aca="false">IF($A$1="BL",0,'Peak Hours'!C35*Peak!I36*'Peak Hours'!$Y35)</f>
        <v>338913.01939127</v>
      </c>
      <c r="D35" s="417" t="n">
        <f aca="false">IF($A$1="BL",0,'Peak Hours'!D35*Peak!J36*'Peak Hours'!$Y35)</f>
        <v>560778.811847706</v>
      </c>
      <c r="E35" s="417" t="n">
        <f aca="false">IF($A$1="BL",0,'Peak Hours'!E35*Peak!K36*'Peak Hours'!$Y35)</f>
        <v>850449.627152105</v>
      </c>
      <c r="F35" s="417" t="n">
        <f aca="false">IF($A$1="BL",0,'Peak Hours'!F35*Peak!L36*'Peak Hours'!$Y35)</f>
        <v>723047.091585084</v>
      </c>
      <c r="G35" s="417" t="n">
        <f aca="false">IF($A$1="BL",0,'Peak Hours'!G35*Peak!M36*'Peak Hours'!$Y35)</f>
        <v>1360291.37639428</v>
      </c>
      <c r="H35" s="417" t="n">
        <f aca="false">IF($A$1="BL",0,'Peak Hours'!H35*Peak!N36*'Peak Hours'!$Y35)</f>
        <v>1259304.88212707</v>
      </c>
      <c r="I35" s="417" t="n">
        <f aca="false">IF($A$1="BL",0,'Peak Hours'!I35*Peak!O36*'Peak Hours'!$Y35)</f>
        <v>1248998.9951348</v>
      </c>
      <c r="J35" s="417" t="n">
        <f aca="false">IF($A$1="BL",0,'Peak Hours'!J35*Peak!P36*'Peak Hours'!$Y35)</f>
        <v>1183183.05406123</v>
      </c>
      <c r="K35" s="417" t="n">
        <f aca="false">IF($A$1="BL",0,'Peak Hours'!K35*Peak!Q36*'Peak Hours'!$Y35)</f>
        <v>0</v>
      </c>
      <c r="L35" s="417" t="n">
        <f aca="false">IF($A$1="BL",0,'Peak Hours'!L35*Peak!R36*'Peak Hours'!$Y35)</f>
        <v>0</v>
      </c>
      <c r="M35" s="417" t="n">
        <f aca="false">IF($A$1="BL",0,'Peak Hours'!M35*Peak!S36*'Peak Hours'!$Y35)</f>
        <v>0</v>
      </c>
      <c r="N35" s="417" t="n">
        <f aca="false">IF($A$1="BL",0,'Peak Hours'!N35*Peak!T36*'Peak Hours'!$Y35)</f>
        <v>0</v>
      </c>
      <c r="O35" s="417" t="n">
        <f aca="false">IF($A$1="BL",0,'Peak Hours'!O35*Peak!U36*'Peak Hours'!$Y35)</f>
        <v>0</v>
      </c>
      <c r="P35" s="417" t="n">
        <f aca="false">IF($A$1="BL",0,'Peak Hours'!P35*Peak!V36*'Peak Hours'!$Y35)</f>
        <v>0</v>
      </c>
      <c r="Q35" s="417" t="n">
        <f aca="false">IF($A$1="BL",0,'Peak Hours'!Q35*Peak!W36*'Peak Hours'!$Y35)</f>
        <v>0</v>
      </c>
      <c r="R35" s="417" t="n">
        <f aca="false">IF($A$1="BL",0,'Peak Hours'!R35*Peak!X36*'Peak Hours'!$Y35)</f>
        <v>0</v>
      </c>
      <c r="S35" s="417" t="n">
        <f aca="false">IF($A$1="BL",0,'Peak Hours'!S35*Peak!Y36*'Peak Hours'!$Y35)</f>
        <v>0</v>
      </c>
      <c r="T35" s="417" t="n">
        <f aca="false">IF($A$1="BL",0,'Peak Hours'!T35*Peak!Z36*'Peak Hours'!$Y35)</f>
        <v>0</v>
      </c>
      <c r="U35" s="417" t="n">
        <f aca="false">IF($A$1="BL",0,'Peak Hours'!U35*Peak!AA36*'Peak Hours'!$Y35)</f>
        <v>0</v>
      </c>
      <c r="V35" s="424"/>
      <c r="W35" s="422" t="n">
        <f aca="false">(IF($A$1="BL",0,Peak!C36*'Peak Hours'!V35*'Peak Hours'!$Y35))*-1</f>
        <v>-6043419.30934042</v>
      </c>
      <c r="X35" s="424"/>
      <c r="Y35" s="422" t="n">
        <f aca="false">(IF($A$1="bl",0,Peak!D36*'Peak Hours'!V35*'Peak Hours'!$Y35))*-1</f>
        <v>-90118.015054752</v>
      </c>
      <c r="Z35" s="424"/>
      <c r="AA35" s="422" t="n">
        <f aca="false">(Peak!E36*'Peak Hours'!V35*'Peak Hours'!$Y35)*-1</f>
        <v>-0</v>
      </c>
      <c r="AB35" s="425"/>
      <c r="AC35" s="422" t="n">
        <f aca="false">(Peak!F36*'Peak Hours'!V35*'Peak Hours'!$Y35)*-1</f>
        <v>-0</v>
      </c>
      <c r="AD35" s="425"/>
    </row>
    <row r="36" customFormat="false" ht="12.75" hidden="false" customHeight="false" outlineLevel="0" collapsed="false">
      <c r="A36" s="400" t="n">
        <f aca="false">A35+30.417</f>
        <v>37330.842</v>
      </c>
      <c r="B36" s="417" t="n">
        <f aca="false">IF($A$1="BL",0,'Peak Hours'!B36*Peak!H37*'Peak Hours'!$Y36)</f>
        <v>249389.264342275</v>
      </c>
      <c r="C36" s="417" t="n">
        <f aca="false">IF($A$1="BL",0,'Peak Hours'!C36*Peak!I37*'Peak Hours'!$Y36)</f>
        <v>240104.285495366</v>
      </c>
      <c r="D36" s="417" t="n">
        <f aca="false">IF($A$1="BL",0,'Peak Hours'!D36*Peak!J37*'Peak Hours'!$Y36)</f>
        <v>472280.60760739</v>
      </c>
      <c r="E36" s="417" t="n">
        <f aca="false">IF($A$1="BL",0,'Peak Hours'!E36*Peak!K37*'Peak Hours'!$Y36)</f>
        <v>895068.329366729</v>
      </c>
      <c r="F36" s="417" t="n">
        <f aca="false">IF($A$1="BL",0,'Peak Hours'!F36*Peak!L37*'Peak Hours'!$Y36)</f>
        <v>869530.223154061</v>
      </c>
      <c r="G36" s="417" t="n">
        <f aca="false">IF($A$1="BL",0,'Peak Hours'!G36*Peak!M37*'Peak Hours'!$Y36)</f>
        <v>1735140.08779188</v>
      </c>
      <c r="H36" s="417" t="n">
        <f aca="false">IF($A$1="BL",0,'Peak Hours'!H36*Peak!N37*'Peak Hours'!$Y36)</f>
        <v>1681465.85206843</v>
      </c>
      <c r="I36" s="417" t="n">
        <f aca="false">IF($A$1="BL",0,'Peak Hours'!I36*Peak!O37*'Peak Hours'!$Y36)</f>
        <v>1321207.95291594</v>
      </c>
      <c r="J36" s="417" t="n">
        <f aca="false">IF($A$1="BL",0,'Peak Hours'!J36*Peak!P37*'Peak Hours'!$Y36)</f>
        <v>1206546.90010486</v>
      </c>
      <c r="K36" s="417" t="n">
        <f aca="false">IF($A$1="BL",0,'Peak Hours'!K36*Peak!Q37*'Peak Hours'!$Y36)</f>
        <v>1202461.85707961</v>
      </c>
      <c r="L36" s="417" t="n">
        <f aca="false">IF($A$1="BL",0,'Peak Hours'!L36*Peak!R37*'Peak Hours'!$Y36)</f>
        <v>1198123.8058425</v>
      </c>
      <c r="M36" s="417" t="n">
        <f aca="false">IF($A$1="BL",0,'Peak Hours'!M36*Peak!S37*'Peak Hours'!$Y36)</f>
        <v>0</v>
      </c>
      <c r="N36" s="417" t="n">
        <f aca="false">IF($A$1="BL",0,'Peak Hours'!N36*Peak!T37*'Peak Hours'!$Y36)</f>
        <v>0</v>
      </c>
      <c r="O36" s="417" t="n">
        <f aca="false">IF($A$1="BL",0,'Peak Hours'!O36*Peak!U37*'Peak Hours'!$Y36)</f>
        <v>0</v>
      </c>
      <c r="P36" s="417" t="n">
        <f aca="false">IF($A$1="BL",0,'Peak Hours'!P36*Peak!V37*'Peak Hours'!$Y36)</f>
        <v>0</v>
      </c>
      <c r="Q36" s="417" t="n">
        <f aca="false">IF($A$1="BL",0,'Peak Hours'!Q36*Peak!W37*'Peak Hours'!$Y36)</f>
        <v>0</v>
      </c>
      <c r="R36" s="417" t="n">
        <f aca="false">IF($A$1="BL",0,'Peak Hours'!R36*Peak!X37*'Peak Hours'!$Y36)</f>
        <v>0</v>
      </c>
      <c r="S36" s="417" t="n">
        <f aca="false">IF($A$1="BL",0,'Peak Hours'!S36*Peak!Y37*'Peak Hours'!$Y36)</f>
        <v>0</v>
      </c>
      <c r="T36" s="417" t="n">
        <f aca="false">IF($A$1="BL",0,'Peak Hours'!T36*Peak!Z37*'Peak Hours'!$Y36)</f>
        <v>0</v>
      </c>
      <c r="U36" s="417" t="n">
        <f aca="false">IF($A$1="BL",0,'Peak Hours'!U36*Peak!AA37*'Peak Hours'!$Y36)</f>
        <v>0</v>
      </c>
      <c r="V36" s="424"/>
      <c r="W36" s="422" t="n">
        <f aca="false">(IF($A$1="BL",0,Peak!C37*'Peak Hours'!V36*'Peak Hours'!$Y36))*-1</f>
        <v>-8327951.14798265</v>
      </c>
      <c r="X36" s="424"/>
      <c r="Y36" s="422" t="n">
        <f aca="false">(IF($A$1="bl",0,Peak!D37*'Peak Hours'!V36*'Peak Hours'!$Y36))*-1</f>
        <v>-126518.79625674</v>
      </c>
      <c r="Z36" s="424"/>
      <c r="AA36" s="422" t="n">
        <f aca="false">(Peak!E37*'Peak Hours'!V36*'Peak Hours'!$Y36)*-1</f>
        <v>-0</v>
      </c>
      <c r="AB36" s="425"/>
      <c r="AC36" s="422" t="n">
        <f aca="false">(Peak!F37*'Peak Hours'!V36*'Peak Hours'!$Y36)*-1</f>
        <v>-0</v>
      </c>
      <c r="AD36" s="425"/>
    </row>
    <row r="37" customFormat="false" ht="12.75" hidden="false" customHeight="false" outlineLevel="0" collapsed="false">
      <c r="A37" s="400" t="n">
        <f aca="false">A36+30.417</f>
        <v>37361.259</v>
      </c>
      <c r="B37" s="417" t="n">
        <f aca="false">IF($A$1="BL",0,'Peak Hours'!B37*Peak!H38*'Peak Hours'!$Y37)</f>
        <v>231396.429114038</v>
      </c>
      <c r="C37" s="417" t="n">
        <f aca="false">IF($A$1="BL",0,'Peak Hours'!C37*Peak!I38*'Peak Hours'!$Y37)</f>
        <v>222275.645779379</v>
      </c>
      <c r="D37" s="417" t="n">
        <f aca="false">IF($A$1="BL",0,'Peak Hours'!D37*Peak!J38*'Peak Hours'!$Y37)</f>
        <v>430344.249215703</v>
      </c>
      <c r="E37" s="417" t="n">
        <f aca="false">IF($A$1="BL",0,'Peak Hours'!E37*Peak!K38*'Peak Hours'!$Y37)</f>
        <v>854229.284155769</v>
      </c>
      <c r="F37" s="417" t="n">
        <f aca="false">IF($A$1="BL",0,'Peak Hours'!F37*Peak!L38*'Peak Hours'!$Y37)</f>
        <v>849330.837825039</v>
      </c>
      <c r="G37" s="417" t="n">
        <f aca="false">IF($A$1="BL",0,'Peak Hours'!G37*Peak!M38*'Peak Hours'!$Y37)</f>
        <v>1611665.37192656</v>
      </c>
      <c r="H37" s="417" t="n">
        <f aca="false">IF($A$1="BL",0,'Peak Hours'!H37*Peak!N38*'Peak Hours'!$Y37)</f>
        <v>1266175.87061179</v>
      </c>
      <c r="I37" s="417" t="n">
        <f aca="false">IF($A$1="BL",0,'Peak Hours'!I37*Peak!O38*'Peak Hours'!$Y37)</f>
        <v>1134176.34233598</v>
      </c>
      <c r="J37" s="417" t="n">
        <f aca="false">IF($A$1="BL",0,'Peak Hours'!J37*Peak!P38*'Peak Hours'!$Y37)</f>
        <v>0</v>
      </c>
      <c r="K37" s="417" t="n">
        <f aca="false">IF($A$1="BL",0,'Peak Hours'!K37*Peak!Q38*'Peak Hours'!$Y37)</f>
        <v>0</v>
      </c>
      <c r="L37" s="417" t="n">
        <f aca="false">IF($A$1="BL",0,'Peak Hours'!L37*Peak!R38*'Peak Hours'!$Y37)</f>
        <v>0</v>
      </c>
      <c r="M37" s="417" t="n">
        <f aca="false">IF($A$1="BL",0,'Peak Hours'!M37*Peak!S38*'Peak Hours'!$Y37)</f>
        <v>0</v>
      </c>
      <c r="N37" s="417" t="n">
        <f aca="false">IF($A$1="BL",0,'Peak Hours'!N37*Peak!T38*'Peak Hours'!$Y37)</f>
        <v>0</v>
      </c>
      <c r="O37" s="417" t="n">
        <f aca="false">IF($A$1="BL",0,'Peak Hours'!O37*Peak!U38*'Peak Hours'!$Y37)</f>
        <v>0</v>
      </c>
      <c r="P37" s="417" t="n">
        <f aca="false">IF($A$1="BL",0,'Peak Hours'!P37*Peak!V38*'Peak Hours'!$Y37)</f>
        <v>0</v>
      </c>
      <c r="Q37" s="417" t="n">
        <f aca="false">IF($A$1="BL",0,'Peak Hours'!Q37*Peak!W38*'Peak Hours'!$Y37)</f>
        <v>0</v>
      </c>
      <c r="R37" s="417" t="n">
        <f aca="false">IF($A$1="BL",0,'Peak Hours'!R37*Peak!X38*'Peak Hours'!$Y37)</f>
        <v>0</v>
      </c>
      <c r="S37" s="417" t="n">
        <f aca="false">IF($A$1="BL",0,'Peak Hours'!S37*Peak!Y38*'Peak Hours'!$Y37)</f>
        <v>0</v>
      </c>
      <c r="T37" s="417" t="n">
        <f aca="false">IF($A$1="BL",0,'Peak Hours'!T37*Peak!Z38*'Peak Hours'!$Y37)</f>
        <v>0</v>
      </c>
      <c r="U37" s="417" t="n">
        <f aca="false">IF($A$1="BL",0,'Peak Hours'!U37*Peak!AA38*'Peak Hours'!$Y37)</f>
        <v>0</v>
      </c>
      <c r="V37" s="424"/>
      <c r="W37" s="422" t="n">
        <f aca="false">(IF($A$1="BL",0,Peak!C38*'Peak Hours'!V37*'Peak Hours'!$Y37))*-1</f>
        <v>-4750451.00694785</v>
      </c>
      <c r="X37" s="424"/>
      <c r="Y37" s="422" t="n">
        <f aca="false">(IF($A$1="bl",0,Peak!D38*'Peak Hours'!V37*'Peak Hours'!$Y37))*-1</f>
        <v>-76037.7965503009</v>
      </c>
      <c r="Z37" s="424"/>
      <c r="AA37" s="422" t="n">
        <f aca="false">(Peak!E38*'Peak Hours'!V37*'Peak Hours'!$Y37)*-1</f>
        <v>-0</v>
      </c>
      <c r="AB37" s="425"/>
      <c r="AC37" s="422" t="n">
        <f aca="false">(Peak!F38*'Peak Hours'!V37*'Peak Hours'!$Y37)*-1</f>
        <v>-0</v>
      </c>
      <c r="AD37" s="425"/>
    </row>
    <row r="38" customFormat="false" ht="12.75" hidden="false" customHeight="false" outlineLevel="0" collapsed="false">
      <c r="A38" s="400" t="n">
        <f aca="false">A37+30.417</f>
        <v>37391.676</v>
      </c>
      <c r="B38" s="417" t="n">
        <f aca="false">IF($A$1="BL",0,'Peak Hours'!B38*Peak!H39*'Peak Hours'!$Y38)</f>
        <v>204007.290000371</v>
      </c>
      <c r="C38" s="417" t="n">
        <f aca="false">IF($A$1="BL",0,'Peak Hours'!C38*Peak!I39*'Peak Hours'!$Y38)</f>
        <v>193435.985547898</v>
      </c>
      <c r="D38" s="417" t="n">
        <f aca="false">IF($A$1="BL",0,'Peak Hours'!D38*Peak!J39*'Peak Hours'!$Y38)</f>
        <v>371000.09531317</v>
      </c>
      <c r="E38" s="417" t="n">
        <f aca="false">IF($A$1="BL",0,'Peak Hours'!E38*Peak!K39*'Peak Hours'!$Y38)</f>
        <v>688022.30146595</v>
      </c>
      <c r="F38" s="417" t="n">
        <f aca="false">IF($A$1="BL",0,'Peak Hours'!F38*Peak!L39*'Peak Hours'!$Y38)</f>
        <v>680936.916196175</v>
      </c>
      <c r="G38" s="417" t="n">
        <f aca="false">IF($A$1="BL",0,'Peak Hours'!G38*Peak!M39*'Peak Hours'!$Y38)</f>
        <v>1213832.7647829</v>
      </c>
      <c r="H38" s="417" t="n">
        <f aca="false">IF($A$1="BL",0,'Peak Hours'!H38*Peak!N39*'Peak Hours'!$Y38)</f>
        <v>0</v>
      </c>
      <c r="I38" s="417" t="n">
        <f aca="false">IF($A$1="BL",0,'Peak Hours'!I38*Peak!O39*'Peak Hours'!$Y38)</f>
        <v>0</v>
      </c>
      <c r="J38" s="417" t="n">
        <f aca="false">IF($A$1="BL",0,'Peak Hours'!J38*Peak!P39*'Peak Hours'!$Y38)</f>
        <v>0</v>
      </c>
      <c r="K38" s="417" t="n">
        <f aca="false">IF($A$1="BL",0,'Peak Hours'!K38*Peak!Q39*'Peak Hours'!$Y38)</f>
        <v>0</v>
      </c>
      <c r="L38" s="417" t="n">
        <f aca="false">IF($A$1="BL",0,'Peak Hours'!L38*Peak!R39*'Peak Hours'!$Y38)</f>
        <v>0</v>
      </c>
      <c r="M38" s="417" t="n">
        <f aca="false">IF($A$1="BL",0,'Peak Hours'!M38*Peak!S39*'Peak Hours'!$Y38)</f>
        <v>0</v>
      </c>
      <c r="N38" s="417" t="n">
        <f aca="false">IF($A$1="BL",0,'Peak Hours'!N38*Peak!T39*'Peak Hours'!$Y38)</f>
        <v>0</v>
      </c>
      <c r="O38" s="417" t="n">
        <f aca="false">IF($A$1="BL",0,'Peak Hours'!O38*Peak!U39*'Peak Hours'!$Y38)</f>
        <v>0</v>
      </c>
      <c r="P38" s="417" t="n">
        <f aca="false">IF($A$1="BL",0,'Peak Hours'!P38*Peak!V39*'Peak Hours'!$Y38)</f>
        <v>0</v>
      </c>
      <c r="Q38" s="417" t="n">
        <f aca="false">IF($A$1="BL",0,'Peak Hours'!Q38*Peak!W39*'Peak Hours'!$Y38)</f>
        <v>0</v>
      </c>
      <c r="R38" s="417" t="n">
        <f aca="false">IF($A$1="BL",0,'Peak Hours'!R38*Peak!X39*'Peak Hours'!$Y38)</f>
        <v>0</v>
      </c>
      <c r="S38" s="417" t="n">
        <f aca="false">IF($A$1="BL",0,'Peak Hours'!S38*Peak!Y39*'Peak Hours'!$Y38)</f>
        <v>0</v>
      </c>
      <c r="T38" s="417" t="n">
        <f aca="false">IF($A$1="BL",0,'Peak Hours'!T38*Peak!Z39*'Peak Hours'!$Y38)</f>
        <v>0</v>
      </c>
      <c r="U38" s="417" t="n">
        <f aca="false">IF($A$1="BL",0,'Peak Hours'!U38*Peak!AA39*'Peak Hours'!$Y38)</f>
        <v>0</v>
      </c>
      <c r="V38" s="424"/>
      <c r="W38" s="422" t="n">
        <f aca="false">(IF($A$1="BL",0,Peak!C39*'Peak Hours'!V38*'Peak Hours'!$Y38))*-1</f>
        <v>-2778776.45615115</v>
      </c>
      <c r="X38" s="424"/>
      <c r="Y38" s="422" t="n">
        <f aca="false">(IF($A$1="bl",0,Peak!D39*'Peak Hours'!V38*'Peak Hours'!$Y38))*-1</f>
        <v>-42313.6256728989</v>
      </c>
      <c r="Z38" s="424"/>
      <c r="AA38" s="422" t="n">
        <f aca="false">(Peak!E39*'Peak Hours'!V38*'Peak Hours'!$Y38)*-1</f>
        <v>-0</v>
      </c>
      <c r="AB38" s="425"/>
      <c r="AC38" s="422" t="n">
        <f aca="false">(Peak!F39*'Peak Hours'!V38*'Peak Hours'!$Y38)*-1</f>
        <v>-0</v>
      </c>
      <c r="AD38" s="425"/>
    </row>
    <row r="39" customFormat="false" ht="12.75" hidden="false" customHeight="false" outlineLevel="0" collapsed="false">
      <c r="A39" s="400" t="n">
        <f aca="false">A38+30.417</f>
        <v>37422.093</v>
      </c>
      <c r="B39" s="417" t="n">
        <f aca="false">IF($A$1="BL",0,'Peak Hours'!B39*Peak!H40*'Peak Hours'!$Y39)</f>
        <v>1259030.27877342</v>
      </c>
      <c r="C39" s="417" t="n">
        <f aca="false">IF($A$1="BL",0,'Peak Hours'!C39*Peak!I40*'Peak Hours'!$Y39)</f>
        <v>790790.90755632</v>
      </c>
      <c r="D39" s="417" t="n">
        <f aca="false">IF($A$1="BL",0,'Peak Hours'!D39*Peak!J40*'Peak Hours'!$Y39)</f>
        <v>858247.090828562</v>
      </c>
      <c r="E39" s="417" t="n">
        <f aca="false">IF($A$1="BL",0,'Peak Hours'!E39*Peak!K40*'Peak Hours'!$Y39)</f>
        <v>793940.952622536</v>
      </c>
      <c r="F39" s="417" t="n">
        <f aca="false">IF($A$1="BL",0,'Peak Hours'!F39*Peak!L40*'Peak Hours'!$Y39)</f>
        <v>732824.679976719</v>
      </c>
      <c r="G39" s="417" t="n">
        <f aca="false">IF($A$1="BL",0,'Peak Hours'!G39*Peak!M40*'Peak Hours'!$Y39)</f>
        <v>1355026.86938247</v>
      </c>
      <c r="H39" s="417" t="n">
        <f aca="false">IF($A$1="BL",0,'Peak Hours'!H39*Peak!N40*'Peak Hours'!$Y39)</f>
        <v>1322580.97957969</v>
      </c>
      <c r="I39" s="417" t="n">
        <f aca="false">IF($A$1="BL",0,'Peak Hours'!I39*Peak!O40*'Peak Hours'!$Y39)</f>
        <v>1196810.24141397</v>
      </c>
      <c r="J39" s="417" t="n">
        <f aca="false">IF($A$1="BL",0,'Peak Hours'!J39*Peak!P40*'Peak Hours'!$Y39)</f>
        <v>0</v>
      </c>
      <c r="K39" s="417" t="n">
        <f aca="false">IF($A$1="BL",0,'Peak Hours'!K39*Peak!Q40*'Peak Hours'!$Y39)</f>
        <v>0</v>
      </c>
      <c r="L39" s="417" t="n">
        <f aca="false">IF($A$1="BL",0,'Peak Hours'!L39*Peak!R40*'Peak Hours'!$Y39)</f>
        <v>0</v>
      </c>
      <c r="M39" s="417" t="n">
        <f aca="false">IF($A$1="BL",0,'Peak Hours'!M39*Peak!S40*'Peak Hours'!$Y39)</f>
        <v>0</v>
      </c>
      <c r="N39" s="417" t="n">
        <f aca="false">IF($A$1="BL",0,'Peak Hours'!N39*Peak!T40*'Peak Hours'!$Y39)</f>
        <v>0</v>
      </c>
      <c r="O39" s="417" t="n">
        <f aca="false">IF($A$1="BL",0,'Peak Hours'!O39*Peak!U40*'Peak Hours'!$Y39)</f>
        <v>0</v>
      </c>
      <c r="P39" s="417" t="n">
        <f aca="false">IF($A$1="BL",0,'Peak Hours'!P39*Peak!V40*'Peak Hours'!$Y39)</f>
        <v>0</v>
      </c>
      <c r="Q39" s="417" t="n">
        <f aca="false">IF($A$1="BL",0,'Peak Hours'!Q39*Peak!W40*'Peak Hours'!$Y39)</f>
        <v>0</v>
      </c>
      <c r="R39" s="417" t="n">
        <f aca="false">IF($A$1="BL",0,'Peak Hours'!R39*Peak!X40*'Peak Hours'!$Y39)</f>
        <v>0</v>
      </c>
      <c r="S39" s="417" t="n">
        <f aca="false">IF($A$1="BL",0,'Peak Hours'!S39*Peak!Y40*'Peak Hours'!$Y39)</f>
        <v>0</v>
      </c>
      <c r="T39" s="417" t="n">
        <f aca="false">IF($A$1="BL",0,'Peak Hours'!T39*Peak!Z40*'Peak Hours'!$Y39)</f>
        <v>0</v>
      </c>
      <c r="U39" s="417" t="n">
        <f aca="false">IF($A$1="BL",0,'Peak Hours'!U39*Peak!AA40*'Peak Hours'!$Y39)</f>
        <v>0</v>
      </c>
      <c r="V39" s="424"/>
      <c r="W39" s="422" t="n">
        <f aca="false">(IF($A$1="BL",0,Peak!C40*'Peak Hours'!V39*'Peak Hours'!$Y39))*-1</f>
        <v>-4846402.17167996</v>
      </c>
      <c r="X39" s="424"/>
      <c r="Y39" s="422" t="n">
        <f aca="false">(IF($A$1="bl",0,Peak!D40*'Peak Hours'!V39*'Peak Hours'!$Y39))*-1</f>
        <v>-77586.1219691405</v>
      </c>
      <c r="Z39" s="424"/>
      <c r="AA39" s="422" t="n">
        <f aca="false">(Peak!E40*'Peak Hours'!V39*'Peak Hours'!$Y39)*-1</f>
        <v>-0</v>
      </c>
      <c r="AB39" s="425"/>
      <c r="AC39" s="422" t="n">
        <f aca="false">(Peak!F40*'Peak Hours'!V39*'Peak Hours'!$Y39)*-1</f>
        <v>-0</v>
      </c>
      <c r="AD39" s="425"/>
    </row>
    <row r="40" customFormat="false" ht="12.75" hidden="false" customHeight="false" outlineLevel="0" collapsed="false">
      <c r="A40" s="400" t="n">
        <f aca="false">A39+30.417</f>
        <v>37452.51</v>
      </c>
      <c r="B40" s="417" t="n">
        <f aca="false">IF($A$1="BL",0,'Peak Hours'!B40*Peak!H41*'Peak Hours'!$Y40)</f>
        <v>3594870.57075939</v>
      </c>
      <c r="C40" s="417" t="n">
        <f aca="false">IF($A$1="BL",0,'Peak Hours'!C40*Peak!I41*'Peak Hours'!$Y40)</f>
        <v>1899658.88900117</v>
      </c>
      <c r="D40" s="417" t="n">
        <f aca="false">IF($A$1="BL",0,'Peak Hours'!D40*Peak!J41*'Peak Hours'!$Y40)</f>
        <v>2365905.71294159</v>
      </c>
      <c r="E40" s="417" t="n">
        <f aca="false">IF($A$1="BL",0,'Peak Hours'!E40*Peak!K41*'Peak Hours'!$Y40)</f>
        <v>2898705.79969789</v>
      </c>
      <c r="F40" s="417" t="n">
        <f aca="false">IF($A$1="BL",0,'Peak Hours'!F40*Peak!L41*'Peak Hours'!$Y40)</f>
        <v>926774.472375803</v>
      </c>
      <c r="G40" s="417" t="n">
        <f aca="false">IF($A$1="BL",0,'Peak Hours'!G40*Peak!M41*'Peak Hours'!$Y40)</f>
        <v>1598428.27311125</v>
      </c>
      <c r="H40" s="417" t="n">
        <f aca="false">IF($A$1="BL",0,'Peak Hours'!H40*Peak!N41*'Peak Hours'!$Y40)</f>
        <v>1466203.97972322</v>
      </c>
      <c r="I40" s="417" t="n">
        <f aca="false">IF($A$1="BL",0,'Peak Hours'!I40*Peak!O41*'Peak Hours'!$Y40)</f>
        <v>1403842.64839557</v>
      </c>
      <c r="J40" s="417" t="n">
        <f aca="false">IF($A$1="BL",0,'Peak Hours'!J40*Peak!P41*'Peak Hours'!$Y40)</f>
        <v>1348138.64195896</v>
      </c>
      <c r="K40" s="417" t="n">
        <f aca="false">IF($A$1="BL",0,'Peak Hours'!K40*Peak!Q41*'Peak Hours'!$Y40)</f>
        <v>0</v>
      </c>
      <c r="L40" s="417" t="n">
        <f aca="false">IF($A$1="BL",0,'Peak Hours'!L40*Peak!R41*'Peak Hours'!$Y40)</f>
        <v>0</v>
      </c>
      <c r="M40" s="417" t="n">
        <f aca="false">IF($A$1="BL",0,'Peak Hours'!M40*Peak!S41*'Peak Hours'!$Y40)</f>
        <v>0</v>
      </c>
      <c r="N40" s="417" t="n">
        <f aca="false">IF($A$1="BL",0,'Peak Hours'!N40*Peak!T41*'Peak Hours'!$Y40)</f>
        <v>0</v>
      </c>
      <c r="O40" s="417" t="n">
        <f aca="false">IF($A$1="BL",0,'Peak Hours'!O40*Peak!U41*'Peak Hours'!$Y40)</f>
        <v>0</v>
      </c>
      <c r="P40" s="417" t="n">
        <f aca="false">IF($A$1="BL",0,'Peak Hours'!P40*Peak!V41*'Peak Hours'!$Y40)</f>
        <v>0</v>
      </c>
      <c r="Q40" s="417" t="n">
        <f aca="false">IF($A$1="BL",0,'Peak Hours'!Q40*Peak!W41*'Peak Hours'!$Y40)</f>
        <v>0</v>
      </c>
      <c r="R40" s="417" t="n">
        <f aca="false">IF($A$1="BL",0,'Peak Hours'!R40*Peak!X41*'Peak Hours'!$Y40)</f>
        <v>0</v>
      </c>
      <c r="S40" s="417" t="n">
        <f aca="false">IF($A$1="BL",0,'Peak Hours'!S40*Peak!Y41*'Peak Hours'!$Y40)</f>
        <v>0</v>
      </c>
      <c r="T40" s="417" t="n">
        <f aca="false">IF($A$1="BL",0,'Peak Hours'!T40*Peak!Z41*'Peak Hours'!$Y40)</f>
        <v>0</v>
      </c>
      <c r="U40" s="417" t="n">
        <f aca="false">IF($A$1="BL",0,'Peak Hours'!U40*Peak!AA41*'Peak Hours'!$Y40)</f>
        <v>0</v>
      </c>
      <c r="V40" s="424"/>
      <c r="W40" s="422" t="n">
        <f aca="false">(IF($A$1="BL",0,Peak!C41*'Peak Hours'!V40*'Peak Hours'!$Y40))*-1</f>
        <v>-5904635.5572683</v>
      </c>
      <c r="X40" s="424"/>
      <c r="Y40" s="422" t="n">
        <f aca="false">(IF($A$1="bl",0,Peak!D41*'Peak Hours'!V40*'Peak Hours'!$Y40))*-1</f>
        <v>-94985.5282107385</v>
      </c>
      <c r="Z40" s="424"/>
      <c r="AA40" s="422" t="n">
        <f aca="false">(Peak!E41*'Peak Hours'!V40*'Peak Hours'!$Y40)*-1</f>
        <v>-0</v>
      </c>
      <c r="AB40" s="425"/>
      <c r="AC40" s="422" t="n">
        <f aca="false">(Peak!F41*'Peak Hours'!V40*'Peak Hours'!$Y40)*-1</f>
        <v>-0</v>
      </c>
      <c r="AD40" s="425"/>
    </row>
    <row r="41" customFormat="false" ht="12.75" hidden="false" customHeight="false" outlineLevel="0" collapsed="false">
      <c r="A41" s="400" t="n">
        <f aca="false">A40+30.417</f>
        <v>37482.927</v>
      </c>
      <c r="B41" s="417" t="n">
        <f aca="false">IF($A$1="BL",0,'Peak Hours'!B41*Peak!H42*'Peak Hours'!$Y41)</f>
        <v>7542060.1814469</v>
      </c>
      <c r="C41" s="417" t="n">
        <f aca="false">IF($A$1="BL",0,'Peak Hours'!C41*Peak!I42*'Peak Hours'!$Y41)</f>
        <v>3344930.11790505</v>
      </c>
      <c r="D41" s="417" t="n">
        <f aca="false">IF($A$1="BL",0,'Peak Hours'!D41*Peak!J42*'Peak Hours'!$Y41)</f>
        <v>3751465.14727796</v>
      </c>
      <c r="E41" s="417" t="n">
        <f aca="false">IF($A$1="BL",0,'Peak Hours'!E41*Peak!K42*'Peak Hours'!$Y41)</f>
        <v>3773314.4722421</v>
      </c>
      <c r="F41" s="417" t="n">
        <f aca="false">IF($A$1="BL",0,'Peak Hours'!F41*Peak!L42*'Peak Hours'!$Y41)</f>
        <v>1816080.60156152</v>
      </c>
      <c r="G41" s="417" t="n">
        <f aca="false">IF($A$1="BL",0,'Peak Hours'!G41*Peak!M42*'Peak Hours'!$Y41)</f>
        <v>1951787.3258888</v>
      </c>
      <c r="H41" s="417" t="n">
        <f aca="false">IF($A$1="BL",0,'Peak Hours'!H41*Peak!N42*'Peak Hours'!$Y41)</f>
        <v>1742021.27549884</v>
      </c>
      <c r="I41" s="417" t="n">
        <f aca="false">IF($A$1="BL",0,'Peak Hours'!I41*Peak!O42*'Peak Hours'!$Y41)</f>
        <v>1661402.36832471</v>
      </c>
      <c r="J41" s="417" t="n">
        <f aca="false">IF($A$1="BL",0,'Peak Hours'!J41*Peak!P42*'Peak Hours'!$Y41)</f>
        <v>1325217.75749295</v>
      </c>
      <c r="K41" s="417" t="n">
        <f aca="false">IF($A$1="BL",0,'Peak Hours'!K41*Peak!Q42*'Peak Hours'!$Y41)</f>
        <v>1105696.18533294</v>
      </c>
      <c r="L41" s="417" t="n">
        <f aca="false">IF($A$1="BL",0,'Peak Hours'!L41*Peak!R42*'Peak Hours'!$Y41)</f>
        <v>0</v>
      </c>
      <c r="M41" s="417" t="n">
        <f aca="false">IF($A$1="BL",0,'Peak Hours'!M41*Peak!S42*'Peak Hours'!$Y41)</f>
        <v>0</v>
      </c>
      <c r="N41" s="417" t="n">
        <f aca="false">IF($A$1="BL",0,'Peak Hours'!N41*Peak!T42*'Peak Hours'!$Y41)</f>
        <v>0</v>
      </c>
      <c r="O41" s="417" t="n">
        <f aca="false">IF($A$1="BL",0,'Peak Hours'!O41*Peak!U42*'Peak Hours'!$Y41)</f>
        <v>0</v>
      </c>
      <c r="P41" s="417" t="n">
        <f aca="false">IF($A$1="BL",0,'Peak Hours'!P41*Peak!V42*'Peak Hours'!$Y41)</f>
        <v>0</v>
      </c>
      <c r="Q41" s="417" t="n">
        <f aca="false">IF($A$1="BL",0,'Peak Hours'!Q41*Peak!W42*'Peak Hours'!$Y41)</f>
        <v>0</v>
      </c>
      <c r="R41" s="417" t="n">
        <f aca="false">IF($A$1="BL",0,'Peak Hours'!R41*Peak!X42*'Peak Hours'!$Y41)</f>
        <v>0</v>
      </c>
      <c r="S41" s="417" t="n">
        <f aca="false">IF($A$1="BL",0,'Peak Hours'!S41*Peak!Y42*'Peak Hours'!$Y41)</f>
        <v>0</v>
      </c>
      <c r="T41" s="417" t="n">
        <f aca="false">IF($A$1="BL",0,'Peak Hours'!T41*Peak!Z42*'Peak Hours'!$Y41)</f>
        <v>0</v>
      </c>
      <c r="U41" s="417" t="n">
        <f aca="false">IF($A$1="BL",0,'Peak Hours'!U41*Peak!AA42*'Peak Hours'!$Y41)</f>
        <v>0</v>
      </c>
      <c r="V41" s="424"/>
      <c r="W41" s="422" t="n">
        <f aca="false">(IF($A$1="BL",0,Peak!C42*'Peak Hours'!V41*'Peak Hours'!$Y41))*-1</f>
        <v>-6616372.77258885</v>
      </c>
      <c r="X41" s="424"/>
      <c r="Y41" s="422" t="n">
        <f aca="false">(IF($A$1="bl",0,Peak!D42*'Peak Hours'!V41*'Peak Hours'!$Y41))*-1</f>
        <v>-112442.716956136</v>
      </c>
      <c r="Z41" s="424"/>
      <c r="AA41" s="422" t="n">
        <f aca="false">(Peak!E42*'Peak Hours'!V41*'Peak Hours'!$Y41)*-1</f>
        <v>-0</v>
      </c>
      <c r="AB41" s="425"/>
      <c r="AC41" s="422" t="n">
        <f aca="false">(Peak!F42*'Peak Hours'!V41*'Peak Hours'!$Y41)*-1</f>
        <v>-0</v>
      </c>
      <c r="AD41" s="425"/>
    </row>
    <row r="42" customFormat="false" ht="12.75" hidden="false" customHeight="false" outlineLevel="0" collapsed="false">
      <c r="A42" s="400" t="n">
        <f aca="false">A41+30.417</f>
        <v>37513.344</v>
      </c>
      <c r="B42" s="417" t="n">
        <f aca="false">IF($A$1="BL",0,'Peak Hours'!B42*Peak!H43*'Peak Hours'!$Y42)</f>
        <v>1527755.42487137</v>
      </c>
      <c r="C42" s="417" t="n">
        <f aca="false">IF($A$1="BL",0,'Peak Hours'!C42*Peak!I43*'Peak Hours'!$Y42)</f>
        <v>897126.934892263</v>
      </c>
      <c r="D42" s="417" t="n">
        <f aca="false">IF($A$1="BL",0,'Peak Hours'!D42*Peak!J43*'Peak Hours'!$Y42)</f>
        <v>1325028.28755938</v>
      </c>
      <c r="E42" s="417" t="n">
        <f aca="false">IF($A$1="BL",0,'Peak Hours'!E42*Peak!K43*'Peak Hours'!$Y42)</f>
        <v>849088.075678622</v>
      </c>
      <c r="F42" s="417" t="n">
        <f aca="false">IF($A$1="BL",0,'Peak Hours'!F42*Peak!L43*'Peak Hours'!$Y42)</f>
        <v>620961.999632974</v>
      </c>
      <c r="G42" s="417" t="n">
        <f aca="false">IF($A$1="BL",0,'Peak Hours'!G42*Peak!M43*'Peak Hours'!$Y42)</f>
        <v>1076560.06160867</v>
      </c>
      <c r="H42" s="417" t="n">
        <f aca="false">IF($A$1="BL",0,'Peak Hours'!H42*Peak!N43*'Peak Hours'!$Y42)</f>
        <v>0</v>
      </c>
      <c r="I42" s="417" t="n">
        <f aca="false">IF($A$1="BL",0,'Peak Hours'!I42*Peak!O43*'Peak Hours'!$Y42)</f>
        <v>0</v>
      </c>
      <c r="J42" s="417" t="n">
        <f aca="false">IF($A$1="BL",0,'Peak Hours'!J42*Peak!P43*'Peak Hours'!$Y42)</f>
        <v>0</v>
      </c>
      <c r="K42" s="417" t="n">
        <f aca="false">IF($A$1="BL",0,'Peak Hours'!K42*Peak!Q43*'Peak Hours'!$Y42)</f>
        <v>0</v>
      </c>
      <c r="L42" s="417" t="n">
        <f aca="false">IF($A$1="BL",0,'Peak Hours'!L42*Peak!R43*'Peak Hours'!$Y42)</f>
        <v>0</v>
      </c>
      <c r="M42" s="417" t="n">
        <f aca="false">IF($A$1="BL",0,'Peak Hours'!M42*Peak!S43*'Peak Hours'!$Y42)</f>
        <v>0</v>
      </c>
      <c r="N42" s="417" t="n">
        <f aca="false">IF($A$1="BL",0,'Peak Hours'!N42*Peak!T43*'Peak Hours'!$Y42)</f>
        <v>0</v>
      </c>
      <c r="O42" s="417" t="n">
        <f aca="false">IF($A$1="BL",0,'Peak Hours'!O42*Peak!U43*'Peak Hours'!$Y42)</f>
        <v>0</v>
      </c>
      <c r="P42" s="417" t="n">
        <f aca="false">IF($A$1="BL",0,'Peak Hours'!P42*Peak!V43*'Peak Hours'!$Y42)</f>
        <v>0</v>
      </c>
      <c r="Q42" s="417" t="n">
        <f aca="false">IF($A$1="BL",0,'Peak Hours'!Q42*Peak!W43*'Peak Hours'!$Y42)</f>
        <v>0</v>
      </c>
      <c r="R42" s="417" t="n">
        <f aca="false">IF($A$1="BL",0,'Peak Hours'!R42*Peak!X43*'Peak Hours'!$Y42)</f>
        <v>0</v>
      </c>
      <c r="S42" s="417" t="n">
        <f aca="false">IF($A$1="BL",0,'Peak Hours'!S42*Peak!Y43*'Peak Hours'!$Y42)</f>
        <v>0</v>
      </c>
      <c r="T42" s="417" t="n">
        <f aca="false">IF($A$1="BL",0,'Peak Hours'!T42*Peak!Z43*'Peak Hours'!$Y42)</f>
        <v>0</v>
      </c>
      <c r="U42" s="417" t="n">
        <f aca="false">IF($A$1="BL",0,'Peak Hours'!U42*Peak!AA43*'Peak Hours'!$Y42)</f>
        <v>0</v>
      </c>
      <c r="V42" s="424"/>
      <c r="W42" s="422" t="n">
        <f aca="false">(IF($A$1="BL",0,Peak!C43*'Peak Hours'!V42*'Peak Hours'!$Y42))*-1</f>
        <v>-2493916.9601437</v>
      </c>
      <c r="X42" s="424"/>
      <c r="Y42" s="422" t="n">
        <f aca="false">(IF($A$1="bl",0,Peak!D43*'Peak Hours'!V42*'Peak Hours'!$Y42))*-1</f>
        <v>-42596.422521725</v>
      </c>
      <c r="Z42" s="424"/>
      <c r="AA42" s="422" t="n">
        <f aca="false">(Peak!E43*'Peak Hours'!V42*'Peak Hours'!$Y42)*-1</f>
        <v>-0</v>
      </c>
      <c r="AB42" s="425"/>
      <c r="AC42" s="422" t="n">
        <f aca="false">(Peak!F43*'Peak Hours'!V42*'Peak Hours'!$Y42)*-1</f>
        <v>-0</v>
      </c>
      <c r="AD42" s="425"/>
    </row>
    <row r="43" customFormat="false" ht="12.75" hidden="false" customHeight="false" outlineLevel="0" collapsed="false">
      <c r="A43" s="400" t="n">
        <f aca="false">A42+30.417</f>
        <v>37543.761</v>
      </c>
      <c r="B43" s="417" t="n">
        <f aca="false">IF($A$1="BL",0,'Peak Hours'!B43*Peak!H44*'Peak Hours'!$Y43)</f>
        <v>190899.321111805</v>
      </c>
      <c r="C43" s="417" t="n">
        <f aca="false">IF($A$1="BL",0,'Peak Hours'!C43*Peak!I44*'Peak Hours'!$Y43)</f>
        <v>187666.500852102</v>
      </c>
      <c r="D43" s="417" t="n">
        <f aca="false">IF($A$1="BL",0,'Peak Hours'!D43*Peak!J44*'Peak Hours'!$Y43)</f>
        <v>366627.086460615</v>
      </c>
      <c r="E43" s="417" t="n">
        <f aca="false">IF($A$1="BL",0,'Peak Hours'!E43*Peak!K44*'Peak Hours'!$Y43)</f>
        <v>704947.82818543</v>
      </c>
      <c r="F43" s="417" t="n">
        <f aca="false">IF($A$1="BL",0,'Peak Hours'!F43*Peak!L44*'Peak Hours'!$Y43)</f>
        <v>672667.367276886</v>
      </c>
      <c r="G43" s="417" t="n">
        <f aca="false">IF($A$1="BL",0,'Peak Hours'!G43*Peak!M44*'Peak Hours'!$Y43)</f>
        <v>1306430.41113907</v>
      </c>
      <c r="H43" s="417" t="n">
        <f aca="false">IF($A$1="BL",0,'Peak Hours'!H43*Peak!N44*'Peak Hours'!$Y43)</f>
        <v>1303031.45069507</v>
      </c>
      <c r="I43" s="417" t="n">
        <f aca="false">IF($A$1="BL",0,'Peak Hours'!I43*Peak!O44*'Peak Hours'!$Y43)</f>
        <v>1223857.65621394</v>
      </c>
      <c r="J43" s="417" t="n">
        <f aca="false">IF($A$1="BL",0,'Peak Hours'!J43*Peak!P44*'Peak Hours'!$Y43)</f>
        <v>0</v>
      </c>
      <c r="K43" s="417" t="n">
        <f aca="false">IF($A$1="BL",0,'Peak Hours'!K43*Peak!Q44*'Peak Hours'!$Y43)</f>
        <v>0</v>
      </c>
      <c r="L43" s="417" t="n">
        <f aca="false">IF($A$1="BL",0,'Peak Hours'!L43*Peak!R44*'Peak Hours'!$Y43)</f>
        <v>0</v>
      </c>
      <c r="M43" s="417" t="n">
        <f aca="false">IF($A$1="BL",0,'Peak Hours'!M43*Peak!S44*'Peak Hours'!$Y43)</f>
        <v>0</v>
      </c>
      <c r="N43" s="417" t="n">
        <f aca="false">IF($A$1="BL",0,'Peak Hours'!N43*Peak!T44*'Peak Hours'!$Y43)</f>
        <v>0</v>
      </c>
      <c r="O43" s="417" t="n">
        <f aca="false">IF($A$1="BL",0,'Peak Hours'!O43*Peak!U44*'Peak Hours'!$Y43)</f>
        <v>0</v>
      </c>
      <c r="P43" s="417" t="n">
        <f aca="false">IF($A$1="BL",0,'Peak Hours'!P43*Peak!V44*'Peak Hours'!$Y43)</f>
        <v>0</v>
      </c>
      <c r="Q43" s="417" t="n">
        <f aca="false">IF($A$1="BL",0,'Peak Hours'!Q43*Peak!W44*'Peak Hours'!$Y43)</f>
        <v>0</v>
      </c>
      <c r="R43" s="417" t="n">
        <f aca="false">IF($A$1="BL",0,'Peak Hours'!R43*Peak!X44*'Peak Hours'!$Y43)</f>
        <v>0</v>
      </c>
      <c r="S43" s="417" t="n">
        <f aca="false">IF($A$1="BL",0,'Peak Hours'!S43*Peak!Y44*'Peak Hours'!$Y43)</f>
        <v>0</v>
      </c>
      <c r="T43" s="417" t="n">
        <f aca="false">IF($A$1="BL",0,'Peak Hours'!T43*Peak!Z44*'Peak Hours'!$Y43)</f>
        <v>0</v>
      </c>
      <c r="U43" s="417" t="n">
        <f aca="false">IF($A$1="BL",0,'Peak Hours'!U43*Peak!AA44*'Peak Hours'!$Y43)</f>
        <v>0</v>
      </c>
      <c r="V43" s="424"/>
      <c r="W43" s="422" t="n">
        <f aca="false">(IF($A$1="BL",0,Peak!C44*'Peak Hours'!V43*'Peak Hours'!$Y43))*-1</f>
        <v>-4971636.02737717</v>
      </c>
      <c r="X43" s="424"/>
      <c r="Y43" s="422" t="n">
        <f aca="false">(IF($A$1="bl",0,Peak!D44*'Peak Hours'!V43*'Peak Hours'!$Y43))*-1</f>
        <v>-76801.3498066701</v>
      </c>
      <c r="Z43" s="424"/>
      <c r="AA43" s="422" t="n">
        <f aca="false">(Peak!E44*'Peak Hours'!V43*'Peak Hours'!$Y43)*-1</f>
        <v>-0</v>
      </c>
      <c r="AB43" s="425"/>
      <c r="AC43" s="422" t="n">
        <f aca="false">(Peak!F44*'Peak Hours'!V43*'Peak Hours'!$Y43)*-1</f>
        <v>-0</v>
      </c>
      <c r="AD43" s="425"/>
    </row>
    <row r="44" customFormat="false" ht="12.75" hidden="false" customHeight="false" outlineLevel="0" collapsed="false">
      <c r="A44" s="400" t="n">
        <f aca="false">A43+30.417</f>
        <v>37574.178</v>
      </c>
      <c r="B44" s="417" t="n">
        <f aca="false">IF($A$1="BL",0,'Peak Hours'!B44*Peak!H45*'Peak Hours'!$Y44)</f>
        <v>273658.735171781</v>
      </c>
      <c r="C44" s="417" t="n">
        <f aca="false">IF($A$1="BL",0,'Peak Hours'!C44*Peak!I45*'Peak Hours'!$Y44)</f>
        <v>234946.023961575</v>
      </c>
      <c r="D44" s="417" t="n">
        <f aca="false">IF($A$1="BL",0,'Peak Hours'!D44*Peak!J45*'Peak Hours'!$Y44)</f>
        <v>449373.803608277</v>
      </c>
      <c r="E44" s="417" t="n">
        <f aca="false">IF($A$1="BL",0,'Peak Hours'!E44*Peak!K45*'Peak Hours'!$Y44)</f>
        <v>855323.091169556</v>
      </c>
      <c r="F44" s="417" t="n">
        <f aca="false">IF($A$1="BL",0,'Peak Hours'!F44*Peak!L45*'Peak Hours'!$Y44)</f>
        <v>801063.934531884</v>
      </c>
      <c r="G44" s="417" t="n">
        <f aca="false">IF($A$1="BL",0,'Peak Hours'!G44*Peak!M45*'Peak Hours'!$Y44)</f>
        <v>1554033.18859524</v>
      </c>
      <c r="H44" s="417" t="n">
        <f aca="false">IF($A$1="BL",0,'Peak Hours'!H44*Peak!N45*'Peak Hours'!$Y44)</f>
        <v>1526573.65858235</v>
      </c>
      <c r="I44" s="417" t="n">
        <f aca="false">IF($A$1="BL",0,'Peak Hours'!I44*Peak!O45*'Peak Hours'!$Y44)</f>
        <v>1284904.09175591</v>
      </c>
      <c r="J44" s="417" t="n">
        <f aca="false">IF($A$1="BL",0,'Peak Hours'!J44*Peak!P45*'Peak Hours'!$Y44)</f>
        <v>0</v>
      </c>
      <c r="K44" s="417" t="n">
        <f aca="false">IF($A$1="BL",0,'Peak Hours'!K44*Peak!Q45*'Peak Hours'!$Y44)</f>
        <v>0</v>
      </c>
      <c r="L44" s="417" t="n">
        <f aca="false">IF($A$1="BL",0,'Peak Hours'!L44*Peak!R45*'Peak Hours'!$Y44)</f>
        <v>0</v>
      </c>
      <c r="M44" s="417" t="n">
        <f aca="false">IF($A$1="BL",0,'Peak Hours'!M44*Peak!S45*'Peak Hours'!$Y44)</f>
        <v>0</v>
      </c>
      <c r="N44" s="417" t="n">
        <f aca="false">IF($A$1="BL",0,'Peak Hours'!N44*Peak!T45*'Peak Hours'!$Y44)</f>
        <v>0</v>
      </c>
      <c r="O44" s="417" t="n">
        <f aca="false">IF($A$1="BL",0,'Peak Hours'!O44*Peak!U45*'Peak Hours'!$Y44)</f>
        <v>0</v>
      </c>
      <c r="P44" s="417" t="n">
        <f aca="false">IF($A$1="BL",0,'Peak Hours'!P44*Peak!V45*'Peak Hours'!$Y44)</f>
        <v>0</v>
      </c>
      <c r="Q44" s="417" t="n">
        <f aca="false">IF($A$1="BL",0,'Peak Hours'!Q44*Peak!W45*'Peak Hours'!$Y44)</f>
        <v>0</v>
      </c>
      <c r="R44" s="417" t="n">
        <f aca="false">IF($A$1="BL",0,'Peak Hours'!R44*Peak!X45*'Peak Hours'!$Y44)</f>
        <v>0</v>
      </c>
      <c r="S44" s="417" t="n">
        <f aca="false">IF($A$1="BL",0,'Peak Hours'!S44*Peak!Y45*'Peak Hours'!$Y44)</f>
        <v>0</v>
      </c>
      <c r="T44" s="417" t="n">
        <f aca="false">IF($A$1="BL",0,'Peak Hours'!T44*Peak!Z45*'Peak Hours'!$Y44)</f>
        <v>0</v>
      </c>
      <c r="U44" s="417" t="n">
        <f aca="false">IF($A$1="BL",0,'Peak Hours'!U44*Peak!AA45*'Peak Hours'!$Y44)</f>
        <v>0</v>
      </c>
      <c r="V44" s="424"/>
      <c r="W44" s="422" t="n">
        <f aca="false">(IF($A$1="BL",0,Peak!C45*'Peak Hours'!V44*'Peak Hours'!$Y44))*-1</f>
        <v>-5444167.66193071</v>
      </c>
      <c r="X44" s="424"/>
      <c r="Y44" s="422" t="n">
        <f aca="false">(IF($A$1="bl",0,Peak!D45*'Peak Hours'!V44*'Peak Hours'!$Y44))*-1</f>
        <v>-76929.3520563479</v>
      </c>
      <c r="Z44" s="424"/>
      <c r="AA44" s="422" t="n">
        <f aca="false">(Peak!E45*'Peak Hours'!V44*'Peak Hours'!$Y44)*-1</f>
        <v>-0</v>
      </c>
      <c r="AB44" s="425"/>
      <c r="AC44" s="422" t="n">
        <f aca="false">(Peak!F45*'Peak Hours'!V44*'Peak Hours'!$Y44)*-1</f>
        <v>-0</v>
      </c>
      <c r="AD44" s="425"/>
    </row>
    <row r="45" customFormat="false" ht="12.75" hidden="false" customHeight="false" outlineLevel="0" collapsed="false">
      <c r="A45" s="400" t="n">
        <f aca="false">A44+30.417</f>
        <v>37604.595</v>
      </c>
      <c r="B45" s="417" t="n">
        <f aca="false">IF($A$1="BL",0,'Peak Hours'!B45*Peak!H46*'Peak Hours'!$Y45)</f>
        <v>274067.408506405</v>
      </c>
      <c r="C45" s="417" t="n">
        <f aca="false">IF($A$1="BL",0,'Peak Hours'!C45*Peak!I46*'Peak Hours'!$Y45)</f>
        <v>248016.18461572</v>
      </c>
      <c r="D45" s="417" t="n">
        <f aca="false">IF($A$1="BL",0,'Peak Hours'!D45*Peak!J46*'Peak Hours'!$Y45)</f>
        <v>484360.264960431</v>
      </c>
      <c r="E45" s="417" t="n">
        <f aca="false">IF($A$1="BL",0,'Peak Hours'!E45*Peak!K46*'Peak Hours'!$Y45)</f>
        <v>923787.358922948</v>
      </c>
      <c r="F45" s="417" t="n">
        <f aca="false">IF($A$1="BL",0,'Peak Hours'!F45*Peak!L46*'Peak Hours'!$Y45)</f>
        <v>869615.038841341</v>
      </c>
      <c r="G45" s="417" t="n">
        <f aca="false">IF($A$1="BL",0,'Peak Hours'!G45*Peak!M46*'Peak Hours'!$Y45)</f>
        <v>1695038.2895475</v>
      </c>
      <c r="H45" s="417" t="n">
        <f aca="false">IF($A$1="BL",0,'Peak Hours'!H45*Peak!N46*'Peak Hours'!$Y45)</f>
        <v>1681007.14547912</v>
      </c>
      <c r="I45" s="417" t="n">
        <f aca="false">IF($A$1="BL",0,'Peak Hours'!I45*Peak!O46*'Peak Hours'!$Y45)</f>
        <v>1544179.63856428</v>
      </c>
      <c r="J45" s="417" t="n">
        <f aca="false">IF($A$1="BL",0,'Peak Hours'!J45*Peak!P46*'Peak Hours'!$Y45)</f>
        <v>0</v>
      </c>
      <c r="K45" s="417" t="n">
        <f aca="false">IF($A$1="BL",0,'Peak Hours'!K45*Peak!Q46*'Peak Hours'!$Y45)</f>
        <v>0</v>
      </c>
      <c r="L45" s="417" t="n">
        <f aca="false">IF($A$1="BL",0,'Peak Hours'!L45*Peak!R46*'Peak Hours'!$Y45)</f>
        <v>0</v>
      </c>
      <c r="M45" s="417" t="n">
        <f aca="false">IF($A$1="BL",0,'Peak Hours'!M45*Peak!S46*'Peak Hours'!$Y45)</f>
        <v>0</v>
      </c>
      <c r="N45" s="417" t="n">
        <f aca="false">IF($A$1="BL",0,'Peak Hours'!N45*Peak!T46*'Peak Hours'!$Y45)</f>
        <v>0</v>
      </c>
      <c r="O45" s="417" t="n">
        <f aca="false">IF($A$1="BL",0,'Peak Hours'!O45*Peak!U46*'Peak Hours'!$Y45)</f>
        <v>0</v>
      </c>
      <c r="P45" s="417" t="n">
        <f aca="false">IF($A$1="BL",0,'Peak Hours'!P45*Peak!V46*'Peak Hours'!$Y45)</f>
        <v>0</v>
      </c>
      <c r="Q45" s="417" t="n">
        <f aca="false">IF($A$1="BL",0,'Peak Hours'!Q45*Peak!W46*'Peak Hours'!$Y45)</f>
        <v>0</v>
      </c>
      <c r="R45" s="417" t="n">
        <f aca="false">IF($A$1="BL",0,'Peak Hours'!R45*Peak!X46*'Peak Hours'!$Y45)</f>
        <v>0</v>
      </c>
      <c r="S45" s="417" t="n">
        <f aca="false">IF($A$1="BL",0,'Peak Hours'!S45*Peak!Y46*'Peak Hours'!$Y45)</f>
        <v>0</v>
      </c>
      <c r="T45" s="417" t="n">
        <f aca="false">IF($A$1="BL",0,'Peak Hours'!T45*Peak!Z46*'Peak Hours'!$Y45)</f>
        <v>0</v>
      </c>
      <c r="U45" s="417" t="n">
        <f aca="false">IF($A$1="BL",0,'Peak Hours'!U45*Peak!AA46*'Peak Hours'!$Y45)</f>
        <v>0</v>
      </c>
      <c r="V45" s="426" t="n">
        <f aca="false">SUM(B34:U45)</f>
        <v>117550058.879554</v>
      </c>
      <c r="W45" s="422" t="n">
        <f aca="false">(IF($A$1="BL",0,Peak!C46*'Peak Hours'!V45*'Peak Hours'!$Y45))*-1</f>
        <v>-5732037.30554111</v>
      </c>
      <c r="X45" s="426" t="n">
        <f aca="false">SUM(W34:W45)</f>
        <v>-63426607.7426945</v>
      </c>
      <c r="Y45" s="422" t="n">
        <f aca="false">(IF($A$1="bl",0,Peak!D46*'Peak Hours'!V45*'Peak Hours'!$Y45))*-1</f>
        <v>-74971.0611295314</v>
      </c>
      <c r="Z45" s="426" t="n">
        <f aca="false">SUM(Y34:Y45)</f>
        <v>-964911.02386395</v>
      </c>
      <c r="AA45" s="422" t="n">
        <f aca="false">(Peak!E46*'Peak Hours'!V45*'Peak Hours'!$Y45)*-1</f>
        <v>-0</v>
      </c>
      <c r="AB45" s="427" t="n">
        <f aca="false">SUM(AA34:AA45)</f>
        <v>0</v>
      </c>
      <c r="AC45" s="422" t="n">
        <f aca="false">(Peak!F46*'Peak Hours'!V45*'Peak Hours'!$Y45)*-1</f>
        <v>-0</v>
      </c>
      <c r="AD45" s="427" t="n">
        <f aca="false">SUM(AC34:AC45)</f>
        <v>0</v>
      </c>
    </row>
    <row r="46" customFormat="false" ht="12.75" hidden="false" customHeight="false" outlineLevel="0" collapsed="false">
      <c r="A46" s="400" t="n">
        <f aca="false">A45+30.417</f>
        <v>37635.012</v>
      </c>
      <c r="B46" s="417" t="n">
        <f aca="false">IF($A$1="BL",0,'Peak Hours'!B46*Peak!H47*'Peak Hours'!$Y46)</f>
        <v>241189.537473364</v>
      </c>
      <c r="C46" s="417" t="n">
        <f aca="false">IF($A$1="BL",0,'Peak Hours'!C46*Peak!I47*'Peak Hours'!$Y46)</f>
        <v>233388.930379837</v>
      </c>
      <c r="D46" s="417" t="n">
        <f aca="false">IF($A$1="BL",0,'Peak Hours'!D46*Peak!J47*'Peak Hours'!$Y46)</f>
        <v>435826.013633232</v>
      </c>
      <c r="E46" s="417" t="n">
        <f aca="false">IF($A$1="BL",0,'Peak Hours'!E46*Peak!K47*'Peak Hours'!$Y46)</f>
        <v>786129.169458319</v>
      </c>
      <c r="F46" s="417" t="n">
        <f aca="false">IF($A$1="BL",0,'Peak Hours'!F46*Peak!L47*'Peak Hours'!$Y46)</f>
        <v>717592.505106149</v>
      </c>
      <c r="G46" s="417" t="n">
        <f aca="false">IF($A$1="BL",0,'Peak Hours'!G46*Peak!M47*'Peak Hours'!$Y46)</f>
        <v>1367873.12333375</v>
      </c>
      <c r="H46" s="417" t="n">
        <f aca="false">IF($A$1="BL",0,'Peak Hours'!H46*Peak!N47*'Peak Hours'!$Y46)</f>
        <v>1285739.94144384</v>
      </c>
      <c r="I46" s="417" t="n">
        <f aca="false">IF($A$1="BL",0,'Peak Hours'!I46*Peak!O47*'Peak Hours'!$Y46)</f>
        <v>1274500.73666424</v>
      </c>
      <c r="J46" s="417" t="n">
        <f aca="false">IF($A$1="BL",0,'Peak Hours'!J46*Peak!P47*'Peak Hours'!$Y46)</f>
        <v>1238411.19017729</v>
      </c>
      <c r="K46" s="417" t="n">
        <f aca="false">IF($A$1="BL",0,'Peak Hours'!K46*Peak!Q47*'Peak Hours'!$Y46)</f>
        <v>0</v>
      </c>
      <c r="L46" s="417" t="n">
        <f aca="false">IF($A$1="BL",0,'Peak Hours'!L46*Peak!R47*'Peak Hours'!$Y46)</f>
        <v>0</v>
      </c>
      <c r="M46" s="417" t="n">
        <f aca="false">IF($A$1="BL",0,'Peak Hours'!M46*Peak!S47*'Peak Hours'!$Y46)</f>
        <v>0</v>
      </c>
      <c r="N46" s="417" t="n">
        <f aca="false">IF($A$1="BL",0,'Peak Hours'!N46*Peak!T47*'Peak Hours'!$Y46)</f>
        <v>0</v>
      </c>
      <c r="O46" s="417" t="n">
        <f aca="false">IF($A$1="BL",0,'Peak Hours'!O46*Peak!U47*'Peak Hours'!$Y46)</f>
        <v>0</v>
      </c>
      <c r="P46" s="417" t="n">
        <f aca="false">IF($A$1="BL",0,'Peak Hours'!P46*Peak!V47*'Peak Hours'!$Y46)</f>
        <v>0</v>
      </c>
      <c r="Q46" s="417" t="n">
        <f aca="false">IF($A$1="BL",0,'Peak Hours'!Q46*Peak!W47*'Peak Hours'!$Y46)</f>
        <v>0</v>
      </c>
      <c r="R46" s="417" t="n">
        <f aca="false">IF($A$1="BL",0,'Peak Hours'!R46*Peak!X47*'Peak Hours'!$Y46)</f>
        <v>0</v>
      </c>
      <c r="S46" s="417" t="n">
        <f aca="false">IF($A$1="BL",0,'Peak Hours'!S46*Peak!Y47*'Peak Hours'!$Y46)</f>
        <v>0</v>
      </c>
      <c r="T46" s="417" t="n">
        <f aca="false">IF($A$1="BL",0,'Peak Hours'!T46*Peak!Z47*'Peak Hours'!$Y46)</f>
        <v>0</v>
      </c>
      <c r="U46" s="417" t="n">
        <f aca="false">IF($A$1="BL",0,'Peak Hours'!U46*Peak!AA47*'Peak Hours'!$Y46)</f>
        <v>0</v>
      </c>
      <c r="V46" s="424"/>
      <c r="W46" s="422" t="n">
        <f aca="false">(IF($A$1="BL",0,Peak!C47*'Peak Hours'!V46*'Peak Hours'!$Y46))*-1</f>
        <v>-6465616.23500294</v>
      </c>
      <c r="X46" s="424"/>
      <c r="Y46" s="422" t="n">
        <f aca="false">(IF($A$1="bl",0,Peak!D47*'Peak Hours'!V46*'Peak Hours'!$Y46))*-1</f>
        <v>-91784.0157643208</v>
      </c>
      <c r="Z46" s="424"/>
      <c r="AA46" s="422" t="n">
        <f aca="false">(Peak!E47*'Peak Hours'!V46*'Peak Hours'!$Y46)*-1</f>
        <v>-0</v>
      </c>
      <c r="AB46" s="425"/>
      <c r="AC46" s="422" t="n">
        <f aca="false">(Peak!F47*'Peak Hours'!V46*'Peak Hours'!$Y46)*-1</f>
        <v>-0</v>
      </c>
      <c r="AD46" s="425"/>
    </row>
    <row r="47" customFormat="false" ht="12.75" hidden="false" customHeight="false" outlineLevel="0" collapsed="false">
      <c r="A47" s="400" t="n">
        <f aca="false">A46+30.417</f>
        <v>37665.429</v>
      </c>
      <c r="B47" s="417" t="n">
        <f aca="false">IF($A$1="BL",0,'Peak Hours'!B47*Peak!H48*'Peak Hours'!$Y47)</f>
        <v>382840.209612547</v>
      </c>
      <c r="C47" s="417" t="n">
        <f aca="false">IF($A$1="BL",0,'Peak Hours'!C47*Peak!I48*'Peak Hours'!$Y47)</f>
        <v>238023.758741101</v>
      </c>
      <c r="D47" s="417" t="n">
        <f aca="false">IF($A$1="BL",0,'Peak Hours'!D47*Peak!J48*'Peak Hours'!$Y47)</f>
        <v>421644.801281386</v>
      </c>
      <c r="E47" s="417" t="n">
        <f aca="false">IF($A$1="BL",0,'Peak Hours'!E47*Peak!K48*'Peak Hours'!$Y47)</f>
        <v>776568.085165676</v>
      </c>
      <c r="F47" s="417" t="n">
        <f aca="false">IF($A$1="BL",0,'Peak Hours'!F47*Peak!L48*'Peak Hours'!$Y47)</f>
        <v>743486.564798688</v>
      </c>
      <c r="G47" s="417" t="n">
        <f aca="false">IF($A$1="BL",0,'Peak Hours'!G47*Peak!M48*'Peak Hours'!$Y47)</f>
        <v>1406828.27181995</v>
      </c>
      <c r="H47" s="417" t="n">
        <f aca="false">IF($A$1="BL",0,'Peak Hours'!H47*Peak!N48*'Peak Hours'!$Y47)</f>
        <v>1333028.06593804</v>
      </c>
      <c r="I47" s="417" t="n">
        <f aca="false">IF($A$1="BL",0,'Peak Hours'!I47*Peak!O48*'Peak Hours'!$Y47)</f>
        <v>1326755.14230853</v>
      </c>
      <c r="J47" s="417" t="n">
        <f aca="false">IF($A$1="BL",0,'Peak Hours'!J47*Peak!P48*'Peak Hours'!$Y47)</f>
        <v>1205665.19023148</v>
      </c>
      <c r="K47" s="417" t="n">
        <f aca="false">IF($A$1="BL",0,'Peak Hours'!K47*Peak!Q48*'Peak Hours'!$Y47)</f>
        <v>0</v>
      </c>
      <c r="L47" s="417" t="n">
        <f aca="false">IF($A$1="BL",0,'Peak Hours'!L47*Peak!R48*'Peak Hours'!$Y47)</f>
        <v>0</v>
      </c>
      <c r="M47" s="417" t="n">
        <f aca="false">IF($A$1="BL",0,'Peak Hours'!M47*Peak!S48*'Peak Hours'!$Y47)</f>
        <v>0</v>
      </c>
      <c r="N47" s="417" t="n">
        <f aca="false">IF($A$1="BL",0,'Peak Hours'!N47*Peak!T48*'Peak Hours'!$Y47)</f>
        <v>0</v>
      </c>
      <c r="O47" s="417" t="n">
        <f aca="false">IF($A$1="BL",0,'Peak Hours'!O47*Peak!U48*'Peak Hours'!$Y47)</f>
        <v>0</v>
      </c>
      <c r="P47" s="417" t="n">
        <f aca="false">IF($A$1="BL",0,'Peak Hours'!P47*Peak!V48*'Peak Hours'!$Y47)</f>
        <v>0</v>
      </c>
      <c r="Q47" s="417" t="n">
        <f aca="false">IF($A$1="BL",0,'Peak Hours'!Q47*Peak!W48*'Peak Hours'!$Y47)</f>
        <v>0</v>
      </c>
      <c r="R47" s="417" t="n">
        <f aca="false">IF($A$1="BL",0,'Peak Hours'!R47*Peak!X48*'Peak Hours'!$Y47)</f>
        <v>0</v>
      </c>
      <c r="S47" s="417" t="n">
        <f aca="false">IF($A$1="BL",0,'Peak Hours'!S47*Peak!Y48*'Peak Hours'!$Y47)</f>
        <v>0</v>
      </c>
      <c r="T47" s="417" t="n">
        <f aca="false">IF($A$1="BL",0,'Peak Hours'!T47*Peak!Z48*'Peak Hours'!$Y47)</f>
        <v>0</v>
      </c>
      <c r="U47" s="417" t="n">
        <f aca="false">IF($A$1="BL",0,'Peak Hours'!U47*Peak!AA48*'Peak Hours'!$Y47)</f>
        <v>0</v>
      </c>
      <c r="V47" s="424"/>
      <c r="W47" s="422" t="n">
        <f aca="false">(IF($A$1="BL",0,Peak!C48*'Peak Hours'!V47*'Peak Hours'!$Y47))*-1</f>
        <v>-5794980.50849997</v>
      </c>
      <c r="X47" s="424"/>
      <c r="Y47" s="422" t="n">
        <f aca="false">(IF($A$1="bl",0,Peak!D48*'Peak Hours'!V47*'Peak Hours'!$Y47))*-1</f>
        <v>-91936.989123928</v>
      </c>
      <c r="Z47" s="424"/>
      <c r="AA47" s="422" t="n">
        <f aca="false">(Peak!E48*'Peak Hours'!V47*'Peak Hours'!$Y47)*-1</f>
        <v>-0</v>
      </c>
      <c r="AB47" s="425"/>
      <c r="AC47" s="422" t="n">
        <f aca="false">(Peak!F48*'Peak Hours'!V47*'Peak Hours'!$Y47)*-1</f>
        <v>-0</v>
      </c>
      <c r="AD47" s="425"/>
    </row>
    <row r="48" customFormat="false" ht="12.75" hidden="false" customHeight="false" outlineLevel="0" collapsed="false">
      <c r="A48" s="400" t="n">
        <f aca="false">A47+30.417</f>
        <v>37695.846</v>
      </c>
      <c r="B48" s="417" t="n">
        <f aca="false">IF($A$1="BL",0,'Peak Hours'!B48*Peak!H49*'Peak Hours'!$Y48)</f>
        <v>265223.890328663</v>
      </c>
      <c r="C48" s="417" t="n">
        <f aca="false">IF($A$1="BL",0,'Peak Hours'!C48*Peak!I49*'Peak Hours'!$Y48)</f>
        <v>235128.246960363</v>
      </c>
      <c r="D48" s="417" t="n">
        <f aca="false">IF($A$1="BL",0,'Peak Hours'!D48*Peak!J49*'Peak Hours'!$Y48)</f>
        <v>417569.887306953</v>
      </c>
      <c r="E48" s="417" t="n">
        <f aca="false">IF($A$1="BL",0,'Peak Hours'!E48*Peak!K49*'Peak Hours'!$Y48)</f>
        <v>803360.715503124</v>
      </c>
      <c r="F48" s="417" t="n">
        <f aca="false">IF($A$1="BL",0,'Peak Hours'!F48*Peak!L49*'Peak Hours'!$Y48)</f>
        <v>767366.732615173</v>
      </c>
      <c r="G48" s="417" t="n">
        <f aca="false">IF($A$1="BL",0,'Peak Hours'!G48*Peak!M49*'Peak Hours'!$Y48)</f>
        <v>1438913.5253799</v>
      </c>
      <c r="H48" s="417" t="n">
        <f aca="false">IF($A$1="BL",0,'Peak Hours'!H48*Peak!N49*'Peak Hours'!$Y48)</f>
        <v>1422638.43696583</v>
      </c>
      <c r="I48" s="417" t="n">
        <f aca="false">IF($A$1="BL",0,'Peak Hours'!I48*Peak!O49*'Peak Hours'!$Y48)</f>
        <v>1393036.39360939</v>
      </c>
      <c r="J48" s="417" t="n">
        <f aca="false">IF($A$1="BL",0,'Peak Hours'!J48*Peak!P49*'Peak Hours'!$Y48)</f>
        <v>1212311.9281245</v>
      </c>
      <c r="K48" s="417" t="n">
        <f aca="false">IF($A$1="BL",0,'Peak Hours'!K48*Peak!Q49*'Peak Hours'!$Y48)</f>
        <v>0</v>
      </c>
      <c r="L48" s="417" t="n">
        <f aca="false">IF($A$1="BL",0,'Peak Hours'!L48*Peak!R49*'Peak Hours'!$Y48)</f>
        <v>0</v>
      </c>
      <c r="M48" s="417" t="n">
        <f aca="false">IF($A$1="BL",0,'Peak Hours'!M48*Peak!S49*'Peak Hours'!$Y48)</f>
        <v>0</v>
      </c>
      <c r="N48" s="417" t="n">
        <f aca="false">IF($A$1="BL",0,'Peak Hours'!N48*Peak!T49*'Peak Hours'!$Y48)</f>
        <v>0</v>
      </c>
      <c r="O48" s="417" t="n">
        <f aca="false">IF($A$1="BL",0,'Peak Hours'!O48*Peak!U49*'Peak Hours'!$Y48)</f>
        <v>0</v>
      </c>
      <c r="P48" s="417" t="n">
        <f aca="false">IF($A$1="BL",0,'Peak Hours'!P48*Peak!V49*'Peak Hours'!$Y48)</f>
        <v>0</v>
      </c>
      <c r="Q48" s="417" t="n">
        <f aca="false">IF($A$1="BL",0,'Peak Hours'!Q48*Peak!W49*'Peak Hours'!$Y48)</f>
        <v>0</v>
      </c>
      <c r="R48" s="417" t="n">
        <f aca="false">IF($A$1="BL",0,'Peak Hours'!R48*Peak!X49*'Peak Hours'!$Y48)</f>
        <v>0</v>
      </c>
      <c r="S48" s="417" t="n">
        <f aca="false">IF($A$1="BL",0,'Peak Hours'!S48*Peak!Y49*'Peak Hours'!$Y48)</f>
        <v>0</v>
      </c>
      <c r="T48" s="417" t="n">
        <f aca="false">IF($A$1="BL",0,'Peak Hours'!T48*Peak!Z49*'Peak Hours'!$Y48)</f>
        <v>0</v>
      </c>
      <c r="U48" s="417" t="n">
        <f aca="false">IF($A$1="BL",0,'Peak Hours'!U48*Peak!AA49*'Peak Hours'!$Y48)</f>
        <v>0</v>
      </c>
      <c r="V48" s="424"/>
      <c r="W48" s="422" t="n">
        <f aca="false">(IF($A$1="BL",0,Peak!C49*'Peak Hours'!V48*'Peak Hours'!$Y48))*-1</f>
        <v>-5856104.88795988</v>
      </c>
      <c r="X48" s="424"/>
      <c r="Y48" s="422" t="n">
        <f aca="false">(IF($A$1="bl",0,Peak!D49*'Peak Hours'!V48*'Peak Hours'!$Y48))*-1</f>
        <v>-94653.16420324</v>
      </c>
      <c r="Z48" s="424"/>
      <c r="AA48" s="422" t="n">
        <f aca="false">(Peak!E49*'Peak Hours'!V48*'Peak Hours'!$Y48)*-1</f>
        <v>-0</v>
      </c>
      <c r="AB48" s="425"/>
      <c r="AC48" s="422" t="n">
        <f aca="false">(Peak!F49*'Peak Hours'!V48*'Peak Hours'!$Y48)*-1</f>
        <v>-0</v>
      </c>
      <c r="AD48" s="425"/>
    </row>
    <row r="49" customFormat="false" ht="12.75" hidden="false" customHeight="false" outlineLevel="0" collapsed="false">
      <c r="A49" s="400" t="n">
        <f aca="false">A48+30.417</f>
        <v>37726.263</v>
      </c>
      <c r="B49" s="417" t="n">
        <f aca="false">IF($A$1="BL",0,'Peak Hours'!B49*Peak!H50*'Peak Hours'!$Y49)</f>
        <v>213240.312135567</v>
      </c>
      <c r="C49" s="417" t="n">
        <f aca="false">IF($A$1="BL",0,'Peak Hours'!C49*Peak!I50*'Peak Hours'!$Y49)</f>
        <v>213240.312135567</v>
      </c>
      <c r="D49" s="417" t="n">
        <f aca="false">IF($A$1="BL",0,'Peak Hours'!D49*Peak!J50*'Peak Hours'!$Y49)</f>
        <v>423469.269539214</v>
      </c>
      <c r="E49" s="417" t="n">
        <f aca="false">IF($A$1="BL",0,'Peak Hours'!E49*Peak!K50*'Peak Hours'!$Y49)</f>
        <v>798808.289727704</v>
      </c>
      <c r="F49" s="417" t="n">
        <f aca="false">IF($A$1="BL",0,'Peak Hours'!F49*Peak!L50*'Peak Hours'!$Y49)</f>
        <v>666226.909023313</v>
      </c>
      <c r="G49" s="417" t="n">
        <f aca="false">IF($A$1="BL",0,'Peak Hours'!G49*Peak!M50*'Peak Hours'!$Y49)</f>
        <v>1136124.56403213</v>
      </c>
      <c r="H49" s="417" t="n">
        <f aca="false">IF($A$1="BL",0,'Peak Hours'!H49*Peak!N50*'Peak Hours'!$Y49)</f>
        <v>0</v>
      </c>
      <c r="I49" s="417" t="n">
        <f aca="false">IF($A$1="BL",0,'Peak Hours'!I49*Peak!O50*'Peak Hours'!$Y49)</f>
        <v>0</v>
      </c>
      <c r="J49" s="417" t="n">
        <f aca="false">IF($A$1="BL",0,'Peak Hours'!J49*Peak!P50*'Peak Hours'!$Y49)</f>
        <v>0</v>
      </c>
      <c r="K49" s="417" t="n">
        <f aca="false">IF($A$1="BL",0,'Peak Hours'!K49*Peak!Q50*'Peak Hours'!$Y49)</f>
        <v>0</v>
      </c>
      <c r="L49" s="417" t="n">
        <f aca="false">IF($A$1="BL",0,'Peak Hours'!L49*Peak!R50*'Peak Hours'!$Y49)</f>
        <v>0</v>
      </c>
      <c r="M49" s="417" t="n">
        <f aca="false">IF($A$1="BL",0,'Peak Hours'!M49*Peak!S50*'Peak Hours'!$Y49)</f>
        <v>0</v>
      </c>
      <c r="N49" s="417" t="n">
        <f aca="false">IF($A$1="BL",0,'Peak Hours'!N49*Peak!T50*'Peak Hours'!$Y49)</f>
        <v>0</v>
      </c>
      <c r="O49" s="417" t="n">
        <f aca="false">IF($A$1="BL",0,'Peak Hours'!O49*Peak!U50*'Peak Hours'!$Y49)</f>
        <v>0</v>
      </c>
      <c r="P49" s="417" t="n">
        <f aca="false">IF($A$1="BL",0,'Peak Hours'!P49*Peak!V50*'Peak Hours'!$Y49)</f>
        <v>0</v>
      </c>
      <c r="Q49" s="417" t="n">
        <f aca="false">IF($A$1="BL",0,'Peak Hours'!Q49*Peak!W50*'Peak Hours'!$Y49)</f>
        <v>0</v>
      </c>
      <c r="R49" s="417" t="n">
        <f aca="false">IF($A$1="BL",0,'Peak Hours'!R49*Peak!X50*'Peak Hours'!$Y49)</f>
        <v>0</v>
      </c>
      <c r="S49" s="417" t="n">
        <f aca="false">IF($A$1="BL",0,'Peak Hours'!S49*Peak!Y50*'Peak Hours'!$Y49)</f>
        <v>0</v>
      </c>
      <c r="T49" s="417" t="n">
        <f aca="false">IF($A$1="BL",0,'Peak Hours'!T49*Peak!Z50*'Peak Hours'!$Y49)</f>
        <v>0</v>
      </c>
      <c r="U49" s="417" t="n">
        <f aca="false">IF($A$1="BL",0,'Peak Hours'!U49*Peak!AA50*'Peak Hours'!$Y49)</f>
        <v>0</v>
      </c>
      <c r="V49" s="424"/>
      <c r="W49" s="422" t="n">
        <f aca="false">(IF($A$1="BL",0,Peak!C50*'Peak Hours'!V49*'Peak Hours'!$Y49))*-1</f>
        <v>-2530647.11867665</v>
      </c>
      <c r="X49" s="424"/>
      <c r="Y49" s="422" t="n">
        <f aca="false">(IF($A$1="bl",0,Peak!D50*'Peak Hours'!V49*'Peak Hours'!$Y49))*-1</f>
        <v>-43095.8724895055</v>
      </c>
      <c r="Z49" s="424"/>
      <c r="AA49" s="422" t="n">
        <f aca="false">(Peak!E50*'Peak Hours'!V49*'Peak Hours'!$Y49)*-1</f>
        <v>-0</v>
      </c>
      <c r="AB49" s="425"/>
      <c r="AC49" s="422" t="n">
        <f aca="false">(Peak!F50*'Peak Hours'!V49*'Peak Hours'!$Y49)*-1</f>
        <v>-0</v>
      </c>
      <c r="AD49" s="425"/>
    </row>
    <row r="50" customFormat="false" ht="12.75" hidden="false" customHeight="false" outlineLevel="0" collapsed="false">
      <c r="A50" s="400" t="n">
        <f aca="false">A49+30.417</f>
        <v>37756.68</v>
      </c>
      <c r="B50" s="417" t="n">
        <f aca="false">IF($A$1="BL",0,'Peak Hours'!B50*Peak!H51*'Peak Hours'!$Y50)</f>
        <v>262650.151861263</v>
      </c>
      <c r="C50" s="417" t="n">
        <f aca="false">IF($A$1="BL",0,'Peak Hours'!C50*Peak!I51*'Peak Hours'!$Y50)</f>
        <v>241708.149470196</v>
      </c>
      <c r="D50" s="417" t="n">
        <f aca="false">IF($A$1="BL",0,'Peak Hours'!D50*Peak!J51*'Peak Hours'!$Y50)</f>
        <v>460251.874479457</v>
      </c>
      <c r="E50" s="417" t="n">
        <f aca="false">IF($A$1="BL",0,'Peak Hours'!E50*Peak!K51*'Peak Hours'!$Y50)</f>
        <v>859885.401126486</v>
      </c>
      <c r="F50" s="417" t="n">
        <f aca="false">IF($A$1="BL",0,'Peak Hours'!F50*Peak!L51*'Peak Hours'!$Y50)</f>
        <v>805553.805579546</v>
      </c>
      <c r="G50" s="417" t="n">
        <f aca="false">IF($A$1="BL",0,'Peak Hours'!G50*Peak!M51*'Peak Hours'!$Y50)</f>
        <v>1559927.39807146</v>
      </c>
      <c r="H50" s="417" t="n">
        <f aca="false">IF($A$1="BL",0,'Peak Hours'!H50*Peak!N51*'Peak Hours'!$Y50)</f>
        <v>1519094.87108557</v>
      </c>
      <c r="I50" s="417" t="n">
        <f aca="false">IF($A$1="BL",0,'Peak Hours'!I50*Peak!O51*'Peak Hours'!$Y50)</f>
        <v>1164886.55226764</v>
      </c>
      <c r="J50" s="417" t="n">
        <f aca="false">IF($A$1="BL",0,'Peak Hours'!J50*Peak!P51*'Peak Hours'!$Y50)</f>
        <v>0</v>
      </c>
      <c r="K50" s="417" t="n">
        <f aca="false">IF($A$1="BL",0,'Peak Hours'!K50*Peak!Q51*'Peak Hours'!$Y50)</f>
        <v>0</v>
      </c>
      <c r="L50" s="417" t="n">
        <f aca="false">IF($A$1="BL",0,'Peak Hours'!L50*Peak!R51*'Peak Hours'!$Y50)</f>
        <v>0</v>
      </c>
      <c r="M50" s="417" t="n">
        <f aca="false">IF($A$1="BL",0,'Peak Hours'!M50*Peak!S51*'Peak Hours'!$Y50)</f>
        <v>0</v>
      </c>
      <c r="N50" s="417" t="n">
        <f aca="false">IF($A$1="BL",0,'Peak Hours'!N50*Peak!T51*'Peak Hours'!$Y50)</f>
        <v>0</v>
      </c>
      <c r="O50" s="417" t="n">
        <f aca="false">IF($A$1="BL",0,'Peak Hours'!O50*Peak!U51*'Peak Hours'!$Y50)</f>
        <v>0</v>
      </c>
      <c r="P50" s="417" t="n">
        <f aca="false">IF($A$1="BL",0,'Peak Hours'!P50*Peak!V51*'Peak Hours'!$Y50)</f>
        <v>0</v>
      </c>
      <c r="Q50" s="417" t="n">
        <f aca="false">IF($A$1="BL",0,'Peak Hours'!Q50*Peak!W51*'Peak Hours'!$Y50)</f>
        <v>0</v>
      </c>
      <c r="R50" s="417" t="n">
        <f aca="false">IF($A$1="BL",0,'Peak Hours'!R50*Peak!X51*'Peak Hours'!$Y50)</f>
        <v>0</v>
      </c>
      <c r="S50" s="417" t="n">
        <f aca="false">IF($A$1="BL",0,'Peak Hours'!S50*Peak!Y51*'Peak Hours'!$Y50)</f>
        <v>0</v>
      </c>
      <c r="T50" s="417" t="n">
        <f aca="false">IF($A$1="BL",0,'Peak Hours'!T50*Peak!Z51*'Peak Hours'!$Y50)</f>
        <v>0</v>
      </c>
      <c r="U50" s="417" t="n">
        <f aca="false">IF($A$1="BL",0,'Peak Hours'!U50*Peak!AA51*'Peak Hours'!$Y50)</f>
        <v>0</v>
      </c>
      <c r="V50" s="424"/>
      <c r="W50" s="422" t="n">
        <f aca="false">(IF($A$1="BL",0,Peak!C51*'Peak Hours'!V50*'Peak Hours'!$Y50))*-1</f>
        <v>-4796178.8249205</v>
      </c>
      <c r="X50" s="424"/>
      <c r="Y50" s="422" t="n">
        <f aca="false">(IF($A$1="bl",0,Peak!D51*'Peak Hours'!V50*'Peak Hours'!$Y50))*-1</f>
        <v>-77701.8580985784</v>
      </c>
      <c r="Z50" s="424"/>
      <c r="AA50" s="422" t="n">
        <f aca="false">(Peak!E51*'Peak Hours'!V50*'Peak Hours'!$Y50)*-1</f>
        <v>-0</v>
      </c>
      <c r="AB50" s="425"/>
      <c r="AC50" s="422" t="n">
        <f aca="false">(Peak!F51*'Peak Hours'!V50*'Peak Hours'!$Y50)*-1</f>
        <v>-0</v>
      </c>
      <c r="AD50" s="425"/>
    </row>
    <row r="51" customFormat="false" ht="12.75" hidden="false" customHeight="false" outlineLevel="0" collapsed="false">
      <c r="A51" s="400" t="n">
        <f aca="false">A50+30.417</f>
        <v>37787.097</v>
      </c>
      <c r="B51" s="417" t="n">
        <f aca="false">IF($A$1="BL",0,'Peak Hours'!B51*Peak!H52*'Peak Hours'!$Y51)</f>
        <v>952186.849683557</v>
      </c>
      <c r="C51" s="417" t="n">
        <f aca="false">IF($A$1="BL",0,'Peak Hours'!C51*Peak!I52*'Peak Hours'!$Y51)</f>
        <v>659492.869941505</v>
      </c>
      <c r="D51" s="417" t="n">
        <f aca="false">IF($A$1="BL",0,'Peak Hours'!D51*Peak!J52*'Peak Hours'!$Y51)</f>
        <v>731344.631490182</v>
      </c>
      <c r="E51" s="417" t="n">
        <f aca="false">IF($A$1="BL",0,'Peak Hours'!E51*Peak!K52*'Peak Hours'!$Y51)</f>
        <v>1044592.5939846</v>
      </c>
      <c r="F51" s="417" t="n">
        <f aca="false">IF($A$1="BL",0,'Peak Hours'!F51*Peak!L52*'Peak Hours'!$Y51)</f>
        <v>885789.513826488</v>
      </c>
      <c r="G51" s="417" t="n">
        <f aca="false">IF($A$1="BL",0,'Peak Hours'!G51*Peak!M52*'Peak Hours'!$Y51)</f>
        <v>1608900.4441249</v>
      </c>
      <c r="H51" s="417" t="n">
        <f aca="false">IF($A$1="BL",0,'Peak Hours'!H51*Peak!N52*'Peak Hours'!$Y51)</f>
        <v>1473457.7541623</v>
      </c>
      <c r="I51" s="417" t="n">
        <f aca="false">IF($A$1="BL",0,'Peak Hours'!I51*Peak!O52*'Peak Hours'!$Y51)</f>
        <v>1403965.28127693</v>
      </c>
      <c r="J51" s="417" t="n">
        <f aca="false">IF($A$1="BL",0,'Peak Hours'!J51*Peak!P52*'Peak Hours'!$Y51)</f>
        <v>1092728.43336984</v>
      </c>
      <c r="K51" s="417" t="n">
        <f aca="false">IF($A$1="BL",0,'Peak Hours'!K51*Peak!Q52*'Peak Hours'!$Y51)</f>
        <v>1063003.09954182</v>
      </c>
      <c r="L51" s="417" t="n">
        <f aca="false">IF($A$1="BL",0,'Peak Hours'!L51*Peak!R52*'Peak Hours'!$Y51)</f>
        <v>0</v>
      </c>
      <c r="M51" s="417" t="n">
        <f aca="false">IF($A$1="BL",0,'Peak Hours'!M51*Peak!S52*'Peak Hours'!$Y51)</f>
        <v>0</v>
      </c>
      <c r="N51" s="417" t="n">
        <f aca="false">IF($A$1="BL",0,'Peak Hours'!N51*Peak!T52*'Peak Hours'!$Y51)</f>
        <v>0</v>
      </c>
      <c r="O51" s="417" t="n">
        <f aca="false">IF($A$1="BL",0,'Peak Hours'!O51*Peak!U52*'Peak Hours'!$Y51)</f>
        <v>0</v>
      </c>
      <c r="P51" s="417" t="n">
        <f aca="false">IF($A$1="BL",0,'Peak Hours'!P51*Peak!V52*'Peak Hours'!$Y51)</f>
        <v>0</v>
      </c>
      <c r="Q51" s="417" t="n">
        <f aca="false">IF($A$1="BL",0,'Peak Hours'!Q51*Peak!W52*'Peak Hours'!$Y51)</f>
        <v>0</v>
      </c>
      <c r="R51" s="417" t="n">
        <f aca="false">IF($A$1="BL",0,'Peak Hours'!R51*Peak!X52*'Peak Hours'!$Y51)</f>
        <v>0</v>
      </c>
      <c r="S51" s="417" t="n">
        <f aca="false">IF($A$1="BL",0,'Peak Hours'!S51*Peak!Y52*'Peak Hours'!$Y51)</f>
        <v>0</v>
      </c>
      <c r="T51" s="417" t="n">
        <f aca="false">IF($A$1="BL",0,'Peak Hours'!T51*Peak!Z52*'Peak Hours'!$Y51)</f>
        <v>0</v>
      </c>
      <c r="U51" s="417" t="n">
        <f aca="false">IF($A$1="BL",0,'Peak Hours'!U51*Peak!AA52*'Peak Hours'!$Y51)</f>
        <v>0</v>
      </c>
      <c r="V51" s="424"/>
      <c r="W51" s="422" t="n">
        <f aca="false">(IF($A$1="BL",0,Peak!C52*'Peak Hours'!V51*'Peak Hours'!$Y51))*-1</f>
        <v>-6712581.09004983</v>
      </c>
      <c r="X51" s="424"/>
      <c r="Y51" s="422" t="n">
        <f aca="false">(IF($A$1="bl",0,Peak!D52*'Peak Hours'!V51*'Peak Hours'!$Y51))*-1</f>
        <v>-114330.880229098</v>
      </c>
      <c r="Z51" s="424"/>
      <c r="AA51" s="422" t="n">
        <f aca="false">(Peak!E52*'Peak Hours'!V51*'Peak Hours'!$Y51)*-1</f>
        <v>-0</v>
      </c>
      <c r="AB51" s="425"/>
      <c r="AC51" s="422" t="n">
        <f aca="false">(Peak!F52*'Peak Hours'!V51*'Peak Hours'!$Y51)*-1</f>
        <v>-0</v>
      </c>
      <c r="AD51" s="425"/>
    </row>
    <row r="52" customFormat="false" ht="12.75" hidden="false" customHeight="false" outlineLevel="0" collapsed="false">
      <c r="A52" s="400" t="n">
        <f aca="false">A51+30.417</f>
        <v>37817.514</v>
      </c>
      <c r="B52" s="417" t="n">
        <f aca="false">IF($A$1="BL",0,'Peak Hours'!B52*Peak!H53*'Peak Hours'!$Y52)</f>
        <v>2927036.40646286</v>
      </c>
      <c r="C52" s="417" t="n">
        <f aca="false">IF($A$1="BL",0,'Peak Hours'!C52*Peak!I53*'Peak Hours'!$Y52)</f>
        <v>1613247.99946513</v>
      </c>
      <c r="D52" s="417" t="n">
        <f aca="false">IF($A$1="BL",0,'Peak Hours'!D52*Peak!J53*'Peak Hours'!$Y52)</f>
        <v>2069337.53776784</v>
      </c>
      <c r="E52" s="417" t="n">
        <f aca="false">IF($A$1="BL",0,'Peak Hours'!E52*Peak!K53*'Peak Hours'!$Y52)</f>
        <v>2663077.09576711</v>
      </c>
      <c r="F52" s="417" t="n">
        <f aca="false">IF($A$1="BL",0,'Peak Hours'!F52*Peak!L53*'Peak Hours'!$Y52)</f>
        <v>1220413.10697158</v>
      </c>
      <c r="G52" s="417" t="n">
        <f aca="false">IF($A$1="BL",0,'Peak Hours'!G52*Peak!M53*'Peak Hours'!$Y52)</f>
        <v>1979842.43536161</v>
      </c>
      <c r="H52" s="417" t="n">
        <f aca="false">IF($A$1="BL",0,'Peak Hours'!H52*Peak!N53*'Peak Hours'!$Y52)</f>
        <v>1637547.18478805</v>
      </c>
      <c r="I52" s="417" t="n">
        <f aca="false">IF($A$1="BL",0,'Peak Hours'!I52*Peak!O53*'Peak Hours'!$Y52)</f>
        <v>1497226.77686412</v>
      </c>
      <c r="J52" s="417" t="n">
        <f aca="false">IF($A$1="BL",0,'Peak Hours'!J52*Peak!P53*'Peak Hours'!$Y52)</f>
        <v>1429081.55833076</v>
      </c>
      <c r="K52" s="417" t="n">
        <f aca="false">IF($A$1="BL",0,'Peak Hours'!K52*Peak!Q53*'Peak Hours'!$Y52)</f>
        <v>1354251.7998589</v>
      </c>
      <c r="L52" s="417" t="n">
        <f aca="false">IF($A$1="BL",0,'Peak Hours'!L52*Peak!R53*'Peak Hours'!$Y52)</f>
        <v>1113523.19503161</v>
      </c>
      <c r="M52" s="417" t="n">
        <f aca="false">IF($A$1="BL",0,'Peak Hours'!M52*Peak!S53*'Peak Hours'!$Y52)</f>
        <v>1076010.26363327</v>
      </c>
      <c r="N52" s="417" t="n">
        <f aca="false">IF($A$1="BL",0,'Peak Hours'!N52*Peak!T53*'Peak Hours'!$Y52)</f>
        <v>0</v>
      </c>
      <c r="O52" s="417" t="n">
        <f aca="false">IF($A$1="BL",0,'Peak Hours'!O52*Peak!U53*'Peak Hours'!$Y52)</f>
        <v>0</v>
      </c>
      <c r="P52" s="417" t="n">
        <f aca="false">IF($A$1="BL",0,'Peak Hours'!P52*Peak!V53*'Peak Hours'!$Y52)</f>
        <v>0</v>
      </c>
      <c r="Q52" s="417" t="n">
        <f aca="false">IF($A$1="BL",0,'Peak Hours'!Q52*Peak!W53*'Peak Hours'!$Y52)</f>
        <v>0</v>
      </c>
      <c r="R52" s="417" t="n">
        <f aca="false">IF($A$1="BL",0,'Peak Hours'!R52*Peak!X53*'Peak Hours'!$Y52)</f>
        <v>0</v>
      </c>
      <c r="S52" s="417" t="n">
        <f aca="false">IF($A$1="BL",0,'Peak Hours'!S52*Peak!Y53*'Peak Hours'!$Y52)</f>
        <v>0</v>
      </c>
      <c r="T52" s="417" t="n">
        <f aca="false">IF($A$1="BL",0,'Peak Hours'!T52*Peak!Z53*'Peak Hours'!$Y52)</f>
        <v>0</v>
      </c>
      <c r="U52" s="417" t="n">
        <f aca="false">IF($A$1="BL",0,'Peak Hours'!U52*Peak!AA53*'Peak Hours'!$Y52)</f>
        <v>0</v>
      </c>
      <c r="V52" s="424"/>
      <c r="W52" s="422" t="n">
        <f aca="false">(IF($A$1="BL",0,Peak!C53*'Peak Hours'!V52*'Peak Hours'!$Y52))*-1</f>
        <v>-8750212.20477528</v>
      </c>
      <c r="X52" s="424"/>
      <c r="Y52" s="422" t="n">
        <f aca="false">(IF($A$1="bl",0,Peak!D53*'Peak Hours'!V52*'Peak Hours'!$Y52))*-1</f>
        <v>-149758.795294961</v>
      </c>
      <c r="Z52" s="424"/>
      <c r="AA52" s="422" t="n">
        <f aca="false">(Peak!E53*'Peak Hours'!V52*'Peak Hours'!$Y52)*-1</f>
        <v>-0</v>
      </c>
      <c r="AB52" s="425"/>
      <c r="AC52" s="422" t="n">
        <f aca="false">(Peak!F53*'Peak Hours'!V52*'Peak Hours'!$Y52)*-1</f>
        <v>-0</v>
      </c>
      <c r="AD52" s="425"/>
    </row>
    <row r="53" customFormat="false" ht="12.75" hidden="false" customHeight="false" outlineLevel="0" collapsed="false">
      <c r="A53" s="400" t="n">
        <f aca="false">A52+30.417</f>
        <v>37847.931</v>
      </c>
      <c r="B53" s="417" t="n">
        <f aca="false">IF($A$1="BL",0,'Peak Hours'!B53*Peak!H54*'Peak Hours'!$Y53)</f>
        <v>6073706.35890141</v>
      </c>
      <c r="C53" s="417" t="n">
        <f aca="false">IF($A$1="BL",0,'Peak Hours'!C53*Peak!I54*'Peak Hours'!$Y53)</f>
        <v>2798023.3837401</v>
      </c>
      <c r="D53" s="417" t="n">
        <f aca="false">IF($A$1="BL",0,'Peak Hours'!D53*Peak!J54*'Peak Hours'!$Y53)</f>
        <v>3253524.61425009</v>
      </c>
      <c r="E53" s="417" t="n">
        <f aca="false">IF($A$1="BL",0,'Peak Hours'!E53*Peak!K54*'Peak Hours'!$Y53)</f>
        <v>3377904.67576236</v>
      </c>
      <c r="F53" s="417" t="n">
        <f aca="false">IF($A$1="BL",0,'Peak Hours'!F53*Peak!L54*'Peak Hours'!$Y53)</f>
        <v>2045204.96999574</v>
      </c>
      <c r="G53" s="417" t="n">
        <f aca="false">IF($A$1="BL",0,'Peak Hours'!G53*Peak!M54*'Peak Hours'!$Y53)</f>
        <v>2481026.23452896</v>
      </c>
      <c r="H53" s="417" t="n">
        <f aca="false">IF($A$1="BL",0,'Peak Hours'!H53*Peak!N54*'Peak Hours'!$Y53)</f>
        <v>2134577.78235284</v>
      </c>
      <c r="I53" s="417" t="n">
        <f aca="false">IF($A$1="BL",0,'Peak Hours'!I53*Peak!O54*'Peak Hours'!$Y53)</f>
        <v>1983277.07016398</v>
      </c>
      <c r="J53" s="417" t="n">
        <f aca="false">IF($A$1="BL",0,'Peak Hours'!J53*Peak!P54*'Peak Hours'!$Y53)</f>
        <v>1753734.79938131</v>
      </c>
      <c r="K53" s="417" t="n">
        <f aca="false">IF($A$1="BL",0,'Peak Hours'!K53*Peak!Q54*'Peak Hours'!$Y53)</f>
        <v>1306616.90403818</v>
      </c>
      <c r="L53" s="417" t="n">
        <f aca="false">IF($A$1="BL",0,'Peak Hours'!L53*Peak!R54*'Peak Hours'!$Y53)</f>
        <v>1120264.83159866</v>
      </c>
      <c r="M53" s="417" t="n">
        <f aca="false">IF($A$1="BL",0,'Peak Hours'!M53*Peak!S54*'Peak Hours'!$Y53)</f>
        <v>1028087.47781181</v>
      </c>
      <c r="N53" s="417" t="n">
        <f aca="false">IF($A$1="BL",0,'Peak Hours'!N53*Peak!T54*'Peak Hours'!$Y53)</f>
        <v>0</v>
      </c>
      <c r="O53" s="417" t="n">
        <f aca="false">IF($A$1="BL",0,'Peak Hours'!O53*Peak!U54*'Peak Hours'!$Y53)</f>
        <v>0</v>
      </c>
      <c r="P53" s="417" t="n">
        <f aca="false">IF($A$1="BL",0,'Peak Hours'!P53*Peak!V54*'Peak Hours'!$Y53)</f>
        <v>0</v>
      </c>
      <c r="Q53" s="417" t="n">
        <f aca="false">IF($A$1="BL",0,'Peak Hours'!Q53*Peak!W54*'Peak Hours'!$Y53)</f>
        <v>0</v>
      </c>
      <c r="R53" s="417" t="n">
        <f aca="false">IF($A$1="BL",0,'Peak Hours'!R53*Peak!X54*'Peak Hours'!$Y53)</f>
        <v>0</v>
      </c>
      <c r="S53" s="417" t="n">
        <f aca="false">IF($A$1="BL",0,'Peak Hours'!S53*Peak!Y54*'Peak Hours'!$Y53)</f>
        <v>0</v>
      </c>
      <c r="T53" s="417" t="n">
        <f aca="false">IF($A$1="BL",0,'Peak Hours'!T53*Peak!Z54*'Peak Hours'!$Y53)</f>
        <v>0</v>
      </c>
      <c r="U53" s="417" t="n">
        <f aca="false">IF($A$1="BL",0,'Peak Hours'!U53*Peak!AA54*'Peak Hours'!$Y53)</f>
        <v>0</v>
      </c>
      <c r="V53" s="424"/>
      <c r="W53" s="422" t="n">
        <f aca="false">(IF($A$1="BL",0,Peak!C54*'Peak Hours'!V53*'Peak Hours'!$Y53))*-1</f>
        <v>-8296497.497861</v>
      </c>
      <c r="X53" s="424"/>
      <c r="Y53" s="422" t="n">
        <f aca="false">(IF($A$1="bl",0,Peak!D54*'Peak Hours'!V53*'Peak Hours'!$Y53))*-1</f>
        <v>-150008.393287119</v>
      </c>
      <c r="Z53" s="424"/>
      <c r="AA53" s="422" t="n">
        <f aca="false">(Peak!E54*'Peak Hours'!V53*'Peak Hours'!$Y53)*-1</f>
        <v>-0</v>
      </c>
      <c r="AB53" s="425"/>
      <c r="AC53" s="422" t="n">
        <f aca="false">(Peak!F54*'Peak Hours'!V53*'Peak Hours'!$Y53)*-1</f>
        <v>-0</v>
      </c>
      <c r="AD53" s="425"/>
    </row>
    <row r="54" customFormat="false" ht="12.75" hidden="false" customHeight="false" outlineLevel="0" collapsed="false">
      <c r="A54" s="400" t="n">
        <f aca="false">A53+30.417</f>
        <v>37878.348</v>
      </c>
      <c r="B54" s="417" t="n">
        <f aca="false">IF($A$1="BL",0,'Peak Hours'!B54*Peak!H55*'Peak Hours'!$Y54)</f>
        <v>634562.709013388</v>
      </c>
      <c r="C54" s="417" t="n">
        <f aca="false">IF($A$1="BL",0,'Peak Hours'!C54*Peak!I55*'Peak Hours'!$Y54)</f>
        <v>390104.446976823</v>
      </c>
      <c r="D54" s="417" t="n">
        <f aca="false">IF($A$1="BL",0,'Peak Hours'!D54*Peak!J55*'Peak Hours'!$Y54)</f>
        <v>664928.957486979</v>
      </c>
      <c r="E54" s="417" t="n">
        <f aca="false">IF($A$1="BL",0,'Peak Hours'!E54*Peak!K55*'Peak Hours'!$Y54)</f>
        <v>905797.666505587</v>
      </c>
      <c r="F54" s="417" t="n">
        <f aca="false">IF($A$1="BL",0,'Peak Hours'!F54*Peak!L55*'Peak Hours'!$Y54)</f>
        <v>725704.043253614</v>
      </c>
      <c r="G54" s="417" t="n">
        <f aca="false">IF($A$1="BL",0,'Peak Hours'!G54*Peak!M55*'Peak Hours'!$Y54)</f>
        <v>1413541.58979436</v>
      </c>
      <c r="H54" s="417" t="n">
        <f aca="false">IF($A$1="BL",0,'Peak Hours'!H54*Peak!N55*'Peak Hours'!$Y54)</f>
        <v>1317864.54843139</v>
      </c>
      <c r="I54" s="417" t="n">
        <f aca="false">IF($A$1="BL",0,'Peak Hours'!I54*Peak!O55*'Peak Hours'!$Y54)</f>
        <v>1216389.31744954</v>
      </c>
      <c r="J54" s="417" t="n">
        <f aca="false">IF($A$1="BL",0,'Peak Hours'!J54*Peak!P55*'Peak Hours'!$Y54)</f>
        <v>1206153.71364971</v>
      </c>
      <c r="K54" s="417" t="n">
        <f aca="false">IF($A$1="BL",0,'Peak Hours'!K54*Peak!Q55*'Peak Hours'!$Y54)</f>
        <v>1120509.66657914</v>
      </c>
      <c r="L54" s="417" t="n">
        <f aca="false">IF($A$1="BL",0,'Peak Hours'!L54*Peak!R55*'Peak Hours'!$Y54)</f>
        <v>1003423.77326841</v>
      </c>
      <c r="M54" s="417" t="n">
        <f aca="false">IF($A$1="BL",0,'Peak Hours'!M54*Peak!S55*'Peak Hours'!$Y54)</f>
        <v>0</v>
      </c>
      <c r="N54" s="417" t="n">
        <f aca="false">IF($A$1="BL",0,'Peak Hours'!N54*Peak!T55*'Peak Hours'!$Y54)</f>
        <v>0</v>
      </c>
      <c r="O54" s="417" t="n">
        <f aca="false">IF($A$1="BL",0,'Peak Hours'!O54*Peak!U55*'Peak Hours'!$Y54)</f>
        <v>0</v>
      </c>
      <c r="P54" s="417" t="n">
        <f aca="false">IF($A$1="BL",0,'Peak Hours'!P54*Peak!V55*'Peak Hours'!$Y54)</f>
        <v>0</v>
      </c>
      <c r="Q54" s="417" t="n">
        <f aca="false">IF($A$1="BL",0,'Peak Hours'!Q54*Peak!W55*'Peak Hours'!$Y54)</f>
        <v>0</v>
      </c>
      <c r="R54" s="417" t="n">
        <f aca="false">IF($A$1="BL",0,'Peak Hours'!R54*Peak!X55*'Peak Hours'!$Y54)</f>
        <v>0</v>
      </c>
      <c r="S54" s="417" t="n">
        <f aca="false">IF($A$1="BL",0,'Peak Hours'!S54*Peak!Y55*'Peak Hours'!$Y54)</f>
        <v>0</v>
      </c>
      <c r="T54" s="417" t="n">
        <f aca="false">IF($A$1="BL",0,'Peak Hours'!T54*Peak!Z55*'Peak Hours'!$Y54)</f>
        <v>0</v>
      </c>
      <c r="U54" s="417" t="n">
        <f aca="false">IF($A$1="BL",0,'Peak Hours'!U54*Peak!AA55*'Peak Hours'!$Y54)</f>
        <v>0</v>
      </c>
      <c r="V54" s="424"/>
      <c r="W54" s="422" t="n">
        <f aca="false">(IF($A$1="BL",0,Peak!C55*'Peak Hours'!V54*'Peak Hours'!$Y54))*-1</f>
        <v>-7174183.73643888</v>
      </c>
      <c r="X54" s="424"/>
      <c r="Y54" s="422" t="n">
        <f aca="false">(IF($A$1="bl",0,Peak!D55*'Peak Hours'!V54*'Peak Hours'!$Y54))*-1</f>
        <v>-130368.611593989</v>
      </c>
      <c r="Z54" s="424"/>
      <c r="AA54" s="422" t="n">
        <f aca="false">(Peak!E55*'Peak Hours'!V54*'Peak Hours'!$Y54)*-1</f>
        <v>-0</v>
      </c>
      <c r="AB54" s="425"/>
      <c r="AC54" s="422" t="n">
        <f aca="false">(Peak!F55*'Peak Hours'!V54*'Peak Hours'!$Y54)*-1</f>
        <v>-0</v>
      </c>
      <c r="AD54" s="425"/>
    </row>
    <row r="55" customFormat="false" ht="12.75" hidden="false" customHeight="false" outlineLevel="0" collapsed="false">
      <c r="A55" s="400" t="n">
        <f aca="false">A54+30.417</f>
        <v>37908.765</v>
      </c>
      <c r="B55" s="417" t="n">
        <f aca="false">IF($A$1="BL",0,'Peak Hours'!B55*Peak!H56*'Peak Hours'!$Y55)</f>
        <v>220943.606244316</v>
      </c>
      <c r="C55" s="417" t="n">
        <f aca="false">IF($A$1="BL",0,'Peak Hours'!C55*Peak!I56*'Peak Hours'!$Y55)</f>
        <v>213454.333741757</v>
      </c>
      <c r="D55" s="417" t="n">
        <f aca="false">IF($A$1="BL",0,'Peak Hours'!D55*Peak!J56*'Peak Hours'!$Y55)</f>
        <v>418956.990961967</v>
      </c>
      <c r="E55" s="417" t="n">
        <f aca="false">IF($A$1="BL",0,'Peak Hours'!E55*Peak!K56*'Peak Hours'!$Y55)</f>
        <v>790973.634038994</v>
      </c>
      <c r="F55" s="417" t="n">
        <f aca="false">IF($A$1="BL",0,'Peak Hours'!F55*Peak!L56*'Peak Hours'!$Y55)</f>
        <v>769364.348492302</v>
      </c>
      <c r="G55" s="417" t="n">
        <f aca="false">IF($A$1="BL",0,'Peak Hours'!G55*Peak!M56*'Peak Hours'!$Y55)</f>
        <v>1534679.06704037</v>
      </c>
      <c r="H55" s="417" t="n">
        <f aca="false">IF($A$1="BL",0,'Peak Hours'!H55*Peak!N56*'Peak Hours'!$Y55)</f>
        <v>1383438.58817442</v>
      </c>
      <c r="I55" s="417" t="n">
        <f aca="false">IF($A$1="BL",0,'Peak Hours'!I55*Peak!O56*'Peak Hours'!$Y55)</f>
        <v>1170622.26783617</v>
      </c>
      <c r="J55" s="417" t="n">
        <f aca="false">IF($A$1="BL",0,'Peak Hours'!J55*Peak!P56*'Peak Hours'!$Y55)</f>
        <v>1149439.12692821</v>
      </c>
      <c r="K55" s="417" t="n">
        <f aca="false">IF($A$1="BL",0,'Peak Hours'!K55*Peak!Q56*'Peak Hours'!$Y55)</f>
        <v>1081576.74835607</v>
      </c>
      <c r="L55" s="417" t="n">
        <f aca="false">IF($A$1="BL",0,'Peak Hours'!L55*Peak!R56*'Peak Hours'!$Y55)</f>
        <v>0</v>
      </c>
      <c r="M55" s="417" t="n">
        <f aca="false">IF($A$1="BL",0,'Peak Hours'!M55*Peak!S56*'Peak Hours'!$Y55)</f>
        <v>0</v>
      </c>
      <c r="N55" s="417" t="n">
        <f aca="false">IF($A$1="BL",0,'Peak Hours'!N55*Peak!T56*'Peak Hours'!$Y55)</f>
        <v>0</v>
      </c>
      <c r="O55" s="417" t="n">
        <f aca="false">IF($A$1="BL",0,'Peak Hours'!O55*Peak!U56*'Peak Hours'!$Y55)</f>
        <v>0</v>
      </c>
      <c r="P55" s="417" t="n">
        <f aca="false">IF($A$1="BL",0,'Peak Hours'!P55*Peak!V56*'Peak Hours'!$Y55)</f>
        <v>0</v>
      </c>
      <c r="Q55" s="417" t="n">
        <f aca="false">IF($A$1="BL",0,'Peak Hours'!Q55*Peak!W56*'Peak Hours'!$Y55)</f>
        <v>0</v>
      </c>
      <c r="R55" s="417" t="n">
        <f aca="false">IF($A$1="BL",0,'Peak Hours'!R55*Peak!X56*'Peak Hours'!$Y55)</f>
        <v>0</v>
      </c>
      <c r="S55" s="417" t="n">
        <f aca="false">IF($A$1="BL",0,'Peak Hours'!S55*Peak!Y56*'Peak Hours'!$Y55)</f>
        <v>0</v>
      </c>
      <c r="T55" s="417" t="n">
        <f aca="false">IF($A$1="BL",0,'Peak Hours'!T55*Peak!Z56*'Peak Hours'!$Y55)</f>
        <v>0</v>
      </c>
      <c r="U55" s="417" t="n">
        <f aca="false">IF($A$1="BL",0,'Peak Hours'!U55*Peak!AA56*'Peak Hours'!$Y55)</f>
        <v>0</v>
      </c>
      <c r="V55" s="424"/>
      <c r="W55" s="422" t="n">
        <f aca="false">(IF($A$1="BL",0,Peak!C56*'Peak Hours'!V55*'Peak Hours'!$Y55))*-1</f>
        <v>-6886038.0962594</v>
      </c>
      <c r="X55" s="424"/>
      <c r="Y55" s="422" t="n">
        <f aca="false">(IF($A$1="bl",0,Peak!D56*'Peak Hours'!V55*'Peak Hours'!$Y55))*-1</f>
        <v>-113174.440264871</v>
      </c>
      <c r="Z55" s="424"/>
      <c r="AA55" s="422" t="n">
        <f aca="false">(Peak!E56*'Peak Hours'!V55*'Peak Hours'!$Y55)*-1</f>
        <v>-0</v>
      </c>
      <c r="AB55" s="425"/>
      <c r="AC55" s="422" t="n">
        <f aca="false">(Peak!F56*'Peak Hours'!V55*'Peak Hours'!$Y55)*-1</f>
        <v>-0</v>
      </c>
      <c r="AD55" s="425"/>
    </row>
    <row r="56" customFormat="false" ht="12.75" hidden="false" customHeight="false" outlineLevel="0" collapsed="false">
      <c r="A56" s="400" t="n">
        <f aca="false">A55+30.417</f>
        <v>37939.182</v>
      </c>
      <c r="B56" s="417" t="n">
        <f aca="false">IF($A$1="BL",0,'Peak Hours'!B56*Peak!H57*'Peak Hours'!$Y56)</f>
        <v>253359.070479369</v>
      </c>
      <c r="C56" s="417" t="n">
        <f aca="false">IF($A$1="BL",0,'Peak Hours'!C56*Peak!I57*'Peak Hours'!$Y56)</f>
        <v>247401.611225731</v>
      </c>
      <c r="D56" s="417" t="n">
        <f aca="false">IF($A$1="BL",0,'Peak Hours'!D56*Peak!J57*'Peak Hours'!$Y56)</f>
        <v>478153.355855423</v>
      </c>
      <c r="E56" s="417" t="n">
        <f aca="false">IF($A$1="BL",0,'Peak Hours'!E56*Peak!K57*'Peak Hours'!$Y56)</f>
        <v>896134.975429229</v>
      </c>
      <c r="F56" s="417" t="n">
        <f aca="false">IF($A$1="BL",0,'Peak Hours'!F56*Peak!L57*'Peak Hours'!$Y56)</f>
        <v>872506.981552099</v>
      </c>
      <c r="G56" s="417" t="n">
        <f aca="false">IF($A$1="BL",0,'Peak Hours'!G56*Peak!M57*'Peak Hours'!$Y56)</f>
        <v>1730566.63946025</v>
      </c>
      <c r="H56" s="417" t="n">
        <f aca="false">IF($A$1="BL",0,'Peak Hours'!H56*Peak!N57*'Peak Hours'!$Y56)</f>
        <v>1536521.34009934</v>
      </c>
      <c r="I56" s="417" t="n">
        <f aca="false">IF($A$1="BL",0,'Peak Hours'!I56*Peak!O57*'Peak Hours'!$Y56)</f>
        <v>1212322.13551577</v>
      </c>
      <c r="J56" s="417" t="n">
        <f aca="false">IF($A$1="BL",0,'Peak Hours'!J56*Peak!P57*'Peak Hours'!$Y56)</f>
        <v>0</v>
      </c>
      <c r="K56" s="417" t="n">
        <f aca="false">IF($A$1="BL",0,'Peak Hours'!K56*Peak!Q57*'Peak Hours'!$Y56)</f>
        <v>0</v>
      </c>
      <c r="L56" s="417" t="n">
        <f aca="false">IF($A$1="BL",0,'Peak Hours'!L56*Peak!R57*'Peak Hours'!$Y56)</f>
        <v>0</v>
      </c>
      <c r="M56" s="417" t="n">
        <f aca="false">IF($A$1="BL",0,'Peak Hours'!M56*Peak!S57*'Peak Hours'!$Y56)</f>
        <v>0</v>
      </c>
      <c r="N56" s="417" t="n">
        <f aca="false">IF($A$1="BL",0,'Peak Hours'!N56*Peak!T57*'Peak Hours'!$Y56)</f>
        <v>0</v>
      </c>
      <c r="O56" s="417" t="n">
        <f aca="false">IF($A$1="BL",0,'Peak Hours'!O56*Peak!U57*'Peak Hours'!$Y56)</f>
        <v>0</v>
      </c>
      <c r="P56" s="417" t="n">
        <f aca="false">IF($A$1="BL",0,'Peak Hours'!P56*Peak!V57*'Peak Hours'!$Y56)</f>
        <v>0</v>
      </c>
      <c r="Q56" s="417" t="n">
        <f aca="false">IF($A$1="BL",0,'Peak Hours'!Q56*Peak!W57*'Peak Hours'!$Y56)</f>
        <v>0</v>
      </c>
      <c r="R56" s="417" t="n">
        <f aca="false">IF($A$1="BL",0,'Peak Hours'!R56*Peak!X57*'Peak Hours'!$Y56)</f>
        <v>0</v>
      </c>
      <c r="S56" s="417" t="n">
        <f aca="false">IF($A$1="BL",0,'Peak Hours'!S56*Peak!Y57*'Peak Hours'!$Y56)</f>
        <v>0</v>
      </c>
      <c r="T56" s="417" t="n">
        <f aca="false">IF($A$1="BL",0,'Peak Hours'!T56*Peak!Z57*'Peak Hours'!$Y56)</f>
        <v>0</v>
      </c>
      <c r="U56" s="417" t="n">
        <f aca="false">IF($A$1="BL",0,'Peak Hours'!U56*Peak!AA57*'Peak Hours'!$Y56)</f>
        <v>0</v>
      </c>
      <c r="V56" s="424"/>
      <c r="W56" s="422" t="n">
        <f aca="false">(IF($A$1="BL",0,Peak!C57*'Peak Hours'!V56*'Peak Hours'!$Y56))*-1</f>
        <v>-5220363.48481297</v>
      </c>
      <c r="X56" s="424"/>
      <c r="Y56" s="422" t="n">
        <f aca="false">(IF($A$1="bl",0,Peak!D57*'Peak Hours'!V56*'Peak Hours'!$Y56))*-1</f>
        <v>-78482.1214606007</v>
      </c>
      <c r="Z56" s="424"/>
      <c r="AA56" s="422" t="n">
        <f aca="false">(Peak!E57*'Peak Hours'!V56*'Peak Hours'!$Y56)*-1</f>
        <v>-0</v>
      </c>
      <c r="AB56" s="425"/>
      <c r="AC56" s="422" t="n">
        <f aca="false">(Peak!F57*'Peak Hours'!V56*'Peak Hours'!$Y56)*-1</f>
        <v>-0</v>
      </c>
      <c r="AD56" s="425"/>
    </row>
    <row r="57" customFormat="false" ht="12.75" hidden="false" customHeight="false" outlineLevel="0" collapsed="false">
      <c r="A57" s="400" t="n">
        <f aca="false">A56+30.417</f>
        <v>37969.599</v>
      </c>
      <c r="B57" s="417" t="n">
        <f aca="false">IF($A$1="BL",0,'Peak Hours'!B57*Peak!H58*'Peak Hours'!$Y57)</f>
        <v>281833.599889742</v>
      </c>
      <c r="C57" s="417" t="n">
        <f aca="false">IF($A$1="BL",0,'Peak Hours'!C57*Peak!I58*'Peak Hours'!$Y57)</f>
        <v>245334.554200671</v>
      </c>
      <c r="D57" s="417" t="n">
        <f aca="false">IF($A$1="BL",0,'Peak Hours'!D57*Peak!J58*'Peak Hours'!$Y57)</f>
        <v>476679.090780301</v>
      </c>
      <c r="E57" s="417" t="n">
        <f aca="false">IF($A$1="BL",0,'Peak Hours'!E57*Peak!K58*'Peak Hours'!$Y57)</f>
        <v>907327.498015418</v>
      </c>
      <c r="F57" s="417" t="n">
        <f aca="false">IF($A$1="BL",0,'Peak Hours'!F57*Peak!L58*'Peak Hours'!$Y57)</f>
        <v>850015.504128367</v>
      </c>
      <c r="G57" s="417" t="n">
        <f aca="false">IF($A$1="BL",0,'Peak Hours'!G57*Peak!M58*'Peak Hours'!$Y57)</f>
        <v>1678171.13871966</v>
      </c>
      <c r="H57" s="417" t="n">
        <f aca="false">IF($A$1="BL",0,'Peak Hours'!H57*Peak!N58*'Peak Hours'!$Y57)</f>
        <v>1629615.45040036</v>
      </c>
      <c r="I57" s="417" t="n">
        <f aca="false">IF($A$1="BL",0,'Peak Hours'!I57*Peak!O58*'Peak Hours'!$Y57)</f>
        <v>1342255.25074255</v>
      </c>
      <c r="J57" s="417" t="n">
        <f aca="false">IF($A$1="BL",0,'Peak Hours'!J57*Peak!P58*'Peak Hours'!$Y57)</f>
        <v>0</v>
      </c>
      <c r="K57" s="417" t="n">
        <f aca="false">IF($A$1="BL",0,'Peak Hours'!K57*Peak!Q58*'Peak Hours'!$Y57)</f>
        <v>0</v>
      </c>
      <c r="L57" s="417" t="n">
        <f aca="false">IF($A$1="BL",0,'Peak Hours'!L57*Peak!R58*'Peak Hours'!$Y57)</f>
        <v>0</v>
      </c>
      <c r="M57" s="417" t="n">
        <f aca="false">IF($A$1="BL",0,'Peak Hours'!M57*Peak!S58*'Peak Hours'!$Y57)</f>
        <v>0</v>
      </c>
      <c r="N57" s="417" t="n">
        <f aca="false">IF($A$1="BL",0,'Peak Hours'!N57*Peak!T58*'Peak Hours'!$Y57)</f>
        <v>0</v>
      </c>
      <c r="O57" s="417" t="n">
        <f aca="false">IF($A$1="BL",0,'Peak Hours'!O57*Peak!U58*'Peak Hours'!$Y57)</f>
        <v>0</v>
      </c>
      <c r="P57" s="417" t="n">
        <f aca="false">IF($A$1="BL",0,'Peak Hours'!P57*Peak!V58*'Peak Hours'!$Y57)</f>
        <v>0</v>
      </c>
      <c r="Q57" s="417" t="n">
        <f aca="false">IF($A$1="BL",0,'Peak Hours'!Q57*Peak!W58*'Peak Hours'!$Y57)</f>
        <v>0</v>
      </c>
      <c r="R57" s="417" t="n">
        <f aca="false">IF($A$1="BL",0,'Peak Hours'!R57*Peak!X58*'Peak Hours'!$Y57)</f>
        <v>0</v>
      </c>
      <c r="S57" s="417" t="n">
        <f aca="false">IF($A$1="BL",0,'Peak Hours'!S57*Peak!Y58*'Peak Hours'!$Y57)</f>
        <v>0</v>
      </c>
      <c r="T57" s="417" t="n">
        <f aca="false">IF($A$1="BL",0,'Peak Hours'!T57*Peak!Z58*'Peak Hours'!$Y57)</f>
        <v>0</v>
      </c>
      <c r="U57" s="417" t="n">
        <f aca="false">IF($A$1="BL",0,'Peak Hours'!U57*Peak!AA58*'Peak Hours'!$Y57)</f>
        <v>0</v>
      </c>
      <c r="V57" s="426" t="n">
        <f aca="false">SUM(B46:U57)</f>
        <v>128518742.129845</v>
      </c>
      <c r="W57" s="422" t="n">
        <f aca="false">(IF($A$1="BL",0,Peak!C58*'Peak Hours'!V57*'Peak Hours'!$Y57))*-1</f>
        <v>-5496399.10112919</v>
      </c>
      <c r="X57" s="426" t="n">
        <f aca="false">SUM(W46:W57)</f>
        <v>-73979802.7863865</v>
      </c>
      <c r="Y57" s="422" t="n">
        <f aca="false">(IF($A$1="bl",0,Peak!D58*'Peak Hours'!V57*'Peak Hours'!$Y57))*-1</f>
        <v>-76484.3036931895</v>
      </c>
      <c r="Z57" s="426" t="n">
        <f aca="false">SUM(Y46:Y57)</f>
        <v>-1211779.4455034</v>
      </c>
      <c r="AA57" s="422" t="n">
        <f aca="false">(Peak!E58*'Peak Hours'!V57*'Peak Hours'!$Y57)*-1</f>
        <v>-0</v>
      </c>
      <c r="AB57" s="427" t="n">
        <f aca="false">SUM(AA46:AA57)</f>
        <v>0</v>
      </c>
      <c r="AC57" s="422" t="n">
        <f aca="false">(Peak!F58*'Peak Hours'!V57*'Peak Hours'!$Y57)*-1</f>
        <v>-0</v>
      </c>
      <c r="AD57" s="427" t="n">
        <f aca="false">SUM(AC46:AC57)</f>
        <v>0</v>
      </c>
    </row>
    <row r="58" customFormat="false" ht="12.75" hidden="false" customHeight="false" outlineLevel="0" collapsed="false">
      <c r="A58" s="400" t="n">
        <f aca="false">A57+30.417</f>
        <v>38000.016</v>
      </c>
      <c r="B58" s="417" t="n">
        <f aca="false">IF($A$1="BL",0,'Peak Hours'!B58*Peak!H59*'Peak Hours'!$Y58)</f>
        <v>253885.274714042</v>
      </c>
      <c r="C58" s="417" t="n">
        <f aca="false">IF($A$1="BL",0,'Peak Hours'!C58*Peak!I59*'Peak Hours'!$Y58)</f>
        <v>243268.627126175</v>
      </c>
      <c r="D58" s="417" t="n">
        <f aca="false">IF($A$1="BL",0,'Peak Hours'!D58*Peak!J59*'Peak Hours'!$Y58)</f>
        <v>478714.383142242</v>
      </c>
      <c r="E58" s="417" t="n">
        <f aca="false">IF($A$1="BL",0,'Peak Hours'!E58*Peak!K59*'Peak Hours'!$Y58)</f>
        <v>955917.579189168</v>
      </c>
      <c r="F58" s="417" t="n">
        <f aca="false">IF($A$1="BL",0,'Peak Hours'!F58*Peak!L59*'Peak Hours'!$Y58)</f>
        <v>941024.022919378</v>
      </c>
      <c r="G58" s="417" t="n">
        <f aca="false">IF($A$1="BL",0,'Peak Hours'!G58*Peak!M59*'Peak Hours'!$Y58)</f>
        <v>1730272.86113772</v>
      </c>
      <c r="H58" s="417" t="n">
        <f aca="false">IF($A$1="BL",0,'Peak Hours'!H58*Peak!N59*'Peak Hours'!$Y58)</f>
        <v>1317625.46965367</v>
      </c>
      <c r="I58" s="417" t="n">
        <f aca="false">IF($A$1="BL",0,'Peak Hours'!I58*Peak!O59*'Peak Hours'!$Y58)</f>
        <v>0</v>
      </c>
      <c r="J58" s="417" t="n">
        <f aca="false">IF($A$1="BL",0,'Peak Hours'!J58*Peak!P59*'Peak Hours'!$Y58)</f>
        <v>0</v>
      </c>
      <c r="K58" s="417" t="n">
        <f aca="false">IF($A$1="BL",0,'Peak Hours'!K58*Peak!Q59*'Peak Hours'!$Y58)</f>
        <v>0</v>
      </c>
      <c r="L58" s="417" t="n">
        <f aca="false">IF($A$1="BL",0,'Peak Hours'!L58*Peak!R59*'Peak Hours'!$Y58)</f>
        <v>0</v>
      </c>
      <c r="M58" s="417" t="n">
        <f aca="false">IF($A$1="BL",0,'Peak Hours'!M58*Peak!S59*'Peak Hours'!$Y58)</f>
        <v>0</v>
      </c>
      <c r="N58" s="417" t="n">
        <f aca="false">IF($A$1="BL",0,'Peak Hours'!N58*Peak!T59*'Peak Hours'!$Y58)</f>
        <v>0</v>
      </c>
      <c r="O58" s="417" t="n">
        <f aca="false">IF($A$1="BL",0,'Peak Hours'!O58*Peak!U59*'Peak Hours'!$Y58)</f>
        <v>0</v>
      </c>
      <c r="P58" s="417" t="n">
        <f aca="false">IF($A$1="BL",0,'Peak Hours'!P58*Peak!V59*'Peak Hours'!$Y58)</f>
        <v>0</v>
      </c>
      <c r="Q58" s="417" t="n">
        <f aca="false">IF($A$1="BL",0,'Peak Hours'!Q58*Peak!W59*'Peak Hours'!$Y58)</f>
        <v>0</v>
      </c>
      <c r="R58" s="417" t="n">
        <f aca="false">IF($A$1="BL",0,'Peak Hours'!R58*Peak!X59*'Peak Hours'!$Y58)</f>
        <v>0</v>
      </c>
      <c r="S58" s="417" t="n">
        <f aca="false">IF($A$1="BL",0,'Peak Hours'!S58*Peak!Y59*'Peak Hours'!$Y58)</f>
        <v>0</v>
      </c>
      <c r="T58" s="417" t="n">
        <f aca="false">IF($A$1="BL",0,'Peak Hours'!T58*Peak!Z59*'Peak Hours'!$Y58)</f>
        <v>0</v>
      </c>
      <c r="U58" s="417" t="n">
        <f aca="false">IF($A$1="BL",0,'Peak Hours'!U58*Peak!AA59*'Peak Hours'!$Y58)</f>
        <v>0</v>
      </c>
      <c r="V58" s="424"/>
      <c r="W58" s="422" t="n">
        <f aca="false">(IF($A$1="BL",0,Peak!C59*'Peak Hours'!V58*'Peak Hours'!$Y58))*-1</f>
        <v>-4140304.25209686</v>
      </c>
      <c r="X58" s="424"/>
      <c r="Y58" s="422" t="n">
        <f aca="false">(IF($A$1="bl",0,Peak!D59*'Peak Hours'!V58*'Peak Hours'!$Y58))*-1</f>
        <v>-59586.9380809719</v>
      </c>
      <c r="Z58" s="424"/>
      <c r="AA58" s="422" t="n">
        <f aca="false">(Peak!E59*'Peak Hours'!V58*'Peak Hours'!$Y58)*-1</f>
        <v>-0</v>
      </c>
      <c r="AB58" s="425"/>
      <c r="AC58" s="422" t="n">
        <f aca="false">(Peak!F59*'Peak Hours'!V58*'Peak Hours'!$Y58)*-1</f>
        <v>-0</v>
      </c>
      <c r="AD58" s="425"/>
    </row>
    <row r="59" customFormat="false" ht="12.75" hidden="false" customHeight="false" outlineLevel="0" collapsed="false">
      <c r="A59" s="400" t="n">
        <f aca="false">A58+30.417</f>
        <v>38030.433</v>
      </c>
      <c r="B59" s="417" t="n">
        <f aca="false">IF($A$1="BL",0,'Peak Hours'!B59*Peak!H60*'Peak Hours'!$Y59)</f>
        <v>254595.152182573</v>
      </c>
      <c r="C59" s="417" t="n">
        <f aca="false">IF($A$1="BL",0,'Peak Hours'!C59*Peak!I60*'Peak Hours'!$Y59)</f>
        <v>235498.012288723</v>
      </c>
      <c r="D59" s="417" t="n">
        <f aca="false">IF($A$1="BL",0,'Peak Hours'!D59*Peak!J60*'Peak Hours'!$Y59)</f>
        <v>457262.768524392</v>
      </c>
      <c r="E59" s="417" t="n">
        <f aca="false">IF($A$1="BL",0,'Peak Hours'!E59*Peak!K60*'Peak Hours'!$Y59)</f>
        <v>859433.801714304</v>
      </c>
      <c r="F59" s="417" t="n">
        <f aca="false">IF($A$1="BL",0,'Peak Hours'!F59*Peak!L60*'Peak Hours'!$Y59)</f>
        <v>846132.425326648</v>
      </c>
      <c r="G59" s="417" t="n">
        <f aca="false">IF($A$1="BL",0,'Peak Hours'!G59*Peak!M60*'Peak Hours'!$Y59)</f>
        <v>1672987.20019598</v>
      </c>
      <c r="H59" s="417" t="n">
        <f aca="false">IF($A$1="BL",0,'Peak Hours'!H59*Peak!N60*'Peak Hours'!$Y59)</f>
        <v>1375850.28135772</v>
      </c>
      <c r="I59" s="417" t="n">
        <f aca="false">IF($A$1="BL",0,'Peak Hours'!I59*Peak!O60*'Peak Hours'!$Y59)</f>
        <v>1142839.81137851</v>
      </c>
      <c r="J59" s="417" t="n">
        <f aca="false">IF($A$1="BL",0,'Peak Hours'!J59*Peak!P60*'Peak Hours'!$Y59)</f>
        <v>0</v>
      </c>
      <c r="K59" s="417" t="n">
        <f aca="false">IF($A$1="BL",0,'Peak Hours'!K59*Peak!Q60*'Peak Hours'!$Y59)</f>
        <v>0</v>
      </c>
      <c r="L59" s="417" t="n">
        <f aca="false">IF($A$1="BL",0,'Peak Hours'!L59*Peak!R60*'Peak Hours'!$Y59)</f>
        <v>0</v>
      </c>
      <c r="M59" s="417" t="n">
        <f aca="false">IF($A$1="BL",0,'Peak Hours'!M59*Peak!S60*'Peak Hours'!$Y59)</f>
        <v>0</v>
      </c>
      <c r="N59" s="417" t="n">
        <f aca="false">IF($A$1="BL",0,'Peak Hours'!N59*Peak!T60*'Peak Hours'!$Y59)</f>
        <v>0</v>
      </c>
      <c r="O59" s="417" t="n">
        <f aca="false">IF($A$1="BL",0,'Peak Hours'!O59*Peak!U60*'Peak Hours'!$Y59)</f>
        <v>0</v>
      </c>
      <c r="P59" s="417" t="n">
        <f aca="false">IF($A$1="BL",0,'Peak Hours'!P59*Peak!V60*'Peak Hours'!$Y59)</f>
        <v>0</v>
      </c>
      <c r="Q59" s="417" t="n">
        <f aca="false">IF($A$1="BL",0,'Peak Hours'!Q59*Peak!W60*'Peak Hours'!$Y59)</f>
        <v>0</v>
      </c>
      <c r="R59" s="417" t="n">
        <f aca="false">IF($A$1="BL",0,'Peak Hours'!R59*Peak!X60*'Peak Hours'!$Y59)</f>
        <v>0</v>
      </c>
      <c r="S59" s="417" t="n">
        <f aca="false">IF($A$1="BL",0,'Peak Hours'!S59*Peak!Y60*'Peak Hours'!$Y59)</f>
        <v>0</v>
      </c>
      <c r="T59" s="417" t="n">
        <f aca="false">IF($A$1="BL",0,'Peak Hours'!T59*Peak!Z60*'Peak Hours'!$Y59)</f>
        <v>0</v>
      </c>
      <c r="U59" s="417" t="n">
        <f aca="false">IF($A$1="BL",0,'Peak Hours'!U59*Peak!AA60*'Peak Hours'!$Y59)</f>
        <v>0</v>
      </c>
      <c r="V59" s="424"/>
      <c r="W59" s="422" t="n">
        <f aca="false">(IF($A$1="BL",0,Peak!C60*'Peak Hours'!V59*'Peak Hours'!$Y59))*-1</f>
        <v>-4771102.88624992</v>
      </c>
      <c r="X59" s="424"/>
      <c r="Y59" s="422" t="n">
        <f aca="false">(IF($A$1="bl",0,Peak!D60*'Peak Hours'!V59*'Peak Hours'!$Y59))*-1</f>
        <v>-76739.463828566</v>
      </c>
      <c r="Z59" s="424"/>
      <c r="AA59" s="422" t="n">
        <f aca="false">(Peak!E60*'Peak Hours'!V59*'Peak Hours'!$Y59)*-1</f>
        <v>-0</v>
      </c>
      <c r="AB59" s="425"/>
      <c r="AC59" s="422" t="n">
        <f aca="false">(Peak!F60*'Peak Hours'!V59*'Peak Hours'!$Y59)*-1</f>
        <v>-0</v>
      </c>
      <c r="AD59" s="425"/>
    </row>
    <row r="60" customFormat="false" ht="12.75" hidden="false" customHeight="false" outlineLevel="0" collapsed="false">
      <c r="A60" s="400" t="n">
        <f aca="false">A59+30.417</f>
        <v>38060.85</v>
      </c>
      <c r="B60" s="417" t="n">
        <f aca="false">IF($A$1="BL",0,'Peak Hours'!B60*Peak!H61*'Peak Hours'!$Y60)</f>
        <v>344494.569583892</v>
      </c>
      <c r="C60" s="417" t="n">
        <f aca="false">IF($A$1="BL",0,'Peak Hours'!C60*Peak!I61*'Peak Hours'!$Y60)</f>
        <v>251527.257691165</v>
      </c>
      <c r="D60" s="417" t="n">
        <f aca="false">IF($A$1="BL",0,'Peak Hours'!D60*Peak!J61*'Peak Hours'!$Y60)</f>
        <v>420299.971829823</v>
      </c>
      <c r="E60" s="417" t="n">
        <f aca="false">IF($A$1="BL",0,'Peak Hours'!E60*Peak!K61*'Peak Hours'!$Y60)</f>
        <v>806614.938443212</v>
      </c>
      <c r="F60" s="417" t="n">
        <f aca="false">IF($A$1="BL",0,'Peak Hours'!F60*Peak!L61*'Peak Hours'!$Y60)</f>
        <v>758775.736130197</v>
      </c>
      <c r="G60" s="417" t="n">
        <f aca="false">IF($A$1="BL",0,'Peak Hours'!G60*Peak!M61*'Peak Hours'!$Y60)</f>
        <v>1440764.54100512</v>
      </c>
      <c r="H60" s="417" t="n">
        <f aca="false">IF($A$1="BL",0,'Peak Hours'!H60*Peak!N61*'Peak Hours'!$Y60)</f>
        <v>1429815.038057</v>
      </c>
      <c r="I60" s="417" t="n">
        <f aca="false">IF($A$1="BL",0,'Peak Hours'!I60*Peak!O61*'Peak Hours'!$Y60)</f>
        <v>1298932.38953226</v>
      </c>
      <c r="J60" s="417" t="n">
        <f aca="false">IF($A$1="BL",0,'Peak Hours'!J60*Peak!P61*'Peak Hours'!$Y60)</f>
        <v>0</v>
      </c>
      <c r="K60" s="417" t="n">
        <f aca="false">IF($A$1="BL",0,'Peak Hours'!K60*Peak!Q61*'Peak Hours'!$Y60)</f>
        <v>0</v>
      </c>
      <c r="L60" s="417" t="n">
        <f aca="false">IF($A$1="BL",0,'Peak Hours'!L60*Peak!R61*'Peak Hours'!$Y60)</f>
        <v>0</v>
      </c>
      <c r="M60" s="417" t="n">
        <f aca="false">IF($A$1="BL",0,'Peak Hours'!M60*Peak!S61*'Peak Hours'!$Y60)</f>
        <v>0</v>
      </c>
      <c r="N60" s="417" t="n">
        <f aca="false">IF($A$1="BL",0,'Peak Hours'!N60*Peak!T61*'Peak Hours'!$Y60)</f>
        <v>0</v>
      </c>
      <c r="O60" s="417" t="n">
        <f aca="false">IF($A$1="BL",0,'Peak Hours'!O60*Peak!U61*'Peak Hours'!$Y60)</f>
        <v>0</v>
      </c>
      <c r="P60" s="417" t="n">
        <f aca="false">IF($A$1="BL",0,'Peak Hours'!P60*Peak!V61*'Peak Hours'!$Y60)</f>
        <v>0</v>
      </c>
      <c r="Q60" s="417" t="n">
        <f aca="false">IF($A$1="BL",0,'Peak Hours'!Q60*Peak!W61*'Peak Hours'!$Y60)</f>
        <v>0</v>
      </c>
      <c r="R60" s="417" t="n">
        <f aca="false">IF($A$1="BL",0,'Peak Hours'!R60*Peak!X61*'Peak Hours'!$Y60)</f>
        <v>0</v>
      </c>
      <c r="S60" s="417" t="n">
        <f aca="false">IF($A$1="BL",0,'Peak Hours'!S60*Peak!Y61*'Peak Hours'!$Y60)</f>
        <v>0</v>
      </c>
      <c r="T60" s="417" t="n">
        <f aca="false">IF($A$1="BL",0,'Peak Hours'!T60*Peak!Z61*'Peak Hours'!$Y60)</f>
        <v>0</v>
      </c>
      <c r="U60" s="417" t="n">
        <f aca="false">IF($A$1="BL",0,'Peak Hours'!U60*Peak!AA61*'Peak Hours'!$Y60)</f>
        <v>0</v>
      </c>
      <c r="V60" s="424"/>
      <c r="W60" s="422" t="n">
        <f aca="false">(IF($A$1="BL",0,Peak!C61*'Peak Hours'!V60*'Peak Hours'!$Y60))*-1</f>
        <v>-4821427.59447519</v>
      </c>
      <c r="X60" s="424"/>
      <c r="Y60" s="422" t="n">
        <f aca="false">(IF($A$1="bl",0,Peak!D61*'Peak Hours'!V60*'Peak Hours'!$Y60))*-1</f>
        <v>-79006.6450930073</v>
      </c>
      <c r="Z60" s="424"/>
      <c r="AA60" s="422" t="n">
        <f aca="false">(Peak!E61*'Peak Hours'!V60*'Peak Hours'!$Y60)*-1</f>
        <v>-0</v>
      </c>
      <c r="AB60" s="425"/>
      <c r="AC60" s="422" t="n">
        <f aca="false">(Peak!F61*'Peak Hours'!V60*'Peak Hours'!$Y60)*-1</f>
        <v>-0</v>
      </c>
      <c r="AD60" s="425"/>
    </row>
    <row r="61" customFormat="false" ht="12.75" hidden="false" customHeight="false" outlineLevel="0" collapsed="false">
      <c r="A61" s="400" t="n">
        <f aca="false">A60+30.417</f>
        <v>38091.267</v>
      </c>
      <c r="B61" s="417" t="n">
        <f aca="false">IF($A$1="BL",0,'Peak Hours'!B61*Peak!H62*'Peak Hours'!$Y61)</f>
        <v>214635.234860746</v>
      </c>
      <c r="C61" s="417" t="n">
        <f aca="false">IF($A$1="BL",0,'Peak Hours'!C61*Peak!I62*'Peak Hours'!$Y61)</f>
        <v>188374.654172579</v>
      </c>
      <c r="D61" s="417" t="n">
        <f aca="false">IF($A$1="BL",0,'Peak Hours'!D61*Peak!J62*'Peak Hours'!$Y61)</f>
        <v>364508.46390283</v>
      </c>
      <c r="E61" s="417" t="n">
        <f aca="false">IF($A$1="BL",0,'Peak Hours'!E61*Peak!K62*'Peak Hours'!$Y61)</f>
        <v>681733.155110047</v>
      </c>
      <c r="F61" s="417" t="n">
        <f aca="false">IF($A$1="BL",0,'Peak Hours'!F61*Peak!L62*'Peak Hours'!$Y61)</f>
        <v>658313.146499319</v>
      </c>
      <c r="G61" s="417" t="n">
        <f aca="false">IF($A$1="BL",0,'Peak Hours'!G61*Peak!M62*'Peak Hours'!$Y61)</f>
        <v>1313464.62365379</v>
      </c>
      <c r="H61" s="417" t="n">
        <f aca="false">IF($A$1="BL",0,'Peak Hours'!H61*Peak!N62*'Peak Hours'!$Y61)</f>
        <v>1104386.74230672</v>
      </c>
      <c r="I61" s="417" t="n">
        <f aca="false">IF($A$1="BL",0,'Peak Hours'!I61*Peak!O62*'Peak Hours'!$Y61)</f>
        <v>0</v>
      </c>
      <c r="J61" s="417" t="n">
        <f aca="false">IF($A$1="BL",0,'Peak Hours'!J61*Peak!P62*'Peak Hours'!$Y61)</f>
        <v>0</v>
      </c>
      <c r="K61" s="417" t="n">
        <f aca="false">IF($A$1="BL",0,'Peak Hours'!K61*Peak!Q62*'Peak Hours'!$Y61)</f>
        <v>0</v>
      </c>
      <c r="L61" s="417" t="n">
        <f aca="false">IF($A$1="BL",0,'Peak Hours'!L61*Peak!R62*'Peak Hours'!$Y61)</f>
        <v>0</v>
      </c>
      <c r="M61" s="417" t="n">
        <f aca="false">IF($A$1="BL",0,'Peak Hours'!M61*Peak!S62*'Peak Hours'!$Y61)</f>
        <v>0</v>
      </c>
      <c r="N61" s="417" t="n">
        <f aca="false">IF($A$1="BL",0,'Peak Hours'!N61*Peak!T62*'Peak Hours'!$Y61)</f>
        <v>0</v>
      </c>
      <c r="O61" s="417" t="n">
        <f aca="false">IF($A$1="BL",0,'Peak Hours'!O61*Peak!U62*'Peak Hours'!$Y61)</f>
        <v>0</v>
      </c>
      <c r="P61" s="417" t="n">
        <f aca="false">IF($A$1="BL",0,'Peak Hours'!P61*Peak!V62*'Peak Hours'!$Y61)</f>
        <v>0</v>
      </c>
      <c r="Q61" s="417" t="n">
        <f aca="false">IF($A$1="BL",0,'Peak Hours'!Q61*Peak!W62*'Peak Hours'!$Y61)</f>
        <v>0</v>
      </c>
      <c r="R61" s="417" t="n">
        <f aca="false">IF($A$1="BL",0,'Peak Hours'!R61*Peak!X62*'Peak Hours'!$Y61)</f>
        <v>0</v>
      </c>
      <c r="S61" s="417" t="n">
        <f aca="false">IF($A$1="BL",0,'Peak Hours'!S61*Peak!Y62*'Peak Hours'!$Y61)</f>
        <v>0</v>
      </c>
      <c r="T61" s="417" t="n">
        <f aca="false">IF($A$1="BL",0,'Peak Hours'!T61*Peak!Z62*'Peak Hours'!$Y61)</f>
        <v>0</v>
      </c>
      <c r="U61" s="417" t="n">
        <f aca="false">IF($A$1="BL",0,'Peak Hours'!U61*Peak!AA62*'Peak Hours'!$Y61)</f>
        <v>0</v>
      </c>
      <c r="V61" s="424"/>
      <c r="W61" s="422" t="n">
        <f aca="false">(IF($A$1="BL",0,Peak!C62*'Peak Hours'!V61*'Peak Hours'!$Y61))*-1</f>
        <v>-3565140.12267532</v>
      </c>
      <c r="X61" s="424"/>
      <c r="Y61" s="422" t="n">
        <f aca="false">(IF($A$1="bl",0,Peak!D62*'Peak Hours'!V61*'Peak Hours'!$Y61))*-1</f>
        <v>-61552.0288715336</v>
      </c>
      <c r="Z61" s="424"/>
      <c r="AA61" s="422" t="n">
        <f aca="false">(Peak!E62*'Peak Hours'!V61*'Peak Hours'!$Y61)*-1</f>
        <v>-0</v>
      </c>
      <c r="AB61" s="425"/>
      <c r="AC61" s="422" t="n">
        <f aca="false">(Peak!F62*'Peak Hours'!V61*'Peak Hours'!$Y61)*-1</f>
        <v>-0</v>
      </c>
      <c r="AD61" s="425"/>
    </row>
    <row r="62" customFormat="false" ht="12.75" hidden="false" customHeight="false" outlineLevel="0" collapsed="false">
      <c r="A62" s="400" t="n">
        <f aca="false">A61+30.417</f>
        <v>38121.684</v>
      </c>
      <c r="B62" s="417" t="n">
        <f aca="false">IF($A$1="BL",0,'Peak Hours'!B62*Peak!H63*'Peak Hours'!$Y62)</f>
        <v>241999.566919228</v>
      </c>
      <c r="C62" s="417" t="n">
        <f aca="false">IF($A$1="BL",0,'Peak Hours'!C62*Peak!I63*'Peak Hours'!$Y62)</f>
        <v>229498.046450031</v>
      </c>
      <c r="D62" s="417" t="n">
        <f aca="false">IF($A$1="BL",0,'Peak Hours'!D62*Peak!J63*'Peak Hours'!$Y62)</f>
        <v>435334.089618532</v>
      </c>
      <c r="E62" s="417" t="n">
        <f aca="false">IF($A$1="BL",0,'Peak Hours'!E62*Peak!K63*'Peak Hours'!$Y62)</f>
        <v>862783.677426875</v>
      </c>
      <c r="F62" s="417" t="n">
        <f aca="false">IF($A$1="BL",0,'Peak Hours'!F62*Peak!L63*'Peak Hours'!$Y62)</f>
        <v>770486.700385551</v>
      </c>
      <c r="G62" s="417" t="n">
        <f aca="false">IF($A$1="BL",0,'Peak Hours'!G62*Peak!M63*'Peak Hours'!$Y62)</f>
        <v>1372399.30567627</v>
      </c>
      <c r="H62" s="417" t="n">
        <f aca="false">IF($A$1="BL",0,'Peak Hours'!H62*Peak!N63*'Peak Hours'!$Y62)</f>
        <v>1197268.71203336</v>
      </c>
      <c r="I62" s="417" t="n">
        <f aca="false">IF($A$1="BL",0,'Peak Hours'!I62*Peak!O63*'Peak Hours'!$Y62)</f>
        <v>0</v>
      </c>
      <c r="J62" s="417" t="n">
        <f aca="false">IF($A$1="BL",0,'Peak Hours'!J62*Peak!P63*'Peak Hours'!$Y62)</f>
        <v>0</v>
      </c>
      <c r="K62" s="417" t="n">
        <f aca="false">IF($A$1="BL",0,'Peak Hours'!K62*Peak!Q63*'Peak Hours'!$Y62)</f>
        <v>0</v>
      </c>
      <c r="L62" s="417" t="n">
        <f aca="false">IF($A$1="BL",0,'Peak Hours'!L62*Peak!R63*'Peak Hours'!$Y62)</f>
        <v>0</v>
      </c>
      <c r="M62" s="417" t="n">
        <f aca="false">IF($A$1="BL",0,'Peak Hours'!M62*Peak!S63*'Peak Hours'!$Y62)</f>
        <v>0</v>
      </c>
      <c r="N62" s="417" t="n">
        <f aca="false">IF($A$1="BL",0,'Peak Hours'!N62*Peak!T63*'Peak Hours'!$Y62)</f>
        <v>0</v>
      </c>
      <c r="O62" s="417" t="n">
        <f aca="false">IF($A$1="BL",0,'Peak Hours'!O62*Peak!U63*'Peak Hours'!$Y62)</f>
        <v>0</v>
      </c>
      <c r="P62" s="417" t="n">
        <f aca="false">IF($A$1="BL",0,'Peak Hours'!P62*Peak!V63*'Peak Hours'!$Y62)</f>
        <v>0</v>
      </c>
      <c r="Q62" s="417" t="n">
        <f aca="false">IF($A$1="BL",0,'Peak Hours'!Q62*Peak!W63*'Peak Hours'!$Y62)</f>
        <v>0</v>
      </c>
      <c r="R62" s="417" t="n">
        <f aca="false">IF($A$1="BL",0,'Peak Hours'!R62*Peak!X63*'Peak Hours'!$Y62)</f>
        <v>0</v>
      </c>
      <c r="S62" s="417" t="n">
        <f aca="false">IF($A$1="BL",0,'Peak Hours'!S62*Peak!Y63*'Peak Hours'!$Y62)</f>
        <v>0</v>
      </c>
      <c r="T62" s="417" t="n">
        <f aca="false">IF($A$1="BL",0,'Peak Hours'!T62*Peak!Z63*'Peak Hours'!$Y62)</f>
        <v>0</v>
      </c>
      <c r="U62" s="417" t="n">
        <f aca="false">IF($A$1="BL",0,'Peak Hours'!U62*Peak!AA63*'Peak Hours'!$Y62)</f>
        <v>0</v>
      </c>
      <c r="V62" s="424"/>
      <c r="W62" s="422" t="n">
        <f aca="false">(IF($A$1="BL",0,Peak!C63*'Peak Hours'!V62*'Peak Hours'!$Y62))*-1</f>
        <v>-3753771.87519782</v>
      </c>
      <c r="X62" s="424"/>
      <c r="Y62" s="422" t="n">
        <f aca="false">(IF($A$1="bl",0,Peak!D63*'Peak Hours'!V62*'Peak Hours'!$Y62))*-1</f>
        <v>-61654.6155863195</v>
      </c>
      <c r="Z62" s="424"/>
      <c r="AA62" s="422" t="n">
        <f aca="false">(Peak!E63*'Peak Hours'!V62*'Peak Hours'!$Y62)*-1</f>
        <v>-0</v>
      </c>
      <c r="AB62" s="425"/>
      <c r="AC62" s="422" t="n">
        <f aca="false">(Peak!F63*'Peak Hours'!V62*'Peak Hours'!$Y62)*-1</f>
        <v>-0</v>
      </c>
      <c r="AD62" s="425"/>
    </row>
    <row r="63" customFormat="false" ht="12.75" hidden="false" customHeight="false" outlineLevel="0" collapsed="false">
      <c r="A63" s="400" t="n">
        <f aca="false">A62+30.417</f>
        <v>38152.101</v>
      </c>
      <c r="B63" s="417" t="n">
        <f aca="false">IF($A$1="BL",0,'Peak Hours'!B63*Peak!H64*'Peak Hours'!$Y63)</f>
        <v>1123144.8679531</v>
      </c>
      <c r="C63" s="417" t="n">
        <f aca="false">IF($A$1="BL",0,'Peak Hours'!C63*Peak!I64*'Peak Hours'!$Y63)</f>
        <v>728585.618255038</v>
      </c>
      <c r="D63" s="417" t="n">
        <f aca="false">IF($A$1="BL",0,'Peak Hours'!D63*Peak!J64*'Peak Hours'!$Y63)</f>
        <v>1072472.69627408</v>
      </c>
      <c r="E63" s="417" t="n">
        <f aca="false">IF($A$1="BL",0,'Peak Hours'!E63*Peak!K64*'Peak Hours'!$Y63)</f>
        <v>915756.618594667</v>
      </c>
      <c r="F63" s="417" t="n">
        <f aca="false">IF($A$1="BL",0,'Peak Hours'!F63*Peak!L64*'Peak Hours'!$Y63)</f>
        <v>785114.808899326</v>
      </c>
      <c r="G63" s="417" t="n">
        <f aca="false">IF($A$1="BL",0,'Peak Hours'!G63*Peak!M64*'Peak Hours'!$Y63)</f>
        <v>1404836.55566029</v>
      </c>
      <c r="H63" s="417" t="n">
        <f aca="false">IF($A$1="BL",0,'Peak Hours'!H63*Peak!N64*'Peak Hours'!$Y63)</f>
        <v>1287530.92065976</v>
      </c>
      <c r="I63" s="417" t="n">
        <f aca="false">IF($A$1="BL",0,'Peak Hours'!I63*Peak!O64*'Peak Hours'!$Y63)</f>
        <v>1242794.20325705</v>
      </c>
      <c r="J63" s="417" t="n">
        <f aca="false">IF($A$1="BL",0,'Peak Hours'!J63*Peak!P64*'Peak Hours'!$Y63)</f>
        <v>0</v>
      </c>
      <c r="K63" s="417" t="n">
        <f aca="false">IF($A$1="BL",0,'Peak Hours'!K63*Peak!Q64*'Peak Hours'!$Y63)</f>
        <v>0</v>
      </c>
      <c r="L63" s="417" t="n">
        <f aca="false">IF($A$1="BL",0,'Peak Hours'!L63*Peak!R64*'Peak Hours'!$Y63)</f>
        <v>0</v>
      </c>
      <c r="M63" s="417" t="n">
        <f aca="false">IF($A$1="BL",0,'Peak Hours'!M63*Peak!S64*'Peak Hours'!$Y63)</f>
        <v>0</v>
      </c>
      <c r="N63" s="417" t="n">
        <f aca="false">IF($A$1="BL",0,'Peak Hours'!N63*Peak!T64*'Peak Hours'!$Y63)</f>
        <v>0</v>
      </c>
      <c r="O63" s="417" t="n">
        <f aca="false">IF($A$1="BL",0,'Peak Hours'!O63*Peak!U64*'Peak Hours'!$Y63)</f>
        <v>0</v>
      </c>
      <c r="P63" s="417" t="n">
        <f aca="false">IF($A$1="BL",0,'Peak Hours'!P63*Peak!V64*'Peak Hours'!$Y63)</f>
        <v>0</v>
      </c>
      <c r="Q63" s="417" t="n">
        <f aca="false">IF($A$1="BL",0,'Peak Hours'!Q63*Peak!W64*'Peak Hours'!$Y63)</f>
        <v>0</v>
      </c>
      <c r="R63" s="417" t="n">
        <f aca="false">IF($A$1="BL",0,'Peak Hours'!R63*Peak!X64*'Peak Hours'!$Y63)</f>
        <v>0</v>
      </c>
      <c r="S63" s="417" t="n">
        <f aca="false">IF($A$1="BL",0,'Peak Hours'!S63*Peak!Y64*'Peak Hours'!$Y63)</f>
        <v>0</v>
      </c>
      <c r="T63" s="417" t="n">
        <f aca="false">IF($A$1="BL",0,'Peak Hours'!T63*Peak!Z64*'Peak Hours'!$Y63)</f>
        <v>0</v>
      </c>
      <c r="U63" s="417" t="n">
        <f aca="false">IF($A$1="BL",0,'Peak Hours'!U63*Peak!AA64*'Peak Hours'!$Y63)</f>
        <v>0</v>
      </c>
      <c r="V63" s="424"/>
      <c r="W63" s="422" t="n">
        <f aca="false">(IF($A$1="BL",0,Peak!C64*'Peak Hours'!V63*'Peak Hours'!$Y63))*-1</f>
        <v>-4676335.70155338</v>
      </c>
      <c r="X63" s="424"/>
      <c r="Y63" s="422" t="n">
        <f aca="false">(IF($A$1="bl",0,Peak!D64*'Peak Hours'!V63*'Peak Hours'!$Y63))*-1</f>
        <v>-80749.7829560917</v>
      </c>
      <c r="Z63" s="424"/>
      <c r="AA63" s="422" t="n">
        <f aca="false">(Peak!E64*'Peak Hours'!V63*'Peak Hours'!$Y63)*-1</f>
        <v>-0</v>
      </c>
      <c r="AB63" s="425"/>
      <c r="AC63" s="422" t="n">
        <f aca="false">(Peak!F64*'Peak Hours'!V63*'Peak Hours'!$Y63)*-1</f>
        <v>-0</v>
      </c>
      <c r="AD63" s="425"/>
    </row>
    <row r="64" customFormat="false" ht="12.75" hidden="false" customHeight="false" outlineLevel="0" collapsed="false">
      <c r="A64" s="400" t="n">
        <f aca="false">A63+30.417</f>
        <v>38182.518</v>
      </c>
      <c r="B64" s="417" t="n">
        <f aca="false">IF($A$1="BL",0,'Peak Hours'!B64*Peak!H65*'Peak Hours'!$Y64)</f>
        <v>1637063.00948477</v>
      </c>
      <c r="C64" s="417" t="n">
        <f aca="false">IF($A$1="BL",0,'Peak Hours'!C64*Peak!I65*'Peak Hours'!$Y64)</f>
        <v>951633.97319896</v>
      </c>
      <c r="D64" s="417" t="n">
        <f aca="false">IF($A$1="BL",0,'Peak Hours'!D64*Peak!J65*'Peak Hours'!$Y64)</f>
        <v>1365391.42298843</v>
      </c>
      <c r="E64" s="417" t="n">
        <f aca="false">IF($A$1="BL",0,'Peak Hours'!E64*Peak!K65*'Peak Hours'!$Y64)</f>
        <v>1577752.70664657</v>
      </c>
      <c r="F64" s="417" t="n">
        <f aca="false">IF($A$1="BL",0,'Peak Hours'!F64*Peak!L65*'Peak Hours'!$Y64)</f>
        <v>1160319.68754098</v>
      </c>
      <c r="G64" s="417" t="n">
        <f aca="false">IF($A$1="BL",0,'Peak Hours'!G64*Peak!M65*'Peak Hours'!$Y64)</f>
        <v>2039238.51932202</v>
      </c>
      <c r="H64" s="417" t="n">
        <f aca="false">IF($A$1="BL",0,'Peak Hours'!H64*Peak!N65*'Peak Hours'!$Y64)</f>
        <v>1874854.22260162</v>
      </c>
      <c r="I64" s="417" t="n">
        <f aca="false">IF($A$1="BL",0,'Peak Hours'!I64*Peak!O65*'Peak Hours'!$Y64)</f>
        <v>1823334.51168711</v>
      </c>
      <c r="J64" s="417" t="n">
        <f aca="false">IF($A$1="BL",0,'Peak Hours'!J64*Peak!P65*'Peak Hours'!$Y64)</f>
        <v>1365346.09086213</v>
      </c>
      <c r="K64" s="417" t="n">
        <f aca="false">IF($A$1="BL",0,'Peak Hours'!K64*Peak!Q65*'Peak Hours'!$Y64)</f>
        <v>1217994.38759187</v>
      </c>
      <c r="L64" s="417" t="n">
        <f aca="false">IF($A$1="BL",0,'Peak Hours'!L64*Peak!R65*'Peak Hours'!$Y64)</f>
        <v>1141471.6813957</v>
      </c>
      <c r="M64" s="417" t="n">
        <f aca="false">IF($A$1="BL",0,'Peak Hours'!M64*Peak!S65*'Peak Hours'!$Y64)</f>
        <v>0</v>
      </c>
      <c r="N64" s="417" t="n">
        <f aca="false">IF($A$1="BL",0,'Peak Hours'!N64*Peak!T65*'Peak Hours'!$Y64)</f>
        <v>0</v>
      </c>
      <c r="O64" s="417" t="n">
        <f aca="false">IF($A$1="BL",0,'Peak Hours'!O64*Peak!U65*'Peak Hours'!$Y64)</f>
        <v>0</v>
      </c>
      <c r="P64" s="417" t="n">
        <f aca="false">IF($A$1="BL",0,'Peak Hours'!P64*Peak!V65*'Peak Hours'!$Y64)</f>
        <v>0</v>
      </c>
      <c r="Q64" s="417" t="n">
        <f aca="false">IF($A$1="BL",0,'Peak Hours'!Q64*Peak!W65*'Peak Hours'!$Y64)</f>
        <v>0</v>
      </c>
      <c r="R64" s="417" t="n">
        <f aca="false">IF($A$1="BL",0,'Peak Hours'!R64*Peak!X65*'Peak Hours'!$Y64)</f>
        <v>0</v>
      </c>
      <c r="S64" s="417" t="n">
        <f aca="false">IF($A$1="BL",0,'Peak Hours'!S64*Peak!Y65*'Peak Hours'!$Y64)</f>
        <v>0</v>
      </c>
      <c r="T64" s="417" t="n">
        <f aca="false">IF($A$1="BL",0,'Peak Hours'!T64*Peak!Z65*'Peak Hours'!$Y64)</f>
        <v>0</v>
      </c>
      <c r="U64" s="417" t="n">
        <f aca="false">IF($A$1="BL",0,'Peak Hours'!U64*Peak!AA65*'Peak Hours'!$Y64)</f>
        <v>0</v>
      </c>
      <c r="V64" s="424"/>
      <c r="W64" s="422" t="n">
        <f aca="false">(IF($A$1="BL",0,Peak!C65*'Peak Hours'!V64*'Peak Hours'!$Y64))*-1</f>
        <v>-7769228.6180871</v>
      </c>
      <c r="X64" s="424"/>
      <c r="Y64" s="422" t="n">
        <f aca="false">(IF($A$1="bl",0,Peak!D65*'Peak Hours'!V64*'Peak Hours'!$Y64))*-1</f>
        <v>-134807.276546142</v>
      </c>
      <c r="Z64" s="424"/>
      <c r="AA64" s="422" t="n">
        <f aca="false">(Peak!E65*'Peak Hours'!V64*'Peak Hours'!$Y64)*-1</f>
        <v>-0</v>
      </c>
      <c r="AB64" s="425"/>
      <c r="AC64" s="422" t="n">
        <f aca="false">(Peak!F65*'Peak Hours'!V64*'Peak Hours'!$Y64)*-1</f>
        <v>-0</v>
      </c>
      <c r="AD64" s="425"/>
    </row>
    <row r="65" customFormat="false" ht="12.75" hidden="false" customHeight="false" outlineLevel="0" collapsed="false">
      <c r="A65" s="400" t="n">
        <f aca="false">A64+30.417</f>
        <v>38212.935</v>
      </c>
      <c r="B65" s="417" t="n">
        <f aca="false">IF($A$1="BL",0,'Peak Hours'!B65*Peak!H66*'Peak Hours'!$Y65)</f>
        <v>5546672.73367899</v>
      </c>
      <c r="C65" s="417" t="n">
        <f aca="false">IF($A$1="BL",0,'Peak Hours'!C65*Peak!I66*'Peak Hours'!$Y65)</f>
        <v>2716067.56293156</v>
      </c>
      <c r="D65" s="417" t="n">
        <f aca="false">IF($A$1="BL",0,'Peak Hours'!D65*Peak!J66*'Peak Hours'!$Y65)</f>
        <v>3275386.55688543</v>
      </c>
      <c r="E65" s="417" t="n">
        <f aca="false">IF($A$1="BL",0,'Peak Hours'!E65*Peak!K66*'Peak Hours'!$Y65)</f>
        <v>3522692.86200042</v>
      </c>
      <c r="F65" s="417" t="n">
        <f aca="false">IF($A$1="BL",0,'Peak Hours'!F65*Peak!L66*'Peak Hours'!$Y65)</f>
        <v>2114437.54847441</v>
      </c>
      <c r="G65" s="417" t="n">
        <f aca="false">IF($A$1="BL",0,'Peak Hours'!G65*Peak!M66*'Peak Hours'!$Y65)</f>
        <v>1748569.46900969</v>
      </c>
      <c r="H65" s="417" t="n">
        <f aca="false">IF($A$1="BL",0,'Peak Hours'!H65*Peak!N66*'Peak Hours'!$Y65)</f>
        <v>1392818.2279415</v>
      </c>
      <c r="I65" s="417" t="n">
        <f aca="false">IF($A$1="BL",0,'Peak Hours'!I65*Peak!O66*'Peak Hours'!$Y65)</f>
        <v>1239094.91390875</v>
      </c>
      <c r="J65" s="417" t="n">
        <f aca="false">IF($A$1="BL",0,'Peak Hours'!J65*Peak!P66*'Peak Hours'!$Y65)</f>
        <v>1194070.49320868</v>
      </c>
      <c r="K65" s="417" t="n">
        <f aca="false">IF($A$1="BL",0,'Peak Hours'!K65*Peak!Q66*'Peak Hours'!$Y65)</f>
        <v>0</v>
      </c>
      <c r="L65" s="417" t="n">
        <f aca="false">IF($A$1="BL",0,'Peak Hours'!L65*Peak!R66*'Peak Hours'!$Y65)</f>
        <v>0</v>
      </c>
      <c r="M65" s="417" t="n">
        <f aca="false">IF($A$1="BL",0,'Peak Hours'!M65*Peak!S66*'Peak Hours'!$Y65)</f>
        <v>0</v>
      </c>
      <c r="N65" s="417" t="n">
        <f aca="false">IF($A$1="BL",0,'Peak Hours'!N65*Peak!T66*'Peak Hours'!$Y65)</f>
        <v>0</v>
      </c>
      <c r="O65" s="417" t="n">
        <f aca="false">IF($A$1="BL",0,'Peak Hours'!O65*Peak!U66*'Peak Hours'!$Y65)</f>
        <v>0</v>
      </c>
      <c r="P65" s="417" t="n">
        <f aca="false">IF($A$1="BL",0,'Peak Hours'!P65*Peak!V66*'Peak Hours'!$Y65)</f>
        <v>0</v>
      </c>
      <c r="Q65" s="417" t="n">
        <f aca="false">IF($A$1="BL",0,'Peak Hours'!Q65*Peak!W66*'Peak Hours'!$Y65)</f>
        <v>0</v>
      </c>
      <c r="R65" s="417" t="n">
        <f aca="false">IF($A$1="BL",0,'Peak Hours'!R65*Peak!X66*'Peak Hours'!$Y65)</f>
        <v>0</v>
      </c>
      <c r="S65" s="417" t="n">
        <f aca="false">IF($A$1="BL",0,'Peak Hours'!S65*Peak!Y66*'Peak Hours'!$Y65)</f>
        <v>0</v>
      </c>
      <c r="T65" s="417" t="n">
        <f aca="false">IF($A$1="BL",0,'Peak Hours'!T65*Peak!Z66*'Peak Hours'!$Y65)</f>
        <v>0</v>
      </c>
      <c r="U65" s="417" t="n">
        <f aca="false">IF($A$1="BL",0,'Peak Hours'!U65*Peak!AA66*'Peak Hours'!$Y65)</f>
        <v>0</v>
      </c>
      <c r="V65" s="424"/>
      <c r="W65" s="422" t="n">
        <f aca="false">(IF($A$1="BL",0,Peak!C66*'Peak Hours'!V65*'Peak Hours'!$Y65))*-1</f>
        <v>-5402011.79963785</v>
      </c>
      <c r="X65" s="424"/>
      <c r="Y65" s="422" t="n">
        <f aca="false">(IF($A$1="bl",0,Peak!D66*'Peak Hours'!V65*'Peak Hours'!$Y65))*-1</f>
        <v>-99023.4339162827</v>
      </c>
      <c r="Z65" s="424"/>
      <c r="AA65" s="422" t="n">
        <f aca="false">(Peak!E66*'Peak Hours'!V65*'Peak Hours'!$Y65)*-1</f>
        <v>-0</v>
      </c>
      <c r="AB65" s="425"/>
      <c r="AC65" s="422" t="n">
        <f aca="false">(Peak!F66*'Peak Hours'!V65*'Peak Hours'!$Y65)*-1</f>
        <v>-0</v>
      </c>
      <c r="AD65" s="425"/>
    </row>
    <row r="66" customFormat="false" ht="12.75" hidden="false" customHeight="false" outlineLevel="0" collapsed="false">
      <c r="A66" s="400" t="n">
        <f aca="false">A65+30.417</f>
        <v>38243.352</v>
      </c>
      <c r="B66" s="417" t="n">
        <f aca="false">IF($A$1="BL",0,'Peak Hours'!B66*Peak!H67*'Peak Hours'!$Y66)</f>
        <v>390521.634264111</v>
      </c>
      <c r="C66" s="417" t="n">
        <f aca="false">IF($A$1="BL",0,'Peak Hours'!C66*Peak!I67*'Peak Hours'!$Y66)</f>
        <v>310089.837196438</v>
      </c>
      <c r="D66" s="417" t="n">
        <f aca="false">IF($A$1="BL",0,'Peak Hours'!D66*Peak!J67*'Peak Hours'!$Y66)</f>
        <v>524363.242105053</v>
      </c>
      <c r="E66" s="417" t="n">
        <f aca="false">IF($A$1="BL",0,'Peak Hours'!E66*Peak!K67*'Peak Hours'!$Y66)</f>
        <v>920110.372798308</v>
      </c>
      <c r="F66" s="417" t="n">
        <f aca="false">IF($A$1="BL",0,'Peak Hours'!F66*Peak!L67*'Peak Hours'!$Y66)</f>
        <v>854672.797771545</v>
      </c>
      <c r="G66" s="417" t="n">
        <f aca="false">IF($A$1="BL",0,'Peak Hours'!G66*Peak!M67*'Peak Hours'!$Y66)</f>
        <v>1659298.45216656</v>
      </c>
      <c r="H66" s="417" t="n">
        <f aca="false">IF($A$1="BL",0,'Peak Hours'!H66*Peak!N67*'Peak Hours'!$Y66)</f>
        <v>1438149.21100688</v>
      </c>
      <c r="I66" s="417" t="n">
        <f aca="false">IF($A$1="BL",0,'Peak Hours'!I66*Peak!O67*'Peak Hours'!$Y66)</f>
        <v>1236762.33727923</v>
      </c>
      <c r="J66" s="417" t="n">
        <f aca="false">IF($A$1="BL",0,'Peak Hours'!J66*Peak!P67*'Peak Hours'!$Y66)</f>
        <v>1048827.27349168</v>
      </c>
      <c r="K66" s="417" t="n">
        <f aca="false">IF($A$1="BL",0,'Peak Hours'!K66*Peak!Q67*'Peak Hours'!$Y66)</f>
        <v>0</v>
      </c>
      <c r="L66" s="417" t="n">
        <f aca="false">IF($A$1="BL",0,'Peak Hours'!L66*Peak!R67*'Peak Hours'!$Y66)</f>
        <v>0</v>
      </c>
      <c r="M66" s="417" t="n">
        <f aca="false">IF($A$1="BL",0,'Peak Hours'!M66*Peak!S67*'Peak Hours'!$Y66)</f>
        <v>0</v>
      </c>
      <c r="N66" s="417" t="n">
        <f aca="false">IF($A$1="BL",0,'Peak Hours'!N66*Peak!T67*'Peak Hours'!$Y66)</f>
        <v>0</v>
      </c>
      <c r="O66" s="417" t="n">
        <f aca="false">IF($A$1="BL",0,'Peak Hours'!O66*Peak!U67*'Peak Hours'!$Y66)</f>
        <v>0</v>
      </c>
      <c r="P66" s="417" t="n">
        <f aca="false">IF($A$1="BL",0,'Peak Hours'!P66*Peak!V67*'Peak Hours'!$Y66)</f>
        <v>0</v>
      </c>
      <c r="Q66" s="417" t="n">
        <f aca="false">IF($A$1="BL",0,'Peak Hours'!Q66*Peak!W67*'Peak Hours'!$Y66)</f>
        <v>0</v>
      </c>
      <c r="R66" s="417" t="n">
        <f aca="false">IF($A$1="BL",0,'Peak Hours'!R66*Peak!X67*'Peak Hours'!$Y66)</f>
        <v>0</v>
      </c>
      <c r="S66" s="417" t="n">
        <f aca="false">IF($A$1="BL",0,'Peak Hours'!S66*Peak!Y67*'Peak Hours'!$Y66)</f>
        <v>0</v>
      </c>
      <c r="T66" s="417" t="n">
        <f aca="false">IF($A$1="BL",0,'Peak Hours'!T66*Peak!Z67*'Peak Hours'!$Y66)</f>
        <v>0</v>
      </c>
      <c r="U66" s="417" t="n">
        <f aca="false">IF($A$1="BL",0,'Peak Hours'!U66*Peak!AA67*'Peak Hours'!$Y66)</f>
        <v>0</v>
      </c>
      <c r="V66" s="424"/>
      <c r="W66" s="422" t="n">
        <f aca="false">(IF($A$1="BL",0,Peak!C67*'Peak Hours'!V66*'Peak Hours'!$Y66))*-1</f>
        <v>-5294084.87151015</v>
      </c>
      <c r="X66" s="424"/>
      <c r="Y66" s="422" t="n">
        <f aca="false">(IF($A$1="bl",0,Peak!D67*'Peak Hours'!V66*'Peak Hours'!$Y66))*-1</f>
        <v>-97533.3465480775</v>
      </c>
      <c r="Z66" s="424"/>
      <c r="AA66" s="422" t="n">
        <f aca="false">(Peak!E67*'Peak Hours'!V66*'Peak Hours'!$Y66)*-1</f>
        <v>-0</v>
      </c>
      <c r="AB66" s="425"/>
      <c r="AC66" s="422" t="n">
        <f aca="false">(Peak!F67*'Peak Hours'!V66*'Peak Hours'!$Y66)*-1</f>
        <v>-0</v>
      </c>
      <c r="AD66" s="425"/>
    </row>
    <row r="67" customFormat="false" ht="12.75" hidden="false" customHeight="false" outlineLevel="0" collapsed="false">
      <c r="A67" s="400" t="n">
        <f aca="false">A66+30.417</f>
        <v>38273.769</v>
      </c>
      <c r="B67" s="417" t="n">
        <f aca="false">IF($A$1="BL",0,'Peak Hours'!B67*Peak!H68*'Peak Hours'!$Y67)</f>
        <v>215714.534252588</v>
      </c>
      <c r="C67" s="417" t="n">
        <f aca="false">IF($A$1="BL",0,'Peak Hours'!C67*Peak!I68*'Peak Hours'!$Y67)</f>
        <v>210851.413226274</v>
      </c>
      <c r="D67" s="417" t="n">
        <f aca="false">IF($A$1="BL",0,'Peak Hours'!D67*Peak!J68*'Peak Hours'!$Y67)</f>
        <v>402660.006595958</v>
      </c>
      <c r="E67" s="417" t="n">
        <f aca="false">IF($A$1="BL",0,'Peak Hours'!E67*Peak!K68*'Peak Hours'!$Y67)</f>
        <v>765274.079181307</v>
      </c>
      <c r="F67" s="417" t="n">
        <f aca="false">IF($A$1="BL",0,'Peak Hours'!F67*Peak!L68*'Peak Hours'!$Y67)</f>
        <v>761406.848437104</v>
      </c>
      <c r="G67" s="417" t="n">
        <f aca="false">IF($A$1="BL",0,'Peak Hours'!G67*Peak!M68*'Peak Hours'!$Y67)</f>
        <v>1460008.38862541</v>
      </c>
      <c r="H67" s="417" t="n">
        <f aca="false">IF($A$1="BL",0,'Peak Hours'!H67*Peak!N68*'Peak Hours'!$Y67)</f>
        <v>1134119.11909851</v>
      </c>
      <c r="I67" s="417" t="n">
        <f aca="false">IF($A$1="BL",0,'Peak Hours'!I67*Peak!O68*'Peak Hours'!$Y67)</f>
        <v>0</v>
      </c>
      <c r="J67" s="417" t="n">
        <f aca="false">IF($A$1="BL",0,'Peak Hours'!J67*Peak!P68*'Peak Hours'!$Y67)</f>
        <v>0</v>
      </c>
      <c r="K67" s="417" t="n">
        <f aca="false">IF($A$1="BL",0,'Peak Hours'!K67*Peak!Q68*'Peak Hours'!$Y67)</f>
        <v>0</v>
      </c>
      <c r="L67" s="417" t="n">
        <f aca="false">IF($A$1="BL",0,'Peak Hours'!L67*Peak!R68*'Peak Hours'!$Y67)</f>
        <v>0</v>
      </c>
      <c r="M67" s="417" t="n">
        <f aca="false">IF($A$1="BL",0,'Peak Hours'!M67*Peak!S68*'Peak Hours'!$Y67)</f>
        <v>0</v>
      </c>
      <c r="N67" s="417" t="n">
        <f aca="false">IF($A$1="BL",0,'Peak Hours'!N67*Peak!T68*'Peak Hours'!$Y67)</f>
        <v>0</v>
      </c>
      <c r="O67" s="417" t="n">
        <f aca="false">IF($A$1="BL",0,'Peak Hours'!O67*Peak!U68*'Peak Hours'!$Y67)</f>
        <v>0</v>
      </c>
      <c r="P67" s="417" t="n">
        <f aca="false">IF($A$1="BL",0,'Peak Hours'!P67*Peak!V68*'Peak Hours'!$Y67)</f>
        <v>0</v>
      </c>
      <c r="Q67" s="417" t="n">
        <f aca="false">IF($A$1="BL",0,'Peak Hours'!Q67*Peak!W68*'Peak Hours'!$Y67)</f>
        <v>0</v>
      </c>
      <c r="R67" s="417" t="n">
        <f aca="false">IF($A$1="BL",0,'Peak Hours'!R67*Peak!X68*'Peak Hours'!$Y67)</f>
        <v>0</v>
      </c>
      <c r="S67" s="417" t="n">
        <f aca="false">IF($A$1="BL",0,'Peak Hours'!S67*Peak!Y68*'Peak Hours'!$Y67)</f>
        <v>0</v>
      </c>
      <c r="T67" s="417" t="n">
        <f aca="false">IF($A$1="BL",0,'Peak Hours'!T67*Peak!Z68*'Peak Hours'!$Y67)</f>
        <v>0</v>
      </c>
      <c r="U67" s="417" t="n">
        <f aca="false">IF($A$1="BL",0,'Peak Hours'!U67*Peak!AA68*'Peak Hours'!$Y67)</f>
        <v>0</v>
      </c>
      <c r="V67" s="424"/>
      <c r="W67" s="422" t="n">
        <f aca="false">(IF($A$1="BL",0,Peak!C68*'Peak Hours'!V67*'Peak Hours'!$Y67))*-1</f>
        <v>-3731136.06489512</v>
      </c>
      <c r="X67" s="424"/>
      <c r="Y67" s="422" t="n">
        <f aca="false">(IF($A$1="bl",0,Peak!D68*'Peak Hours'!V67*'Peak Hours'!$Y67))*-1</f>
        <v>-62170.1195345094</v>
      </c>
      <c r="Z67" s="424"/>
      <c r="AA67" s="422" t="n">
        <f aca="false">(Peak!E68*'Peak Hours'!V67*'Peak Hours'!$Y67)*-1</f>
        <v>-0</v>
      </c>
      <c r="AB67" s="425"/>
      <c r="AC67" s="422" t="n">
        <f aca="false">(Peak!F68*'Peak Hours'!V67*'Peak Hours'!$Y67)*-1</f>
        <v>-0</v>
      </c>
      <c r="AD67" s="425"/>
    </row>
    <row r="68" customFormat="false" ht="12.75" hidden="false" customHeight="false" outlineLevel="0" collapsed="false">
      <c r="A68" s="400" t="n">
        <f aca="false">A67+30.417</f>
        <v>38304.186</v>
      </c>
      <c r="B68" s="417" t="n">
        <f aca="false">IF($A$1="BL",0,'Peak Hours'!B68*Peak!H69*'Peak Hours'!$Y68)</f>
        <v>268598.392403172</v>
      </c>
      <c r="C68" s="417" t="n">
        <f aca="false">IF($A$1="BL",0,'Peak Hours'!C68*Peak!I69*'Peak Hours'!$Y68)</f>
        <v>261811.037685979</v>
      </c>
      <c r="D68" s="417" t="n">
        <f aca="false">IF($A$1="BL",0,'Peak Hours'!D68*Peak!J69*'Peak Hours'!$Y68)</f>
        <v>523180.416246899</v>
      </c>
      <c r="E68" s="417" t="n">
        <f aca="false">IF($A$1="BL",0,'Peak Hours'!E68*Peak!K69*'Peak Hours'!$Y68)</f>
        <v>1039102.03518579</v>
      </c>
      <c r="F68" s="417" t="n">
        <f aca="false">IF($A$1="BL",0,'Peak Hours'!F68*Peak!L69*'Peak Hours'!$Y68)</f>
        <v>995464.620352355</v>
      </c>
      <c r="G68" s="417" t="n">
        <f aca="false">IF($A$1="BL",0,'Peak Hours'!G68*Peak!M69*'Peak Hours'!$Y68)</f>
        <v>1605537.65557293</v>
      </c>
      <c r="H68" s="417" t="n">
        <f aca="false">IF($A$1="BL",0,'Peak Hours'!H68*Peak!N69*'Peak Hours'!$Y68)</f>
        <v>1355439.69067567</v>
      </c>
      <c r="I68" s="417" t="n">
        <f aca="false">IF($A$1="BL",0,'Peak Hours'!I68*Peak!O69*'Peak Hours'!$Y68)</f>
        <v>1211571.29719824</v>
      </c>
      <c r="J68" s="417" t="n">
        <f aca="false">IF($A$1="BL",0,'Peak Hours'!J68*Peak!P69*'Peak Hours'!$Y68)</f>
        <v>0</v>
      </c>
      <c r="K68" s="417" t="n">
        <f aca="false">IF($A$1="BL",0,'Peak Hours'!K68*Peak!Q69*'Peak Hours'!$Y68)</f>
        <v>0</v>
      </c>
      <c r="L68" s="417" t="n">
        <f aca="false">IF($A$1="BL",0,'Peak Hours'!L68*Peak!R69*'Peak Hours'!$Y68)</f>
        <v>0</v>
      </c>
      <c r="M68" s="417" t="n">
        <f aca="false">IF($A$1="BL",0,'Peak Hours'!M68*Peak!S69*'Peak Hours'!$Y68)</f>
        <v>0</v>
      </c>
      <c r="N68" s="417" t="n">
        <f aca="false">IF($A$1="BL",0,'Peak Hours'!N68*Peak!T69*'Peak Hours'!$Y68)</f>
        <v>0</v>
      </c>
      <c r="O68" s="417" t="n">
        <f aca="false">IF($A$1="BL",0,'Peak Hours'!O68*Peak!U69*'Peak Hours'!$Y68)</f>
        <v>0</v>
      </c>
      <c r="P68" s="417" t="n">
        <f aca="false">IF($A$1="BL",0,'Peak Hours'!P68*Peak!V69*'Peak Hours'!$Y68)</f>
        <v>0</v>
      </c>
      <c r="Q68" s="417" t="n">
        <f aca="false">IF($A$1="BL",0,'Peak Hours'!Q68*Peak!W69*'Peak Hours'!$Y68)</f>
        <v>0</v>
      </c>
      <c r="R68" s="417" t="n">
        <f aca="false">IF($A$1="BL",0,'Peak Hours'!R68*Peak!X69*'Peak Hours'!$Y68)</f>
        <v>0</v>
      </c>
      <c r="S68" s="417" t="n">
        <f aca="false">IF($A$1="BL",0,'Peak Hours'!S68*Peak!Y69*'Peak Hours'!$Y68)</f>
        <v>0</v>
      </c>
      <c r="T68" s="417" t="n">
        <f aca="false">IF($A$1="BL",0,'Peak Hours'!T68*Peak!Z69*'Peak Hours'!$Y68)</f>
        <v>0</v>
      </c>
      <c r="U68" s="417" t="n">
        <f aca="false">IF($A$1="BL",0,'Peak Hours'!U68*Peak!AA69*'Peak Hours'!$Y68)</f>
        <v>0</v>
      </c>
      <c r="V68" s="424"/>
      <c r="W68" s="422" t="n">
        <f aca="false">(IF($A$1="BL",0,Peak!C69*'Peak Hours'!V68*'Peak Hours'!$Y68))*-1</f>
        <v>-5253124.83381955</v>
      </c>
      <c r="X68" s="424"/>
      <c r="Y68" s="422" t="n">
        <f aca="false">(IF($A$1="bl",0,Peak!D69*'Peak Hours'!V68*'Peak Hours'!$Y68))*-1</f>
        <v>-80066.2325148003</v>
      </c>
      <c r="Z68" s="424"/>
      <c r="AA68" s="422" t="n">
        <f aca="false">(Peak!E69*'Peak Hours'!V68*'Peak Hours'!$Y68)*-1</f>
        <v>-0</v>
      </c>
      <c r="AB68" s="425"/>
      <c r="AC68" s="422" t="n">
        <f aca="false">(Peak!F69*'Peak Hours'!V68*'Peak Hours'!$Y68)*-1</f>
        <v>-0</v>
      </c>
      <c r="AD68" s="425"/>
    </row>
    <row r="69" customFormat="false" ht="12.75" hidden="false" customHeight="false" outlineLevel="0" collapsed="false">
      <c r="A69" s="400" t="n">
        <f aca="false">A68+30.417</f>
        <v>38334.603</v>
      </c>
      <c r="B69" s="417" t="n">
        <f aca="false">IF($A$1="BL",0,'Peak Hours'!B69*Peak!H70*'Peak Hours'!$Y69)</f>
        <v>241301.484552156</v>
      </c>
      <c r="C69" s="417" t="n">
        <f aca="false">IF($A$1="BL",0,'Peak Hours'!C69*Peak!I70*'Peak Hours'!$Y69)</f>
        <v>234175.173817427</v>
      </c>
      <c r="D69" s="417" t="n">
        <f aca="false">IF($A$1="BL",0,'Peak Hours'!D69*Peak!J70*'Peak Hours'!$Y69)</f>
        <v>454721.387332903</v>
      </c>
      <c r="E69" s="417" t="n">
        <f aca="false">IF($A$1="BL",0,'Peak Hours'!E69*Peak!K70*'Peak Hours'!$Y69)</f>
        <v>858288.295661669</v>
      </c>
      <c r="F69" s="417" t="n">
        <f aca="false">IF($A$1="BL",0,'Peak Hours'!F69*Peak!L70*'Peak Hours'!$Y69)</f>
        <v>847936.992258441</v>
      </c>
      <c r="G69" s="417" t="n">
        <f aca="false">IF($A$1="BL",0,'Peak Hours'!G69*Peak!M70*'Peak Hours'!$Y69)</f>
        <v>1677776.87536465</v>
      </c>
      <c r="H69" s="417" t="n">
        <f aca="false">IF($A$1="BL",0,'Peak Hours'!H69*Peak!N70*'Peak Hours'!$Y69)</f>
        <v>1398640.6948311</v>
      </c>
      <c r="I69" s="417" t="n">
        <f aca="false">IF($A$1="BL",0,'Peak Hours'!I69*Peak!O70*'Peak Hours'!$Y69)</f>
        <v>1264319.55565303</v>
      </c>
      <c r="J69" s="417" t="n">
        <f aca="false">IF($A$1="BL",0,'Peak Hours'!J69*Peak!P70*'Peak Hours'!$Y69)</f>
        <v>0</v>
      </c>
      <c r="K69" s="417" t="n">
        <f aca="false">IF($A$1="BL",0,'Peak Hours'!K69*Peak!Q70*'Peak Hours'!$Y69)</f>
        <v>0</v>
      </c>
      <c r="L69" s="417" t="n">
        <f aca="false">IF($A$1="BL",0,'Peak Hours'!L69*Peak!R70*'Peak Hours'!$Y69)</f>
        <v>0</v>
      </c>
      <c r="M69" s="417" t="n">
        <f aca="false">IF($A$1="BL",0,'Peak Hours'!M69*Peak!S70*'Peak Hours'!$Y69)</f>
        <v>0</v>
      </c>
      <c r="N69" s="417" t="n">
        <f aca="false">IF($A$1="BL",0,'Peak Hours'!N69*Peak!T70*'Peak Hours'!$Y69)</f>
        <v>0</v>
      </c>
      <c r="O69" s="417" t="n">
        <f aca="false">IF($A$1="BL",0,'Peak Hours'!O69*Peak!U70*'Peak Hours'!$Y69)</f>
        <v>0</v>
      </c>
      <c r="P69" s="417" t="n">
        <f aca="false">IF($A$1="BL",0,'Peak Hours'!P69*Peak!V70*'Peak Hours'!$Y69)</f>
        <v>0</v>
      </c>
      <c r="Q69" s="417" t="n">
        <f aca="false">IF($A$1="BL",0,'Peak Hours'!Q69*Peak!W70*'Peak Hours'!$Y69)</f>
        <v>0</v>
      </c>
      <c r="R69" s="417" t="n">
        <f aca="false">IF($A$1="BL",0,'Peak Hours'!R69*Peak!X70*'Peak Hours'!$Y69)</f>
        <v>0</v>
      </c>
      <c r="S69" s="417" t="n">
        <f aca="false">IF($A$1="BL",0,'Peak Hours'!S69*Peak!Y70*'Peak Hours'!$Y69)</f>
        <v>0</v>
      </c>
      <c r="T69" s="417" t="n">
        <f aca="false">IF($A$1="BL",0,'Peak Hours'!T69*Peak!Z70*'Peak Hours'!$Y69)</f>
        <v>0</v>
      </c>
      <c r="U69" s="417" t="n">
        <f aca="false">IF($A$1="BL",0,'Peak Hours'!U69*Peak!AA70*'Peak Hours'!$Y69)</f>
        <v>0</v>
      </c>
      <c r="V69" s="426" t="n">
        <f aca="false">SUM(B58:U69)</f>
        <v>104186860.255342</v>
      </c>
      <c r="W69" s="422" t="n">
        <f aca="false">(IF($A$1="BL",0,Peak!C70*'Peak Hours'!V69*'Peak Hours'!$Y69))*-1</f>
        <v>-5530892.76229961</v>
      </c>
      <c r="X69" s="426" t="n">
        <f aca="false">SUM(W58:W69)</f>
        <v>-58708561.3824979</v>
      </c>
      <c r="Y69" s="422" t="n">
        <f aca="false">(IF($A$1="bl",0,Peak!D70*'Peak Hours'!V69*'Peak Hours'!$Y69))*-1</f>
        <v>-78028.0900829848</v>
      </c>
      <c r="Z69" s="426" t="n">
        <f aca="false">SUM(Y58:Y69)</f>
        <v>-970917.973559286</v>
      </c>
      <c r="AA69" s="422" t="n">
        <f aca="false">(Peak!E70*'Peak Hours'!V69*'Peak Hours'!$Y69)*-1</f>
        <v>-0</v>
      </c>
      <c r="AB69" s="427" t="n">
        <f aca="false">SUM(AA58:AA69)</f>
        <v>0</v>
      </c>
      <c r="AC69" s="422" t="n">
        <f aca="false">(Peak!F70*'Peak Hours'!V69*'Peak Hours'!$Y69)*-1</f>
        <v>-0</v>
      </c>
      <c r="AD69" s="427" t="n">
        <f aca="false">SUM(AC58:AC69)</f>
        <v>0</v>
      </c>
    </row>
    <row r="70" customFormat="false" ht="12.75" hidden="false" customHeight="false" outlineLevel="0" collapsed="false">
      <c r="A70" s="400" t="n">
        <f aca="false">A69+30.417</f>
        <v>38365.02</v>
      </c>
      <c r="B70" s="417" t="n">
        <f aca="false">IF($A$1="BL",0,'Peak Hours'!B70*Peak!H71*'Peak Hours'!$Y70)</f>
        <v>239148.887461899</v>
      </c>
      <c r="C70" s="417" t="n">
        <f aca="false">IF($A$1="BL",0,'Peak Hours'!C70*Peak!I71*'Peak Hours'!$Y70)</f>
        <v>231547.416279511</v>
      </c>
      <c r="D70" s="417" t="n">
        <f aca="false">IF($A$1="BL",0,'Peak Hours'!D70*Peak!J71*'Peak Hours'!$Y70)</f>
        <v>441452.562208338</v>
      </c>
      <c r="E70" s="417" t="n">
        <f aca="false">IF($A$1="BL",0,'Peak Hours'!E70*Peak!K71*'Peak Hours'!$Y70)</f>
        <v>866482.990585404</v>
      </c>
      <c r="F70" s="417" t="n">
        <f aca="false">IF($A$1="BL",0,'Peak Hours'!F70*Peak!L71*'Peak Hours'!$Y70)</f>
        <v>863447.484013065</v>
      </c>
      <c r="G70" s="417" t="n">
        <f aca="false">IF($A$1="BL",0,'Peak Hours'!G70*Peak!M71*'Peak Hours'!$Y70)</f>
        <v>1575650.52676616</v>
      </c>
      <c r="H70" s="417" t="n">
        <f aca="false">IF($A$1="BL",0,'Peak Hours'!H70*Peak!N71*'Peak Hours'!$Y70)</f>
        <v>1214458.17629679</v>
      </c>
      <c r="I70" s="417" t="n">
        <f aca="false">IF($A$1="BL",0,'Peak Hours'!I70*Peak!O71*'Peak Hours'!$Y70)</f>
        <v>0</v>
      </c>
      <c r="J70" s="417" t="n">
        <f aca="false">IF($A$1="BL",0,'Peak Hours'!J70*Peak!P71*'Peak Hours'!$Y70)</f>
        <v>0</v>
      </c>
      <c r="K70" s="417" t="n">
        <f aca="false">IF($A$1="BL",0,'Peak Hours'!K70*Peak!Q71*'Peak Hours'!$Y70)</f>
        <v>0</v>
      </c>
      <c r="L70" s="417" t="n">
        <f aca="false">IF($A$1="BL",0,'Peak Hours'!L70*Peak!R71*'Peak Hours'!$Y70)</f>
        <v>0</v>
      </c>
      <c r="M70" s="417" t="n">
        <f aca="false">IF($A$1="BL",0,'Peak Hours'!M70*Peak!S71*'Peak Hours'!$Y70)</f>
        <v>0</v>
      </c>
      <c r="N70" s="417" t="n">
        <f aca="false">IF($A$1="BL",0,'Peak Hours'!N70*Peak!T71*'Peak Hours'!$Y70)</f>
        <v>0</v>
      </c>
      <c r="O70" s="417" t="n">
        <f aca="false">IF($A$1="BL",0,'Peak Hours'!O70*Peak!U71*'Peak Hours'!$Y70)</f>
        <v>0</v>
      </c>
      <c r="P70" s="417" t="n">
        <f aca="false">IF($A$1="BL",0,'Peak Hours'!P70*Peak!V71*'Peak Hours'!$Y70)</f>
        <v>0</v>
      </c>
      <c r="Q70" s="417" t="n">
        <f aca="false">IF($A$1="BL",0,'Peak Hours'!Q70*Peak!W71*'Peak Hours'!$Y70)</f>
        <v>0</v>
      </c>
      <c r="R70" s="417" t="n">
        <f aca="false">IF($A$1="BL",0,'Peak Hours'!R70*Peak!X71*'Peak Hours'!$Y70)</f>
        <v>0</v>
      </c>
      <c r="S70" s="417" t="n">
        <f aca="false">IF($A$1="BL",0,'Peak Hours'!S70*Peak!Y71*'Peak Hours'!$Y70)</f>
        <v>0</v>
      </c>
      <c r="T70" s="417" t="n">
        <f aca="false">IF($A$1="BL",0,'Peak Hours'!T70*Peak!Z71*'Peak Hours'!$Y70)</f>
        <v>0</v>
      </c>
      <c r="U70" s="417" t="n">
        <f aca="false">IF($A$1="BL",0,'Peak Hours'!U70*Peak!AA71*'Peak Hours'!$Y70)</f>
        <v>0</v>
      </c>
      <c r="V70" s="424"/>
      <c r="W70" s="422" t="n">
        <f aca="false">(IF($A$1="BL",0,Peak!C71*'Peak Hours'!V70*'Peak Hours'!$Y70))*-1</f>
        <v>-4180789.45554076</v>
      </c>
      <c r="X70" s="424"/>
      <c r="Y70" s="422" t="n">
        <f aca="false">(IF($A$1="bl",0,Peak!D71*'Peak Hours'!V70*'Peak Hours'!$Y70))*-1</f>
        <v>-60789.6620331699</v>
      </c>
      <c r="Z70" s="424"/>
      <c r="AA70" s="422" t="n">
        <f aca="false">(Peak!E71*'Peak Hours'!V70*'Peak Hours'!$Y70)*-1</f>
        <v>-0</v>
      </c>
      <c r="AB70" s="425"/>
      <c r="AC70" s="422" t="n">
        <f aca="false">(Peak!F71*'Peak Hours'!V70*'Peak Hours'!$Y70)*-1</f>
        <v>-0</v>
      </c>
      <c r="AD70" s="425"/>
    </row>
    <row r="71" customFormat="false" ht="12.75" hidden="false" customHeight="false" outlineLevel="0" collapsed="false">
      <c r="A71" s="400" t="n">
        <f aca="false">A70+30.417</f>
        <v>38395.437</v>
      </c>
      <c r="B71" s="417" t="n">
        <f aca="false">IF($A$1="BL",0,'Peak Hours'!B71*Peak!H72*'Peak Hours'!$Y71)</f>
        <v>266801.70795088</v>
      </c>
      <c r="C71" s="417" t="n">
        <f aca="false">IF($A$1="BL",0,'Peak Hours'!C71*Peak!I72*'Peak Hours'!$Y71)</f>
        <v>251112.256109362</v>
      </c>
      <c r="D71" s="417" t="n">
        <f aca="false">IF($A$1="BL",0,'Peak Hours'!D71*Peak!J72*'Peak Hours'!$Y71)</f>
        <v>484409.725925038</v>
      </c>
      <c r="E71" s="417" t="n">
        <f aca="false">IF($A$1="BL",0,'Peak Hours'!E71*Peak!K72*'Peak Hours'!$Y71)</f>
        <v>914933.133932844</v>
      </c>
      <c r="F71" s="417" t="n">
        <f aca="false">IF($A$1="BL",0,'Peak Hours'!F71*Peak!L72*'Peak Hours'!$Y71)</f>
        <v>910323.510598709</v>
      </c>
      <c r="G71" s="417" t="n">
        <f aca="false">IF($A$1="BL",0,'Peak Hours'!G71*Peak!M72*'Peak Hours'!$Y71)</f>
        <v>1660245.55720728</v>
      </c>
      <c r="H71" s="417" t="n">
        <f aca="false">IF($A$1="BL",0,'Peak Hours'!H71*Peak!N72*'Peak Hours'!$Y71)</f>
        <v>1343573.00420226</v>
      </c>
      <c r="I71" s="417" t="n">
        <f aca="false">IF($A$1="BL",0,'Peak Hours'!I71*Peak!O72*'Peak Hours'!$Y71)</f>
        <v>1284506.73169645</v>
      </c>
      <c r="J71" s="417" t="n">
        <f aca="false">IF($A$1="BL",0,'Peak Hours'!J71*Peak!P72*'Peak Hours'!$Y71)</f>
        <v>0</v>
      </c>
      <c r="K71" s="417" t="n">
        <f aca="false">IF($A$1="BL",0,'Peak Hours'!K71*Peak!Q72*'Peak Hours'!$Y71)</f>
        <v>0</v>
      </c>
      <c r="L71" s="417" t="n">
        <f aca="false">IF($A$1="BL",0,'Peak Hours'!L71*Peak!R72*'Peak Hours'!$Y71)</f>
        <v>0</v>
      </c>
      <c r="M71" s="417" t="n">
        <f aca="false">IF($A$1="BL",0,'Peak Hours'!M71*Peak!S72*'Peak Hours'!$Y71)</f>
        <v>0</v>
      </c>
      <c r="N71" s="417" t="n">
        <f aca="false">IF($A$1="BL",0,'Peak Hours'!N71*Peak!T72*'Peak Hours'!$Y71)</f>
        <v>0</v>
      </c>
      <c r="O71" s="417" t="n">
        <f aca="false">IF($A$1="BL",0,'Peak Hours'!O71*Peak!U72*'Peak Hours'!$Y71)</f>
        <v>0</v>
      </c>
      <c r="P71" s="417" t="n">
        <f aca="false">IF($A$1="BL",0,'Peak Hours'!P71*Peak!V72*'Peak Hours'!$Y71)</f>
        <v>0</v>
      </c>
      <c r="Q71" s="417" t="n">
        <f aca="false">IF($A$1="BL",0,'Peak Hours'!Q71*Peak!W72*'Peak Hours'!$Y71)</f>
        <v>0</v>
      </c>
      <c r="R71" s="417" t="n">
        <f aca="false">IF($A$1="BL",0,'Peak Hours'!R71*Peak!X72*'Peak Hours'!$Y71)</f>
        <v>0</v>
      </c>
      <c r="S71" s="417" t="n">
        <f aca="false">IF($A$1="BL",0,'Peak Hours'!S71*Peak!Y72*'Peak Hours'!$Y71)</f>
        <v>0</v>
      </c>
      <c r="T71" s="417" t="n">
        <f aca="false">IF($A$1="BL",0,'Peak Hours'!T71*Peak!Z72*'Peak Hours'!$Y71)</f>
        <v>0</v>
      </c>
      <c r="U71" s="417" t="n">
        <f aca="false">IF($A$1="BL",0,'Peak Hours'!U71*Peak!AA72*'Peak Hours'!$Y71)</f>
        <v>0</v>
      </c>
      <c r="V71" s="424"/>
      <c r="W71" s="422" t="n">
        <f aca="false">(IF($A$1="BL",0,Peak!C72*'Peak Hours'!V71*'Peak Hours'!$Y71))*-1</f>
        <v>-4817756.23809085</v>
      </c>
      <c r="X71" s="424"/>
      <c r="Y71" s="422" t="n">
        <f aca="false">(IF($A$1="bl",0,Peak!D72*'Peak Hours'!V71*'Peak Hours'!$Y71))*-1</f>
        <v>-78288.4004612895</v>
      </c>
      <c r="Z71" s="424"/>
      <c r="AA71" s="422" t="n">
        <f aca="false">(Peak!E72*'Peak Hours'!V71*'Peak Hours'!$Y71)*-1</f>
        <v>-0</v>
      </c>
      <c r="AB71" s="425"/>
      <c r="AC71" s="422" t="n">
        <f aca="false">(Peak!F72*'Peak Hours'!V71*'Peak Hours'!$Y71)*-1</f>
        <v>-0</v>
      </c>
      <c r="AD71" s="425"/>
    </row>
    <row r="72" customFormat="false" ht="12.75" hidden="false" customHeight="false" outlineLevel="0" collapsed="false">
      <c r="A72" s="400" t="n">
        <f aca="false">A71+30.417</f>
        <v>38425.854</v>
      </c>
      <c r="B72" s="417" t="n">
        <f aca="false">IF($A$1="BL",0,'Peak Hours'!B72*Peak!H73*'Peak Hours'!$Y72)</f>
        <v>243986.689946728</v>
      </c>
      <c r="C72" s="417" t="n">
        <f aca="false">IF($A$1="BL",0,'Peak Hours'!C72*Peak!I73*'Peak Hours'!$Y72)</f>
        <v>235886.017012866</v>
      </c>
      <c r="D72" s="417" t="n">
        <f aca="false">IF($A$1="BL",0,'Peak Hours'!D72*Peak!J73*'Peak Hours'!$Y72)</f>
        <v>448093.067803442</v>
      </c>
      <c r="E72" s="417" t="n">
        <f aca="false">IF($A$1="BL",0,'Peak Hours'!E72*Peak!K73*'Peak Hours'!$Y72)</f>
        <v>874938.614595276</v>
      </c>
      <c r="F72" s="417" t="n">
        <f aca="false">IF($A$1="BL",0,'Peak Hours'!F72*Peak!L73*'Peak Hours'!$Y72)</f>
        <v>872549.266910118</v>
      </c>
      <c r="G72" s="417" t="n">
        <f aca="false">IF($A$1="BL",0,'Peak Hours'!G72*Peak!M73*'Peak Hours'!$Y72)</f>
        <v>1588426.57960789</v>
      </c>
      <c r="H72" s="417" t="n">
        <f aca="false">IF($A$1="BL",0,'Peak Hours'!H72*Peak!N73*'Peak Hours'!$Y72)</f>
        <v>1227145.36341062</v>
      </c>
      <c r="I72" s="417" t="n">
        <f aca="false">IF($A$1="BL",0,'Peak Hours'!I72*Peak!O73*'Peak Hours'!$Y72)</f>
        <v>0</v>
      </c>
      <c r="J72" s="417" t="n">
        <f aca="false">IF($A$1="BL",0,'Peak Hours'!J72*Peak!P73*'Peak Hours'!$Y72)</f>
        <v>0</v>
      </c>
      <c r="K72" s="417" t="n">
        <f aca="false">IF($A$1="BL",0,'Peak Hours'!K72*Peak!Q73*'Peak Hours'!$Y72)</f>
        <v>0</v>
      </c>
      <c r="L72" s="417" t="n">
        <f aca="false">IF($A$1="BL",0,'Peak Hours'!L72*Peak!R73*'Peak Hours'!$Y72)</f>
        <v>0</v>
      </c>
      <c r="M72" s="417" t="n">
        <f aca="false">IF($A$1="BL",0,'Peak Hours'!M72*Peak!S73*'Peak Hours'!$Y72)</f>
        <v>0</v>
      </c>
      <c r="N72" s="417" t="n">
        <f aca="false">IF($A$1="BL",0,'Peak Hours'!N72*Peak!T73*'Peak Hours'!$Y72)</f>
        <v>0</v>
      </c>
      <c r="O72" s="417" t="n">
        <f aca="false">IF($A$1="BL",0,'Peak Hours'!O72*Peak!U73*'Peak Hours'!$Y72)</f>
        <v>0</v>
      </c>
      <c r="P72" s="417" t="n">
        <f aca="false">IF($A$1="BL",0,'Peak Hours'!P72*Peak!V73*'Peak Hours'!$Y72)</f>
        <v>0</v>
      </c>
      <c r="Q72" s="417" t="n">
        <f aca="false">IF($A$1="BL",0,'Peak Hours'!Q72*Peak!W73*'Peak Hours'!$Y72)</f>
        <v>0</v>
      </c>
      <c r="R72" s="417" t="n">
        <f aca="false">IF($A$1="BL",0,'Peak Hours'!R72*Peak!X73*'Peak Hours'!$Y72)</f>
        <v>0</v>
      </c>
      <c r="S72" s="417" t="n">
        <f aca="false">IF($A$1="BL",0,'Peak Hours'!S72*Peak!Y73*'Peak Hours'!$Y72)</f>
        <v>0</v>
      </c>
      <c r="T72" s="417" t="n">
        <f aca="false">IF($A$1="BL",0,'Peak Hours'!T72*Peak!Z73*'Peak Hours'!$Y72)</f>
        <v>0</v>
      </c>
      <c r="U72" s="417" t="n">
        <f aca="false">IF($A$1="BL",0,'Peak Hours'!U72*Peak!AA73*'Peak Hours'!$Y72)</f>
        <v>0</v>
      </c>
      <c r="V72" s="424"/>
      <c r="W72" s="422" t="n">
        <f aca="false">(IF($A$1="BL",0,Peak!C73*'Peak Hours'!V72*'Peak Hours'!$Y72))*-1</f>
        <v>-3786667.91783572</v>
      </c>
      <c r="X72" s="424"/>
      <c r="Y72" s="422" t="n">
        <f aca="false">(IF($A$1="bl",0,Peak!D73*'Peak Hours'!V72*'Peak Hours'!$Y72))*-1</f>
        <v>-62689.9336923741</v>
      </c>
      <c r="Z72" s="424"/>
      <c r="AA72" s="422" t="n">
        <f aca="false">(Peak!E73*'Peak Hours'!V72*'Peak Hours'!$Y72)*-1</f>
        <v>-0</v>
      </c>
      <c r="AB72" s="425"/>
      <c r="AC72" s="422" t="n">
        <f aca="false">(Peak!F73*'Peak Hours'!V72*'Peak Hours'!$Y72)*-1</f>
        <v>-0</v>
      </c>
      <c r="AD72" s="425"/>
    </row>
    <row r="73" customFormat="false" ht="12.75" hidden="false" customHeight="false" outlineLevel="0" collapsed="false">
      <c r="A73" s="400" t="n">
        <f aca="false">A72+30.417</f>
        <v>38456.271</v>
      </c>
      <c r="B73" s="417" t="n">
        <f aca="false">IF($A$1="BL",0,'Peak Hours'!B73*Peak!H74*'Peak Hours'!$Y73)</f>
        <v>198594.965436515</v>
      </c>
      <c r="C73" s="417" t="n">
        <f aca="false">IF($A$1="BL",0,'Peak Hours'!C73*Peak!I74*'Peak Hours'!$Y73)</f>
        <v>191391.593621076</v>
      </c>
      <c r="D73" s="417" t="n">
        <f aca="false">IF($A$1="BL",0,'Peak Hours'!D73*Peak!J74*'Peak Hours'!$Y73)</f>
        <v>365109.835568741</v>
      </c>
      <c r="E73" s="417" t="n">
        <f aca="false">IF($A$1="BL",0,'Peak Hours'!E73*Peak!K74*'Peak Hours'!$Y73)</f>
        <v>722337.130528579</v>
      </c>
      <c r="F73" s="417" t="n">
        <f aca="false">IF($A$1="BL",0,'Peak Hours'!F73*Peak!L74*'Peak Hours'!$Y73)</f>
        <v>719946.148087601</v>
      </c>
      <c r="G73" s="417" t="n">
        <f aca="false">IF($A$1="BL",0,'Peak Hours'!G73*Peak!M74*'Peak Hours'!$Y73)</f>
        <v>1203438.81610703</v>
      </c>
      <c r="H73" s="417" t="n">
        <f aca="false">IF($A$1="BL",0,'Peak Hours'!H73*Peak!N74*'Peak Hours'!$Y73)</f>
        <v>1102211.62833411</v>
      </c>
      <c r="I73" s="417" t="n">
        <f aca="false">IF($A$1="BL",0,'Peak Hours'!I73*Peak!O74*'Peak Hours'!$Y73)</f>
        <v>0</v>
      </c>
      <c r="J73" s="417" t="n">
        <f aca="false">IF($A$1="BL",0,'Peak Hours'!J73*Peak!P74*'Peak Hours'!$Y73)</f>
        <v>0</v>
      </c>
      <c r="K73" s="417" t="n">
        <f aca="false">IF($A$1="BL",0,'Peak Hours'!K73*Peak!Q74*'Peak Hours'!$Y73)</f>
        <v>0</v>
      </c>
      <c r="L73" s="417" t="n">
        <f aca="false">IF($A$1="BL",0,'Peak Hours'!L73*Peak!R74*'Peak Hours'!$Y73)</f>
        <v>0</v>
      </c>
      <c r="M73" s="417" t="n">
        <f aca="false">IF($A$1="BL",0,'Peak Hours'!M73*Peak!S74*'Peak Hours'!$Y73)</f>
        <v>0</v>
      </c>
      <c r="N73" s="417" t="n">
        <f aca="false">IF($A$1="BL",0,'Peak Hours'!N73*Peak!T74*'Peak Hours'!$Y73)</f>
        <v>0</v>
      </c>
      <c r="O73" s="417" t="n">
        <f aca="false">IF($A$1="BL",0,'Peak Hours'!O73*Peak!U74*'Peak Hours'!$Y73)</f>
        <v>0</v>
      </c>
      <c r="P73" s="417" t="n">
        <f aca="false">IF($A$1="BL",0,'Peak Hours'!P73*Peak!V74*'Peak Hours'!$Y73)</f>
        <v>0</v>
      </c>
      <c r="Q73" s="417" t="n">
        <f aca="false">IF($A$1="BL",0,'Peak Hours'!Q73*Peak!W74*'Peak Hours'!$Y73)</f>
        <v>0</v>
      </c>
      <c r="R73" s="417" t="n">
        <f aca="false">IF($A$1="BL",0,'Peak Hours'!R73*Peak!X74*'Peak Hours'!$Y73)</f>
        <v>0</v>
      </c>
      <c r="S73" s="417" t="n">
        <f aca="false">IF($A$1="BL",0,'Peak Hours'!S73*Peak!Y74*'Peak Hours'!$Y73)</f>
        <v>0</v>
      </c>
      <c r="T73" s="417" t="n">
        <f aca="false">IF($A$1="BL",0,'Peak Hours'!T73*Peak!Z74*'Peak Hours'!$Y73)</f>
        <v>0</v>
      </c>
      <c r="U73" s="417" t="n">
        <f aca="false">IF($A$1="BL",0,'Peak Hours'!U73*Peak!AA74*'Peak Hours'!$Y73)</f>
        <v>0</v>
      </c>
      <c r="V73" s="424"/>
      <c r="W73" s="422" t="n">
        <f aca="false">(IF($A$1="BL",0,Peak!C74*'Peak Hours'!V73*'Peak Hours'!$Y73))*-1</f>
        <v>-3600001.1894917</v>
      </c>
      <c r="X73" s="424"/>
      <c r="Y73" s="422" t="n">
        <f aca="false">(IF($A$1="bl",0,Peak!D74*'Peak Hours'!V73*'Peak Hours'!$Y73))*-1</f>
        <v>-62794.4169151947</v>
      </c>
      <c r="Z73" s="424"/>
      <c r="AA73" s="422" t="n">
        <f aca="false">(Peak!E74*'Peak Hours'!V73*'Peak Hours'!$Y73)*-1</f>
        <v>-0</v>
      </c>
      <c r="AB73" s="425"/>
      <c r="AC73" s="422" t="n">
        <f aca="false">(Peak!F74*'Peak Hours'!V73*'Peak Hours'!$Y73)*-1</f>
        <v>-0</v>
      </c>
      <c r="AD73" s="425"/>
    </row>
    <row r="74" customFormat="false" ht="12.75" hidden="false" customHeight="false" outlineLevel="0" collapsed="false">
      <c r="A74" s="400" t="n">
        <f aca="false">A73+30.417</f>
        <v>38486.688</v>
      </c>
      <c r="B74" s="417" t="n">
        <f aca="false">IF($A$1="BL",0,'Peak Hours'!B74*Peak!H75*'Peak Hours'!$Y74)</f>
        <v>264398.021447935</v>
      </c>
      <c r="C74" s="417" t="n">
        <f aca="false">IF($A$1="BL",0,'Peak Hours'!C74*Peak!I75*'Peak Hours'!$Y74)</f>
        <v>230743.289179905</v>
      </c>
      <c r="D74" s="417" t="n">
        <f aca="false">IF($A$1="BL",0,'Peak Hours'!D74*Peak!J75*'Peak Hours'!$Y74)</f>
        <v>426864.410596832</v>
      </c>
      <c r="E74" s="417" t="n">
        <f aca="false">IF($A$1="BL",0,'Peak Hours'!E74*Peak!K75*'Peak Hours'!$Y74)</f>
        <v>795207.130880979</v>
      </c>
      <c r="F74" s="417" t="n">
        <f aca="false">IF($A$1="BL",0,'Peak Hours'!F74*Peak!L75*'Peak Hours'!$Y74)</f>
        <v>758873.445564699</v>
      </c>
      <c r="G74" s="417" t="n">
        <f aca="false">IF($A$1="BL",0,'Peak Hours'!G74*Peak!M75*'Peak Hours'!$Y74)</f>
        <v>1493335.84981317</v>
      </c>
      <c r="H74" s="417" t="n">
        <f aca="false">IF($A$1="BL",0,'Peak Hours'!H74*Peak!N75*'Peak Hours'!$Y74)</f>
        <v>1140631.91651129</v>
      </c>
      <c r="I74" s="417" t="n">
        <f aca="false">IF($A$1="BL",0,'Peak Hours'!I74*Peak!O75*'Peak Hours'!$Y74)</f>
        <v>0</v>
      </c>
      <c r="J74" s="417" t="n">
        <f aca="false">IF($A$1="BL",0,'Peak Hours'!J74*Peak!P75*'Peak Hours'!$Y74)</f>
        <v>0</v>
      </c>
      <c r="K74" s="417" t="n">
        <f aca="false">IF($A$1="BL",0,'Peak Hours'!K74*Peak!Q75*'Peak Hours'!$Y74)</f>
        <v>0</v>
      </c>
      <c r="L74" s="417" t="n">
        <f aca="false">IF($A$1="BL",0,'Peak Hours'!L74*Peak!R75*'Peak Hours'!$Y74)</f>
        <v>0</v>
      </c>
      <c r="M74" s="417" t="n">
        <f aca="false">IF($A$1="BL",0,'Peak Hours'!M74*Peak!S75*'Peak Hours'!$Y74)</f>
        <v>0</v>
      </c>
      <c r="N74" s="417" t="n">
        <f aca="false">IF($A$1="BL",0,'Peak Hours'!N74*Peak!T75*'Peak Hours'!$Y74)</f>
        <v>0</v>
      </c>
      <c r="O74" s="417" t="n">
        <f aca="false">IF($A$1="BL",0,'Peak Hours'!O74*Peak!U75*'Peak Hours'!$Y74)</f>
        <v>0</v>
      </c>
      <c r="P74" s="417" t="n">
        <f aca="false">IF($A$1="BL",0,'Peak Hours'!P74*Peak!V75*'Peak Hours'!$Y74)</f>
        <v>0</v>
      </c>
      <c r="Q74" s="417" t="n">
        <f aca="false">IF($A$1="BL",0,'Peak Hours'!Q74*Peak!W75*'Peak Hours'!$Y74)</f>
        <v>0</v>
      </c>
      <c r="R74" s="417" t="n">
        <f aca="false">IF($A$1="BL",0,'Peak Hours'!R74*Peak!X75*'Peak Hours'!$Y74)</f>
        <v>0</v>
      </c>
      <c r="S74" s="417" t="n">
        <f aca="false">IF($A$1="BL",0,'Peak Hours'!S74*Peak!Y75*'Peak Hours'!$Y74)</f>
        <v>0</v>
      </c>
      <c r="T74" s="417" t="n">
        <f aca="false">IF($A$1="BL",0,'Peak Hours'!T74*Peak!Z75*'Peak Hours'!$Y74)</f>
        <v>0</v>
      </c>
      <c r="U74" s="417" t="n">
        <f aca="false">IF($A$1="BL",0,'Peak Hours'!U74*Peak!AA75*'Peak Hours'!$Y74)</f>
        <v>0</v>
      </c>
      <c r="V74" s="424"/>
      <c r="W74" s="422" t="n">
        <f aca="false">(IF($A$1="BL",0,Peak!C75*'Peak Hours'!V74*'Peak Hours'!$Y74))*-1</f>
        <v>-3790477.44290396</v>
      </c>
      <c r="X74" s="424"/>
      <c r="Y74" s="422" t="n">
        <f aca="false">(IF($A$1="bl",0,Peak!D75*'Peak Hours'!V74*'Peak Hours'!$Y74))*-1</f>
        <v>-62899.07427672</v>
      </c>
      <c r="Z74" s="424"/>
      <c r="AA74" s="422" t="n">
        <f aca="false">(Peak!E75*'Peak Hours'!V74*'Peak Hours'!$Y74)*-1</f>
        <v>-0</v>
      </c>
      <c r="AB74" s="425"/>
      <c r="AC74" s="422" t="n">
        <f aca="false">(Peak!F75*'Peak Hours'!V74*'Peak Hours'!$Y74)*-1</f>
        <v>-0</v>
      </c>
      <c r="AD74" s="425"/>
    </row>
    <row r="75" customFormat="false" ht="12.75" hidden="false" customHeight="false" outlineLevel="0" collapsed="false">
      <c r="A75" s="400" t="n">
        <f aca="false">A74+30.417</f>
        <v>38517.105</v>
      </c>
      <c r="B75" s="417" t="n">
        <f aca="false">IF($A$1="BL",0,'Peak Hours'!B75*Peak!H76*'Peak Hours'!$Y75)</f>
        <v>823150.897122269</v>
      </c>
      <c r="C75" s="417" t="n">
        <f aca="false">IF($A$1="BL",0,'Peak Hours'!C75*Peak!I76*'Peak Hours'!$Y75)</f>
        <v>604400.822500195</v>
      </c>
      <c r="D75" s="417" t="n">
        <f aca="false">IF($A$1="BL",0,'Peak Hours'!D75*Peak!J76*'Peak Hours'!$Y75)</f>
        <v>1056182.17865747</v>
      </c>
      <c r="E75" s="417" t="n">
        <f aca="false">IF($A$1="BL",0,'Peak Hours'!E75*Peak!K76*'Peak Hours'!$Y75)</f>
        <v>1404243.69513005</v>
      </c>
      <c r="F75" s="417" t="n">
        <f aca="false">IF($A$1="BL",0,'Peak Hours'!F75*Peak!L76*'Peak Hours'!$Y75)</f>
        <v>770239.253229868</v>
      </c>
      <c r="G75" s="417" t="n">
        <f aca="false">IF($A$1="BL",0,'Peak Hours'!G75*Peak!M76*'Peak Hours'!$Y75)</f>
        <v>1354571.6332917</v>
      </c>
      <c r="H75" s="417" t="n">
        <f aca="false">IF($A$1="BL",0,'Peak Hours'!H75*Peak!N76*'Peak Hours'!$Y75)</f>
        <v>1247029.0231383</v>
      </c>
      <c r="I75" s="417" t="n">
        <f aca="false">IF($A$1="BL",0,'Peak Hours'!I75*Peak!O76*'Peak Hours'!$Y75)</f>
        <v>1193594.2927982</v>
      </c>
      <c r="J75" s="417" t="n">
        <f aca="false">IF($A$1="BL",0,'Peak Hours'!J75*Peak!P76*'Peak Hours'!$Y75)</f>
        <v>0</v>
      </c>
      <c r="K75" s="417" t="n">
        <f aca="false">IF($A$1="BL",0,'Peak Hours'!K75*Peak!Q76*'Peak Hours'!$Y75)</f>
        <v>0</v>
      </c>
      <c r="L75" s="417" t="n">
        <f aca="false">IF($A$1="BL",0,'Peak Hours'!L75*Peak!R76*'Peak Hours'!$Y75)</f>
        <v>0</v>
      </c>
      <c r="M75" s="417" t="n">
        <f aca="false">IF($A$1="BL",0,'Peak Hours'!M75*Peak!S76*'Peak Hours'!$Y75)</f>
        <v>0</v>
      </c>
      <c r="N75" s="417" t="n">
        <f aca="false">IF($A$1="BL",0,'Peak Hours'!N75*Peak!T76*'Peak Hours'!$Y75)</f>
        <v>0</v>
      </c>
      <c r="O75" s="417" t="n">
        <f aca="false">IF($A$1="BL",0,'Peak Hours'!O75*Peak!U76*'Peak Hours'!$Y75)</f>
        <v>0</v>
      </c>
      <c r="P75" s="417" t="n">
        <f aca="false">IF($A$1="BL",0,'Peak Hours'!P75*Peak!V76*'Peak Hours'!$Y75)</f>
        <v>0</v>
      </c>
      <c r="Q75" s="417" t="n">
        <f aca="false">IF($A$1="BL",0,'Peak Hours'!Q75*Peak!W76*'Peak Hours'!$Y75)</f>
        <v>0</v>
      </c>
      <c r="R75" s="417" t="n">
        <f aca="false">IF($A$1="BL",0,'Peak Hours'!R75*Peak!X76*'Peak Hours'!$Y75)</f>
        <v>0</v>
      </c>
      <c r="S75" s="417" t="n">
        <f aca="false">IF($A$1="BL",0,'Peak Hours'!S75*Peak!Y76*'Peak Hours'!$Y75)</f>
        <v>0</v>
      </c>
      <c r="T75" s="417" t="n">
        <f aca="false">IF($A$1="BL",0,'Peak Hours'!T75*Peak!Z76*'Peak Hours'!$Y75)</f>
        <v>0</v>
      </c>
      <c r="U75" s="417" t="n">
        <f aca="false">IF($A$1="BL",0,'Peak Hours'!U75*Peak!AA76*'Peak Hours'!$Y75)</f>
        <v>0</v>
      </c>
      <c r="V75" s="424"/>
      <c r="W75" s="422" t="n">
        <f aca="false">(IF($A$1="BL",0,Peak!C76*'Peak Hours'!V75*'Peak Hours'!$Y75))*-1</f>
        <v>-4722062.38991293</v>
      </c>
      <c r="X75" s="424"/>
      <c r="Y75" s="422" t="n">
        <f aca="false">(IF($A$1="bl",0,Peak!D76*'Peak Hours'!V75*'Peak Hours'!$Y75))*-1</f>
        <v>-82379.6652964815</v>
      </c>
      <c r="Z75" s="424"/>
      <c r="AA75" s="422" t="n">
        <f aca="false">(Peak!E76*'Peak Hours'!V75*'Peak Hours'!$Y75)*-1</f>
        <v>-0</v>
      </c>
      <c r="AB75" s="425"/>
      <c r="AC75" s="422" t="n">
        <f aca="false">(Peak!F76*'Peak Hours'!V75*'Peak Hours'!$Y75)*-1</f>
        <v>-0</v>
      </c>
      <c r="AD75" s="425"/>
    </row>
    <row r="76" customFormat="false" ht="12.75" hidden="false" customHeight="false" outlineLevel="0" collapsed="false">
      <c r="A76" s="400" t="n">
        <f aca="false">A75+30.417</f>
        <v>38547.522</v>
      </c>
      <c r="B76" s="417" t="n">
        <f aca="false">IF($A$1="BL",0,'Peak Hours'!B76*Peak!H77*'Peak Hours'!$Y76)</f>
        <v>1834419.7549831</v>
      </c>
      <c r="C76" s="417" t="n">
        <f aca="false">IF($A$1="BL",0,'Peak Hours'!C76*Peak!I77*'Peak Hours'!$Y76)</f>
        <v>1238914.35212473</v>
      </c>
      <c r="D76" s="417" t="n">
        <f aca="false">IF($A$1="BL",0,'Peak Hours'!D76*Peak!J77*'Peak Hours'!$Y76)</f>
        <v>1805740.57734996</v>
      </c>
      <c r="E76" s="417" t="n">
        <f aca="false">IF($A$1="BL",0,'Peak Hours'!E76*Peak!K77*'Peak Hours'!$Y76)</f>
        <v>2510112.09223784</v>
      </c>
      <c r="F76" s="417" t="n">
        <f aca="false">IF($A$1="BL",0,'Peak Hours'!F76*Peak!L77*'Peak Hours'!$Y76)</f>
        <v>1883499.63659131</v>
      </c>
      <c r="G76" s="417" t="n">
        <f aca="false">IF($A$1="BL",0,'Peak Hours'!G76*Peak!M77*'Peak Hours'!$Y76)</f>
        <v>2066824.4780426</v>
      </c>
      <c r="H76" s="417" t="n">
        <f aca="false">IF($A$1="BL",0,'Peak Hours'!H76*Peak!N77*'Peak Hours'!$Y76)</f>
        <v>1519954.79107709</v>
      </c>
      <c r="I76" s="417" t="n">
        <f aca="false">IF($A$1="BL",0,'Peak Hours'!I76*Peak!O77*'Peak Hours'!$Y76)</f>
        <v>1371923.49051168</v>
      </c>
      <c r="J76" s="417" t="n">
        <f aca="false">IF($A$1="BL",0,'Peak Hours'!J76*Peak!P77*'Peak Hours'!$Y76)</f>
        <v>1345887.5737604</v>
      </c>
      <c r="K76" s="417" t="n">
        <f aca="false">IF($A$1="BL",0,'Peak Hours'!K76*Peak!Q77*'Peak Hours'!$Y76)</f>
        <v>1117945.64929496</v>
      </c>
      <c r="L76" s="417" t="n">
        <f aca="false">IF($A$1="BL",0,'Peak Hours'!L76*Peak!R77*'Peak Hours'!$Y76)</f>
        <v>0</v>
      </c>
      <c r="M76" s="417" t="n">
        <f aca="false">IF($A$1="BL",0,'Peak Hours'!M76*Peak!S77*'Peak Hours'!$Y76)</f>
        <v>0</v>
      </c>
      <c r="N76" s="417" t="n">
        <f aca="false">IF($A$1="BL",0,'Peak Hours'!N76*Peak!T77*'Peak Hours'!$Y76)</f>
        <v>0</v>
      </c>
      <c r="O76" s="417" t="n">
        <f aca="false">IF($A$1="BL",0,'Peak Hours'!O76*Peak!U77*'Peak Hours'!$Y76)</f>
        <v>0</v>
      </c>
      <c r="P76" s="417" t="n">
        <f aca="false">IF($A$1="BL",0,'Peak Hours'!P76*Peak!V77*'Peak Hours'!$Y76)</f>
        <v>0</v>
      </c>
      <c r="Q76" s="417" t="n">
        <f aca="false">IF($A$1="BL",0,'Peak Hours'!Q76*Peak!W77*'Peak Hours'!$Y76)</f>
        <v>0</v>
      </c>
      <c r="R76" s="417" t="n">
        <f aca="false">IF($A$1="BL",0,'Peak Hours'!R76*Peak!X77*'Peak Hours'!$Y76)</f>
        <v>0</v>
      </c>
      <c r="S76" s="417" t="n">
        <f aca="false">IF($A$1="BL",0,'Peak Hours'!S76*Peak!Y77*'Peak Hours'!$Y76)</f>
        <v>0</v>
      </c>
      <c r="T76" s="417" t="n">
        <f aca="false">IF($A$1="BL",0,'Peak Hours'!T76*Peak!Z77*'Peak Hours'!$Y76)</f>
        <v>0</v>
      </c>
      <c r="U76" s="417" t="n">
        <f aca="false">IF($A$1="BL",0,'Peak Hours'!U76*Peak!AA77*'Peak Hours'!$Y76)</f>
        <v>0</v>
      </c>
      <c r="V76" s="424"/>
      <c r="W76" s="422" t="n">
        <f aca="false">(IF($A$1="BL",0,Peak!C77*'Peak Hours'!V76*'Peak Hours'!$Y76))*-1</f>
        <v>-6799172.11205817</v>
      </c>
      <c r="X76" s="424"/>
      <c r="Y76" s="422" t="n">
        <f aca="false">(IF($A$1="bl",0,Peak!D77*'Peak Hours'!V76*'Peak Hours'!$Y76))*-1</f>
        <v>-119191.17128915</v>
      </c>
      <c r="Z76" s="424"/>
      <c r="AA76" s="422" t="n">
        <f aca="false">(Peak!E77*'Peak Hours'!V76*'Peak Hours'!$Y76)*-1</f>
        <v>-0</v>
      </c>
      <c r="AB76" s="425"/>
      <c r="AC76" s="422" t="n">
        <f aca="false">(Peak!F77*'Peak Hours'!V76*'Peak Hours'!$Y76)*-1</f>
        <v>-0</v>
      </c>
      <c r="AD76" s="425"/>
    </row>
    <row r="77" customFormat="false" ht="12.75" hidden="false" customHeight="false" outlineLevel="0" collapsed="false">
      <c r="A77" s="400" t="n">
        <f aca="false">A76+30.417</f>
        <v>38577.939</v>
      </c>
      <c r="B77" s="417" t="n">
        <f aca="false">IF($A$1="BL",0,'Peak Hours'!B77*Peak!H78*'Peak Hours'!$Y77)</f>
        <v>2889988.32951394</v>
      </c>
      <c r="C77" s="417" t="n">
        <f aca="false">IF($A$1="BL",0,'Peak Hours'!C77*Peak!I78*'Peak Hours'!$Y77)</f>
        <v>1676271.46599357</v>
      </c>
      <c r="D77" s="417" t="n">
        <f aca="false">IF($A$1="BL",0,'Peak Hours'!D77*Peak!J78*'Peak Hours'!$Y77)</f>
        <v>2297688.64915756</v>
      </c>
      <c r="E77" s="417" t="n">
        <f aca="false">IF($A$1="BL",0,'Peak Hours'!E77*Peak!K78*'Peak Hours'!$Y77)</f>
        <v>2879224.74284199</v>
      </c>
      <c r="F77" s="417" t="n">
        <f aca="false">IF($A$1="BL",0,'Peak Hours'!F77*Peak!L78*'Peak Hours'!$Y77)</f>
        <v>2102638.83295035</v>
      </c>
      <c r="G77" s="417" t="n">
        <f aca="false">IF($A$1="BL",0,'Peak Hours'!G77*Peak!M78*'Peak Hours'!$Y77)</f>
        <v>2519059.0811595</v>
      </c>
      <c r="H77" s="417" t="n">
        <f aca="false">IF($A$1="BL",0,'Peak Hours'!H77*Peak!N78*'Peak Hours'!$Y77)</f>
        <v>1917245.1821392</v>
      </c>
      <c r="I77" s="417" t="n">
        <f aca="false">IF($A$1="BL",0,'Peak Hours'!I77*Peak!O78*'Peak Hours'!$Y77)</f>
        <v>1727591.47466807</v>
      </c>
      <c r="J77" s="417" t="n">
        <f aca="false">IF($A$1="BL",0,'Peak Hours'!J77*Peak!P78*'Peak Hours'!$Y77)</f>
        <v>1596732.66005694</v>
      </c>
      <c r="K77" s="417" t="n">
        <f aca="false">IF($A$1="BL",0,'Peak Hours'!K77*Peak!Q78*'Peak Hours'!$Y77)</f>
        <v>1203084.62667651</v>
      </c>
      <c r="L77" s="417" t="n">
        <f aca="false">IF($A$1="BL",0,'Peak Hours'!L77*Peak!R78*'Peak Hours'!$Y77)</f>
        <v>1050521.53811053</v>
      </c>
      <c r="M77" s="417" t="n">
        <f aca="false">IF($A$1="BL",0,'Peak Hours'!M77*Peak!S78*'Peak Hours'!$Y77)</f>
        <v>0</v>
      </c>
      <c r="N77" s="417" t="n">
        <f aca="false">IF($A$1="BL",0,'Peak Hours'!N77*Peak!T78*'Peak Hours'!$Y77)</f>
        <v>0</v>
      </c>
      <c r="O77" s="417" t="n">
        <f aca="false">IF($A$1="BL",0,'Peak Hours'!O77*Peak!U78*'Peak Hours'!$Y77)</f>
        <v>0</v>
      </c>
      <c r="P77" s="417" t="n">
        <f aca="false">IF($A$1="BL",0,'Peak Hours'!P77*Peak!V78*'Peak Hours'!$Y77)</f>
        <v>0</v>
      </c>
      <c r="Q77" s="417" t="n">
        <f aca="false">IF($A$1="BL",0,'Peak Hours'!Q77*Peak!W78*'Peak Hours'!$Y77)</f>
        <v>0</v>
      </c>
      <c r="R77" s="417" t="n">
        <f aca="false">IF($A$1="BL",0,'Peak Hours'!R77*Peak!X78*'Peak Hours'!$Y77)</f>
        <v>0</v>
      </c>
      <c r="S77" s="417" t="n">
        <f aca="false">IF($A$1="BL",0,'Peak Hours'!S77*Peak!Y78*'Peak Hours'!$Y77)</f>
        <v>0</v>
      </c>
      <c r="T77" s="417" t="n">
        <f aca="false">IF($A$1="BL",0,'Peak Hours'!T77*Peak!Z78*'Peak Hours'!$Y77)</f>
        <v>0</v>
      </c>
      <c r="U77" s="417" t="n">
        <f aca="false">IF($A$1="BL",0,'Peak Hours'!U77*Peak!AA78*'Peak Hours'!$Y77)</f>
        <v>0</v>
      </c>
      <c r="V77" s="424"/>
      <c r="W77" s="422" t="n">
        <f aca="false">(IF($A$1="BL",0,Peak!C78*'Peak Hours'!V77*'Peak Hours'!$Y77))*-1</f>
        <v>-7438410.51575594</v>
      </c>
      <c r="X77" s="424"/>
      <c r="Y77" s="422" t="n">
        <f aca="false">(IF($A$1="bl",0,Peak!D78*'Peak Hours'!V77*'Peak Hours'!$Y77))*-1</f>
        <v>-137757.488355344</v>
      </c>
      <c r="Z77" s="424"/>
      <c r="AA77" s="422" t="n">
        <f aca="false">(Peak!E78*'Peak Hours'!V77*'Peak Hours'!$Y77)*-1</f>
        <v>-0</v>
      </c>
      <c r="AB77" s="425"/>
      <c r="AC77" s="422" t="n">
        <f aca="false">(Peak!F78*'Peak Hours'!V77*'Peak Hours'!$Y77)*-1</f>
        <v>-0</v>
      </c>
      <c r="AD77" s="425"/>
    </row>
    <row r="78" customFormat="false" ht="12.75" hidden="false" customHeight="false" outlineLevel="0" collapsed="false">
      <c r="A78" s="400" t="n">
        <f aca="false">A77+30.417</f>
        <v>38608.356</v>
      </c>
      <c r="B78" s="417" t="n">
        <f aca="false">IF($A$1="BL",0,'Peak Hours'!B78*Peak!H79*'Peak Hours'!$Y78)</f>
        <v>662310.407262251</v>
      </c>
      <c r="C78" s="417" t="n">
        <f aca="false">IF($A$1="BL",0,'Peak Hours'!C78*Peak!I79*'Peak Hours'!$Y78)</f>
        <v>542652.170104585</v>
      </c>
      <c r="D78" s="417" t="n">
        <f aca="false">IF($A$1="BL",0,'Peak Hours'!D78*Peak!J79*'Peak Hours'!$Y78)</f>
        <v>899210.526206649</v>
      </c>
      <c r="E78" s="417" t="n">
        <f aca="false">IF($A$1="BL",0,'Peak Hours'!E78*Peak!K79*'Peak Hours'!$Y78)</f>
        <v>1161301.6570862</v>
      </c>
      <c r="F78" s="417" t="n">
        <f aca="false">IF($A$1="BL",0,'Peak Hours'!F78*Peak!L79*'Peak Hours'!$Y78)</f>
        <v>890976.193350741</v>
      </c>
      <c r="G78" s="417" t="n">
        <f aca="false">IF($A$1="BL",0,'Peak Hours'!G78*Peak!M79*'Peak Hours'!$Y78)</f>
        <v>1613406.60265833</v>
      </c>
      <c r="H78" s="417" t="n">
        <f aca="false">IF($A$1="BL",0,'Peak Hours'!H78*Peak!N79*'Peak Hours'!$Y78)</f>
        <v>1558572.57274168</v>
      </c>
      <c r="I78" s="417" t="n">
        <f aca="false">IF($A$1="BL",0,'Peak Hours'!I78*Peak!O79*'Peak Hours'!$Y78)</f>
        <v>1274096.17274437</v>
      </c>
      <c r="J78" s="417" t="n">
        <f aca="false">IF($A$1="BL",0,'Peak Hours'!J78*Peak!P79*'Peak Hours'!$Y78)</f>
        <v>1039575.73741333</v>
      </c>
      <c r="K78" s="417" t="n">
        <f aca="false">IF($A$1="BL",0,'Peak Hours'!K78*Peak!Q79*'Peak Hours'!$Y78)</f>
        <v>0</v>
      </c>
      <c r="L78" s="417" t="n">
        <f aca="false">IF($A$1="BL",0,'Peak Hours'!L78*Peak!R79*'Peak Hours'!$Y78)</f>
        <v>0</v>
      </c>
      <c r="M78" s="417" t="n">
        <f aca="false">IF($A$1="BL",0,'Peak Hours'!M78*Peak!S79*'Peak Hours'!$Y78)</f>
        <v>0</v>
      </c>
      <c r="N78" s="417" t="n">
        <f aca="false">IF($A$1="BL",0,'Peak Hours'!N78*Peak!T79*'Peak Hours'!$Y78)</f>
        <v>0</v>
      </c>
      <c r="O78" s="417" t="n">
        <f aca="false">IF($A$1="BL",0,'Peak Hours'!O78*Peak!U79*'Peak Hours'!$Y78)</f>
        <v>0</v>
      </c>
      <c r="P78" s="417" t="n">
        <f aca="false">IF($A$1="BL",0,'Peak Hours'!P78*Peak!V79*'Peak Hours'!$Y78)</f>
        <v>0</v>
      </c>
      <c r="Q78" s="417" t="n">
        <f aca="false">IF($A$1="BL",0,'Peak Hours'!Q78*Peak!W79*'Peak Hours'!$Y78)</f>
        <v>0</v>
      </c>
      <c r="R78" s="417" t="n">
        <f aca="false">IF($A$1="BL",0,'Peak Hours'!R78*Peak!X79*'Peak Hours'!$Y78)</f>
        <v>0</v>
      </c>
      <c r="S78" s="417" t="n">
        <f aca="false">IF($A$1="BL",0,'Peak Hours'!S78*Peak!Y79*'Peak Hours'!$Y78)</f>
        <v>0</v>
      </c>
      <c r="T78" s="417" t="n">
        <f aca="false">IF($A$1="BL",0,'Peak Hours'!T78*Peak!Z79*'Peak Hours'!$Y78)</f>
        <v>0</v>
      </c>
      <c r="U78" s="417" t="n">
        <f aca="false">IF($A$1="BL",0,'Peak Hours'!U78*Peak!AA79*'Peak Hours'!$Y78)</f>
        <v>0</v>
      </c>
      <c r="V78" s="424"/>
      <c r="W78" s="422" t="n">
        <f aca="false">(IF($A$1="BL",0,Peak!C79*'Peak Hours'!V78*'Peak Hours'!$Y78))*-1</f>
        <v>-5345852.10648178</v>
      </c>
      <c r="X78" s="424"/>
      <c r="Y78" s="422" t="n">
        <f aca="false">(IF($A$1="bl",0,Peak!D79*'Peak Hours'!V78*'Peak Hours'!$Y78))*-1</f>
        <v>-99501.994305611</v>
      </c>
      <c r="Z78" s="424"/>
      <c r="AA78" s="422" t="n">
        <f aca="false">(Peak!E79*'Peak Hours'!V78*'Peak Hours'!$Y78)*-1</f>
        <v>-0</v>
      </c>
      <c r="AB78" s="425"/>
      <c r="AC78" s="422" t="n">
        <f aca="false">(Peak!F79*'Peak Hours'!V78*'Peak Hours'!$Y78)*-1</f>
        <v>-0</v>
      </c>
      <c r="AD78" s="425"/>
    </row>
    <row r="79" customFormat="false" ht="12.75" hidden="false" customHeight="false" outlineLevel="0" collapsed="false">
      <c r="A79" s="400" t="n">
        <f aca="false">A78+30.417</f>
        <v>38638.773</v>
      </c>
      <c r="B79" s="417" t="n">
        <f aca="false">IF($A$1="BL",0,'Peak Hours'!B79*Peak!H80*'Peak Hours'!$Y79)</f>
        <v>237242.542282715</v>
      </c>
      <c r="C79" s="417" t="n">
        <f aca="false">IF($A$1="BL",0,'Peak Hours'!C79*Peak!I80*'Peak Hours'!$Y79)</f>
        <v>216754.064708258</v>
      </c>
      <c r="D79" s="417" t="n">
        <f aca="false">IF($A$1="BL",0,'Peak Hours'!D79*Peak!J80*'Peak Hours'!$Y79)</f>
        <v>408939.275411135</v>
      </c>
      <c r="E79" s="417" t="n">
        <f aca="false">IF($A$1="BL",0,'Peak Hours'!E79*Peak!K80*'Peak Hours'!$Y79)</f>
        <v>787912.002023825</v>
      </c>
      <c r="F79" s="417" t="n">
        <f aca="false">IF($A$1="BL",0,'Peak Hours'!F79*Peak!L80*'Peak Hours'!$Y79)</f>
        <v>757686.740983446</v>
      </c>
      <c r="G79" s="417" t="n">
        <f aca="false">IF($A$1="BL",0,'Peak Hours'!G79*Peak!M80*'Peak Hours'!$Y79)</f>
        <v>1413962.50347742</v>
      </c>
      <c r="H79" s="417" t="n">
        <f aca="false">IF($A$1="BL",0,'Peak Hours'!H79*Peak!N80*'Peak Hours'!$Y79)</f>
        <v>1394065.90565039</v>
      </c>
      <c r="I79" s="417" t="n">
        <f aca="false">IF($A$1="BL",0,'Peak Hours'!I79*Peak!O80*'Peak Hours'!$Y79)</f>
        <v>1359696.50558898</v>
      </c>
      <c r="J79" s="417" t="n">
        <f aca="false">IF($A$1="BL",0,'Peak Hours'!J79*Peak!P80*'Peak Hours'!$Y79)</f>
        <v>1127666.02779</v>
      </c>
      <c r="K79" s="417" t="n">
        <f aca="false">IF($A$1="BL",0,'Peak Hours'!K79*Peak!Q80*'Peak Hours'!$Y79)</f>
        <v>0</v>
      </c>
      <c r="L79" s="417" t="n">
        <f aca="false">IF($A$1="BL",0,'Peak Hours'!L79*Peak!R80*'Peak Hours'!$Y79)</f>
        <v>0</v>
      </c>
      <c r="M79" s="417" t="n">
        <f aca="false">IF($A$1="BL",0,'Peak Hours'!M79*Peak!S80*'Peak Hours'!$Y79)</f>
        <v>0</v>
      </c>
      <c r="N79" s="417" t="n">
        <f aca="false">IF($A$1="BL",0,'Peak Hours'!N79*Peak!T80*'Peak Hours'!$Y79)</f>
        <v>0</v>
      </c>
      <c r="O79" s="417" t="n">
        <f aca="false">IF($A$1="BL",0,'Peak Hours'!O79*Peak!U80*'Peak Hours'!$Y79)</f>
        <v>0</v>
      </c>
      <c r="P79" s="417" t="n">
        <f aca="false">IF($A$1="BL",0,'Peak Hours'!P79*Peak!V80*'Peak Hours'!$Y79)</f>
        <v>0</v>
      </c>
      <c r="Q79" s="417" t="n">
        <f aca="false">IF($A$1="BL",0,'Peak Hours'!Q79*Peak!W80*'Peak Hours'!$Y79)</f>
        <v>0</v>
      </c>
      <c r="R79" s="417" t="n">
        <f aca="false">IF($A$1="BL",0,'Peak Hours'!R79*Peak!X80*'Peak Hours'!$Y79)</f>
        <v>0</v>
      </c>
      <c r="S79" s="417" t="n">
        <f aca="false">IF($A$1="BL",0,'Peak Hours'!S79*Peak!Y80*'Peak Hours'!$Y79)</f>
        <v>0</v>
      </c>
      <c r="T79" s="417" t="n">
        <f aca="false">IF($A$1="BL",0,'Peak Hours'!T79*Peak!Z80*'Peak Hours'!$Y79)</f>
        <v>0</v>
      </c>
      <c r="U79" s="417" t="n">
        <f aca="false">IF($A$1="BL",0,'Peak Hours'!U79*Peak!AA80*'Peak Hours'!$Y79)</f>
        <v>0</v>
      </c>
      <c r="V79" s="424"/>
      <c r="W79" s="422" t="n">
        <f aca="false">(IF($A$1="BL",0,Peak!C80*'Peak Hours'!V79*'Peak Hours'!$Y79))*-1</f>
        <v>-5920546.17391991</v>
      </c>
      <c r="X79" s="424"/>
      <c r="Y79" s="422" t="n">
        <f aca="false">(IF($A$1="bl",0,Peak!D80*'Peak Hours'!V79*'Peak Hours'!$Y79))*-1</f>
        <v>-99667.830962787</v>
      </c>
      <c r="Z79" s="424"/>
      <c r="AA79" s="422" t="n">
        <f aca="false">(Peak!E80*'Peak Hours'!V79*'Peak Hours'!$Y79)*-1</f>
        <v>-0</v>
      </c>
      <c r="AB79" s="425"/>
      <c r="AC79" s="422" t="n">
        <f aca="false">(Peak!F80*'Peak Hours'!V79*'Peak Hours'!$Y79)*-1</f>
        <v>-0</v>
      </c>
      <c r="AD79" s="425"/>
    </row>
    <row r="80" customFormat="false" ht="12.75" hidden="false" customHeight="false" outlineLevel="0" collapsed="false">
      <c r="A80" s="400" t="n">
        <f aca="false">A79+30.417</f>
        <v>38669.19</v>
      </c>
      <c r="B80" s="417" t="n">
        <f aca="false">IF($A$1="BL",0,'Peak Hours'!B80*Peak!H81*'Peak Hours'!$Y80)</f>
        <v>263183.641646407</v>
      </c>
      <c r="C80" s="417" t="n">
        <f aca="false">IF($A$1="BL",0,'Peak Hours'!C80*Peak!I81*'Peak Hours'!$Y80)</f>
        <v>245984.692122148</v>
      </c>
      <c r="D80" s="417" t="n">
        <f aca="false">IF($A$1="BL",0,'Peak Hours'!D80*Peak!J81*'Peak Hours'!$Y80)</f>
        <v>450020.3694928</v>
      </c>
      <c r="E80" s="417" t="n">
        <f aca="false">IF($A$1="BL",0,'Peak Hours'!E80*Peak!K81*'Peak Hours'!$Y80)</f>
        <v>860813.333147006</v>
      </c>
      <c r="F80" s="417" t="n">
        <f aca="false">IF($A$1="BL",0,'Peak Hours'!F80*Peak!L81*'Peak Hours'!$Y80)</f>
        <v>815240.005197217</v>
      </c>
      <c r="G80" s="417" t="n">
        <f aca="false">IF($A$1="BL",0,'Peak Hours'!G80*Peak!M81*'Peak Hours'!$Y80)</f>
        <v>1565551.8023991</v>
      </c>
      <c r="H80" s="417" t="n">
        <f aca="false">IF($A$1="BL",0,'Peak Hours'!H80*Peak!N81*'Peak Hours'!$Y80)</f>
        <v>1559978.36738036</v>
      </c>
      <c r="I80" s="417" t="n">
        <f aca="false">IF($A$1="BL",0,'Peak Hours'!I80*Peak!O81*'Peak Hours'!$Y80)</f>
        <v>1430648.24856775</v>
      </c>
      <c r="J80" s="417" t="n">
        <f aca="false">IF($A$1="BL",0,'Peak Hours'!J80*Peak!P81*'Peak Hours'!$Y80)</f>
        <v>0</v>
      </c>
      <c r="K80" s="417" t="n">
        <f aca="false">IF($A$1="BL",0,'Peak Hours'!K80*Peak!Q81*'Peak Hours'!$Y80)</f>
        <v>0</v>
      </c>
      <c r="L80" s="417" t="n">
        <f aca="false">IF($A$1="BL",0,'Peak Hours'!L80*Peak!R81*'Peak Hours'!$Y80)</f>
        <v>0</v>
      </c>
      <c r="M80" s="417" t="n">
        <f aca="false">IF($A$1="BL",0,'Peak Hours'!M80*Peak!S81*'Peak Hours'!$Y80)</f>
        <v>0</v>
      </c>
      <c r="N80" s="417" t="n">
        <f aca="false">IF($A$1="BL",0,'Peak Hours'!N80*Peak!T81*'Peak Hours'!$Y80)</f>
        <v>0</v>
      </c>
      <c r="O80" s="417" t="n">
        <f aca="false">IF($A$1="BL",0,'Peak Hours'!O80*Peak!U81*'Peak Hours'!$Y80)</f>
        <v>0</v>
      </c>
      <c r="P80" s="417" t="n">
        <f aca="false">IF($A$1="BL",0,'Peak Hours'!P80*Peak!V81*'Peak Hours'!$Y80)</f>
        <v>0</v>
      </c>
      <c r="Q80" s="417" t="n">
        <f aca="false">IF($A$1="BL",0,'Peak Hours'!Q80*Peak!W81*'Peak Hours'!$Y80)</f>
        <v>0</v>
      </c>
      <c r="R80" s="417" t="n">
        <f aca="false">IF($A$1="BL",0,'Peak Hours'!R80*Peak!X81*'Peak Hours'!$Y80)</f>
        <v>0</v>
      </c>
      <c r="S80" s="417" t="n">
        <f aca="false">IF($A$1="BL",0,'Peak Hours'!S80*Peak!Y81*'Peak Hours'!$Y80)</f>
        <v>0</v>
      </c>
      <c r="T80" s="417" t="n">
        <f aca="false">IF($A$1="BL",0,'Peak Hours'!T80*Peak!Z81*'Peak Hours'!$Y80)</f>
        <v>0</v>
      </c>
      <c r="U80" s="417" t="n">
        <f aca="false">IF($A$1="BL",0,'Peak Hours'!U80*Peak!AA81*'Peak Hours'!$Y80)</f>
        <v>0</v>
      </c>
      <c r="V80" s="424"/>
      <c r="W80" s="422" t="n">
        <f aca="false">(IF($A$1="BL",0,Peak!C81*'Peak Hours'!V80*'Peak Hours'!$Y80))*-1</f>
        <v>-5304491.54859798</v>
      </c>
      <c r="X80" s="424"/>
      <c r="Y80" s="422" t="n">
        <f aca="false">(IF($A$1="bl",0,Peak!D81*'Peak Hours'!V80*'Peak Hours'!$Y80))*-1</f>
        <v>-81682.3178299568</v>
      </c>
      <c r="Z80" s="424"/>
      <c r="AA80" s="422" t="n">
        <f aca="false">(Peak!E81*'Peak Hours'!V80*'Peak Hours'!$Y80)*-1</f>
        <v>-0</v>
      </c>
      <c r="AB80" s="425"/>
      <c r="AC80" s="422" t="n">
        <f aca="false">(Peak!F81*'Peak Hours'!V80*'Peak Hours'!$Y80)*-1</f>
        <v>-0</v>
      </c>
      <c r="AD80" s="425"/>
    </row>
    <row r="81" customFormat="false" ht="12.75" hidden="false" customHeight="false" outlineLevel="0" collapsed="false">
      <c r="A81" s="400" t="n">
        <f aca="false">A80+30.417</f>
        <v>38699.607</v>
      </c>
      <c r="B81" s="417" t="n">
        <f aca="false">IF($A$1="BL",0,'Peak Hours'!B81*Peak!H82*'Peak Hours'!$Y81)</f>
        <v>294819.742851677</v>
      </c>
      <c r="C81" s="417" t="n">
        <f aca="false">IF($A$1="BL",0,'Peak Hours'!C81*Peak!I82*'Peak Hours'!$Y81)</f>
        <v>285186.207796108</v>
      </c>
      <c r="D81" s="417" t="n">
        <f aca="false">IF($A$1="BL",0,'Peak Hours'!D81*Peak!J82*'Peak Hours'!$Y81)</f>
        <v>550814.322227969</v>
      </c>
      <c r="E81" s="417" t="n">
        <f aca="false">IF($A$1="BL",0,'Peak Hours'!E81*Peak!K82*'Peak Hours'!$Y81)</f>
        <v>1049004.63607252</v>
      </c>
      <c r="F81" s="417" t="n">
        <f aca="false">IF($A$1="BL",0,'Peak Hours'!F81*Peak!L82*'Peak Hours'!$Y81)</f>
        <v>997884.621694606</v>
      </c>
      <c r="G81" s="417" t="n">
        <f aca="false">IF($A$1="BL",0,'Peak Hours'!G81*Peak!M82*'Peak Hours'!$Y81)</f>
        <v>1989765.89953121</v>
      </c>
      <c r="H81" s="417" t="n">
        <f aca="false">IF($A$1="BL",0,'Peak Hours'!H81*Peak!N82*'Peak Hours'!$Y81)</f>
        <v>1924507.40418571</v>
      </c>
      <c r="I81" s="417" t="n">
        <f aca="false">IF($A$1="BL",0,'Peak Hours'!I81*Peak!O82*'Peak Hours'!$Y81)</f>
        <v>1619090.05154095</v>
      </c>
      <c r="J81" s="417" t="n">
        <f aca="false">IF($A$1="BL",0,'Peak Hours'!J81*Peak!P82*'Peak Hours'!$Y81)</f>
        <v>1366854.12129939</v>
      </c>
      <c r="K81" s="417" t="n">
        <f aca="false">IF($A$1="BL",0,'Peak Hours'!K81*Peak!Q82*'Peak Hours'!$Y81)</f>
        <v>0</v>
      </c>
      <c r="L81" s="417" t="n">
        <f aca="false">IF($A$1="BL",0,'Peak Hours'!L81*Peak!R82*'Peak Hours'!$Y81)</f>
        <v>0</v>
      </c>
      <c r="M81" s="417" t="n">
        <f aca="false">IF($A$1="BL",0,'Peak Hours'!M81*Peak!S82*'Peak Hours'!$Y81)</f>
        <v>0</v>
      </c>
      <c r="N81" s="417" t="n">
        <f aca="false">IF($A$1="BL",0,'Peak Hours'!N81*Peak!T82*'Peak Hours'!$Y81)</f>
        <v>0</v>
      </c>
      <c r="O81" s="417" t="n">
        <f aca="false">IF($A$1="BL",0,'Peak Hours'!O81*Peak!U82*'Peak Hours'!$Y81)</f>
        <v>0</v>
      </c>
      <c r="P81" s="417" t="n">
        <f aca="false">IF($A$1="BL",0,'Peak Hours'!P81*Peak!V82*'Peak Hours'!$Y81)</f>
        <v>0</v>
      </c>
      <c r="Q81" s="417" t="n">
        <f aca="false">IF($A$1="BL",0,'Peak Hours'!Q81*Peak!W82*'Peak Hours'!$Y81)</f>
        <v>0</v>
      </c>
      <c r="R81" s="417" t="n">
        <f aca="false">IF($A$1="BL",0,'Peak Hours'!R81*Peak!X82*'Peak Hours'!$Y81)</f>
        <v>0</v>
      </c>
      <c r="S81" s="417" t="n">
        <f aca="false">IF($A$1="BL",0,'Peak Hours'!S81*Peak!Y82*'Peak Hours'!$Y81)</f>
        <v>0</v>
      </c>
      <c r="T81" s="417" t="n">
        <f aca="false">IF($A$1="BL",0,'Peak Hours'!T81*Peak!Z82*'Peak Hours'!$Y81)</f>
        <v>0</v>
      </c>
      <c r="U81" s="417" t="n">
        <f aca="false">IF($A$1="BL",0,'Peak Hours'!U81*Peak!AA82*'Peak Hours'!$Y81)</f>
        <v>0</v>
      </c>
      <c r="V81" s="426" t="n">
        <f aca="false">SUM(B70:U81)</f>
        <v>109276259.301946</v>
      </c>
      <c r="W81" s="422" t="n">
        <f aca="false">(IF($A$1="BL",0,Peak!C82*'Peak Hours'!V81*'Peak Hours'!$Y81))*-1</f>
        <v>-6826081.2640364</v>
      </c>
      <c r="X81" s="426" t="n">
        <f aca="false">SUM(W70:W81)</f>
        <v>-62532308.3546261</v>
      </c>
      <c r="Y81" s="422" t="n">
        <f aca="false">(IF($A$1="bl",0,Peak!D82*'Peak Hours'!V81*'Peak Hours'!$Y81))*-1</f>
        <v>-97292.6005411165</v>
      </c>
      <c r="Z81" s="426" t="n">
        <f aca="false">SUM(Y70:Y81)</f>
        <v>-1044934.5559592</v>
      </c>
      <c r="AA81" s="422" t="n">
        <f aca="false">(Peak!E82*'Peak Hours'!V81*'Peak Hours'!$Y81)*-1</f>
        <v>-0</v>
      </c>
      <c r="AB81" s="427" t="n">
        <f aca="false">SUM(AA70:AA81)</f>
        <v>0</v>
      </c>
      <c r="AC81" s="422" t="n">
        <f aca="false">(Peak!F82*'Peak Hours'!V81*'Peak Hours'!$Y81)*-1</f>
        <v>-0</v>
      </c>
      <c r="AD81" s="427" t="n">
        <f aca="false">SUM(AC70:AC81)</f>
        <v>0</v>
      </c>
    </row>
    <row r="82" customFormat="false" ht="12.75" hidden="false" customHeight="false" outlineLevel="0" collapsed="false">
      <c r="A82" s="400" t="n">
        <f aca="false">A81+30.417</f>
        <v>38730.024</v>
      </c>
      <c r="B82" s="417" t="n">
        <f aca="false">IF($A$1="BL",0,'Peak Hours'!B82*Peak!H83*'Peak Hours'!$Y82)</f>
        <v>296066.062145818</v>
      </c>
      <c r="C82" s="417" t="n">
        <f aca="false">IF($A$1="BL",0,'Peak Hours'!C82*Peak!I83*'Peak Hours'!$Y82)</f>
        <v>258936.103170839</v>
      </c>
      <c r="D82" s="417" t="n">
        <f aca="false">IF($A$1="BL",0,'Peak Hours'!D82*Peak!J83*'Peak Hours'!$Y82)</f>
        <v>469080.553465404</v>
      </c>
      <c r="E82" s="417" t="n">
        <f aca="false">IF($A$1="BL",0,'Peak Hours'!E82*Peak!K83*'Peak Hours'!$Y82)</f>
        <v>861524.218380143</v>
      </c>
      <c r="F82" s="417" t="n">
        <f aca="false">IF($A$1="BL",0,'Peak Hours'!F82*Peak!L83*'Peak Hours'!$Y82)</f>
        <v>826925.062422473</v>
      </c>
      <c r="G82" s="417" t="n">
        <f aca="false">IF($A$1="BL",0,'Peak Hours'!G82*Peak!M83*'Peak Hours'!$Y82)</f>
        <v>1556844.9664698</v>
      </c>
      <c r="H82" s="417" t="n">
        <f aca="false">IF($A$1="BL",0,'Peak Hours'!H82*Peak!N83*'Peak Hours'!$Y82)</f>
        <v>1478146.3945147</v>
      </c>
      <c r="I82" s="417" t="n">
        <f aca="false">IF($A$1="BL",0,'Peak Hours'!I82*Peak!O83*'Peak Hours'!$Y82)</f>
        <v>1472192.37608853</v>
      </c>
      <c r="J82" s="417" t="n">
        <f aca="false">IF($A$1="BL",0,'Peak Hours'!J82*Peak!P83*'Peak Hours'!$Y82)</f>
        <v>1353025.95300484</v>
      </c>
      <c r="K82" s="417" t="n">
        <f aca="false">IF($A$1="BL",0,'Peak Hours'!K82*Peak!Q83*'Peak Hours'!$Y82)</f>
        <v>0</v>
      </c>
      <c r="L82" s="417" t="n">
        <f aca="false">IF($A$1="BL",0,'Peak Hours'!L82*Peak!R83*'Peak Hours'!$Y82)</f>
        <v>0</v>
      </c>
      <c r="M82" s="417" t="n">
        <f aca="false">IF($A$1="BL",0,'Peak Hours'!M82*Peak!S83*'Peak Hours'!$Y82)</f>
        <v>0</v>
      </c>
      <c r="N82" s="417" t="n">
        <f aca="false">IF($A$1="BL",0,'Peak Hours'!N82*Peak!T83*'Peak Hours'!$Y82)</f>
        <v>0</v>
      </c>
      <c r="O82" s="417" t="n">
        <f aca="false">IF($A$1="BL",0,'Peak Hours'!O82*Peak!U83*'Peak Hours'!$Y82)</f>
        <v>0</v>
      </c>
      <c r="P82" s="417" t="n">
        <f aca="false">IF($A$1="BL",0,'Peak Hours'!P82*Peak!V83*'Peak Hours'!$Y82)</f>
        <v>0</v>
      </c>
      <c r="Q82" s="417" t="n">
        <f aca="false">IF($A$1="BL",0,'Peak Hours'!Q82*Peak!W83*'Peak Hours'!$Y82)</f>
        <v>0</v>
      </c>
      <c r="R82" s="417" t="n">
        <f aca="false">IF($A$1="BL",0,'Peak Hours'!R82*Peak!X83*'Peak Hours'!$Y82)</f>
        <v>0</v>
      </c>
      <c r="S82" s="417" t="n">
        <f aca="false">IF($A$1="BL",0,'Peak Hours'!S82*Peak!Y83*'Peak Hours'!$Y82)</f>
        <v>0</v>
      </c>
      <c r="T82" s="417" t="n">
        <f aca="false">IF($A$1="BL",0,'Peak Hours'!T82*Peak!Z83*'Peak Hours'!$Y82)</f>
        <v>0</v>
      </c>
      <c r="U82" s="417" t="n">
        <f aca="false">IF($A$1="BL",0,'Peak Hours'!U82*Peak!AA83*'Peak Hours'!$Y82)</f>
        <v>0</v>
      </c>
      <c r="V82" s="424"/>
      <c r="W82" s="422" t="n">
        <f aca="false">(IF($A$1="BL",0,Peak!C83*'Peak Hours'!V82*'Peak Hours'!$Y82))*-1</f>
        <v>-6616498.91786898</v>
      </c>
      <c r="X82" s="424"/>
      <c r="Y82" s="422" t="n">
        <f aca="false">(IF($A$1="bl",0,Peak!D83*'Peak Hours'!V82*'Peak Hours'!$Y82))*-1</f>
        <v>-97454.7548753517</v>
      </c>
      <c r="Z82" s="424"/>
      <c r="AA82" s="422" t="n">
        <f aca="false">(Peak!E83*'Peak Hours'!V82*'Peak Hours'!$Y82)*-1</f>
        <v>-0</v>
      </c>
      <c r="AB82" s="425"/>
      <c r="AC82" s="422" t="n">
        <f aca="false">(Peak!F83*'Peak Hours'!V82*'Peak Hours'!$Y82)*-1</f>
        <v>-0</v>
      </c>
      <c r="AD82" s="425"/>
    </row>
    <row r="83" customFormat="false" ht="12.75" hidden="false" customHeight="false" outlineLevel="0" collapsed="false">
      <c r="A83" s="400" t="n">
        <f aca="false">A82+30.417</f>
        <v>38760.441</v>
      </c>
      <c r="B83" s="417" t="n">
        <f aca="false">IF($A$1="BL",0,'Peak Hours'!B83*Peak!H84*'Peak Hours'!$Y83)</f>
        <v>250965.306091562</v>
      </c>
      <c r="C83" s="417" t="n">
        <f aca="false">IF($A$1="BL",0,'Peak Hours'!C83*Peak!I84*'Peak Hours'!$Y83)</f>
        <v>241405.772997161</v>
      </c>
      <c r="D83" s="417" t="n">
        <f aca="false">IF($A$1="BL",0,'Peak Hours'!D83*Peak!J84*'Peak Hours'!$Y83)</f>
        <v>482716.576142339</v>
      </c>
      <c r="E83" s="417" t="n">
        <f aca="false">IF($A$1="BL",0,'Peak Hours'!E83*Peak!K84*'Peak Hours'!$Y83)</f>
        <v>898678.963483469</v>
      </c>
      <c r="F83" s="417" t="n">
        <f aca="false">IF($A$1="BL",0,'Peak Hours'!F83*Peak!L84*'Peak Hours'!$Y83)</f>
        <v>709842.035767817</v>
      </c>
      <c r="G83" s="417" t="n">
        <f aca="false">IF($A$1="BL",0,'Peak Hours'!G83*Peak!M84*'Peak Hours'!$Y83)</f>
        <v>1365631.02121526</v>
      </c>
      <c r="H83" s="417" t="n">
        <f aca="false">IF($A$1="BL",0,'Peak Hours'!H83*Peak!N84*'Peak Hours'!$Y83)</f>
        <v>1345208.39885082</v>
      </c>
      <c r="I83" s="417" t="n">
        <f aca="false">IF($A$1="BL",0,'Peak Hours'!I83*Peak!O84*'Peak Hours'!$Y83)</f>
        <v>1189150.70084735</v>
      </c>
      <c r="J83" s="417" t="n">
        <f aca="false">IF($A$1="BL",0,'Peak Hours'!J83*Peak!P84*'Peak Hours'!$Y83)</f>
        <v>0</v>
      </c>
      <c r="K83" s="417" t="n">
        <f aca="false">IF($A$1="BL",0,'Peak Hours'!K83*Peak!Q84*'Peak Hours'!$Y83)</f>
        <v>0</v>
      </c>
      <c r="L83" s="417" t="n">
        <f aca="false">IF($A$1="BL",0,'Peak Hours'!L83*Peak!R84*'Peak Hours'!$Y83)</f>
        <v>0</v>
      </c>
      <c r="M83" s="417" t="n">
        <f aca="false">IF($A$1="BL",0,'Peak Hours'!M83*Peak!S84*'Peak Hours'!$Y83)</f>
        <v>0</v>
      </c>
      <c r="N83" s="417" t="n">
        <f aca="false">IF($A$1="BL",0,'Peak Hours'!N83*Peak!T84*'Peak Hours'!$Y83)</f>
        <v>0</v>
      </c>
      <c r="O83" s="417" t="n">
        <f aca="false">IF($A$1="BL",0,'Peak Hours'!O83*Peak!U84*'Peak Hours'!$Y83)</f>
        <v>0</v>
      </c>
      <c r="P83" s="417" t="n">
        <f aca="false">IF($A$1="BL",0,'Peak Hours'!P83*Peak!V84*'Peak Hours'!$Y83)</f>
        <v>0</v>
      </c>
      <c r="Q83" s="417" t="n">
        <f aca="false">IF($A$1="BL",0,'Peak Hours'!Q83*Peak!W84*'Peak Hours'!$Y83)</f>
        <v>0</v>
      </c>
      <c r="R83" s="417" t="n">
        <f aca="false">IF($A$1="BL",0,'Peak Hours'!R83*Peak!X84*'Peak Hours'!$Y83)</f>
        <v>0</v>
      </c>
      <c r="S83" s="417" t="n">
        <f aca="false">IF($A$1="BL",0,'Peak Hours'!S83*Peak!Y84*'Peak Hours'!$Y83)</f>
        <v>0</v>
      </c>
      <c r="T83" s="417" t="n">
        <f aca="false">IF($A$1="BL",0,'Peak Hours'!T83*Peak!Z84*'Peak Hours'!$Y83)</f>
        <v>0</v>
      </c>
      <c r="U83" s="417" t="n">
        <f aca="false">IF($A$1="BL",0,'Peak Hours'!U83*Peak!AA84*'Peak Hours'!$Y83)</f>
        <v>0</v>
      </c>
      <c r="V83" s="424"/>
      <c r="W83" s="422" t="n">
        <f aca="false">(IF($A$1="BL",0,Peak!C84*'Peak Hours'!V83*'Peak Hours'!$Y83))*-1</f>
        <v>-4851992.55751852</v>
      </c>
      <c r="X83" s="424"/>
      <c r="Y83" s="422" t="n">
        <f aca="false">(IF($A$1="bl",0,Peak!D84*'Peak Hours'!V83*'Peak Hours'!$Y83))*-1</f>
        <v>-79868.601381936</v>
      </c>
      <c r="Z83" s="424"/>
      <c r="AA83" s="422" t="n">
        <f aca="false">(Peak!E84*'Peak Hours'!V83*'Peak Hours'!$Y83)*-1</f>
        <v>-0</v>
      </c>
      <c r="AB83" s="425"/>
      <c r="AC83" s="422" t="n">
        <f aca="false">(Peak!F84*'Peak Hours'!V83*'Peak Hours'!$Y83)*-1</f>
        <v>-0</v>
      </c>
      <c r="AD83" s="425"/>
    </row>
    <row r="84" customFormat="false" ht="12.75" hidden="false" customHeight="false" outlineLevel="0" collapsed="false">
      <c r="A84" s="400" t="n">
        <f aca="false">A83+30.417</f>
        <v>38790.858</v>
      </c>
      <c r="B84" s="417" t="n">
        <f aca="false">IF($A$1="BL",0,'Peak Hours'!B84*Peak!H85*'Peak Hours'!$Y84)</f>
        <v>295510.498224892</v>
      </c>
      <c r="C84" s="417" t="n">
        <f aca="false">IF($A$1="BL",0,'Peak Hours'!C84*Peak!I85*'Peak Hours'!$Y84)</f>
        <v>268608.774665107</v>
      </c>
      <c r="D84" s="417" t="n">
        <f aca="false">IF($A$1="BL",0,'Peak Hours'!D84*Peak!J85*'Peak Hours'!$Y84)</f>
        <v>467829.700891504</v>
      </c>
      <c r="E84" s="417" t="n">
        <f aca="false">IF($A$1="BL",0,'Peak Hours'!E84*Peak!K85*'Peak Hours'!$Y84)</f>
        <v>878559.937694754</v>
      </c>
      <c r="F84" s="417" t="n">
        <f aca="false">IF($A$1="BL",0,'Peak Hours'!F84*Peak!L85*'Peak Hours'!$Y84)</f>
        <v>835719.676283412</v>
      </c>
      <c r="G84" s="417" t="n">
        <f aca="false">IF($A$1="BL",0,'Peak Hours'!G84*Peak!M85*'Peak Hours'!$Y84)</f>
        <v>1557886.59527625</v>
      </c>
      <c r="H84" s="417" t="n">
        <f aca="false">IF($A$1="BL",0,'Peak Hours'!H84*Peak!N85*'Peak Hours'!$Y84)</f>
        <v>1538285.37922865</v>
      </c>
      <c r="I84" s="417" t="n">
        <f aca="false">IF($A$1="BL",0,'Peak Hours'!I84*Peak!O85*'Peak Hours'!$Y84)</f>
        <v>1479609.74452823</v>
      </c>
      <c r="J84" s="417" t="n">
        <f aca="false">IF($A$1="BL",0,'Peak Hours'!J84*Peak!P85*'Peak Hours'!$Y84)</f>
        <v>1213974.36062242</v>
      </c>
      <c r="K84" s="417" t="n">
        <f aca="false">IF($A$1="BL",0,'Peak Hours'!K84*Peak!Q85*'Peak Hours'!$Y84)</f>
        <v>0</v>
      </c>
      <c r="L84" s="417" t="n">
        <f aca="false">IF($A$1="BL",0,'Peak Hours'!L84*Peak!R85*'Peak Hours'!$Y84)</f>
        <v>0</v>
      </c>
      <c r="M84" s="417" t="n">
        <f aca="false">IF($A$1="BL",0,'Peak Hours'!M84*Peak!S85*'Peak Hours'!$Y84)</f>
        <v>0</v>
      </c>
      <c r="N84" s="417" t="n">
        <f aca="false">IF($A$1="BL",0,'Peak Hours'!N84*Peak!T85*'Peak Hours'!$Y84)</f>
        <v>0</v>
      </c>
      <c r="O84" s="417" t="n">
        <f aca="false">IF($A$1="BL",0,'Peak Hours'!O84*Peak!U85*'Peak Hours'!$Y84)</f>
        <v>0</v>
      </c>
      <c r="P84" s="417" t="n">
        <f aca="false">IF($A$1="BL",0,'Peak Hours'!P84*Peak!V85*'Peak Hours'!$Y84)</f>
        <v>0</v>
      </c>
      <c r="Q84" s="417" t="n">
        <f aca="false">IF($A$1="BL",0,'Peak Hours'!Q84*Peak!W85*'Peak Hours'!$Y84)</f>
        <v>0</v>
      </c>
      <c r="R84" s="417" t="n">
        <f aca="false">IF($A$1="BL",0,'Peak Hours'!R84*Peak!X85*'Peak Hours'!$Y84)</f>
        <v>0</v>
      </c>
      <c r="S84" s="417" t="n">
        <f aca="false">IF($A$1="BL",0,'Peak Hours'!S84*Peak!Y85*'Peak Hours'!$Y84)</f>
        <v>0</v>
      </c>
      <c r="T84" s="417" t="n">
        <f aca="false">IF($A$1="BL",0,'Peak Hours'!T84*Peak!Z85*'Peak Hours'!$Y84)</f>
        <v>0</v>
      </c>
      <c r="U84" s="417" t="n">
        <f aca="false">IF($A$1="BL",0,'Peak Hours'!U84*Peak!AA85*'Peak Hours'!$Y84)</f>
        <v>0</v>
      </c>
      <c r="V84" s="424"/>
      <c r="W84" s="422" t="n">
        <f aca="false">(IF($A$1="BL",0,Peak!C85*'Peak Hours'!V84*'Peak Hours'!$Y84))*-1</f>
        <v>-5992763.91387869</v>
      </c>
      <c r="X84" s="424"/>
      <c r="Y84" s="422" t="n">
        <f aca="false">(IF($A$1="bl",0,Peak!D85*'Peak Hours'!V84*'Peak Hours'!$Y84))*-1</f>
        <v>-100501.169389768</v>
      </c>
      <c r="Z84" s="424"/>
      <c r="AA84" s="422" t="n">
        <f aca="false">(Peak!E85*'Peak Hours'!V84*'Peak Hours'!$Y84)*-1</f>
        <v>-0</v>
      </c>
      <c r="AB84" s="425"/>
      <c r="AC84" s="422" t="n">
        <f aca="false">(Peak!F85*'Peak Hours'!V84*'Peak Hours'!$Y84)*-1</f>
        <v>-0</v>
      </c>
      <c r="AD84" s="425"/>
    </row>
    <row r="85" customFormat="false" ht="12.75" hidden="false" customHeight="false" outlineLevel="0" collapsed="false">
      <c r="A85" s="400" t="n">
        <f aca="false">A84+30.417</f>
        <v>38821.275</v>
      </c>
      <c r="B85" s="417" t="n">
        <f aca="false">IF($A$1="BL",0,'Peak Hours'!B85*Peak!H86*'Peak Hours'!$Y85)</f>
        <v>245931.354865645</v>
      </c>
      <c r="C85" s="417" t="n">
        <f aca="false">IF($A$1="BL",0,'Peak Hours'!C85*Peak!I86*'Peak Hours'!$Y85)</f>
        <v>243553.26730726</v>
      </c>
      <c r="D85" s="417" t="n">
        <f aca="false">IF($A$1="BL",0,'Peak Hours'!D85*Peak!J86*'Peak Hours'!$Y85)</f>
        <v>487106.534614521</v>
      </c>
      <c r="E85" s="417" t="n">
        <f aca="false">IF($A$1="BL",0,'Peak Hours'!E85*Peak!K86*'Peak Hours'!$Y85)</f>
        <v>950615.549808674</v>
      </c>
      <c r="F85" s="417" t="n">
        <f aca="false">IF($A$1="BL",0,'Peak Hours'!F85*Peak!L86*'Peak Hours'!$Y85)</f>
        <v>857524.1555705</v>
      </c>
      <c r="G85" s="417" t="n">
        <f aca="false">IF($A$1="BL",0,'Peak Hours'!G85*Peak!M86*'Peak Hours'!$Y85)</f>
        <v>1366452.3903824</v>
      </c>
      <c r="H85" s="417" t="n">
        <f aca="false">IF($A$1="BL",0,'Peak Hours'!H85*Peak!N86*'Peak Hours'!$Y85)</f>
        <v>1129985.53367858</v>
      </c>
      <c r="I85" s="417" t="n">
        <f aca="false">IF($A$1="BL",0,'Peak Hours'!I85*Peak!O86*'Peak Hours'!$Y85)</f>
        <v>1083048.81109994</v>
      </c>
      <c r="J85" s="417" t="n">
        <f aca="false">IF($A$1="BL",0,'Peak Hours'!J85*Peak!P86*'Peak Hours'!$Y85)</f>
        <v>0</v>
      </c>
      <c r="K85" s="417" t="n">
        <f aca="false">IF($A$1="BL",0,'Peak Hours'!K85*Peak!Q86*'Peak Hours'!$Y85)</f>
        <v>0</v>
      </c>
      <c r="L85" s="417" t="n">
        <f aca="false">IF($A$1="BL",0,'Peak Hours'!L85*Peak!R86*'Peak Hours'!$Y85)</f>
        <v>0</v>
      </c>
      <c r="M85" s="417" t="n">
        <f aca="false">IF($A$1="BL",0,'Peak Hours'!M85*Peak!S86*'Peak Hours'!$Y85)</f>
        <v>0</v>
      </c>
      <c r="N85" s="417" t="n">
        <f aca="false">IF($A$1="BL",0,'Peak Hours'!N85*Peak!T86*'Peak Hours'!$Y85)</f>
        <v>0</v>
      </c>
      <c r="O85" s="417" t="n">
        <f aca="false">IF($A$1="BL",0,'Peak Hours'!O85*Peak!U86*'Peak Hours'!$Y85)</f>
        <v>0</v>
      </c>
      <c r="P85" s="417" t="n">
        <f aca="false">IF($A$1="BL",0,'Peak Hours'!P85*Peak!V86*'Peak Hours'!$Y85)</f>
        <v>0</v>
      </c>
      <c r="Q85" s="417" t="n">
        <f aca="false">IF($A$1="BL",0,'Peak Hours'!Q85*Peak!W86*'Peak Hours'!$Y85)</f>
        <v>0</v>
      </c>
      <c r="R85" s="417" t="n">
        <f aca="false">IF($A$1="BL",0,'Peak Hours'!R85*Peak!X86*'Peak Hours'!$Y85)</f>
        <v>0</v>
      </c>
      <c r="S85" s="417" t="n">
        <f aca="false">IF($A$1="BL",0,'Peak Hours'!S85*Peak!Y86*'Peak Hours'!$Y85)</f>
        <v>0</v>
      </c>
      <c r="T85" s="417" t="n">
        <f aca="false">IF($A$1="BL",0,'Peak Hours'!T85*Peak!Z86*'Peak Hours'!$Y85)</f>
        <v>0</v>
      </c>
      <c r="U85" s="417" t="n">
        <f aca="false">IF($A$1="BL",0,'Peak Hours'!U85*Peak!AA86*'Peak Hours'!$Y85)</f>
        <v>0</v>
      </c>
      <c r="V85" s="424"/>
      <c r="W85" s="422" t="n">
        <f aca="false">(IF($A$1="BL",0,Peak!C86*'Peak Hours'!V85*'Peak Hours'!$Y85))*-1</f>
        <v>-4661464.88819629</v>
      </c>
      <c r="X85" s="424"/>
      <c r="Y85" s="422" t="n">
        <f aca="false">(IF($A$1="bl",0,Peak!D86*'Peak Hours'!V85*'Peak Hours'!$Y85))*-1</f>
        <v>-82365.2765498874</v>
      </c>
      <c r="Z85" s="424"/>
      <c r="AA85" s="422" t="n">
        <f aca="false">(Peak!E86*'Peak Hours'!V85*'Peak Hours'!$Y85)*-1</f>
        <v>-0</v>
      </c>
      <c r="AB85" s="425"/>
      <c r="AC85" s="422" t="n">
        <f aca="false">(Peak!F86*'Peak Hours'!V85*'Peak Hours'!$Y85)*-1</f>
        <v>-0</v>
      </c>
      <c r="AD85" s="425"/>
    </row>
    <row r="86" customFormat="false" ht="12.75" hidden="false" customHeight="false" outlineLevel="0" collapsed="false">
      <c r="A86" s="400" t="n">
        <f aca="false">A85+30.417</f>
        <v>38851.692</v>
      </c>
      <c r="B86" s="417" t="n">
        <f aca="false">IF($A$1="BL",0,'Peak Hours'!B86*Peak!H87*'Peak Hours'!$Y86)</f>
        <v>512194.489835168</v>
      </c>
      <c r="C86" s="417" t="n">
        <f aca="false">IF($A$1="BL",0,'Peak Hours'!C86*Peak!I87*'Peak Hours'!$Y86)</f>
        <v>306103.731186814</v>
      </c>
      <c r="D86" s="417" t="n">
        <f aca="false">IF($A$1="BL",0,'Peak Hours'!D86*Peak!J87*'Peak Hours'!$Y86)</f>
        <v>549901.312672245</v>
      </c>
      <c r="E86" s="417" t="n">
        <f aca="false">IF($A$1="BL",0,'Peak Hours'!E86*Peak!K87*'Peak Hours'!$Y86)</f>
        <v>1007274.12369653</v>
      </c>
      <c r="F86" s="417" t="n">
        <f aca="false">IF($A$1="BL",0,'Peak Hours'!F86*Peak!L87*'Peak Hours'!$Y86)</f>
        <v>983786.674387475</v>
      </c>
      <c r="G86" s="417" t="n">
        <f aca="false">IF($A$1="BL",0,'Peak Hours'!G86*Peak!M87*'Peak Hours'!$Y86)</f>
        <v>1888433.5932403</v>
      </c>
      <c r="H86" s="417" t="n">
        <f aca="false">IF($A$1="BL",0,'Peak Hours'!H86*Peak!N87*'Peak Hours'!$Y86)</f>
        <v>1374574.64018906</v>
      </c>
      <c r="I86" s="417" t="n">
        <f aca="false">IF($A$1="BL",0,'Peak Hours'!I86*Peak!O87*'Peak Hours'!$Y86)</f>
        <v>1163861.16124857</v>
      </c>
      <c r="J86" s="417" t="n">
        <f aca="false">IF($A$1="BL",0,'Peak Hours'!J86*Peak!P87*'Peak Hours'!$Y86)</f>
        <v>0</v>
      </c>
      <c r="K86" s="417" t="n">
        <f aca="false">IF($A$1="BL",0,'Peak Hours'!K86*Peak!Q87*'Peak Hours'!$Y86)</f>
        <v>0</v>
      </c>
      <c r="L86" s="417" t="n">
        <f aca="false">IF($A$1="BL",0,'Peak Hours'!L86*Peak!R87*'Peak Hours'!$Y86)</f>
        <v>0</v>
      </c>
      <c r="M86" s="417" t="n">
        <f aca="false">IF($A$1="BL",0,'Peak Hours'!M86*Peak!S87*'Peak Hours'!$Y86)</f>
        <v>0</v>
      </c>
      <c r="N86" s="417" t="n">
        <f aca="false">IF($A$1="BL",0,'Peak Hours'!N86*Peak!T87*'Peak Hours'!$Y86)</f>
        <v>0</v>
      </c>
      <c r="O86" s="417" t="n">
        <f aca="false">IF($A$1="BL",0,'Peak Hours'!O86*Peak!U87*'Peak Hours'!$Y86)</f>
        <v>0</v>
      </c>
      <c r="P86" s="417" t="n">
        <f aca="false">IF($A$1="BL",0,'Peak Hours'!P86*Peak!V87*'Peak Hours'!$Y86)</f>
        <v>0</v>
      </c>
      <c r="Q86" s="417" t="n">
        <f aca="false">IF($A$1="BL",0,'Peak Hours'!Q86*Peak!W87*'Peak Hours'!$Y86)</f>
        <v>0</v>
      </c>
      <c r="R86" s="417" t="n">
        <f aca="false">IF($A$1="BL",0,'Peak Hours'!R86*Peak!X87*'Peak Hours'!$Y86)</f>
        <v>0</v>
      </c>
      <c r="S86" s="417" t="n">
        <f aca="false">IF($A$1="BL",0,'Peak Hours'!S86*Peak!Y87*'Peak Hours'!$Y86)</f>
        <v>0</v>
      </c>
      <c r="T86" s="417" t="n">
        <f aca="false">IF($A$1="BL",0,'Peak Hours'!T86*Peak!Z87*'Peak Hours'!$Y86)</f>
        <v>0</v>
      </c>
      <c r="U86" s="417" t="n">
        <f aca="false">IF($A$1="BL",0,'Peak Hours'!U86*Peak!AA87*'Peak Hours'!$Y86)</f>
        <v>0</v>
      </c>
      <c r="V86" s="424"/>
      <c r="W86" s="422" t="n">
        <f aca="false">(IF($A$1="BL",0,Peak!C87*'Peak Hours'!V86*'Peak Hours'!$Y86))*-1</f>
        <v>-4908103.24206911</v>
      </c>
      <c r="X86" s="424"/>
      <c r="Y86" s="422" t="n">
        <f aca="false">(IF($A$1="bl",0,Peak!D87*'Peak Hours'!V86*'Peak Hours'!$Y86))*-1</f>
        <v>-82502.5520108039</v>
      </c>
      <c r="Z86" s="424"/>
      <c r="AA86" s="422" t="n">
        <f aca="false">(Peak!E87*'Peak Hours'!V86*'Peak Hours'!$Y86)*-1</f>
        <v>-0</v>
      </c>
      <c r="AB86" s="425"/>
      <c r="AC86" s="422" t="n">
        <f aca="false">(Peak!F87*'Peak Hours'!V86*'Peak Hours'!$Y86)*-1</f>
        <v>-0</v>
      </c>
      <c r="AD86" s="425"/>
    </row>
    <row r="87" customFormat="false" ht="12.75" hidden="false" customHeight="false" outlineLevel="0" collapsed="false">
      <c r="A87" s="400" t="n">
        <f aca="false">A86+30.417</f>
        <v>38882.109</v>
      </c>
      <c r="B87" s="417" t="n">
        <f aca="false">IF($A$1="BL",0,'Peak Hours'!B87*Peak!H88*'Peak Hours'!$Y87)</f>
        <v>565579.751767091</v>
      </c>
      <c r="C87" s="417" t="n">
        <f aca="false">IF($A$1="BL",0,'Peak Hours'!C87*Peak!I88*'Peak Hours'!$Y87)</f>
        <v>426803.753976962</v>
      </c>
      <c r="D87" s="417" t="n">
        <f aca="false">IF($A$1="BL",0,'Peak Hours'!D87*Peak!J88*'Peak Hours'!$Y87)</f>
        <v>622568.543882673</v>
      </c>
      <c r="E87" s="417" t="n">
        <f aca="false">IF($A$1="BL",0,'Peak Hours'!E87*Peak!K88*'Peak Hours'!$Y87)</f>
        <v>1071861.02694897</v>
      </c>
      <c r="F87" s="417" t="n">
        <f aca="false">IF($A$1="BL",0,'Peak Hours'!F87*Peak!L88*'Peak Hours'!$Y87)</f>
        <v>967998.078063234</v>
      </c>
      <c r="G87" s="417" t="n">
        <f aca="false">IF($A$1="BL",0,'Peak Hours'!G87*Peak!M88*'Peak Hours'!$Y87)</f>
        <v>1878772.61188048</v>
      </c>
      <c r="H87" s="417" t="n">
        <f aca="false">IF($A$1="BL",0,'Peak Hours'!H87*Peak!N88*'Peak Hours'!$Y87)</f>
        <v>1495008.05525409</v>
      </c>
      <c r="I87" s="417" t="n">
        <f aca="false">IF($A$1="BL",0,'Peak Hours'!I87*Peak!O88*'Peak Hours'!$Y87)</f>
        <v>1253224.09393171</v>
      </c>
      <c r="J87" s="417" t="n">
        <f aca="false">IF($A$1="BL",0,'Peak Hours'!J87*Peak!P88*'Peak Hours'!$Y87)</f>
        <v>1092181.54915139</v>
      </c>
      <c r="K87" s="417" t="n">
        <f aca="false">IF($A$1="BL",0,'Peak Hours'!K87*Peak!Q88*'Peak Hours'!$Y87)</f>
        <v>0</v>
      </c>
      <c r="L87" s="417" t="n">
        <f aca="false">IF($A$1="BL",0,'Peak Hours'!L87*Peak!R88*'Peak Hours'!$Y87)</f>
        <v>0</v>
      </c>
      <c r="M87" s="417" t="n">
        <f aca="false">IF($A$1="BL",0,'Peak Hours'!M87*Peak!S88*'Peak Hours'!$Y87)</f>
        <v>0</v>
      </c>
      <c r="N87" s="417" t="n">
        <f aca="false">IF($A$1="BL",0,'Peak Hours'!N87*Peak!T88*'Peak Hours'!$Y87)</f>
        <v>0</v>
      </c>
      <c r="O87" s="417" t="n">
        <f aca="false">IF($A$1="BL",0,'Peak Hours'!O87*Peak!U88*'Peak Hours'!$Y87)</f>
        <v>0</v>
      </c>
      <c r="P87" s="417" t="n">
        <f aca="false">IF($A$1="BL",0,'Peak Hours'!P87*Peak!V88*'Peak Hours'!$Y87)</f>
        <v>0</v>
      </c>
      <c r="Q87" s="417" t="n">
        <f aca="false">IF($A$1="BL",0,'Peak Hours'!Q87*Peak!W88*'Peak Hours'!$Y87)</f>
        <v>0</v>
      </c>
      <c r="R87" s="417" t="n">
        <f aca="false">IF($A$1="BL",0,'Peak Hours'!R87*Peak!X88*'Peak Hours'!$Y87)</f>
        <v>0</v>
      </c>
      <c r="S87" s="417" t="n">
        <f aca="false">IF($A$1="BL",0,'Peak Hours'!S87*Peak!Y88*'Peak Hours'!$Y87)</f>
        <v>0</v>
      </c>
      <c r="T87" s="417" t="n">
        <f aca="false">IF($A$1="BL",0,'Peak Hours'!T87*Peak!Z88*'Peak Hours'!$Y87)</f>
        <v>0</v>
      </c>
      <c r="U87" s="417" t="n">
        <f aca="false">IF($A$1="BL",0,'Peak Hours'!U87*Peak!AA88*'Peak Hours'!$Y87)</f>
        <v>0</v>
      </c>
      <c r="V87" s="424"/>
      <c r="W87" s="422" t="n">
        <f aca="false">(IF($A$1="BL",0,Peak!C88*'Peak Hours'!V87*'Peak Hours'!$Y87))*-1</f>
        <v>-5812422.83376073</v>
      </c>
      <c r="X87" s="424"/>
      <c r="Y87" s="422" t="n">
        <f aca="false">(IF($A$1="bl",0,Peak!D88*'Peak Hours'!V87*'Peak Hours'!$Y87))*-1</f>
        <v>-102718.544819915</v>
      </c>
      <c r="Z87" s="424"/>
      <c r="AA87" s="422" t="n">
        <f aca="false">(Peak!E88*'Peak Hours'!V87*'Peak Hours'!$Y87)*-1</f>
        <v>-0</v>
      </c>
      <c r="AB87" s="425"/>
      <c r="AC87" s="422" t="n">
        <f aca="false">(Peak!F88*'Peak Hours'!V87*'Peak Hours'!$Y87)*-1</f>
        <v>-0</v>
      </c>
      <c r="AD87" s="425"/>
    </row>
    <row r="88" customFormat="false" ht="12.75" hidden="false" customHeight="false" outlineLevel="0" collapsed="false">
      <c r="A88" s="400" t="n">
        <f aca="false">A87+30.417</f>
        <v>38912.526</v>
      </c>
      <c r="B88" s="417" t="n">
        <f aca="false">IF($A$1="BL",0,'Peak Hours'!B88*Peak!H89*'Peak Hours'!$Y88)</f>
        <v>719733.023249783</v>
      </c>
      <c r="C88" s="417" t="n">
        <f aca="false">IF($A$1="BL",0,'Peak Hours'!C88*Peak!I89*'Peak Hours'!$Y88)</f>
        <v>563657.154332194</v>
      </c>
      <c r="D88" s="417" t="n">
        <f aca="false">IF($A$1="BL",0,'Peak Hours'!D88*Peak!J89*'Peak Hours'!$Y88)</f>
        <v>998523.745908135</v>
      </c>
      <c r="E88" s="417" t="n">
        <f aca="false">IF($A$1="BL",0,'Peak Hours'!E88*Peak!K89*'Peak Hours'!$Y88)</f>
        <v>1623675.94565977</v>
      </c>
      <c r="F88" s="417" t="n">
        <f aca="false">IF($A$1="BL",0,'Peak Hours'!F88*Peak!L89*'Peak Hours'!$Y88)</f>
        <v>1480145.07601107</v>
      </c>
      <c r="G88" s="417" t="n">
        <f aca="false">IF($A$1="BL",0,'Peak Hours'!G88*Peak!M89*'Peak Hours'!$Y88)</f>
        <v>2715011.82071631</v>
      </c>
      <c r="H88" s="417" t="n">
        <f aca="false">IF($A$1="BL",0,'Peak Hours'!H88*Peak!N89*'Peak Hours'!$Y88)</f>
        <v>2591756.93792426</v>
      </c>
      <c r="I88" s="417" t="n">
        <f aca="false">IF($A$1="BL",0,'Peak Hours'!I88*Peak!O89*'Peak Hours'!$Y88)</f>
        <v>1890634.0476478</v>
      </c>
      <c r="J88" s="417" t="n">
        <f aca="false">IF($A$1="BL",0,'Peak Hours'!J88*Peak!P89*'Peak Hours'!$Y88)</f>
        <v>1508672.31801451</v>
      </c>
      <c r="K88" s="417" t="n">
        <f aca="false">IF($A$1="BL",0,'Peak Hours'!K88*Peak!Q89*'Peak Hours'!$Y88)</f>
        <v>1339738.83532023</v>
      </c>
      <c r="L88" s="417" t="n">
        <f aca="false">IF($A$1="BL",0,'Peak Hours'!L88*Peak!R89*'Peak Hours'!$Y88)</f>
        <v>1268943.65120698</v>
      </c>
      <c r="M88" s="417" t="n">
        <f aca="false">IF($A$1="BL",0,'Peak Hours'!M88*Peak!S89*'Peak Hours'!$Y88)</f>
        <v>1256847.11578888</v>
      </c>
      <c r="N88" s="417" t="n">
        <f aca="false">IF($A$1="BL",0,'Peak Hours'!N88*Peak!T89*'Peak Hours'!$Y88)</f>
        <v>1256847.11578888</v>
      </c>
      <c r="O88" s="417" t="n">
        <f aca="false">IF($A$1="BL",0,'Peak Hours'!O88*Peak!U89*'Peak Hours'!$Y88)</f>
        <v>1134955.49628536</v>
      </c>
      <c r="P88" s="417" t="n">
        <f aca="false">IF($A$1="BL",0,'Peak Hours'!P88*Peak!V89*'Peak Hours'!$Y88)</f>
        <v>0</v>
      </c>
      <c r="Q88" s="417" t="n">
        <f aca="false">IF($A$1="BL",0,'Peak Hours'!Q88*Peak!W89*'Peak Hours'!$Y88)</f>
        <v>0</v>
      </c>
      <c r="R88" s="417" t="n">
        <f aca="false">IF($A$1="BL",0,'Peak Hours'!R88*Peak!X89*'Peak Hours'!$Y88)</f>
        <v>0</v>
      </c>
      <c r="S88" s="417" t="n">
        <f aca="false">IF($A$1="BL",0,'Peak Hours'!S88*Peak!Y89*'Peak Hours'!$Y88)</f>
        <v>0</v>
      </c>
      <c r="T88" s="417" t="n">
        <f aca="false">IF($A$1="BL",0,'Peak Hours'!T88*Peak!Z89*'Peak Hours'!$Y88)</f>
        <v>0</v>
      </c>
      <c r="U88" s="417" t="n">
        <f aca="false">IF($A$1="BL",0,'Peak Hours'!U88*Peak!AA89*'Peak Hours'!$Y88)</f>
        <v>0</v>
      </c>
      <c r="V88" s="424"/>
      <c r="W88" s="422" t="n">
        <f aca="false">(IF($A$1="BL",0,Peak!C89*'Peak Hours'!V88*'Peak Hours'!$Y88))*-1</f>
        <v>-11061328.2639031</v>
      </c>
      <c r="X88" s="424"/>
      <c r="Y88" s="422" t="n">
        <f aca="false">(IF($A$1="bl",0,Peak!D89*'Peak Hours'!V88*'Peak Hours'!$Y88))*-1</f>
        <v>-196425.871844265</v>
      </c>
      <c r="Z88" s="424"/>
      <c r="AA88" s="422" t="n">
        <f aca="false">(Peak!E89*'Peak Hours'!V88*'Peak Hours'!$Y88)*-1</f>
        <v>-0</v>
      </c>
      <c r="AB88" s="425"/>
      <c r="AC88" s="422" t="n">
        <f aca="false">(Peak!F89*'Peak Hours'!V88*'Peak Hours'!$Y88)*-1</f>
        <v>-0</v>
      </c>
      <c r="AD88" s="425"/>
    </row>
    <row r="89" customFormat="false" ht="12.75" hidden="false" customHeight="false" outlineLevel="0" collapsed="false">
      <c r="A89" s="400" t="n">
        <f aca="false">A88+30.417</f>
        <v>38942.943</v>
      </c>
      <c r="B89" s="417" t="n">
        <f aca="false">IF($A$1="BL",0,'Peak Hours'!B89*Peak!H90*'Peak Hours'!$Y89)</f>
        <v>1988055.49540411</v>
      </c>
      <c r="C89" s="417" t="n">
        <f aca="false">IF($A$1="BL",0,'Peak Hours'!C89*Peak!I90*'Peak Hours'!$Y89)</f>
        <v>1301708.6628482</v>
      </c>
      <c r="D89" s="417" t="n">
        <f aca="false">IF($A$1="BL",0,'Peak Hours'!D89*Peak!J90*'Peak Hours'!$Y89)</f>
        <v>1927666.55394197</v>
      </c>
      <c r="E89" s="417" t="n">
        <f aca="false">IF($A$1="BL",0,'Peak Hours'!E89*Peak!K90*'Peak Hours'!$Y89)</f>
        <v>2664604.93224971</v>
      </c>
      <c r="F89" s="417" t="n">
        <f aca="false">IF($A$1="BL",0,'Peak Hours'!F89*Peak!L90*'Peak Hours'!$Y89)</f>
        <v>2017471.69309557</v>
      </c>
      <c r="G89" s="417" t="n">
        <f aca="false">IF($A$1="BL",0,'Peak Hours'!G89*Peak!M90*'Peak Hours'!$Y89)</f>
        <v>2563171.82403164</v>
      </c>
      <c r="H89" s="417" t="n">
        <f aca="false">IF($A$1="BL",0,'Peak Hours'!H89*Peak!N90*'Peak Hours'!$Y89)</f>
        <v>2204411.71116698</v>
      </c>
      <c r="I89" s="417" t="n">
        <f aca="false">IF($A$1="BL",0,'Peak Hours'!I89*Peak!O90*'Peak Hours'!$Y89)</f>
        <v>2070616.89276805</v>
      </c>
      <c r="J89" s="417" t="n">
        <f aca="false">IF($A$1="BL",0,'Peak Hours'!J89*Peak!P90*'Peak Hours'!$Y89)</f>
        <v>1678019.28862225</v>
      </c>
      <c r="K89" s="417" t="n">
        <f aca="false">IF($A$1="BL",0,'Peak Hours'!K89*Peak!Q90*'Peak Hours'!$Y89)</f>
        <v>1348280.61016658</v>
      </c>
      <c r="L89" s="417" t="n">
        <f aca="false">IF($A$1="BL",0,'Peak Hours'!L89*Peak!R90*'Peak Hours'!$Y89)</f>
        <v>1133777.56231488</v>
      </c>
      <c r="M89" s="417" t="n">
        <f aca="false">IF($A$1="BL",0,'Peak Hours'!M89*Peak!S90*'Peak Hours'!$Y89)</f>
        <v>0</v>
      </c>
      <c r="N89" s="417" t="n">
        <f aca="false">IF($A$1="BL",0,'Peak Hours'!N89*Peak!T90*'Peak Hours'!$Y89)</f>
        <v>0</v>
      </c>
      <c r="O89" s="417" t="n">
        <f aca="false">IF($A$1="BL",0,'Peak Hours'!O89*Peak!U90*'Peak Hours'!$Y89)</f>
        <v>0</v>
      </c>
      <c r="P89" s="417" t="n">
        <f aca="false">IF($A$1="BL",0,'Peak Hours'!P89*Peak!V90*'Peak Hours'!$Y89)</f>
        <v>0</v>
      </c>
      <c r="Q89" s="417" t="n">
        <f aca="false">IF($A$1="BL",0,'Peak Hours'!Q89*Peak!W90*'Peak Hours'!$Y89)</f>
        <v>0</v>
      </c>
      <c r="R89" s="417" t="n">
        <f aca="false">IF($A$1="BL",0,'Peak Hours'!R89*Peak!X90*'Peak Hours'!$Y89)</f>
        <v>0</v>
      </c>
      <c r="S89" s="417" t="n">
        <f aca="false">IF($A$1="BL",0,'Peak Hours'!S89*Peak!Y90*'Peak Hours'!$Y89)</f>
        <v>0</v>
      </c>
      <c r="T89" s="417" t="n">
        <f aca="false">IF($A$1="BL",0,'Peak Hours'!T89*Peak!Z90*'Peak Hours'!$Y89)</f>
        <v>0</v>
      </c>
      <c r="U89" s="417" t="n">
        <f aca="false">IF($A$1="BL",0,'Peak Hours'!U89*Peak!AA90*'Peak Hours'!$Y89)</f>
        <v>0</v>
      </c>
      <c r="V89" s="424"/>
      <c r="W89" s="422" t="n">
        <f aca="false">(IF($A$1="BL",0,Peak!C90*'Peak Hours'!V89*'Peak Hours'!$Y89))*-1</f>
        <v>-7491269.9353418</v>
      </c>
      <c r="X89" s="424"/>
      <c r="Y89" s="422" t="n">
        <f aca="false">(IF($A$1="bl",0,Peak!D90*'Peak Hours'!V89*'Peak Hours'!$Y89))*-1</f>
        <v>-140538.034498099</v>
      </c>
      <c r="Z89" s="424"/>
      <c r="AA89" s="422" t="n">
        <f aca="false">(Peak!E90*'Peak Hours'!V89*'Peak Hours'!$Y89)*-1</f>
        <v>-0</v>
      </c>
      <c r="AB89" s="425"/>
      <c r="AC89" s="422" t="n">
        <f aca="false">(Peak!F90*'Peak Hours'!V89*'Peak Hours'!$Y89)*-1</f>
        <v>-0</v>
      </c>
      <c r="AD89" s="425"/>
    </row>
    <row r="90" customFormat="false" ht="12.75" hidden="false" customHeight="false" outlineLevel="0" collapsed="false">
      <c r="A90" s="400" t="n">
        <f aca="false">A89+30.417</f>
        <v>38973.36</v>
      </c>
      <c r="B90" s="417" t="n">
        <f aca="false">IF($A$1="BL",0,'Peak Hours'!B90*Peak!H91*'Peak Hours'!$Y90)</f>
        <v>779107.914502971</v>
      </c>
      <c r="C90" s="417" t="n">
        <f aca="false">IF($A$1="BL",0,'Peak Hours'!C90*Peak!I91*'Peak Hours'!$Y90)</f>
        <v>595338.658315658</v>
      </c>
      <c r="D90" s="417" t="n">
        <f aca="false">IF($A$1="BL",0,'Peak Hours'!D90*Peak!J91*'Peak Hours'!$Y90)</f>
        <v>1017145.170123</v>
      </c>
      <c r="E90" s="417" t="n">
        <f aca="false">IF($A$1="BL",0,'Peak Hours'!E90*Peak!K91*'Peak Hours'!$Y90)</f>
        <v>1063588.23497807</v>
      </c>
      <c r="F90" s="417" t="n">
        <f aca="false">IF($A$1="BL",0,'Peak Hours'!F90*Peak!L91*'Peak Hours'!$Y90)</f>
        <v>936137.113096081</v>
      </c>
      <c r="G90" s="417" t="n">
        <f aca="false">IF($A$1="BL",0,'Peak Hours'!G90*Peak!M91*'Peak Hours'!$Y90)</f>
        <v>1688153.3221127</v>
      </c>
      <c r="H90" s="417" t="n">
        <f aca="false">IF($A$1="BL",0,'Peak Hours'!H90*Peak!N91*'Peak Hours'!$Y90)</f>
        <v>1553304.493176</v>
      </c>
      <c r="I90" s="417" t="n">
        <f aca="false">IF($A$1="BL",0,'Peak Hours'!I90*Peak!O91*'Peak Hours'!$Y90)</f>
        <v>1535494.20191335</v>
      </c>
      <c r="J90" s="417" t="n">
        <f aca="false">IF($A$1="BL",0,'Peak Hours'!J90*Peak!P91*'Peak Hours'!$Y90)</f>
        <v>1293316.29013635</v>
      </c>
      <c r="K90" s="417" t="n">
        <f aca="false">IF($A$1="BL",0,'Peak Hours'!K90*Peak!Q91*'Peak Hours'!$Y90)</f>
        <v>1076034.21496239</v>
      </c>
      <c r="L90" s="417" t="n">
        <f aca="false">IF($A$1="BL",0,'Peak Hours'!L90*Peak!R91*'Peak Hours'!$Y90)</f>
        <v>0</v>
      </c>
      <c r="M90" s="417" t="n">
        <f aca="false">IF($A$1="BL",0,'Peak Hours'!M90*Peak!S91*'Peak Hours'!$Y90)</f>
        <v>0</v>
      </c>
      <c r="N90" s="417" t="n">
        <f aca="false">IF($A$1="BL",0,'Peak Hours'!N90*Peak!T91*'Peak Hours'!$Y90)</f>
        <v>0</v>
      </c>
      <c r="O90" s="417" t="n">
        <f aca="false">IF($A$1="BL",0,'Peak Hours'!O90*Peak!U91*'Peak Hours'!$Y90)</f>
        <v>0</v>
      </c>
      <c r="P90" s="417" t="n">
        <f aca="false">IF($A$1="BL",0,'Peak Hours'!P90*Peak!V91*'Peak Hours'!$Y90)</f>
        <v>0</v>
      </c>
      <c r="Q90" s="417" t="n">
        <f aca="false">IF($A$1="BL",0,'Peak Hours'!Q90*Peak!W91*'Peak Hours'!$Y90)</f>
        <v>0</v>
      </c>
      <c r="R90" s="417" t="n">
        <f aca="false">IF($A$1="BL",0,'Peak Hours'!R90*Peak!X91*'Peak Hours'!$Y90)</f>
        <v>0</v>
      </c>
      <c r="S90" s="417" t="n">
        <f aca="false">IF($A$1="BL",0,'Peak Hours'!S90*Peak!Y91*'Peak Hours'!$Y90)</f>
        <v>0</v>
      </c>
      <c r="T90" s="417" t="n">
        <f aca="false">IF($A$1="BL",0,'Peak Hours'!T90*Peak!Z91*'Peak Hours'!$Y90)</f>
        <v>0</v>
      </c>
      <c r="U90" s="417" t="n">
        <f aca="false">IF($A$1="BL",0,'Peak Hours'!U90*Peak!AA91*'Peak Hours'!$Y90)</f>
        <v>0</v>
      </c>
      <c r="V90" s="424"/>
      <c r="W90" s="422" t="n">
        <f aca="false">(IF($A$1="BL",0,Peak!C91*'Peak Hours'!V90*'Peak Hours'!$Y90))*-1</f>
        <v>-6362721.44468792</v>
      </c>
      <c r="X90" s="424"/>
      <c r="Y90" s="422" t="n">
        <f aca="false">(IF($A$1="bl",0,Peak!D91*'Peak Hours'!V90*'Peak Hours'!$Y90))*-1</f>
        <v>-119966.810304184</v>
      </c>
      <c r="Z90" s="424"/>
      <c r="AA90" s="422" t="n">
        <f aca="false">(Peak!E91*'Peak Hours'!V90*'Peak Hours'!$Y90)*-1</f>
        <v>-0</v>
      </c>
      <c r="AB90" s="425"/>
      <c r="AC90" s="422" t="n">
        <f aca="false">(Peak!F91*'Peak Hours'!V90*'Peak Hours'!$Y90)*-1</f>
        <v>-0</v>
      </c>
      <c r="AD90" s="425"/>
    </row>
    <row r="91" customFormat="false" ht="12.75" hidden="false" customHeight="false" outlineLevel="0" collapsed="false">
      <c r="A91" s="400" t="n">
        <f aca="false">A90+30.417</f>
        <v>39003.777</v>
      </c>
      <c r="B91" s="417" t="n">
        <f aca="false">IF($A$1="BL",0,'Peak Hours'!B91*Peak!H92*'Peak Hours'!$Y91)</f>
        <v>235844.472278809</v>
      </c>
      <c r="C91" s="417" t="n">
        <f aca="false">IF($A$1="BL",0,'Peak Hours'!C91*Peak!I92*'Peak Hours'!$Y91)</f>
        <v>228259.243441313</v>
      </c>
      <c r="D91" s="417" t="n">
        <f aca="false">IF($A$1="BL",0,'Peak Hours'!D91*Peak!J92*'Peak Hours'!$Y91)</f>
        <v>443306.261848004</v>
      </c>
      <c r="E91" s="417" t="n">
        <f aca="false">IF($A$1="BL",0,'Peak Hours'!E91*Peak!K92*'Peak Hours'!$Y91)</f>
        <v>832840.794621871</v>
      </c>
      <c r="F91" s="417" t="n">
        <f aca="false">IF($A$1="BL",0,'Peak Hours'!F91*Peak!L92*'Peak Hours'!$Y91)</f>
        <v>822323.581065207</v>
      </c>
      <c r="G91" s="417" t="n">
        <f aca="false">IF($A$1="BL",0,'Peak Hours'!G91*Peak!M92*'Peak Hours'!$Y91)</f>
        <v>1614462.03388905</v>
      </c>
      <c r="H91" s="417" t="n">
        <f aca="false">IF($A$1="BL",0,'Peak Hours'!H91*Peak!N92*'Peak Hours'!$Y91)</f>
        <v>1314332.83964075</v>
      </c>
      <c r="I91" s="417" t="n">
        <f aca="false">IF($A$1="BL",0,'Peak Hours'!I91*Peak!O92*'Peak Hours'!$Y91)</f>
        <v>1127128.08299137</v>
      </c>
      <c r="J91" s="417" t="n">
        <f aca="false">IF($A$1="BL",0,'Peak Hours'!J91*Peak!P92*'Peak Hours'!$Y91)</f>
        <v>0</v>
      </c>
      <c r="K91" s="417" t="n">
        <f aca="false">IF($A$1="BL",0,'Peak Hours'!K91*Peak!Q92*'Peak Hours'!$Y91)</f>
        <v>0</v>
      </c>
      <c r="L91" s="417" t="n">
        <f aca="false">IF($A$1="BL",0,'Peak Hours'!L91*Peak!R92*'Peak Hours'!$Y91)</f>
        <v>0</v>
      </c>
      <c r="M91" s="417" t="n">
        <f aca="false">IF($A$1="BL",0,'Peak Hours'!M91*Peak!S92*'Peak Hours'!$Y91)</f>
        <v>0</v>
      </c>
      <c r="N91" s="417" t="n">
        <f aca="false">IF($A$1="BL",0,'Peak Hours'!N91*Peak!T92*'Peak Hours'!$Y91)</f>
        <v>0</v>
      </c>
      <c r="O91" s="417" t="n">
        <f aca="false">IF($A$1="BL",0,'Peak Hours'!O91*Peak!U92*'Peak Hours'!$Y91)</f>
        <v>0</v>
      </c>
      <c r="P91" s="417" t="n">
        <f aca="false">IF($A$1="BL",0,'Peak Hours'!P91*Peak!V92*'Peak Hours'!$Y91)</f>
        <v>0</v>
      </c>
      <c r="Q91" s="417" t="n">
        <f aca="false">IF($A$1="BL",0,'Peak Hours'!Q91*Peak!W92*'Peak Hours'!$Y91)</f>
        <v>0</v>
      </c>
      <c r="R91" s="417" t="n">
        <f aca="false">IF($A$1="BL",0,'Peak Hours'!R91*Peak!X92*'Peak Hours'!$Y91)</f>
        <v>0</v>
      </c>
      <c r="S91" s="417" t="n">
        <f aca="false">IF($A$1="BL",0,'Peak Hours'!S91*Peak!Y92*'Peak Hours'!$Y91)</f>
        <v>0</v>
      </c>
      <c r="T91" s="417" t="n">
        <f aca="false">IF($A$1="BL",0,'Peak Hours'!T91*Peak!Z92*'Peak Hours'!$Y91)</f>
        <v>0</v>
      </c>
      <c r="U91" s="417" t="n">
        <f aca="false">IF($A$1="BL",0,'Peak Hours'!U91*Peak!AA92*'Peak Hours'!$Y91)</f>
        <v>0</v>
      </c>
      <c r="V91" s="424"/>
      <c r="W91" s="422" t="n">
        <f aca="false">(IF($A$1="BL",0,Peak!C92*'Peak Hours'!V91*'Peak Hours'!$Y91))*-1</f>
        <v>-4878506.63960438</v>
      </c>
      <c r="X91" s="424"/>
      <c r="Y91" s="422" t="n">
        <f aca="false">(IF($A$1="bl",0,Peak!D92*'Peak Hours'!V91*'Peak Hours'!$Y91))*-1</f>
        <v>-83192.368837863</v>
      </c>
      <c r="Z91" s="424"/>
      <c r="AA91" s="422" t="n">
        <f aca="false">(Peak!E92*'Peak Hours'!V91*'Peak Hours'!$Y91)*-1</f>
        <v>-0</v>
      </c>
      <c r="AB91" s="425"/>
      <c r="AC91" s="422" t="n">
        <f aca="false">(Peak!F92*'Peak Hours'!V91*'Peak Hours'!$Y91)*-1</f>
        <v>-0</v>
      </c>
      <c r="AD91" s="425"/>
    </row>
    <row r="92" customFormat="false" ht="12.75" hidden="false" customHeight="false" outlineLevel="0" collapsed="false">
      <c r="A92" s="400" t="n">
        <f aca="false">A91+30.417</f>
        <v>39034.194</v>
      </c>
      <c r="B92" s="417" t="n">
        <f aca="false">IF($A$1="BL",0,'Peak Hours'!B92*Peak!H93*'Peak Hours'!$Y92)</f>
        <v>271247.352845825</v>
      </c>
      <c r="C92" s="417" t="n">
        <f aca="false">IF($A$1="BL",0,'Peak Hours'!C92*Peak!I93*'Peak Hours'!$Y92)</f>
        <v>257256.643894269</v>
      </c>
      <c r="D92" s="417" t="n">
        <f aca="false">IF($A$1="BL",0,'Peak Hours'!D92*Peak!J93*'Peak Hours'!$Y92)</f>
        <v>503101.17599667</v>
      </c>
      <c r="E92" s="417" t="n">
        <f aca="false">IF($A$1="BL",0,'Peak Hours'!E92*Peak!K93*'Peak Hours'!$Y92)</f>
        <v>950186.147513715</v>
      </c>
      <c r="F92" s="417" t="n">
        <f aca="false">IF($A$1="BL",0,'Peak Hours'!F92*Peak!L93*'Peak Hours'!$Y92)</f>
        <v>929693.950626796</v>
      </c>
      <c r="G92" s="417" t="n">
        <f aca="false">IF($A$1="BL",0,'Peak Hours'!G92*Peak!M93*'Peak Hours'!$Y92)</f>
        <v>1850865.93263884</v>
      </c>
      <c r="H92" s="417" t="n">
        <f aca="false">IF($A$1="BL",0,'Peak Hours'!H92*Peak!N93*'Peak Hours'!$Y92)</f>
        <v>1714757.07753722</v>
      </c>
      <c r="I92" s="417" t="n">
        <f aca="false">IF($A$1="BL",0,'Peak Hours'!I92*Peak!O93*'Peak Hours'!$Y92)</f>
        <v>1288459.94177117</v>
      </c>
      <c r="J92" s="417" t="n">
        <f aca="false">IF($A$1="BL",0,'Peak Hours'!J92*Peak!P93*'Peak Hours'!$Y92)</f>
        <v>1209612.95462464</v>
      </c>
      <c r="K92" s="417" t="n">
        <f aca="false">IF($A$1="BL",0,'Peak Hours'!K92*Peak!Q93*'Peak Hours'!$Y92)</f>
        <v>0</v>
      </c>
      <c r="L92" s="417" t="n">
        <f aca="false">IF($A$1="BL",0,'Peak Hours'!L92*Peak!R93*'Peak Hours'!$Y92)</f>
        <v>0</v>
      </c>
      <c r="M92" s="417" t="n">
        <f aca="false">IF($A$1="BL",0,'Peak Hours'!M92*Peak!S93*'Peak Hours'!$Y92)</f>
        <v>0</v>
      </c>
      <c r="N92" s="417" t="n">
        <f aca="false">IF($A$1="BL",0,'Peak Hours'!N92*Peak!T93*'Peak Hours'!$Y92)</f>
        <v>0</v>
      </c>
      <c r="O92" s="417" t="n">
        <f aca="false">IF($A$1="BL",0,'Peak Hours'!O92*Peak!U93*'Peak Hours'!$Y92)</f>
        <v>0</v>
      </c>
      <c r="P92" s="417" t="n">
        <f aca="false">IF($A$1="BL",0,'Peak Hours'!P92*Peak!V93*'Peak Hours'!$Y92)</f>
        <v>0</v>
      </c>
      <c r="Q92" s="417" t="n">
        <f aca="false">IF($A$1="BL",0,'Peak Hours'!Q92*Peak!W93*'Peak Hours'!$Y92)</f>
        <v>0</v>
      </c>
      <c r="R92" s="417" t="n">
        <f aca="false">IF($A$1="BL",0,'Peak Hours'!R92*Peak!X93*'Peak Hours'!$Y92)</f>
        <v>0</v>
      </c>
      <c r="S92" s="417" t="n">
        <f aca="false">IF($A$1="BL",0,'Peak Hours'!S92*Peak!Y93*'Peak Hours'!$Y92)</f>
        <v>0</v>
      </c>
      <c r="T92" s="417" t="n">
        <f aca="false">IF($A$1="BL",0,'Peak Hours'!T92*Peak!Z93*'Peak Hours'!$Y92)</f>
        <v>0</v>
      </c>
      <c r="U92" s="417" t="n">
        <f aca="false">IF($A$1="BL",0,'Peak Hours'!U92*Peak!AA93*'Peak Hours'!$Y92)</f>
        <v>0</v>
      </c>
      <c r="V92" s="424"/>
      <c r="W92" s="422" t="n">
        <f aca="false">(IF($A$1="BL",0,Peak!C93*'Peak Hours'!V92*'Peak Hours'!$Y92))*-1</f>
        <v>-6529339.35485978</v>
      </c>
      <c r="X92" s="424"/>
      <c r="Y92" s="422" t="n">
        <f aca="false">(IF($A$1="bl",0,Peak!D93*'Peak Hours'!V92*'Peak Hours'!$Y92))*-1</f>
        <v>-101849.027849465</v>
      </c>
      <c r="Z92" s="424"/>
      <c r="AA92" s="422" t="n">
        <f aca="false">(Peak!E93*'Peak Hours'!V92*'Peak Hours'!$Y92)*-1</f>
        <v>-0</v>
      </c>
      <c r="AB92" s="425"/>
      <c r="AC92" s="422" t="n">
        <f aca="false">(Peak!F93*'Peak Hours'!V92*'Peak Hours'!$Y92)*-1</f>
        <v>-0</v>
      </c>
      <c r="AD92" s="425"/>
    </row>
    <row r="93" customFormat="false" ht="12.75" hidden="false" customHeight="false" outlineLevel="0" collapsed="false">
      <c r="A93" s="400" t="n">
        <f aca="false">A92+30.417</f>
        <v>39064.611</v>
      </c>
      <c r="B93" s="417" t="n">
        <f aca="false">IF($A$1="BL",0,'Peak Hours'!B93*Peak!H94*'Peak Hours'!$Y93)</f>
        <v>533335.362436848</v>
      </c>
      <c r="C93" s="417" t="n">
        <f aca="false">IF($A$1="BL",0,'Peak Hours'!C93*Peak!I94*'Peak Hours'!$Y93)</f>
        <v>500533.102174782</v>
      </c>
      <c r="D93" s="417" t="n">
        <f aca="false">IF($A$1="BL",0,'Peak Hours'!D93*Peak!J94*'Peak Hours'!$Y93)</f>
        <v>587093.668617379</v>
      </c>
      <c r="E93" s="417" t="n">
        <f aca="false">IF($A$1="BL",0,'Peak Hours'!E93*Peak!K94*'Peak Hours'!$Y93)</f>
        <v>922424.694863447</v>
      </c>
      <c r="F93" s="417" t="n">
        <f aca="false">IF($A$1="BL",0,'Peak Hours'!F93*Peak!L94*'Peak Hours'!$Y93)</f>
        <v>848429.681141944</v>
      </c>
      <c r="G93" s="417" t="n">
        <f aca="false">IF($A$1="BL",0,'Peak Hours'!G93*Peak!M94*'Peak Hours'!$Y93)</f>
        <v>1631234.2901837</v>
      </c>
      <c r="H93" s="417" t="n">
        <f aca="false">IF($A$1="BL",0,'Peak Hours'!H93*Peak!N94*'Peak Hours'!$Y93)</f>
        <v>1546063.57157143</v>
      </c>
      <c r="I93" s="417" t="n">
        <f aca="false">IF($A$1="BL",0,'Peak Hours'!I93*Peak!O94*'Peak Hours'!$Y93)</f>
        <v>1460529.72648407</v>
      </c>
      <c r="J93" s="417" t="n">
        <f aca="false">IF($A$1="BL",0,'Peak Hours'!J93*Peak!P94*'Peak Hours'!$Y93)</f>
        <v>1451772.99087885</v>
      </c>
      <c r="K93" s="417" t="n">
        <f aca="false">IF($A$1="BL",0,'Peak Hours'!K93*Peak!Q94*'Peak Hours'!$Y93)</f>
        <v>1427036.15972176</v>
      </c>
      <c r="L93" s="417" t="n">
        <f aca="false">IF($A$1="BL",0,'Peak Hours'!L93*Peak!R94*'Peak Hours'!$Y93)</f>
        <v>0</v>
      </c>
      <c r="M93" s="417" t="n">
        <f aca="false">IF($A$1="BL",0,'Peak Hours'!M93*Peak!S94*'Peak Hours'!$Y93)</f>
        <v>0</v>
      </c>
      <c r="N93" s="417" t="n">
        <f aca="false">IF($A$1="BL",0,'Peak Hours'!N93*Peak!T94*'Peak Hours'!$Y93)</f>
        <v>0</v>
      </c>
      <c r="O93" s="417" t="n">
        <f aca="false">IF($A$1="BL",0,'Peak Hours'!O93*Peak!U94*'Peak Hours'!$Y93)</f>
        <v>0</v>
      </c>
      <c r="P93" s="417" t="n">
        <f aca="false">IF($A$1="BL",0,'Peak Hours'!P93*Peak!V94*'Peak Hours'!$Y93)</f>
        <v>0</v>
      </c>
      <c r="Q93" s="417" t="n">
        <f aca="false">IF($A$1="BL",0,'Peak Hours'!Q93*Peak!W94*'Peak Hours'!$Y93)</f>
        <v>0</v>
      </c>
      <c r="R93" s="417" t="n">
        <f aca="false">IF($A$1="BL",0,'Peak Hours'!R93*Peak!X94*'Peak Hours'!$Y93)</f>
        <v>0</v>
      </c>
      <c r="S93" s="417" t="n">
        <f aca="false">IF($A$1="BL",0,'Peak Hours'!S93*Peak!Y94*'Peak Hours'!$Y93)</f>
        <v>0</v>
      </c>
      <c r="T93" s="417" t="n">
        <f aca="false">IF($A$1="BL",0,'Peak Hours'!T93*Peak!Z94*'Peak Hours'!$Y93)</f>
        <v>0</v>
      </c>
      <c r="U93" s="417" t="n">
        <f aca="false">IF($A$1="BL",0,'Peak Hours'!U93*Peak!AA94*'Peak Hours'!$Y93)</f>
        <v>0</v>
      </c>
      <c r="V93" s="426" t="n">
        <f aca="false">SUM(B82:U93)</f>
        <v>126403348.780194</v>
      </c>
      <c r="W93" s="422" t="n">
        <f aca="false">(IF($A$1="BL",0,Peak!C94*'Peak Hours'!V93*'Peak Hours'!$Y93))*-1</f>
        <v>-8124514.62867922</v>
      </c>
      <c r="X93" s="426" t="n">
        <f aca="false">SUM(W82:W93)</f>
        <v>-77290926.6203685</v>
      </c>
      <c r="Y93" s="422" t="n">
        <f aca="false">(IF($A$1="bl",0,Peak!D94*'Peak Hours'!V93*'Peak Hours'!$Y93))*-1</f>
        <v>-117303.005176638</v>
      </c>
      <c r="Z93" s="426" t="n">
        <f aca="false">SUM(Y82:Y93)</f>
        <v>-1304686.01753818</v>
      </c>
      <c r="AA93" s="422" t="n">
        <f aca="false">(Peak!E94*'Peak Hours'!V93*'Peak Hours'!$Y93)*-1</f>
        <v>-0</v>
      </c>
      <c r="AB93" s="427" t="n">
        <f aca="false">SUM(AA82:AA93)</f>
        <v>0</v>
      </c>
      <c r="AC93" s="422" t="n">
        <f aca="false">(Peak!F94*'Peak Hours'!V93*'Peak Hours'!$Y93)*-1</f>
        <v>-0</v>
      </c>
      <c r="AD93" s="427" t="n">
        <f aca="false">SUM(AC82:AC93)</f>
        <v>0</v>
      </c>
    </row>
    <row r="94" customFormat="false" ht="12.75" hidden="false" customHeight="false" outlineLevel="0" collapsed="false">
      <c r="A94" s="400" t="n">
        <f aca="false">A93+30.417</f>
        <v>39095.028</v>
      </c>
      <c r="B94" s="417" t="n">
        <f aca="false">IF($A$1="BL",0,'Peak Hours'!B94*Peak!H95*'Peak Hours'!$Y94)</f>
        <v>287396.73424922</v>
      </c>
      <c r="C94" s="417" t="n">
        <f aca="false">IF($A$1="BL",0,'Peak Hours'!C94*Peak!I95*'Peak Hours'!$Y94)</f>
        <v>278589.831142753</v>
      </c>
      <c r="D94" s="417" t="n">
        <f aca="false">IF($A$1="BL",0,'Peak Hours'!D94*Peak!J95*'Peak Hours'!$Y94)</f>
        <v>528531.529185808</v>
      </c>
      <c r="E94" s="417" t="n">
        <f aca="false">IF($A$1="BL",0,'Peak Hours'!E94*Peak!K95*'Peak Hours'!$Y94)</f>
        <v>1042996.12144172</v>
      </c>
      <c r="F94" s="417" t="n">
        <f aca="false">IF($A$1="BL",0,'Peak Hours'!F94*Peak!L95*'Peak Hours'!$Y94)</f>
        <v>1033946.7791743</v>
      </c>
      <c r="G94" s="417" t="n">
        <f aca="false">IF($A$1="BL",0,'Peak Hours'!G94*Peak!M95*'Peak Hours'!$Y94)</f>
        <v>1868775.69353375</v>
      </c>
      <c r="H94" s="417" t="n">
        <f aca="false">IF($A$1="BL",0,'Peak Hours'!H94*Peak!N95*'Peak Hours'!$Y94)</f>
        <v>1429191.82605101</v>
      </c>
      <c r="I94" s="417" t="n">
        <f aca="false">IF($A$1="BL",0,'Peak Hours'!I94*Peak!O95*'Peak Hours'!$Y94)</f>
        <v>0</v>
      </c>
      <c r="J94" s="417" t="n">
        <f aca="false">IF($A$1="BL",0,'Peak Hours'!J94*Peak!P95*'Peak Hours'!$Y94)</f>
        <v>0</v>
      </c>
      <c r="K94" s="417" t="n">
        <f aca="false">IF($A$1="BL",0,'Peak Hours'!K94*Peak!Q95*'Peak Hours'!$Y94)</f>
        <v>0</v>
      </c>
      <c r="L94" s="417" t="n">
        <f aca="false">IF($A$1="BL",0,'Peak Hours'!L94*Peak!R95*'Peak Hours'!$Y94)</f>
        <v>0</v>
      </c>
      <c r="M94" s="417" t="n">
        <f aca="false">IF($A$1="BL",0,'Peak Hours'!M94*Peak!S95*'Peak Hours'!$Y94)</f>
        <v>0</v>
      </c>
      <c r="N94" s="417" t="n">
        <f aca="false">IF($A$1="BL",0,'Peak Hours'!N94*Peak!T95*'Peak Hours'!$Y94)</f>
        <v>0</v>
      </c>
      <c r="O94" s="417" t="n">
        <f aca="false">IF($A$1="BL",0,'Peak Hours'!O94*Peak!U95*'Peak Hours'!$Y94)</f>
        <v>0</v>
      </c>
      <c r="P94" s="417" t="n">
        <f aca="false">IF($A$1="BL",0,'Peak Hours'!P94*Peak!V95*'Peak Hours'!$Y94)</f>
        <v>0</v>
      </c>
      <c r="Q94" s="417" t="n">
        <f aca="false">IF($A$1="BL",0,'Peak Hours'!Q94*Peak!W95*'Peak Hours'!$Y94)</f>
        <v>0</v>
      </c>
      <c r="R94" s="417" t="n">
        <f aca="false">IF($A$1="BL",0,'Peak Hours'!R94*Peak!X95*'Peak Hours'!$Y94)</f>
        <v>0</v>
      </c>
      <c r="S94" s="417" t="n">
        <f aca="false">IF($A$1="BL",0,'Peak Hours'!S94*Peak!Y95*'Peak Hours'!$Y94)</f>
        <v>0</v>
      </c>
      <c r="T94" s="417" t="n">
        <f aca="false">IF($A$1="BL",0,'Peak Hours'!T94*Peak!Z95*'Peak Hours'!$Y94)</f>
        <v>0</v>
      </c>
      <c r="U94" s="417" t="n">
        <f aca="false">IF($A$1="BL",0,'Peak Hours'!U94*Peak!AA95*'Peak Hours'!$Y94)</f>
        <v>0</v>
      </c>
      <c r="V94" s="424"/>
      <c r="W94" s="422" t="n">
        <f aca="false">(IF($A$1="BL",0,Peak!C95*'Peak Hours'!V94*'Peak Hours'!$Y94))*-1</f>
        <v>-4277282.53161334</v>
      </c>
      <c r="X94" s="424"/>
      <c r="Y94" s="422" t="n">
        <f aca="false">(IF($A$1="bl",0,Peak!D95*'Peak Hours'!V94*'Peak Hours'!$Y94))*-1</f>
        <v>-63268.4285612969</v>
      </c>
      <c r="Z94" s="424"/>
      <c r="AA94" s="422" t="n">
        <f aca="false">(Peak!E95*'Peak Hours'!V94*'Peak Hours'!$Y94)*-1</f>
        <v>-0</v>
      </c>
      <c r="AB94" s="425"/>
      <c r="AC94" s="422" t="n">
        <f aca="false">(Peak!F95*'Peak Hours'!V94*'Peak Hours'!$Y94)*-1</f>
        <v>-0</v>
      </c>
      <c r="AD94" s="425"/>
    </row>
    <row r="95" customFormat="false" ht="12.75" hidden="false" customHeight="false" outlineLevel="0" collapsed="false">
      <c r="A95" s="400" t="n">
        <f aca="false">A94+30.417</f>
        <v>39125.445</v>
      </c>
      <c r="B95" s="417" t="n">
        <f aca="false">IF($A$1="BL",0,'Peak Hours'!B95*Peak!H96*'Peak Hours'!$Y95)</f>
        <v>516886.045737227</v>
      </c>
      <c r="C95" s="417" t="n">
        <f aca="false">IF($A$1="BL",0,'Peak Hours'!C95*Peak!I96*'Peak Hours'!$Y95)</f>
        <v>393713.954092867</v>
      </c>
      <c r="D95" s="417" t="n">
        <f aca="false">IF($A$1="BL",0,'Peak Hours'!D95*Peak!J96*'Peak Hours'!$Y95)</f>
        <v>625421.872272779</v>
      </c>
      <c r="E95" s="417" t="n">
        <f aca="false">IF($A$1="BL",0,'Peak Hours'!E95*Peak!K96*'Peak Hours'!$Y95)</f>
        <v>1033973.77556298</v>
      </c>
      <c r="F95" s="417" t="n">
        <f aca="false">IF($A$1="BL",0,'Peak Hours'!F95*Peak!L96*'Peak Hours'!$Y95)</f>
        <v>923515.056863501</v>
      </c>
      <c r="G95" s="417" t="n">
        <f aca="false">IF($A$1="BL",0,'Peak Hours'!G95*Peak!M96*'Peak Hours'!$Y95)</f>
        <v>1743112.55765297</v>
      </c>
      <c r="H95" s="417" t="n">
        <f aca="false">IF($A$1="BL",0,'Peak Hours'!H95*Peak!N96*'Peak Hours'!$Y95)</f>
        <v>1666782.00586301</v>
      </c>
      <c r="I95" s="417" t="n">
        <f aca="false">IF($A$1="BL",0,'Peak Hours'!I95*Peak!O96*'Peak Hours'!$Y95)</f>
        <v>1648003.5567946</v>
      </c>
      <c r="J95" s="417" t="n">
        <f aca="false">IF($A$1="BL",0,'Peak Hours'!J95*Peak!P96*'Peak Hours'!$Y95)</f>
        <v>1258954.31388453</v>
      </c>
      <c r="K95" s="417" t="n">
        <f aca="false">IF($A$1="BL",0,'Peak Hours'!K95*Peak!Q96*'Peak Hours'!$Y95)</f>
        <v>1196616.73153359</v>
      </c>
      <c r="L95" s="417" t="n">
        <f aca="false">IF($A$1="BL",0,'Peak Hours'!L95*Peak!R96*'Peak Hours'!$Y95)</f>
        <v>1163804.37419447</v>
      </c>
      <c r="M95" s="417" t="n">
        <f aca="false">IF($A$1="BL",0,'Peak Hours'!M95*Peak!S96*'Peak Hours'!$Y95)</f>
        <v>0</v>
      </c>
      <c r="N95" s="417" t="n">
        <f aca="false">IF($A$1="BL",0,'Peak Hours'!N95*Peak!T96*'Peak Hours'!$Y95)</f>
        <v>0</v>
      </c>
      <c r="O95" s="417" t="n">
        <f aca="false">IF($A$1="BL",0,'Peak Hours'!O95*Peak!U96*'Peak Hours'!$Y95)</f>
        <v>0</v>
      </c>
      <c r="P95" s="417" t="n">
        <f aca="false">IF($A$1="BL",0,'Peak Hours'!P95*Peak!V96*'Peak Hours'!$Y95)</f>
        <v>0</v>
      </c>
      <c r="Q95" s="417" t="n">
        <f aca="false">IF($A$1="BL",0,'Peak Hours'!Q95*Peak!W96*'Peak Hours'!$Y95)</f>
        <v>0</v>
      </c>
      <c r="R95" s="417" t="n">
        <f aca="false">IF($A$1="BL",0,'Peak Hours'!R95*Peak!X96*'Peak Hours'!$Y95)</f>
        <v>0</v>
      </c>
      <c r="S95" s="417" t="n">
        <f aca="false">IF($A$1="BL",0,'Peak Hours'!S95*Peak!Y96*'Peak Hours'!$Y95)</f>
        <v>0</v>
      </c>
      <c r="T95" s="417" t="n">
        <f aca="false">IF($A$1="BL",0,'Peak Hours'!T95*Peak!Z96*'Peak Hours'!$Y95)</f>
        <v>0</v>
      </c>
      <c r="U95" s="417" t="n">
        <f aca="false">IF($A$1="BL",0,'Peak Hours'!U95*Peak!AA96*'Peak Hours'!$Y95)</f>
        <v>0</v>
      </c>
      <c r="V95" s="424"/>
      <c r="W95" s="422" t="n">
        <f aca="false">(IF($A$1="BL",0,Peak!C96*'Peak Hours'!V95*'Peak Hours'!$Y95))*-1</f>
        <v>-8214917.62815557</v>
      </c>
      <c r="X95" s="424"/>
      <c r="Y95" s="422" t="n">
        <f aca="false">(IF($A$1="bl",0,Peak!D96*'Peak Hours'!V95*'Peak Hours'!$Y95))*-1</f>
        <v>-135801.162733355</v>
      </c>
      <c r="Z95" s="424"/>
      <c r="AA95" s="422" t="n">
        <f aca="false">(Peak!E96*'Peak Hours'!V95*'Peak Hours'!$Y95)*-1</f>
        <v>-0</v>
      </c>
      <c r="AB95" s="425"/>
      <c r="AC95" s="422" t="n">
        <f aca="false">(Peak!F96*'Peak Hours'!V95*'Peak Hours'!$Y95)*-1</f>
        <v>-0</v>
      </c>
      <c r="AD95" s="425"/>
    </row>
    <row r="96" customFormat="false" ht="12.75" hidden="false" customHeight="false" outlineLevel="0" collapsed="false">
      <c r="A96" s="400" t="n">
        <f aca="false">A95+30.417</f>
        <v>39155.862</v>
      </c>
      <c r="B96" s="417" t="n">
        <f aca="false">IF($A$1="BL",0,'Peak Hours'!B96*Peak!H97*'Peak Hours'!$Y96)</f>
        <v>282642.548048189</v>
      </c>
      <c r="C96" s="417" t="n">
        <f aca="false">IF($A$1="BL",0,'Peak Hours'!C96*Peak!I97*'Peak Hours'!$Y96)</f>
        <v>265667.953661332</v>
      </c>
      <c r="D96" s="417" t="n">
        <f aca="false">IF($A$1="BL",0,'Peak Hours'!D96*Peak!J97*'Peak Hours'!$Y96)</f>
        <v>511206.048186</v>
      </c>
      <c r="E96" s="417" t="n">
        <f aca="false">IF($A$1="BL",0,'Peak Hours'!E96*Peak!K97*'Peak Hours'!$Y96)</f>
        <v>984054.109514337</v>
      </c>
      <c r="F96" s="417" t="n">
        <f aca="false">IF($A$1="BL",0,'Peak Hours'!F96*Peak!L97*'Peak Hours'!$Y96)</f>
        <v>941637.173008672</v>
      </c>
      <c r="G96" s="417" t="n">
        <f aca="false">IF($A$1="BL",0,'Peak Hours'!G96*Peak!M97*'Peak Hours'!$Y96)</f>
        <v>1830764.02217161</v>
      </c>
      <c r="H96" s="417" t="n">
        <f aca="false">IF($A$1="BL",0,'Peak Hours'!H96*Peak!N97*'Peak Hours'!$Y96)</f>
        <v>1821195.39680545</v>
      </c>
      <c r="I96" s="417" t="n">
        <f aca="false">IF($A$1="BL",0,'Peak Hours'!I96*Peak!O97*'Peak Hours'!$Y96)</f>
        <v>1706920.39058426</v>
      </c>
      <c r="J96" s="417" t="n">
        <f aca="false">IF($A$1="BL",0,'Peak Hours'!J96*Peak!P97*'Peak Hours'!$Y96)</f>
        <v>1304609.09187649</v>
      </c>
      <c r="K96" s="417" t="n">
        <f aca="false">IF($A$1="BL",0,'Peak Hours'!K96*Peak!Q97*'Peak Hours'!$Y96)</f>
        <v>1215177.21148538</v>
      </c>
      <c r="L96" s="417" t="n">
        <f aca="false">IF($A$1="BL",0,'Peak Hours'!L96*Peak!R97*'Peak Hours'!$Y96)</f>
        <v>0</v>
      </c>
      <c r="M96" s="417" t="n">
        <f aca="false">IF($A$1="BL",0,'Peak Hours'!M96*Peak!S97*'Peak Hours'!$Y96)</f>
        <v>0</v>
      </c>
      <c r="N96" s="417" t="n">
        <f aca="false">IF($A$1="BL",0,'Peak Hours'!N96*Peak!T97*'Peak Hours'!$Y96)</f>
        <v>0</v>
      </c>
      <c r="O96" s="417" t="n">
        <f aca="false">IF($A$1="BL",0,'Peak Hours'!O96*Peak!U97*'Peak Hours'!$Y96)</f>
        <v>0</v>
      </c>
      <c r="P96" s="417" t="n">
        <f aca="false">IF($A$1="BL",0,'Peak Hours'!P96*Peak!V97*'Peak Hours'!$Y96)</f>
        <v>0</v>
      </c>
      <c r="Q96" s="417" t="n">
        <f aca="false">IF($A$1="BL",0,'Peak Hours'!Q96*Peak!W97*'Peak Hours'!$Y96)</f>
        <v>0</v>
      </c>
      <c r="R96" s="417" t="n">
        <f aca="false">IF($A$1="BL",0,'Peak Hours'!R96*Peak!X97*'Peak Hours'!$Y96)</f>
        <v>0</v>
      </c>
      <c r="S96" s="417" t="n">
        <f aca="false">IF($A$1="BL",0,'Peak Hours'!S96*Peak!Y97*'Peak Hours'!$Y96)</f>
        <v>0</v>
      </c>
      <c r="T96" s="417" t="n">
        <f aca="false">IF($A$1="BL",0,'Peak Hours'!T96*Peak!Z97*'Peak Hours'!$Y96)</f>
        <v>0</v>
      </c>
      <c r="U96" s="417" t="n">
        <f aca="false">IF($A$1="BL",0,'Peak Hours'!U96*Peak!AA97*'Peak Hours'!$Y96)</f>
        <v>0</v>
      </c>
      <c r="V96" s="424"/>
      <c r="W96" s="422" t="n">
        <f aca="false">(IF($A$1="BL",0,Peak!C97*'Peak Hours'!V96*'Peak Hours'!$Y96))*-1</f>
        <v>-7194691.44807034</v>
      </c>
      <c r="X96" s="424"/>
      <c r="Y96" s="422" t="n">
        <f aca="false">(IF($A$1="bl",0,Peak!D97*'Peak Hours'!V96*'Peak Hours'!$Y96))*-1</f>
        <v>-121171.488146254</v>
      </c>
      <c r="Z96" s="424"/>
      <c r="AA96" s="422" t="n">
        <f aca="false">(Peak!E97*'Peak Hours'!V96*'Peak Hours'!$Y96)*-1</f>
        <v>-0</v>
      </c>
      <c r="AB96" s="425"/>
      <c r="AC96" s="422" t="n">
        <f aca="false">(Peak!F97*'Peak Hours'!V96*'Peak Hours'!$Y96)*-1</f>
        <v>-0</v>
      </c>
      <c r="AD96" s="425"/>
    </row>
    <row r="97" customFormat="false" ht="12.75" hidden="false" customHeight="false" outlineLevel="0" collapsed="false">
      <c r="A97" s="400" t="n">
        <f aca="false">A96+30.417</f>
        <v>39186.279</v>
      </c>
      <c r="B97" s="417" t="n">
        <f aca="false">IF($A$1="BL",0,'Peak Hours'!B97*Peak!H98*'Peak Hours'!$Y97)</f>
        <v>277413.901238873</v>
      </c>
      <c r="C97" s="417" t="n">
        <f aca="false">IF($A$1="BL",0,'Peak Hours'!C97*Peak!I98*'Peak Hours'!$Y97)</f>
        <v>277413.901238873</v>
      </c>
      <c r="D97" s="417" t="n">
        <f aca="false">IF($A$1="BL",0,'Peak Hours'!D97*Peak!J98*'Peak Hours'!$Y97)</f>
        <v>546457.410729143</v>
      </c>
      <c r="E97" s="417" t="n">
        <f aca="false">IF($A$1="BL",0,'Peak Hours'!E97*Peak!K98*'Peak Hours'!$Y97)</f>
        <v>885426.149366291</v>
      </c>
      <c r="F97" s="417" t="n">
        <f aca="false">IF($A$1="BL",0,'Peak Hours'!F97*Peak!L98*'Peak Hours'!$Y97)</f>
        <v>758490.894136361</v>
      </c>
      <c r="G97" s="417" t="n">
        <f aca="false">IF($A$1="BL",0,'Peak Hours'!G97*Peak!M98*'Peak Hours'!$Y97)</f>
        <v>1374996.70986639</v>
      </c>
      <c r="H97" s="417" t="n">
        <f aca="false">IF($A$1="BL",0,'Peak Hours'!H97*Peak!N98*'Peak Hours'!$Y97)</f>
        <v>1319969.68083287</v>
      </c>
      <c r="I97" s="417" t="n">
        <f aca="false">IF($A$1="BL",0,'Peak Hours'!I97*Peak!O98*'Peak Hours'!$Y97)</f>
        <v>1100484.21972385</v>
      </c>
      <c r="J97" s="417" t="n">
        <f aca="false">IF($A$1="BL",0,'Peak Hours'!J97*Peak!P98*'Peak Hours'!$Y97)</f>
        <v>1092393.10082179</v>
      </c>
      <c r="K97" s="417" t="n">
        <f aca="false">IF($A$1="BL",0,'Peak Hours'!K97*Peak!Q98*'Peak Hours'!$Y97)</f>
        <v>1082112.87341615</v>
      </c>
      <c r="L97" s="417" t="n">
        <f aca="false">IF($A$1="BL",0,'Peak Hours'!L97*Peak!R98*'Peak Hours'!$Y97)</f>
        <v>0</v>
      </c>
      <c r="M97" s="417" t="n">
        <f aca="false">IF($A$1="BL",0,'Peak Hours'!M97*Peak!S98*'Peak Hours'!$Y97)</f>
        <v>0</v>
      </c>
      <c r="N97" s="417" t="n">
        <f aca="false">IF($A$1="BL",0,'Peak Hours'!N97*Peak!T98*'Peak Hours'!$Y97)</f>
        <v>0</v>
      </c>
      <c r="O97" s="417" t="n">
        <f aca="false">IF($A$1="BL",0,'Peak Hours'!O97*Peak!U98*'Peak Hours'!$Y97)</f>
        <v>0</v>
      </c>
      <c r="P97" s="417" t="n">
        <f aca="false">IF($A$1="BL",0,'Peak Hours'!P97*Peak!V98*'Peak Hours'!$Y97)</f>
        <v>0</v>
      </c>
      <c r="Q97" s="417" t="n">
        <f aca="false">IF($A$1="BL",0,'Peak Hours'!Q97*Peak!W98*'Peak Hours'!$Y97)</f>
        <v>0</v>
      </c>
      <c r="R97" s="417" t="n">
        <f aca="false">IF($A$1="BL",0,'Peak Hours'!R97*Peak!X98*'Peak Hours'!$Y97)</f>
        <v>0</v>
      </c>
      <c r="S97" s="417" t="n">
        <f aca="false">IF($A$1="BL",0,'Peak Hours'!S97*Peak!Y98*'Peak Hours'!$Y97)</f>
        <v>0</v>
      </c>
      <c r="T97" s="417" t="n">
        <f aca="false">IF($A$1="BL",0,'Peak Hours'!T97*Peak!Z98*'Peak Hours'!$Y97)</f>
        <v>0</v>
      </c>
      <c r="U97" s="417" t="n">
        <f aca="false">IF($A$1="BL",0,'Peak Hours'!U97*Peak!AA98*'Peak Hours'!$Y97)</f>
        <v>0</v>
      </c>
      <c r="V97" s="424"/>
      <c r="W97" s="422" t="n">
        <f aca="false">(IF($A$1="BL",0,Peak!C98*'Peak Hours'!V97*'Peak Hours'!$Y97))*-1</f>
        <v>-6840023.55978518</v>
      </c>
      <c r="X97" s="424"/>
      <c r="Y97" s="422" t="n">
        <f aca="false">(IF($A$1="bl",0,Peak!D98*'Peak Hours'!V97*'Peak Hours'!$Y97))*-1</f>
        <v>-121373.440626498</v>
      </c>
      <c r="Z97" s="424"/>
      <c r="AA97" s="422" t="n">
        <f aca="false">(Peak!E98*'Peak Hours'!V97*'Peak Hours'!$Y97)*-1</f>
        <v>-0</v>
      </c>
      <c r="AB97" s="425"/>
      <c r="AC97" s="422" t="n">
        <f aca="false">(Peak!F98*'Peak Hours'!V97*'Peak Hours'!$Y97)*-1</f>
        <v>-0</v>
      </c>
      <c r="AD97" s="425"/>
    </row>
    <row r="98" customFormat="false" ht="12.75" hidden="false" customHeight="false" outlineLevel="0" collapsed="false">
      <c r="A98" s="400" t="n">
        <f aca="false">A97+30.417</f>
        <v>39216.696</v>
      </c>
      <c r="B98" s="417" t="n">
        <f aca="false">IF($A$1="BL",0,'Peak Hours'!B98*Peak!H99*'Peak Hours'!$Y98)</f>
        <v>252840.953096808</v>
      </c>
      <c r="C98" s="417" t="n">
        <f aca="false">IF($A$1="BL",0,'Peak Hours'!C98*Peak!I99*'Peak Hours'!$Y98)</f>
        <v>231680.642089151</v>
      </c>
      <c r="D98" s="417" t="n">
        <f aca="false">IF($A$1="BL",0,'Peak Hours'!D98*Peak!J99*'Peak Hours'!$Y98)</f>
        <v>437497.482548243</v>
      </c>
      <c r="E98" s="417" t="n">
        <f aca="false">IF($A$1="BL",0,'Peak Hours'!E98*Peak!K99*'Peak Hours'!$Y98)</f>
        <v>808258.847392358</v>
      </c>
      <c r="F98" s="417" t="n">
        <f aca="false">IF($A$1="BL",0,'Peak Hours'!F98*Peak!L99*'Peak Hours'!$Y98)</f>
        <v>789925.218307485</v>
      </c>
      <c r="G98" s="417" t="n">
        <f aca="false">IF($A$1="BL",0,'Peak Hours'!G98*Peak!M99*'Peak Hours'!$Y98)</f>
        <v>1513097.52356293</v>
      </c>
      <c r="H98" s="417" t="n">
        <f aca="false">IF($A$1="BL",0,'Peak Hours'!H98*Peak!N99*'Peak Hours'!$Y98)</f>
        <v>1178853.21636092</v>
      </c>
      <c r="I98" s="417" t="n">
        <f aca="false">IF($A$1="BL",0,'Peak Hours'!I98*Peak!O99*'Peak Hours'!$Y98)</f>
        <v>0</v>
      </c>
      <c r="J98" s="417" t="n">
        <f aca="false">IF($A$1="BL",0,'Peak Hours'!J98*Peak!P99*'Peak Hours'!$Y98)</f>
        <v>0</v>
      </c>
      <c r="K98" s="417" t="n">
        <f aca="false">IF($A$1="BL",0,'Peak Hours'!K98*Peak!Q99*'Peak Hours'!$Y98)</f>
        <v>0</v>
      </c>
      <c r="L98" s="417" t="n">
        <f aca="false">IF($A$1="BL",0,'Peak Hours'!L98*Peak!R99*'Peak Hours'!$Y98)</f>
        <v>0</v>
      </c>
      <c r="M98" s="417" t="n">
        <f aca="false">IF($A$1="BL",0,'Peak Hours'!M98*Peak!S99*'Peak Hours'!$Y98)</f>
        <v>0</v>
      </c>
      <c r="N98" s="417" t="n">
        <f aca="false">IF($A$1="BL",0,'Peak Hours'!N98*Peak!T99*'Peak Hours'!$Y98)</f>
        <v>0</v>
      </c>
      <c r="O98" s="417" t="n">
        <f aca="false">IF($A$1="BL",0,'Peak Hours'!O98*Peak!U99*'Peak Hours'!$Y98)</f>
        <v>0</v>
      </c>
      <c r="P98" s="417" t="n">
        <f aca="false">IF($A$1="BL",0,'Peak Hours'!P98*Peak!V99*'Peak Hours'!$Y98)</f>
        <v>0</v>
      </c>
      <c r="Q98" s="417" t="n">
        <f aca="false">IF($A$1="BL",0,'Peak Hours'!Q98*Peak!W99*'Peak Hours'!$Y98)</f>
        <v>0</v>
      </c>
      <c r="R98" s="417" t="n">
        <f aca="false">IF($A$1="BL",0,'Peak Hours'!R98*Peak!X99*'Peak Hours'!$Y98)</f>
        <v>0</v>
      </c>
      <c r="S98" s="417" t="n">
        <f aca="false">IF($A$1="BL",0,'Peak Hours'!S98*Peak!Y99*'Peak Hours'!$Y98)</f>
        <v>0</v>
      </c>
      <c r="T98" s="417" t="n">
        <f aca="false">IF($A$1="BL",0,'Peak Hours'!T98*Peak!Z99*'Peak Hours'!$Y98)</f>
        <v>0</v>
      </c>
      <c r="U98" s="417" t="n">
        <f aca="false">IF($A$1="BL",0,'Peak Hours'!U98*Peak!AA99*'Peak Hours'!$Y98)</f>
        <v>0</v>
      </c>
      <c r="V98" s="424"/>
      <c r="W98" s="422" t="n">
        <f aca="false">(IF($A$1="BL",0,Peak!C99*'Peak Hours'!V98*'Peak Hours'!$Y98))*-1</f>
        <v>-3877962.07520584</v>
      </c>
      <c r="X98" s="424"/>
      <c r="Y98" s="422" t="n">
        <f aca="false">(IF($A$1="bl",0,Peak!D99*'Peak Hours'!V98*'Peak Hours'!$Y98))*-1</f>
        <v>-65463.8544507279</v>
      </c>
      <c r="Z98" s="424"/>
      <c r="AA98" s="422" t="n">
        <f aca="false">(Peak!E99*'Peak Hours'!V98*'Peak Hours'!$Y98)*-1</f>
        <v>-0</v>
      </c>
      <c r="AB98" s="425"/>
      <c r="AC98" s="422" t="n">
        <f aca="false">(Peak!F99*'Peak Hours'!V98*'Peak Hours'!$Y98)*-1</f>
        <v>-0</v>
      </c>
      <c r="AD98" s="425"/>
    </row>
    <row r="99" customFormat="false" ht="12.75" hidden="false" customHeight="false" outlineLevel="0" collapsed="false">
      <c r="A99" s="400" t="n">
        <f aca="false">A98+30.417</f>
        <v>39247.113</v>
      </c>
      <c r="B99" s="417" t="n">
        <f aca="false">IF($A$1="BL",0,'Peak Hours'!B99*Peak!H100*'Peak Hours'!$Y99)</f>
        <v>716746.285965924</v>
      </c>
      <c r="C99" s="417" t="n">
        <f aca="false">IF($A$1="BL",0,'Peak Hours'!C99*Peak!I100*'Peak Hours'!$Y99)</f>
        <v>579123.617026167</v>
      </c>
      <c r="D99" s="417" t="n">
        <f aca="false">IF($A$1="BL",0,'Peak Hours'!D99*Peak!J100*'Peak Hours'!$Y99)</f>
        <v>954890.492350042</v>
      </c>
      <c r="E99" s="417" t="n">
        <f aca="false">IF($A$1="BL",0,'Peak Hours'!E99*Peak!K100*'Peak Hours'!$Y99)</f>
        <v>1214336.79757349</v>
      </c>
      <c r="F99" s="417" t="n">
        <f aca="false">IF($A$1="BL",0,'Peak Hours'!F99*Peak!L100*'Peak Hours'!$Y99)</f>
        <v>1013581.37201967</v>
      </c>
      <c r="G99" s="417" t="n">
        <f aca="false">IF($A$1="BL",0,'Peak Hours'!G99*Peak!M100*'Peak Hours'!$Y99)</f>
        <v>1778864.95529894</v>
      </c>
      <c r="H99" s="417" t="n">
        <f aca="false">IF($A$1="BL",0,'Peak Hours'!H99*Peak!N100*'Peak Hours'!$Y99)</f>
        <v>1638599.84341669</v>
      </c>
      <c r="I99" s="417" t="n">
        <f aca="false">IF($A$1="BL",0,'Peak Hours'!I99*Peak!O100*'Peak Hours'!$Y99)</f>
        <v>1498246.26299534</v>
      </c>
      <c r="J99" s="417" t="n">
        <f aca="false">IF($A$1="BL",0,'Peak Hours'!J99*Peak!P100*'Peak Hours'!$Y99)</f>
        <v>1223284.50453844</v>
      </c>
      <c r="K99" s="417" t="n">
        <f aca="false">IF($A$1="BL",0,'Peak Hours'!K99*Peak!Q100*'Peak Hours'!$Y99)</f>
        <v>1143525.99436658</v>
      </c>
      <c r="L99" s="417" t="n">
        <f aca="false">IF($A$1="BL",0,'Peak Hours'!L99*Peak!R100*'Peak Hours'!$Y99)</f>
        <v>0</v>
      </c>
      <c r="M99" s="417" t="n">
        <f aca="false">IF($A$1="BL",0,'Peak Hours'!M99*Peak!S100*'Peak Hours'!$Y99)</f>
        <v>0</v>
      </c>
      <c r="N99" s="417" t="n">
        <f aca="false">IF($A$1="BL",0,'Peak Hours'!N99*Peak!T100*'Peak Hours'!$Y99)</f>
        <v>0</v>
      </c>
      <c r="O99" s="417" t="n">
        <f aca="false">IF($A$1="BL",0,'Peak Hours'!O99*Peak!U100*'Peak Hours'!$Y99)</f>
        <v>0</v>
      </c>
      <c r="P99" s="417" t="n">
        <f aca="false">IF($A$1="BL",0,'Peak Hours'!P99*Peak!V100*'Peak Hours'!$Y99)</f>
        <v>0</v>
      </c>
      <c r="Q99" s="417" t="n">
        <f aca="false">IF($A$1="BL",0,'Peak Hours'!Q99*Peak!W100*'Peak Hours'!$Y99)</f>
        <v>0</v>
      </c>
      <c r="R99" s="417" t="n">
        <f aca="false">IF($A$1="BL",0,'Peak Hours'!R99*Peak!X100*'Peak Hours'!$Y99)</f>
        <v>0</v>
      </c>
      <c r="S99" s="417" t="n">
        <f aca="false">IF($A$1="BL",0,'Peak Hours'!S99*Peak!Y100*'Peak Hours'!$Y99)</f>
        <v>0</v>
      </c>
      <c r="T99" s="417" t="n">
        <f aca="false">IF($A$1="BL",0,'Peak Hours'!T99*Peak!Z100*'Peak Hours'!$Y99)</f>
        <v>0</v>
      </c>
      <c r="U99" s="417" t="n">
        <f aca="false">IF($A$1="BL",0,'Peak Hours'!U99*Peak!AA100*'Peak Hours'!$Y99)</f>
        <v>0</v>
      </c>
      <c r="V99" s="424"/>
      <c r="W99" s="422" t="n">
        <f aca="false">(IF($A$1="BL",0,Peak!C100*'Peak Hours'!V99*'Peak Hours'!$Y99))*-1</f>
        <v>-6978180.59506383</v>
      </c>
      <c r="X99" s="424"/>
      <c r="Y99" s="422" t="n">
        <f aca="false">(IF($A$1="bl",0,Peak!D100*'Peak Hours'!V99*'Peak Hours'!$Y99))*-1</f>
        <v>-123844.916547946</v>
      </c>
      <c r="Z99" s="424"/>
      <c r="AA99" s="422" t="n">
        <f aca="false">(Peak!E100*'Peak Hours'!V99*'Peak Hours'!$Y99)*-1</f>
        <v>-0</v>
      </c>
      <c r="AB99" s="425"/>
      <c r="AC99" s="422" t="n">
        <f aca="false">(Peak!F100*'Peak Hours'!V99*'Peak Hours'!$Y99)*-1</f>
        <v>-0</v>
      </c>
      <c r="AD99" s="425"/>
    </row>
    <row r="100" customFormat="false" ht="12.75" hidden="false" customHeight="false" outlineLevel="0" collapsed="false">
      <c r="A100" s="400" t="n">
        <f aca="false">A99+30.417</f>
        <v>39277.53</v>
      </c>
      <c r="B100" s="417" t="n">
        <f aca="false">IF($A$1="BL",0,'Peak Hours'!B100*Peak!H101*'Peak Hours'!$Y100)</f>
        <v>998979.193289423</v>
      </c>
      <c r="C100" s="417" t="n">
        <f aca="false">IF($A$1="BL",0,'Peak Hours'!C100*Peak!I101*'Peak Hours'!$Y100)</f>
        <v>765618.965167405</v>
      </c>
      <c r="D100" s="417" t="n">
        <f aca="false">IF($A$1="BL",0,'Peak Hours'!D100*Peak!J101*'Peak Hours'!$Y100)</f>
        <v>1250157.30514553</v>
      </c>
      <c r="E100" s="417" t="n">
        <f aca="false">IF($A$1="BL",0,'Peak Hours'!E100*Peak!K101*'Peak Hours'!$Y100)</f>
        <v>1983139.80157704</v>
      </c>
      <c r="F100" s="417" t="n">
        <f aca="false">IF($A$1="BL",0,'Peak Hours'!F100*Peak!L101*'Peak Hours'!$Y100)</f>
        <v>1280868.77313846</v>
      </c>
      <c r="G100" s="417" t="n">
        <f aca="false">IF($A$1="BL",0,'Peak Hours'!G100*Peak!M101*'Peak Hours'!$Y100)</f>
        <v>2278084.4148602</v>
      </c>
      <c r="H100" s="417" t="n">
        <f aca="false">IF($A$1="BL",0,'Peak Hours'!H100*Peak!N101*'Peak Hours'!$Y100)</f>
        <v>2086579.11373459</v>
      </c>
      <c r="I100" s="417" t="n">
        <f aca="false">IF($A$1="BL",0,'Peak Hours'!I100*Peak!O101*'Peak Hours'!$Y100)</f>
        <v>2022513.99697226</v>
      </c>
      <c r="J100" s="417" t="n">
        <f aca="false">IF($A$1="BL",0,'Peak Hours'!J100*Peak!P101*'Peak Hours'!$Y100)</f>
        <v>1603091.95646092</v>
      </c>
      <c r="K100" s="417" t="n">
        <f aca="false">IF($A$1="BL",0,'Peak Hours'!K100*Peak!Q101*'Peak Hours'!$Y100)</f>
        <v>1264064.64407152</v>
      </c>
      <c r="L100" s="417" t="n">
        <f aca="false">IF($A$1="BL",0,'Peak Hours'!L100*Peak!R101*'Peak Hours'!$Y100)</f>
        <v>1153108.3424558</v>
      </c>
      <c r="M100" s="417" t="n">
        <f aca="false">IF($A$1="BL",0,'Peak Hours'!M100*Peak!S101*'Peak Hours'!$Y100)</f>
        <v>0</v>
      </c>
      <c r="N100" s="417" t="n">
        <f aca="false">IF($A$1="BL",0,'Peak Hours'!N100*Peak!T101*'Peak Hours'!$Y100)</f>
        <v>0</v>
      </c>
      <c r="O100" s="417" t="n">
        <f aca="false">IF($A$1="BL",0,'Peak Hours'!O100*Peak!U101*'Peak Hours'!$Y100)</f>
        <v>0</v>
      </c>
      <c r="P100" s="417" t="n">
        <f aca="false">IF($A$1="BL",0,'Peak Hours'!P100*Peak!V101*'Peak Hours'!$Y100)</f>
        <v>0</v>
      </c>
      <c r="Q100" s="417" t="n">
        <f aca="false">IF($A$1="BL",0,'Peak Hours'!Q100*Peak!W101*'Peak Hours'!$Y100)</f>
        <v>0</v>
      </c>
      <c r="R100" s="417" t="n">
        <f aca="false">IF($A$1="BL",0,'Peak Hours'!R100*Peak!X101*'Peak Hours'!$Y100)</f>
        <v>0</v>
      </c>
      <c r="S100" s="417" t="n">
        <f aca="false">IF($A$1="BL",0,'Peak Hours'!S100*Peak!Y101*'Peak Hours'!$Y100)</f>
        <v>0</v>
      </c>
      <c r="T100" s="417" t="n">
        <f aca="false">IF($A$1="BL",0,'Peak Hours'!T100*Peak!Z101*'Peak Hours'!$Y100)</f>
        <v>0</v>
      </c>
      <c r="U100" s="417" t="n">
        <f aca="false">IF($A$1="BL",0,'Peak Hours'!U100*Peak!AA101*'Peak Hours'!$Y100)</f>
        <v>0</v>
      </c>
      <c r="V100" s="424"/>
      <c r="W100" s="422" t="n">
        <f aca="false">(IF($A$1="BL",0,Peak!C101*'Peak Hours'!V100*'Peak Hours'!$Y100))*-1</f>
        <v>-8026266.62893783</v>
      </c>
      <c r="X100" s="424"/>
      <c r="Y100" s="422" t="n">
        <f aca="false">(IF($A$1="bl",0,Peak!D101*'Peak Hours'!V100*'Peak Hours'!$Y100))*-1</f>
        <v>-143136.143933299</v>
      </c>
      <c r="Z100" s="424"/>
      <c r="AA100" s="422" t="n">
        <f aca="false">(Peak!E101*'Peak Hours'!V100*'Peak Hours'!$Y100)*-1</f>
        <v>-0</v>
      </c>
      <c r="AB100" s="425"/>
      <c r="AC100" s="422" t="n">
        <f aca="false">(Peak!F101*'Peak Hours'!V100*'Peak Hours'!$Y100)*-1</f>
        <v>-0</v>
      </c>
      <c r="AD100" s="425"/>
    </row>
    <row r="101" customFormat="false" ht="12.75" hidden="false" customHeight="false" outlineLevel="0" collapsed="false">
      <c r="A101" s="400" t="n">
        <f aca="false">A100+30.417</f>
        <v>39307.947</v>
      </c>
      <c r="B101" s="417" t="n">
        <f aca="false">IF($A$1="BL",0,'Peak Hours'!B101*Peak!H102*'Peak Hours'!$Y101)</f>
        <v>1720238.05842098</v>
      </c>
      <c r="C101" s="417" t="n">
        <f aca="false">IF($A$1="BL",0,'Peak Hours'!C101*Peak!I102*'Peak Hours'!$Y101)</f>
        <v>1178898.41777805</v>
      </c>
      <c r="D101" s="417" t="n">
        <f aca="false">IF($A$1="BL",0,'Peak Hours'!D101*Peak!J102*'Peak Hours'!$Y101)</f>
        <v>1830996.61154711</v>
      </c>
      <c r="E101" s="417" t="n">
        <f aca="false">IF($A$1="BL",0,'Peak Hours'!E101*Peak!K102*'Peak Hours'!$Y101)</f>
        <v>2679877.00538327</v>
      </c>
      <c r="F101" s="417" t="n">
        <f aca="false">IF($A$1="BL",0,'Peak Hours'!F101*Peak!L102*'Peak Hours'!$Y101)</f>
        <v>2134198.95467407</v>
      </c>
      <c r="G101" s="417" t="n">
        <f aca="false">IF($A$1="BL",0,'Peak Hours'!G101*Peak!M102*'Peak Hours'!$Y101)</f>
        <v>2861912.53483024</v>
      </c>
      <c r="H101" s="417" t="n">
        <f aca="false">IF($A$1="BL",0,'Peak Hours'!H101*Peak!N102*'Peak Hours'!$Y101)</f>
        <v>2382086.66393589</v>
      </c>
      <c r="I101" s="417" t="n">
        <f aca="false">IF($A$1="BL",0,'Peak Hours'!I101*Peak!O102*'Peak Hours'!$Y101)</f>
        <v>2236517.26900983</v>
      </c>
      <c r="J101" s="417" t="n">
        <f aca="false">IF($A$1="BL",0,'Peak Hours'!J101*Peak!P102*'Peak Hours'!$Y101)</f>
        <v>1815308.20871031</v>
      </c>
      <c r="K101" s="417" t="n">
        <f aca="false">IF($A$1="BL",0,'Peak Hours'!K101*Peak!Q102*'Peak Hours'!$Y101)</f>
        <v>1332133.6399283</v>
      </c>
      <c r="L101" s="417" t="n">
        <f aca="false">IF($A$1="BL",0,'Peak Hours'!L101*Peak!R102*'Peak Hours'!$Y101)</f>
        <v>1148384.65845812</v>
      </c>
      <c r="M101" s="417" t="n">
        <f aca="false">IF($A$1="BL",0,'Peak Hours'!M101*Peak!S102*'Peak Hours'!$Y101)</f>
        <v>1082568.82239909</v>
      </c>
      <c r="N101" s="417" t="n">
        <f aca="false">IF($A$1="BL",0,'Peak Hours'!N101*Peak!T102*'Peak Hours'!$Y101)</f>
        <v>1047256.11574201</v>
      </c>
      <c r="O101" s="417" t="n">
        <f aca="false">IF($A$1="BL",0,'Peak Hours'!O101*Peak!U102*'Peak Hours'!$Y101)</f>
        <v>0</v>
      </c>
      <c r="P101" s="417" t="n">
        <f aca="false">IF($A$1="BL",0,'Peak Hours'!P101*Peak!V102*'Peak Hours'!$Y101)</f>
        <v>0</v>
      </c>
      <c r="Q101" s="417" t="n">
        <f aca="false">IF($A$1="BL",0,'Peak Hours'!Q101*Peak!W102*'Peak Hours'!$Y101)</f>
        <v>0</v>
      </c>
      <c r="R101" s="417" t="n">
        <f aca="false">IF($A$1="BL",0,'Peak Hours'!R101*Peak!X102*'Peak Hours'!$Y101)</f>
        <v>0</v>
      </c>
      <c r="S101" s="417" t="n">
        <f aca="false">IF($A$1="BL",0,'Peak Hours'!S101*Peak!Y102*'Peak Hours'!$Y101)</f>
        <v>0</v>
      </c>
      <c r="T101" s="417" t="n">
        <f aca="false">IF($A$1="BL",0,'Peak Hours'!T101*Peak!Z102*'Peak Hours'!$Y101)</f>
        <v>0</v>
      </c>
      <c r="U101" s="417" t="n">
        <f aca="false">IF($A$1="BL",0,'Peak Hours'!U101*Peak!AA102*'Peak Hours'!$Y101)</f>
        <v>0</v>
      </c>
      <c r="V101" s="424"/>
      <c r="W101" s="422" t="n">
        <f aca="false">(IF($A$1="BL",0,Peak!C102*'Peak Hours'!V101*'Peak Hours'!$Y101))*-1</f>
        <v>-9639447.13164287</v>
      </c>
      <c r="X101" s="424"/>
      <c r="Y101" s="422" t="n">
        <f aca="false">(IF($A$1="bl",0,Peak!D102*'Peak Hours'!V101*'Peak Hours'!$Y101))*-1</f>
        <v>-181607.958619371</v>
      </c>
      <c r="Z101" s="424"/>
      <c r="AA101" s="422" t="n">
        <f aca="false">(Peak!E102*'Peak Hours'!V101*'Peak Hours'!$Y101)*-1</f>
        <v>-0</v>
      </c>
      <c r="AB101" s="425"/>
      <c r="AC101" s="422" t="n">
        <f aca="false">(Peak!F102*'Peak Hours'!V101*'Peak Hours'!$Y101)*-1</f>
        <v>-0</v>
      </c>
      <c r="AD101" s="425"/>
    </row>
    <row r="102" customFormat="false" ht="12.75" hidden="false" customHeight="false" outlineLevel="0" collapsed="false">
      <c r="A102" s="400" t="n">
        <f aca="false">A101+30.417</f>
        <v>39338.364</v>
      </c>
      <c r="B102" s="417" t="n">
        <f aca="false">IF($A$1="BL",0,'Peak Hours'!B102*Peak!H103*'Peak Hours'!$Y102)</f>
        <v>751780.936408046</v>
      </c>
      <c r="C102" s="417" t="n">
        <f aca="false">IF($A$1="BL",0,'Peak Hours'!C102*Peak!I103*'Peak Hours'!$Y102)</f>
        <v>602595.321307801</v>
      </c>
      <c r="D102" s="417" t="n">
        <f aca="false">IF($A$1="BL",0,'Peak Hours'!D102*Peak!J103*'Peak Hours'!$Y102)</f>
        <v>1057249.50397765</v>
      </c>
      <c r="E102" s="417" t="n">
        <f aca="false">IF($A$1="BL",0,'Peak Hours'!E102*Peak!K103*'Peak Hours'!$Y102)</f>
        <v>1257671.16241296</v>
      </c>
      <c r="F102" s="417" t="n">
        <f aca="false">IF($A$1="BL",0,'Peak Hours'!F102*Peak!L103*'Peak Hours'!$Y102)</f>
        <v>1012952.90518472</v>
      </c>
      <c r="G102" s="417" t="n">
        <f aca="false">IF($A$1="BL",0,'Peak Hours'!G102*Peak!M103*'Peak Hours'!$Y102)</f>
        <v>1689645.48132194</v>
      </c>
      <c r="H102" s="417" t="n">
        <f aca="false">IF($A$1="BL",0,'Peak Hours'!H102*Peak!N103*'Peak Hours'!$Y102)</f>
        <v>1507924.7973283</v>
      </c>
      <c r="I102" s="417" t="n">
        <f aca="false">IF($A$1="BL",0,'Peak Hours'!I102*Peak!O103*'Peak Hours'!$Y102)</f>
        <v>1454193.92518818</v>
      </c>
      <c r="J102" s="417" t="n">
        <f aca="false">IF($A$1="BL",0,'Peak Hours'!J102*Peak!P103*'Peak Hours'!$Y102)</f>
        <v>1285851.50144211</v>
      </c>
      <c r="K102" s="417" t="n">
        <f aca="false">IF($A$1="BL",0,'Peak Hours'!K102*Peak!Q103*'Peak Hours'!$Y102)</f>
        <v>1152950.5236873</v>
      </c>
      <c r="L102" s="417" t="n">
        <f aca="false">IF($A$1="BL",0,'Peak Hours'!L102*Peak!R103*'Peak Hours'!$Y102)</f>
        <v>1035636.37428522</v>
      </c>
      <c r="M102" s="417" t="n">
        <f aca="false">IF($A$1="BL",0,'Peak Hours'!M102*Peak!S103*'Peak Hours'!$Y102)</f>
        <v>0</v>
      </c>
      <c r="N102" s="417" t="n">
        <f aca="false">IF($A$1="BL",0,'Peak Hours'!N102*Peak!T103*'Peak Hours'!$Y102)</f>
        <v>0</v>
      </c>
      <c r="O102" s="417" t="n">
        <f aca="false">IF($A$1="BL",0,'Peak Hours'!O102*Peak!U103*'Peak Hours'!$Y102)</f>
        <v>0</v>
      </c>
      <c r="P102" s="417" t="n">
        <f aca="false">IF($A$1="BL",0,'Peak Hours'!P102*Peak!V103*'Peak Hours'!$Y102)</f>
        <v>0</v>
      </c>
      <c r="Q102" s="417" t="n">
        <f aca="false">IF($A$1="BL",0,'Peak Hours'!Q102*Peak!W103*'Peak Hours'!$Y102)</f>
        <v>0</v>
      </c>
      <c r="R102" s="417" t="n">
        <f aca="false">IF($A$1="BL",0,'Peak Hours'!R102*Peak!X103*'Peak Hours'!$Y102)</f>
        <v>0</v>
      </c>
      <c r="S102" s="417" t="n">
        <f aca="false">IF($A$1="BL",0,'Peak Hours'!S102*Peak!Y103*'Peak Hours'!$Y102)</f>
        <v>0</v>
      </c>
      <c r="T102" s="417" t="n">
        <f aca="false">IF($A$1="BL",0,'Peak Hours'!T102*Peak!Z103*'Peak Hours'!$Y102)</f>
        <v>0</v>
      </c>
      <c r="U102" s="417" t="n">
        <f aca="false">IF($A$1="BL",0,'Peak Hours'!U102*Peak!AA103*'Peak Hours'!$Y102)</f>
        <v>0</v>
      </c>
      <c r="V102" s="424"/>
      <c r="W102" s="422" t="n">
        <f aca="false">(IF($A$1="BL",0,Peak!C103*'Peak Hours'!V102*'Peak Hours'!$Y102))*-1</f>
        <v>-7458047.66653012</v>
      </c>
      <c r="X102" s="424"/>
      <c r="Y102" s="422" t="n">
        <f aca="false">(IF($A$1="bl",0,Peak!D103*'Peak Hours'!V102*'Peak Hours'!$Y102))*-1</f>
        <v>-141217.226623083</v>
      </c>
      <c r="Z102" s="424"/>
      <c r="AA102" s="422" t="n">
        <f aca="false">(Peak!E103*'Peak Hours'!V102*'Peak Hours'!$Y102)*-1</f>
        <v>-0</v>
      </c>
      <c r="AB102" s="425"/>
      <c r="AC102" s="422" t="n">
        <f aca="false">(Peak!F103*'Peak Hours'!V102*'Peak Hours'!$Y102)*-1</f>
        <v>-0</v>
      </c>
      <c r="AD102" s="425"/>
    </row>
    <row r="103" customFormat="false" ht="12.75" hidden="false" customHeight="false" outlineLevel="0" collapsed="false">
      <c r="A103" s="400" t="n">
        <f aca="false">A102+30.417</f>
        <v>39368.781</v>
      </c>
      <c r="B103" s="417" t="n">
        <f aca="false">IF($A$1="BL",0,'Peak Hours'!B103*Peak!H104*'Peak Hours'!$Y103)</f>
        <v>302249.499628556</v>
      </c>
      <c r="C103" s="417" t="n">
        <f aca="false">IF($A$1="BL",0,'Peak Hours'!C103*Peak!I104*'Peak Hours'!$Y103)</f>
        <v>267634.4045153</v>
      </c>
      <c r="D103" s="417" t="n">
        <f aca="false">IF($A$1="BL",0,'Peak Hours'!D103*Peak!J104*'Peak Hours'!$Y103)</f>
        <v>504866.134247404</v>
      </c>
      <c r="E103" s="417" t="n">
        <f aca="false">IF($A$1="BL",0,'Peak Hours'!E103*Peak!K104*'Peak Hours'!$Y103)</f>
        <v>950354.479909982</v>
      </c>
      <c r="F103" s="417" t="n">
        <f aca="false">IF($A$1="BL",0,'Peak Hours'!F103*Peak!L104*'Peak Hours'!$Y103)</f>
        <v>903574.892331681</v>
      </c>
      <c r="G103" s="417" t="n">
        <f aca="false">IF($A$1="BL",0,'Peak Hours'!G103*Peak!M104*'Peak Hours'!$Y103)</f>
        <v>1687889.8809138</v>
      </c>
      <c r="H103" s="417" t="n">
        <f aca="false">IF($A$1="BL",0,'Peak Hours'!H103*Peak!N104*'Peak Hours'!$Y103)</f>
        <v>1676347.13920787</v>
      </c>
      <c r="I103" s="417" t="n">
        <f aca="false">IF($A$1="BL",0,'Peak Hours'!I103*Peak!O104*'Peak Hours'!$Y103)</f>
        <v>1579347.61102965</v>
      </c>
      <c r="J103" s="417" t="n">
        <f aca="false">IF($A$1="BL",0,'Peak Hours'!J103*Peak!P104*'Peak Hours'!$Y103)</f>
        <v>1233730.39721603</v>
      </c>
      <c r="K103" s="417" t="n">
        <f aca="false">IF($A$1="BL",0,'Peak Hours'!K103*Peak!Q104*'Peak Hours'!$Y103)</f>
        <v>1178795.50473376</v>
      </c>
      <c r="L103" s="417" t="n">
        <f aca="false">IF($A$1="BL",0,'Peak Hours'!L103*Peak!R104*'Peak Hours'!$Y103)</f>
        <v>0</v>
      </c>
      <c r="M103" s="417" t="n">
        <f aca="false">IF($A$1="BL",0,'Peak Hours'!M103*Peak!S104*'Peak Hours'!$Y103)</f>
        <v>0</v>
      </c>
      <c r="N103" s="417" t="n">
        <f aca="false">IF($A$1="BL",0,'Peak Hours'!N103*Peak!T104*'Peak Hours'!$Y103)</f>
        <v>0</v>
      </c>
      <c r="O103" s="417" t="n">
        <f aca="false">IF($A$1="BL",0,'Peak Hours'!O103*Peak!U104*'Peak Hours'!$Y103)</f>
        <v>0</v>
      </c>
      <c r="P103" s="417" t="n">
        <f aca="false">IF($A$1="BL",0,'Peak Hours'!P103*Peak!V104*'Peak Hours'!$Y103)</f>
        <v>0</v>
      </c>
      <c r="Q103" s="417" t="n">
        <f aca="false">IF($A$1="BL",0,'Peak Hours'!Q103*Peak!W104*'Peak Hours'!$Y103)</f>
        <v>0</v>
      </c>
      <c r="R103" s="417" t="n">
        <f aca="false">IF($A$1="BL",0,'Peak Hours'!R103*Peak!X104*'Peak Hours'!$Y103)</f>
        <v>0</v>
      </c>
      <c r="S103" s="417" t="n">
        <f aca="false">IF($A$1="BL",0,'Peak Hours'!S103*Peak!Y104*'Peak Hours'!$Y103)</f>
        <v>0</v>
      </c>
      <c r="T103" s="417" t="n">
        <f aca="false">IF($A$1="BL",0,'Peak Hours'!T103*Peak!Z104*'Peak Hours'!$Y103)</f>
        <v>0</v>
      </c>
      <c r="U103" s="417" t="n">
        <f aca="false">IF($A$1="BL",0,'Peak Hours'!U103*Peak!AA104*'Peak Hours'!$Y103)</f>
        <v>0</v>
      </c>
      <c r="V103" s="424"/>
      <c r="W103" s="422" t="n">
        <f aca="false">(IF($A$1="BL",0,Peak!C104*'Peak Hours'!V103*'Peak Hours'!$Y103))*-1</f>
        <v>-7158500.84722491</v>
      </c>
      <c r="X103" s="424"/>
      <c r="Y103" s="422" t="n">
        <f aca="false">(IF($A$1="bl",0,Peak!D104*'Peak Hours'!V103*'Peak Hours'!$Y103))*-1</f>
        <v>-122592.243511795</v>
      </c>
      <c r="Z103" s="424"/>
      <c r="AA103" s="422" t="n">
        <f aca="false">(Peak!E104*'Peak Hours'!V103*'Peak Hours'!$Y103)*-1</f>
        <v>-0</v>
      </c>
      <c r="AB103" s="425"/>
      <c r="AC103" s="422" t="n">
        <f aca="false">(Peak!F104*'Peak Hours'!V103*'Peak Hours'!$Y103)*-1</f>
        <v>-0</v>
      </c>
      <c r="AD103" s="425"/>
    </row>
    <row r="104" customFormat="false" ht="12.75" hidden="false" customHeight="false" outlineLevel="0" collapsed="false">
      <c r="A104" s="400" t="n">
        <f aca="false">A103+30.417</f>
        <v>39399.198</v>
      </c>
      <c r="B104" s="417" t="n">
        <f aca="false">IF($A$1="BL",0,'Peak Hours'!B104*Peak!H105*'Peak Hours'!$Y104)</f>
        <v>292222.72344521</v>
      </c>
      <c r="C104" s="417" t="n">
        <f aca="false">IF($A$1="BL",0,'Peak Hours'!C104*Peak!I105*'Peak Hours'!$Y104)</f>
        <v>283487.897338649</v>
      </c>
      <c r="D104" s="417" t="n">
        <f aca="false">IF($A$1="BL",0,'Peak Hours'!D104*Peak!J105*'Peak Hours'!$Y104)</f>
        <v>544572.401409328</v>
      </c>
      <c r="E104" s="417" t="n">
        <f aca="false">IF($A$1="BL",0,'Peak Hours'!E104*Peak!K105*'Peak Hours'!$Y104)</f>
        <v>1028571.31271153</v>
      </c>
      <c r="F104" s="417" t="n">
        <f aca="false">IF($A$1="BL",0,'Peak Hours'!F104*Peak!L105*'Peak Hours'!$Y104)</f>
        <v>980538.217476344</v>
      </c>
      <c r="G104" s="417" t="n">
        <f aca="false">IF($A$1="BL",0,'Peak Hours'!G104*Peak!M105*'Peak Hours'!$Y104)</f>
        <v>1952642.72869414</v>
      </c>
      <c r="H104" s="417" t="n">
        <f aca="false">IF($A$1="BL",0,'Peak Hours'!H104*Peak!N105*'Peak Hours'!$Y104)</f>
        <v>1821933.37365271</v>
      </c>
      <c r="I104" s="417" t="n">
        <f aca="false">IF($A$1="BL",0,'Peak Hours'!I104*Peak!O105*'Peak Hours'!$Y104)</f>
        <v>1381240.76037179</v>
      </c>
      <c r="J104" s="417" t="n">
        <f aca="false">IF($A$1="BL",0,'Peak Hours'!J104*Peak!P105*'Peak Hours'!$Y104)</f>
        <v>1260344.90856943</v>
      </c>
      <c r="K104" s="417" t="n">
        <f aca="false">IF($A$1="BL",0,'Peak Hours'!K104*Peak!Q105*'Peak Hours'!$Y104)</f>
        <v>0</v>
      </c>
      <c r="L104" s="417" t="n">
        <f aca="false">IF($A$1="BL",0,'Peak Hours'!L104*Peak!R105*'Peak Hours'!$Y104)</f>
        <v>0</v>
      </c>
      <c r="M104" s="417" t="n">
        <f aca="false">IF($A$1="BL",0,'Peak Hours'!M104*Peak!S105*'Peak Hours'!$Y104)</f>
        <v>0</v>
      </c>
      <c r="N104" s="417" t="n">
        <f aca="false">IF($A$1="BL",0,'Peak Hours'!N104*Peak!T105*'Peak Hours'!$Y104)</f>
        <v>0</v>
      </c>
      <c r="O104" s="417" t="n">
        <f aca="false">IF($A$1="BL",0,'Peak Hours'!O104*Peak!U105*'Peak Hours'!$Y104)</f>
        <v>0</v>
      </c>
      <c r="P104" s="417" t="n">
        <f aca="false">IF($A$1="BL",0,'Peak Hours'!P104*Peak!V105*'Peak Hours'!$Y104)</f>
        <v>0</v>
      </c>
      <c r="Q104" s="417" t="n">
        <f aca="false">IF($A$1="BL",0,'Peak Hours'!Q104*Peak!W105*'Peak Hours'!$Y104)</f>
        <v>0</v>
      </c>
      <c r="R104" s="417" t="n">
        <f aca="false">IF($A$1="BL",0,'Peak Hours'!R104*Peak!X105*'Peak Hours'!$Y104)</f>
        <v>0</v>
      </c>
      <c r="S104" s="417" t="n">
        <f aca="false">IF($A$1="BL",0,'Peak Hours'!S104*Peak!Y105*'Peak Hours'!$Y104)</f>
        <v>0</v>
      </c>
      <c r="T104" s="417" t="n">
        <f aca="false">IF($A$1="BL",0,'Peak Hours'!T104*Peak!Z105*'Peak Hours'!$Y104)</f>
        <v>0</v>
      </c>
      <c r="U104" s="417" t="n">
        <f aca="false">IF($A$1="BL",0,'Peak Hours'!U104*Peak!AA105*'Peak Hours'!$Y104)</f>
        <v>0</v>
      </c>
      <c r="V104" s="424"/>
      <c r="W104" s="422" t="n">
        <f aca="false">(IF($A$1="BL",0,Peak!C105*'Peak Hours'!V104*'Peak Hours'!$Y104))*-1</f>
        <v>-6632901.96725444</v>
      </c>
      <c r="X104" s="424"/>
      <c r="Y104" s="422" t="n">
        <f aca="false">(IF($A$1="bl",0,Peak!D105*'Peak Hours'!V104*'Peak Hours'!$Y104))*-1</f>
        <v>-103904.784853394</v>
      </c>
      <c r="Z104" s="424"/>
      <c r="AA104" s="422" t="n">
        <f aca="false">(Peak!E105*'Peak Hours'!V104*'Peak Hours'!$Y104)*-1</f>
        <v>-0</v>
      </c>
      <c r="AB104" s="425"/>
      <c r="AC104" s="422" t="n">
        <f aca="false">(Peak!F105*'Peak Hours'!V104*'Peak Hours'!$Y104)*-1</f>
        <v>-0</v>
      </c>
      <c r="AD104" s="425"/>
    </row>
    <row r="105" customFormat="false" ht="12.75" hidden="false" customHeight="false" outlineLevel="0" collapsed="false">
      <c r="A105" s="400" t="n">
        <f aca="false">A104+30.417</f>
        <v>39429.615</v>
      </c>
      <c r="B105" s="417" t="n">
        <f aca="false">IF($A$1="BL",0,'Peak Hours'!B105*Peak!H106*'Peak Hours'!$Y105)</f>
        <v>321236.204475581</v>
      </c>
      <c r="C105" s="417" t="n">
        <f aca="false">IF($A$1="BL",0,'Peak Hours'!C105*Peak!I106*'Peak Hours'!$Y105)</f>
        <v>308039.032249726</v>
      </c>
      <c r="D105" s="417" t="n">
        <f aca="false">IF($A$1="BL",0,'Peak Hours'!D105*Peak!J106*'Peak Hours'!$Y105)</f>
        <v>598703.984413708</v>
      </c>
      <c r="E105" s="417" t="n">
        <f aca="false">IF($A$1="BL",0,'Peak Hours'!E105*Peak!K106*'Peak Hours'!$Y105)</f>
        <v>1141511.20017962</v>
      </c>
      <c r="F105" s="417" t="n">
        <f aca="false">IF($A$1="BL",0,'Peak Hours'!F105*Peak!L106*'Peak Hours'!$Y105)</f>
        <v>1089133.4756964</v>
      </c>
      <c r="G105" s="417" t="n">
        <f aca="false">IF($A$1="BL",0,'Peak Hours'!G105*Peak!M106*'Peak Hours'!$Y105)</f>
        <v>2168508.43830885</v>
      </c>
      <c r="H105" s="417" t="n">
        <f aca="false">IF($A$1="BL",0,'Peak Hours'!H105*Peak!N106*'Peak Hours'!$Y105)</f>
        <v>2047156.4367865</v>
      </c>
      <c r="I105" s="417" t="n">
        <f aca="false">IF($A$1="BL",0,'Peak Hours'!I105*Peak!O106*'Peak Hours'!$Y105)</f>
        <v>1581337.99942739</v>
      </c>
      <c r="J105" s="417" t="n">
        <f aca="false">IF($A$1="BL",0,'Peak Hours'!J105*Peak!P106*'Peak Hours'!$Y105)</f>
        <v>1389266.93383068</v>
      </c>
      <c r="K105" s="417" t="n">
        <f aca="false">IF($A$1="BL",0,'Peak Hours'!K105*Peak!Q106*'Peak Hours'!$Y105)</f>
        <v>0</v>
      </c>
      <c r="L105" s="417" t="n">
        <f aca="false">IF($A$1="BL",0,'Peak Hours'!L105*Peak!R106*'Peak Hours'!$Y105)</f>
        <v>0</v>
      </c>
      <c r="M105" s="417" t="n">
        <f aca="false">IF($A$1="BL",0,'Peak Hours'!M105*Peak!S106*'Peak Hours'!$Y105)</f>
        <v>0</v>
      </c>
      <c r="N105" s="417" t="n">
        <f aca="false">IF($A$1="BL",0,'Peak Hours'!N105*Peak!T106*'Peak Hours'!$Y105)</f>
        <v>0</v>
      </c>
      <c r="O105" s="417" t="n">
        <f aca="false">IF($A$1="BL",0,'Peak Hours'!O105*Peak!U106*'Peak Hours'!$Y105)</f>
        <v>0</v>
      </c>
      <c r="P105" s="417" t="n">
        <f aca="false">IF($A$1="BL",0,'Peak Hours'!P105*Peak!V106*'Peak Hours'!$Y105)</f>
        <v>0</v>
      </c>
      <c r="Q105" s="417" t="n">
        <f aca="false">IF($A$1="BL",0,'Peak Hours'!Q105*Peak!W106*'Peak Hours'!$Y105)</f>
        <v>0</v>
      </c>
      <c r="R105" s="417" t="n">
        <f aca="false">IF($A$1="BL",0,'Peak Hours'!R105*Peak!X106*'Peak Hours'!$Y105)</f>
        <v>0</v>
      </c>
      <c r="S105" s="417" t="n">
        <f aca="false">IF($A$1="BL",0,'Peak Hours'!S105*Peak!Y106*'Peak Hours'!$Y105)</f>
        <v>0</v>
      </c>
      <c r="T105" s="417" t="n">
        <f aca="false">IF($A$1="BL",0,'Peak Hours'!T105*Peak!Z106*'Peak Hours'!$Y105)</f>
        <v>0</v>
      </c>
      <c r="U105" s="417" t="n">
        <f aca="false">IF($A$1="BL",0,'Peak Hours'!U105*Peak!AA106*'Peak Hours'!$Y105)</f>
        <v>0</v>
      </c>
      <c r="V105" s="426" t="n">
        <f aca="false">SUM(B94:U105)</f>
        <v>138612873.427859</v>
      </c>
      <c r="W105" s="422" t="n">
        <f aca="false">(IF($A$1="BL",0,Peak!C106*'Peak Hours'!V105*'Peak Hours'!$Y105))*-1</f>
        <v>-6983627.96321672</v>
      </c>
      <c r="X105" s="426" t="n">
        <f aca="false">SUM(W94:W105)</f>
        <v>-83281850.042701</v>
      </c>
      <c r="Y105" s="422" t="n">
        <f aca="false">(IF($A$1="bl",0,Peak!D106*'Peak Hours'!V105*'Peak Hours'!$Y105))*-1</f>
        <v>-101259.815254766</v>
      </c>
      <c r="Z105" s="426" t="n">
        <f aca="false">SUM(Y94:Y105)</f>
        <v>-1424641.46386179</v>
      </c>
      <c r="AA105" s="422" t="n">
        <f aca="false">(Peak!E106*'Peak Hours'!V105*'Peak Hours'!$Y105)*-1</f>
        <v>-0</v>
      </c>
      <c r="AB105" s="427" t="n">
        <f aca="false">SUM(AA94:AA105)</f>
        <v>0</v>
      </c>
      <c r="AC105" s="422" t="n">
        <f aca="false">(Peak!F106*'Peak Hours'!V105*'Peak Hours'!$Y105)*-1</f>
        <v>-0</v>
      </c>
      <c r="AD105" s="427" t="n">
        <f aca="false">SUM(AC94:AC105)</f>
        <v>0</v>
      </c>
    </row>
    <row r="106" customFormat="false" ht="12.75" hidden="false" customHeight="false" outlineLevel="0" collapsed="false">
      <c r="A106" s="400" t="n">
        <f aca="false">A105+30.417</f>
        <v>39460.032</v>
      </c>
      <c r="B106" s="417" t="n">
        <f aca="false">IF($A$1="BL",0,'Peak Hours'!B106*Peak!H107*'Peak Hours'!$Y106)</f>
        <v>475848.295143648</v>
      </c>
      <c r="C106" s="417" t="n">
        <f aca="false">IF($A$1="BL",0,'Peak Hours'!C106*Peak!I107*'Peak Hours'!$Y106)</f>
        <v>394292.136244847</v>
      </c>
      <c r="D106" s="417" t="n">
        <f aca="false">IF($A$1="BL",0,'Peak Hours'!D106*Peak!J107*'Peak Hours'!$Y106)</f>
        <v>676684.568373923</v>
      </c>
      <c r="E106" s="417" t="n">
        <f aca="false">IF($A$1="BL",0,'Peak Hours'!E106*Peak!K107*'Peak Hours'!$Y106)</f>
        <v>1068220.76566219</v>
      </c>
      <c r="F106" s="417" t="n">
        <f aca="false">IF($A$1="BL",0,'Peak Hours'!F106*Peak!L107*'Peak Hours'!$Y106)</f>
        <v>998060.430393227</v>
      </c>
      <c r="G106" s="417" t="n">
        <f aca="false">IF($A$1="BL",0,'Peak Hours'!G106*Peak!M107*'Peak Hours'!$Y106)</f>
        <v>1855682.56005493</v>
      </c>
      <c r="H106" s="417" t="n">
        <f aca="false">IF($A$1="BL",0,'Peak Hours'!H106*Peak!N107*'Peak Hours'!$Y106)</f>
        <v>1804922.64924284</v>
      </c>
      <c r="I106" s="417" t="n">
        <f aca="false">IF($A$1="BL",0,'Peak Hours'!I106*Peak!O107*'Peak Hours'!$Y106)</f>
        <v>1759794.68097421</v>
      </c>
      <c r="J106" s="417" t="n">
        <f aca="false">IF($A$1="BL",0,'Peak Hours'!J106*Peak!P107*'Peak Hours'!$Y106)</f>
        <v>1441136.46410931</v>
      </c>
      <c r="K106" s="417" t="n">
        <f aca="false">IF($A$1="BL",0,'Peak Hours'!K106*Peak!Q107*'Peak Hours'!$Y106)</f>
        <v>1244116.31840277</v>
      </c>
      <c r="L106" s="417" t="n">
        <f aca="false">IF($A$1="BL",0,'Peak Hours'!L106*Peak!R107*'Peak Hours'!$Y106)</f>
        <v>0</v>
      </c>
      <c r="M106" s="417" t="n">
        <f aca="false">IF($A$1="BL",0,'Peak Hours'!M106*Peak!S107*'Peak Hours'!$Y106)</f>
        <v>0</v>
      </c>
      <c r="N106" s="417" t="n">
        <f aca="false">IF($A$1="BL",0,'Peak Hours'!N106*Peak!T107*'Peak Hours'!$Y106)</f>
        <v>0</v>
      </c>
      <c r="O106" s="417" t="n">
        <f aca="false">IF($A$1="BL",0,'Peak Hours'!O106*Peak!U107*'Peak Hours'!$Y106)</f>
        <v>0</v>
      </c>
      <c r="P106" s="417" t="n">
        <f aca="false">IF($A$1="BL",0,'Peak Hours'!P106*Peak!V107*'Peak Hours'!$Y106)</f>
        <v>0</v>
      </c>
      <c r="Q106" s="417" t="n">
        <f aca="false">IF($A$1="BL",0,'Peak Hours'!Q106*Peak!W107*'Peak Hours'!$Y106)</f>
        <v>0</v>
      </c>
      <c r="R106" s="417" t="n">
        <f aca="false">IF($A$1="BL",0,'Peak Hours'!R106*Peak!X107*'Peak Hours'!$Y106)</f>
        <v>0</v>
      </c>
      <c r="S106" s="417" t="n">
        <f aca="false">IF($A$1="BL",0,'Peak Hours'!S106*Peak!Y107*'Peak Hours'!$Y106)</f>
        <v>0</v>
      </c>
      <c r="T106" s="417" t="n">
        <f aca="false">IF($A$1="BL",0,'Peak Hours'!T106*Peak!Z107*'Peak Hours'!$Y106)</f>
        <v>0</v>
      </c>
      <c r="U106" s="417" t="n">
        <f aca="false">IF($A$1="BL",0,'Peak Hours'!U106*Peak!AA107*'Peak Hours'!$Y106)</f>
        <v>0</v>
      </c>
      <c r="V106" s="424"/>
      <c r="W106" s="422" t="n">
        <f aca="false">(IF($A$1="BL",0,Peak!C107*'Peak Hours'!V106*'Peak Hours'!$Y106))*-1</f>
        <v>-7368265.00784469</v>
      </c>
      <c r="X106" s="424"/>
      <c r="Y106" s="422" t="n">
        <f aca="false">(IF($A$1="bl",0,Peak!D107*'Peak Hours'!V106*'Peak Hours'!$Y106))*-1</f>
        <v>-119870.141906892</v>
      </c>
      <c r="Z106" s="424"/>
      <c r="AA106" s="422" t="n">
        <f aca="false">(Peak!E107*'Peak Hours'!V106*'Peak Hours'!$Y106)*-1</f>
        <v>-0</v>
      </c>
      <c r="AB106" s="425"/>
      <c r="AC106" s="422" t="n">
        <f aca="false">(Peak!F107*'Peak Hours'!V106*'Peak Hours'!$Y106)*-1</f>
        <v>-0</v>
      </c>
      <c r="AD106" s="425"/>
    </row>
    <row r="107" customFormat="false" ht="12.75" hidden="false" customHeight="false" outlineLevel="0" collapsed="false">
      <c r="A107" s="400" t="n">
        <f aca="false">A106+30.417</f>
        <v>39490.449</v>
      </c>
      <c r="B107" s="417" t="n">
        <f aca="false">IF($A$1="BL",0,'Peak Hours'!B107*Peak!H108*'Peak Hours'!$Y107)</f>
        <v>357606.368621994</v>
      </c>
      <c r="C107" s="417" t="n">
        <f aca="false">IF($A$1="BL",0,'Peak Hours'!C107*Peak!I108*'Peak Hours'!$Y107)</f>
        <v>323724.929992574</v>
      </c>
      <c r="D107" s="417" t="n">
        <f aca="false">IF($A$1="BL",0,'Peak Hours'!D107*Peak!J108*'Peak Hours'!$Y107)</f>
        <v>617847.063403359</v>
      </c>
      <c r="E107" s="417" t="n">
        <f aca="false">IF($A$1="BL",0,'Peak Hours'!E107*Peak!K108*'Peak Hours'!$Y107)</f>
        <v>1181392.92164916</v>
      </c>
      <c r="F107" s="417" t="n">
        <f aca="false">IF($A$1="BL",0,'Peak Hours'!F107*Peak!L108*'Peak Hours'!$Y107)</f>
        <v>1118135.7131364</v>
      </c>
      <c r="G107" s="417" t="n">
        <f aca="false">IF($A$1="BL",0,'Peak Hours'!G107*Peak!M108*'Peak Hours'!$Y107)</f>
        <v>2208477.31153519</v>
      </c>
      <c r="H107" s="417" t="n">
        <f aca="false">IF($A$1="BL",0,'Peak Hours'!H107*Peak!N108*'Peak Hours'!$Y107)</f>
        <v>2126052.63867279</v>
      </c>
      <c r="I107" s="417" t="n">
        <f aca="false">IF($A$1="BL",0,'Peak Hours'!I107*Peak!O108*'Peak Hours'!$Y107)</f>
        <v>1771888.53282083</v>
      </c>
      <c r="J107" s="417" t="n">
        <f aca="false">IF($A$1="BL",0,'Peak Hours'!J107*Peak!P108*'Peak Hours'!$Y107)</f>
        <v>1477026.61019441</v>
      </c>
      <c r="K107" s="417" t="n">
        <f aca="false">IF($A$1="BL",0,'Peak Hours'!K107*Peak!Q108*'Peak Hours'!$Y107)</f>
        <v>1238671.96766823</v>
      </c>
      <c r="L107" s="417" t="n">
        <f aca="false">IF($A$1="BL",0,'Peak Hours'!L107*Peak!R108*'Peak Hours'!$Y107)</f>
        <v>1178813.70972079</v>
      </c>
      <c r="M107" s="417" t="n">
        <f aca="false">IF($A$1="BL",0,'Peak Hours'!M107*Peak!S108*'Peak Hours'!$Y107)</f>
        <v>1055676.89441413</v>
      </c>
      <c r="N107" s="417" t="n">
        <f aca="false">IF($A$1="BL",0,'Peak Hours'!N107*Peak!T108*'Peak Hours'!$Y107)</f>
        <v>0</v>
      </c>
      <c r="O107" s="417" t="n">
        <f aca="false">IF($A$1="BL",0,'Peak Hours'!O107*Peak!U108*'Peak Hours'!$Y107)</f>
        <v>0</v>
      </c>
      <c r="P107" s="417" t="n">
        <f aca="false">IF($A$1="BL",0,'Peak Hours'!P107*Peak!V108*'Peak Hours'!$Y107)</f>
        <v>0</v>
      </c>
      <c r="Q107" s="417" t="n">
        <f aca="false">IF($A$1="BL",0,'Peak Hours'!Q107*Peak!W108*'Peak Hours'!$Y107)</f>
        <v>0</v>
      </c>
      <c r="R107" s="417" t="n">
        <f aca="false">IF($A$1="BL",0,'Peak Hours'!R107*Peak!X108*'Peak Hours'!$Y107)</f>
        <v>0</v>
      </c>
      <c r="S107" s="417" t="n">
        <f aca="false">IF($A$1="BL",0,'Peak Hours'!S107*Peak!Y108*'Peak Hours'!$Y107)</f>
        <v>0</v>
      </c>
      <c r="T107" s="417" t="n">
        <f aca="false">IF($A$1="BL",0,'Peak Hours'!T107*Peak!Z108*'Peak Hours'!$Y107)</f>
        <v>0</v>
      </c>
      <c r="U107" s="417" t="n">
        <f aca="false">IF($A$1="BL",0,'Peak Hours'!U107*Peak!AA108*'Peak Hours'!$Y107)</f>
        <v>0</v>
      </c>
      <c r="V107" s="424"/>
      <c r="W107" s="422" t="n">
        <f aca="false">(IF($A$1="BL",0,Peak!C108*'Peak Hours'!V107*'Peak Hours'!$Y107))*-1</f>
        <v>-8636004.54786053</v>
      </c>
      <c r="X107" s="424"/>
      <c r="Y107" s="422" t="n">
        <f aca="false">(IF($A$1="bl",0,Peak!D108*'Peak Hours'!V107*'Peak Hours'!$Y107))*-1</f>
        <v>-157014.517931117</v>
      </c>
      <c r="Z107" s="424"/>
      <c r="AA107" s="422" t="n">
        <f aca="false">(Peak!E108*'Peak Hours'!V107*'Peak Hours'!$Y107)*-1</f>
        <v>-0</v>
      </c>
      <c r="AB107" s="425"/>
      <c r="AC107" s="422" t="n">
        <f aca="false">(Peak!F108*'Peak Hours'!V107*'Peak Hours'!$Y107)*-1</f>
        <v>-0</v>
      </c>
      <c r="AD107" s="425"/>
    </row>
    <row r="108" customFormat="false" ht="12.75" hidden="false" customHeight="false" outlineLevel="0" collapsed="false">
      <c r="A108" s="400" t="n">
        <f aca="false">A107+30.417</f>
        <v>39520.866</v>
      </c>
      <c r="B108" s="417" t="n">
        <f aca="false">IF($A$1="BL",0,'Peak Hours'!B108*Peak!H109*'Peak Hours'!$Y108)</f>
        <v>327195.641289771</v>
      </c>
      <c r="C108" s="417" t="n">
        <f aca="false">IF($A$1="BL",0,'Peak Hours'!C108*Peak!I109*'Peak Hours'!$Y108)</f>
        <v>325676.94793284</v>
      </c>
      <c r="D108" s="417" t="n">
        <f aca="false">IF($A$1="BL",0,'Peak Hours'!D108*Peak!J109*'Peak Hours'!$Y108)</f>
        <v>634426.155469234</v>
      </c>
      <c r="E108" s="417" t="n">
        <f aca="false">IF($A$1="BL",0,'Peak Hours'!E108*Peak!K109*'Peak Hours'!$Y108)</f>
        <v>1106562.36886231</v>
      </c>
      <c r="F108" s="417" t="n">
        <f aca="false">IF($A$1="BL",0,'Peak Hours'!F108*Peak!L109*'Peak Hours'!$Y108)</f>
        <v>885255.603931848</v>
      </c>
      <c r="G108" s="417" t="n">
        <f aca="false">IF($A$1="BL",0,'Peak Hours'!G108*Peak!M109*'Peak Hours'!$Y108)</f>
        <v>1533376.44409699</v>
      </c>
      <c r="H108" s="417" t="n">
        <f aca="false">IF($A$1="BL",0,'Peak Hours'!H108*Peak!N109*'Peak Hours'!$Y108)</f>
        <v>1431179.92291963</v>
      </c>
      <c r="I108" s="417" t="n">
        <f aca="false">IF($A$1="BL",0,'Peak Hours'!I108*Peak!O109*'Peak Hours'!$Y108)</f>
        <v>1275192.20953379</v>
      </c>
      <c r="J108" s="417" t="n">
        <f aca="false">IF($A$1="BL",0,'Peak Hours'!J108*Peak!P109*'Peak Hours'!$Y108)</f>
        <v>1275192.20953379</v>
      </c>
      <c r="K108" s="417" t="n">
        <f aca="false">IF($A$1="BL",0,'Peak Hours'!K108*Peak!Q109*'Peak Hours'!$Y108)</f>
        <v>1273878.54224737</v>
      </c>
      <c r="L108" s="417" t="n">
        <f aca="false">IF($A$1="BL",0,'Peak Hours'!L108*Peak!R109*'Peak Hours'!$Y108)</f>
        <v>1264584.5233417</v>
      </c>
      <c r="M108" s="417" t="n">
        <f aca="false">IF($A$1="BL",0,'Peak Hours'!M108*Peak!S109*'Peak Hours'!$Y108)</f>
        <v>1264584.5233417</v>
      </c>
      <c r="N108" s="417" t="n">
        <f aca="false">IF($A$1="BL",0,'Peak Hours'!N108*Peak!T109*'Peak Hours'!$Y108)</f>
        <v>1264584.5233417</v>
      </c>
      <c r="O108" s="417" t="n">
        <f aca="false">IF($A$1="BL",0,'Peak Hours'!O108*Peak!U109*'Peak Hours'!$Y108)</f>
        <v>1264584.5233417</v>
      </c>
      <c r="P108" s="417" t="n">
        <f aca="false">IF($A$1="BL",0,'Peak Hours'!P108*Peak!V109*'Peak Hours'!$Y108)</f>
        <v>1158041.02501732</v>
      </c>
      <c r="Q108" s="417" t="n">
        <f aca="false">IF($A$1="BL",0,'Peak Hours'!Q108*Peak!W109*'Peak Hours'!$Y108)</f>
        <v>0</v>
      </c>
      <c r="R108" s="417" t="n">
        <f aca="false">IF($A$1="BL",0,'Peak Hours'!R108*Peak!X109*'Peak Hours'!$Y108)</f>
        <v>0</v>
      </c>
      <c r="S108" s="417" t="n">
        <f aca="false">IF($A$1="BL",0,'Peak Hours'!S108*Peak!Y109*'Peak Hours'!$Y108)</f>
        <v>0</v>
      </c>
      <c r="T108" s="417" t="n">
        <f aca="false">IF($A$1="BL",0,'Peak Hours'!T108*Peak!Z109*'Peak Hours'!$Y108)</f>
        <v>0</v>
      </c>
      <c r="U108" s="417" t="n">
        <f aca="false">IF($A$1="BL",0,'Peak Hours'!U108*Peak!AA109*'Peak Hours'!$Y108)</f>
        <v>0</v>
      </c>
      <c r="V108" s="424"/>
      <c r="W108" s="422" t="n">
        <f aca="false">(IF($A$1="BL",0,Peak!C109*'Peak Hours'!V108*'Peak Hours'!$Y108))*-1</f>
        <v>-11807246.882557</v>
      </c>
      <c r="X108" s="424"/>
      <c r="Y108" s="422" t="n">
        <f aca="false">(IF($A$1="bl",0,Peak!D109*'Peak Hours'!V108*'Peak Hours'!$Y108))*-1</f>
        <v>-218707.453916421</v>
      </c>
      <c r="Z108" s="424"/>
      <c r="AA108" s="422" t="n">
        <f aca="false">(Peak!E109*'Peak Hours'!V108*'Peak Hours'!$Y108)*-1</f>
        <v>-0</v>
      </c>
      <c r="AB108" s="425"/>
      <c r="AC108" s="422" t="n">
        <f aca="false">(Peak!F109*'Peak Hours'!V108*'Peak Hours'!$Y108)*-1</f>
        <v>-0</v>
      </c>
      <c r="AD108" s="425"/>
    </row>
    <row r="109" customFormat="false" ht="12.75" hidden="false" customHeight="false" outlineLevel="0" collapsed="false">
      <c r="A109" s="400" t="n">
        <f aca="false">A108+30.417</f>
        <v>39551.283</v>
      </c>
      <c r="B109" s="417" t="n">
        <f aca="false">IF($A$1="BL",0,'Peak Hours'!B109*Peak!H110*'Peak Hours'!$Y109)</f>
        <v>263917.294784445</v>
      </c>
      <c r="C109" s="417" t="n">
        <f aca="false">IF($A$1="BL",0,'Peak Hours'!C109*Peak!I110*'Peak Hours'!$Y109)</f>
        <v>253322.064333897</v>
      </c>
      <c r="D109" s="417" t="n">
        <f aca="false">IF($A$1="BL",0,'Peak Hours'!D109*Peak!J110*'Peak Hours'!$Y109)</f>
        <v>484978.955813552</v>
      </c>
      <c r="E109" s="417" t="n">
        <f aca="false">IF($A$1="BL",0,'Peak Hours'!E109*Peak!K110*'Peak Hours'!$Y109)</f>
        <v>922560.587631878</v>
      </c>
      <c r="F109" s="417" t="n">
        <f aca="false">IF($A$1="BL",0,'Peak Hours'!F109*Peak!L110*'Peak Hours'!$Y109)</f>
        <v>864235.733471055</v>
      </c>
      <c r="G109" s="417" t="n">
        <f aca="false">IF($A$1="BL",0,'Peak Hours'!G109*Peak!M110*'Peak Hours'!$Y109)</f>
        <v>1692529.97391591</v>
      </c>
      <c r="H109" s="417" t="n">
        <f aca="false">IF($A$1="BL",0,'Peak Hours'!H109*Peak!N110*'Peak Hours'!$Y109)</f>
        <v>1677554.90325598</v>
      </c>
      <c r="I109" s="417" t="n">
        <f aca="false">IF($A$1="BL",0,'Peak Hours'!I109*Peak!O110*'Peak Hours'!$Y109)</f>
        <v>1450480.23552924</v>
      </c>
      <c r="J109" s="417" t="n">
        <f aca="false">IF($A$1="BL",0,'Peak Hours'!J109*Peak!P110*'Peak Hours'!$Y109)</f>
        <v>1184780.40312681</v>
      </c>
      <c r="K109" s="417" t="n">
        <f aca="false">IF($A$1="BL",0,'Peak Hours'!K109*Peak!Q110*'Peak Hours'!$Y109)</f>
        <v>1042280.95354535</v>
      </c>
      <c r="L109" s="417" t="n">
        <f aca="false">IF($A$1="BL",0,'Peak Hours'!L109*Peak!R110*'Peak Hours'!$Y109)</f>
        <v>0</v>
      </c>
      <c r="M109" s="417" t="n">
        <f aca="false">IF($A$1="BL",0,'Peak Hours'!M109*Peak!S110*'Peak Hours'!$Y109)</f>
        <v>0</v>
      </c>
      <c r="N109" s="417" t="n">
        <f aca="false">IF($A$1="BL",0,'Peak Hours'!N109*Peak!T110*'Peak Hours'!$Y109)</f>
        <v>0</v>
      </c>
      <c r="O109" s="417" t="n">
        <f aca="false">IF($A$1="BL",0,'Peak Hours'!O109*Peak!U110*'Peak Hours'!$Y109)</f>
        <v>0</v>
      </c>
      <c r="P109" s="417" t="n">
        <f aca="false">IF($A$1="BL",0,'Peak Hours'!P109*Peak!V110*'Peak Hours'!$Y109)</f>
        <v>0</v>
      </c>
      <c r="Q109" s="417" t="n">
        <f aca="false">IF($A$1="BL",0,'Peak Hours'!Q109*Peak!W110*'Peak Hours'!$Y109)</f>
        <v>0</v>
      </c>
      <c r="R109" s="417" t="n">
        <f aca="false">IF($A$1="BL",0,'Peak Hours'!R109*Peak!X110*'Peak Hours'!$Y109)</f>
        <v>0</v>
      </c>
      <c r="S109" s="417" t="n">
        <f aca="false">IF($A$1="BL",0,'Peak Hours'!S109*Peak!Y110*'Peak Hours'!$Y109)</f>
        <v>0</v>
      </c>
      <c r="T109" s="417" t="n">
        <f aca="false">IF($A$1="BL",0,'Peak Hours'!T109*Peak!Z110*'Peak Hours'!$Y109)</f>
        <v>0</v>
      </c>
      <c r="U109" s="417" t="n">
        <f aca="false">IF($A$1="BL",0,'Peak Hours'!U109*Peak!AA110*'Peak Hours'!$Y109)</f>
        <v>0</v>
      </c>
      <c r="V109" s="424"/>
      <c r="W109" s="422" t="n">
        <f aca="false">(IF($A$1="BL",0,Peak!C110*'Peak Hours'!V109*'Peak Hours'!$Y109))*-1</f>
        <v>-6344677.97883882</v>
      </c>
      <c r="X109" s="424"/>
      <c r="Y109" s="422" t="n">
        <f aca="false">(IF($A$1="bl",0,Peak!D110*'Peak Hours'!V109*'Peak Hours'!$Y109))*-1</f>
        <v>-123823.285322391</v>
      </c>
      <c r="Z109" s="424"/>
      <c r="AA109" s="422" t="n">
        <f aca="false">(Peak!E110*'Peak Hours'!V109*'Peak Hours'!$Y109)*-1</f>
        <v>-0</v>
      </c>
      <c r="AB109" s="425"/>
      <c r="AC109" s="422" t="n">
        <f aca="false">(Peak!F110*'Peak Hours'!V109*'Peak Hours'!$Y109)*-1</f>
        <v>-0</v>
      </c>
      <c r="AD109" s="425"/>
    </row>
    <row r="110" customFormat="false" ht="12.75" hidden="false" customHeight="false" outlineLevel="0" collapsed="false">
      <c r="A110" s="400" t="n">
        <f aca="false">A109+30.417</f>
        <v>39581.7</v>
      </c>
      <c r="B110" s="417" t="n">
        <f aca="false">IF($A$1="BL",0,'Peak Hours'!B110*Peak!H111*'Peak Hours'!$Y110)</f>
        <v>247870.145958047</v>
      </c>
      <c r="C110" s="417" t="n">
        <f aca="false">IF($A$1="BL",0,'Peak Hours'!C110*Peak!I111*'Peak Hours'!$Y110)</f>
        <v>234596.515398808</v>
      </c>
      <c r="D110" s="417" t="n">
        <f aca="false">IF($A$1="BL",0,'Peak Hours'!D110*Peak!J111*'Peak Hours'!$Y110)</f>
        <v>440701.458754598</v>
      </c>
      <c r="E110" s="417" t="n">
        <f aca="false">IF($A$1="BL",0,'Peak Hours'!E110*Peak!K111*'Peak Hours'!$Y110)</f>
        <v>851182.995934532</v>
      </c>
      <c r="F110" s="417" t="n">
        <f aca="false">IF($A$1="BL",0,'Peak Hours'!F110*Peak!L111*'Peak Hours'!$Y110)</f>
        <v>845218.028331453</v>
      </c>
      <c r="G110" s="417" t="n">
        <f aca="false">IF($A$1="BL",0,'Peak Hours'!G110*Peak!M111*'Peak Hours'!$Y110)</f>
        <v>1410091.57530709</v>
      </c>
      <c r="H110" s="417" t="n">
        <f aca="false">IF($A$1="BL",0,'Peak Hours'!H110*Peak!N111*'Peak Hours'!$Y110)</f>
        <v>1187438.43516217</v>
      </c>
      <c r="I110" s="417" t="n">
        <f aca="false">IF($A$1="BL",0,'Peak Hours'!I110*Peak!O111*'Peak Hours'!$Y110)</f>
        <v>1100501.96945983</v>
      </c>
      <c r="J110" s="417" t="n">
        <f aca="false">IF($A$1="BL",0,'Peak Hours'!J110*Peak!P111*'Peak Hours'!$Y110)</f>
        <v>0</v>
      </c>
      <c r="K110" s="417" t="n">
        <f aca="false">IF($A$1="BL",0,'Peak Hours'!K110*Peak!Q111*'Peak Hours'!$Y110)</f>
        <v>0</v>
      </c>
      <c r="L110" s="417" t="n">
        <f aca="false">IF($A$1="BL",0,'Peak Hours'!L110*Peak!R111*'Peak Hours'!$Y110)</f>
        <v>0</v>
      </c>
      <c r="M110" s="417" t="n">
        <f aca="false">IF($A$1="BL",0,'Peak Hours'!M110*Peak!S111*'Peak Hours'!$Y110)</f>
        <v>0</v>
      </c>
      <c r="N110" s="417" t="n">
        <f aca="false">IF($A$1="BL",0,'Peak Hours'!N110*Peak!T111*'Peak Hours'!$Y110)</f>
        <v>0</v>
      </c>
      <c r="O110" s="417" t="n">
        <f aca="false">IF($A$1="BL",0,'Peak Hours'!O110*Peak!U111*'Peak Hours'!$Y110)</f>
        <v>0</v>
      </c>
      <c r="P110" s="417" t="n">
        <f aca="false">IF($A$1="BL",0,'Peak Hours'!P110*Peak!V111*'Peak Hours'!$Y110)</f>
        <v>0</v>
      </c>
      <c r="Q110" s="417" t="n">
        <f aca="false">IF($A$1="BL",0,'Peak Hours'!Q110*Peak!W111*'Peak Hours'!$Y110)</f>
        <v>0</v>
      </c>
      <c r="R110" s="417" t="n">
        <f aca="false">IF($A$1="BL",0,'Peak Hours'!R110*Peak!X111*'Peak Hours'!$Y110)</f>
        <v>0</v>
      </c>
      <c r="S110" s="417" t="n">
        <f aca="false">IF($A$1="BL",0,'Peak Hours'!S110*Peak!Y111*'Peak Hours'!$Y110)</f>
        <v>0</v>
      </c>
      <c r="T110" s="417" t="n">
        <f aca="false">IF($A$1="BL",0,'Peak Hours'!T110*Peak!Z111*'Peak Hours'!$Y110)</f>
        <v>0</v>
      </c>
      <c r="U110" s="417" t="n">
        <f aca="false">IF($A$1="BL",0,'Peak Hours'!U110*Peak!AA111*'Peak Hours'!$Y110)</f>
        <v>0</v>
      </c>
      <c r="V110" s="424"/>
      <c r="W110" s="422" t="n">
        <f aca="false">(IF($A$1="BL",0,Peak!C111*'Peak Hours'!V110*'Peak Hours'!$Y110))*-1</f>
        <v>-4624875.15673599</v>
      </c>
      <c r="X110" s="424"/>
      <c r="Y110" s="422" t="n">
        <f aca="false">(IF($A$1="bl",0,Peak!D111*'Peak Hours'!V110*'Peak Hours'!$Y110))*-1</f>
        <v>-85866.6859370273</v>
      </c>
      <c r="Z110" s="424"/>
      <c r="AA110" s="422" t="n">
        <f aca="false">(Peak!E111*'Peak Hours'!V110*'Peak Hours'!$Y110)*-1</f>
        <v>-0</v>
      </c>
      <c r="AB110" s="425"/>
      <c r="AC110" s="422" t="n">
        <f aca="false">(Peak!F111*'Peak Hours'!V110*'Peak Hours'!$Y110)*-1</f>
        <v>-0</v>
      </c>
      <c r="AD110" s="425"/>
    </row>
    <row r="111" customFormat="false" ht="12.75" hidden="false" customHeight="false" outlineLevel="0" collapsed="false">
      <c r="A111" s="400" t="n">
        <f aca="false">A110+30.417</f>
        <v>39612.117</v>
      </c>
      <c r="B111" s="417" t="n">
        <f aca="false">IF($A$1="BL",0,'Peak Hours'!B111*Peak!H112*'Peak Hours'!$Y111)</f>
        <v>578183.360900094</v>
      </c>
      <c r="C111" s="417" t="n">
        <f aca="false">IF($A$1="BL",0,'Peak Hours'!C111*Peak!I112*'Peak Hours'!$Y111)</f>
        <v>522124.207332195</v>
      </c>
      <c r="D111" s="417" t="n">
        <f aca="false">IF($A$1="BL",0,'Peak Hours'!D111*Peak!J112*'Peak Hours'!$Y111)</f>
        <v>957079.542368087</v>
      </c>
      <c r="E111" s="417" t="n">
        <f aca="false">IF($A$1="BL",0,'Peak Hours'!E111*Peak!K112*'Peak Hours'!$Y111)</f>
        <v>1256575.70396366</v>
      </c>
      <c r="F111" s="417" t="n">
        <f aca="false">IF($A$1="BL",0,'Peak Hours'!F111*Peak!L112*'Peak Hours'!$Y111)</f>
        <v>970588.687016404</v>
      </c>
      <c r="G111" s="417" t="n">
        <f aca="false">IF($A$1="BL",0,'Peak Hours'!G111*Peak!M112*'Peak Hours'!$Y111)</f>
        <v>1735833.18017567</v>
      </c>
      <c r="H111" s="417" t="n">
        <f aca="false">IF($A$1="BL",0,'Peak Hours'!H111*Peak!N112*'Peak Hours'!$Y111)</f>
        <v>1555572.58440386</v>
      </c>
      <c r="I111" s="417" t="n">
        <f aca="false">IF($A$1="BL",0,'Peak Hours'!I111*Peak!O112*'Peak Hours'!$Y111)</f>
        <v>1514103.85797321</v>
      </c>
      <c r="J111" s="417" t="n">
        <f aca="false">IF($A$1="BL",0,'Peak Hours'!J111*Peak!P112*'Peak Hours'!$Y111)</f>
        <v>1246672.23763021</v>
      </c>
      <c r="K111" s="417" t="n">
        <f aca="false">IF($A$1="BL",0,'Peak Hours'!K111*Peak!Q112*'Peak Hours'!$Y111)</f>
        <v>1097224.44479481</v>
      </c>
      <c r="L111" s="417" t="n">
        <f aca="false">IF($A$1="BL",0,'Peak Hours'!L111*Peak!R112*'Peak Hours'!$Y111)</f>
        <v>1057788.87214764</v>
      </c>
      <c r="M111" s="417" t="n">
        <f aca="false">IF($A$1="BL",0,'Peak Hours'!M111*Peak!S112*'Peak Hours'!$Y111)</f>
        <v>0</v>
      </c>
      <c r="N111" s="417" t="n">
        <f aca="false">IF($A$1="BL",0,'Peak Hours'!N111*Peak!T112*'Peak Hours'!$Y111)</f>
        <v>0</v>
      </c>
      <c r="O111" s="417" t="n">
        <f aca="false">IF($A$1="BL",0,'Peak Hours'!O111*Peak!U112*'Peak Hours'!$Y111)</f>
        <v>0</v>
      </c>
      <c r="P111" s="417" t="n">
        <f aca="false">IF($A$1="BL",0,'Peak Hours'!P111*Peak!V112*'Peak Hours'!$Y111)</f>
        <v>0</v>
      </c>
      <c r="Q111" s="417" t="n">
        <f aca="false">IF($A$1="BL",0,'Peak Hours'!Q111*Peak!W112*'Peak Hours'!$Y111)</f>
        <v>0</v>
      </c>
      <c r="R111" s="417" t="n">
        <f aca="false">IF($A$1="BL",0,'Peak Hours'!R111*Peak!X112*'Peak Hours'!$Y111)</f>
        <v>0</v>
      </c>
      <c r="S111" s="417" t="n">
        <f aca="false">IF($A$1="BL",0,'Peak Hours'!S111*Peak!Y112*'Peak Hours'!$Y111)</f>
        <v>0</v>
      </c>
      <c r="T111" s="417" t="n">
        <f aca="false">IF($A$1="BL",0,'Peak Hours'!T111*Peak!Z112*'Peak Hours'!$Y111)</f>
        <v>0</v>
      </c>
      <c r="U111" s="417" t="n">
        <f aca="false">IF($A$1="BL",0,'Peak Hours'!U111*Peak!AA112*'Peak Hours'!$Y111)</f>
        <v>0</v>
      </c>
      <c r="V111" s="424"/>
      <c r="W111" s="422" t="n">
        <f aca="false">(IF($A$1="BL",0,Peak!C112*'Peak Hours'!V111*'Peak Hours'!$Y111))*-1</f>
        <v>-7468649.84065129</v>
      </c>
      <c r="X111" s="424"/>
      <c r="Y111" s="422" t="n">
        <f aca="false">(IF($A$1="bl",0,Peak!D112*'Peak Hours'!V111*'Peak Hours'!$Y111))*-1</f>
        <v>-145782.284299495</v>
      </c>
      <c r="Z111" s="424"/>
      <c r="AA111" s="422" t="n">
        <f aca="false">(Peak!E112*'Peak Hours'!V111*'Peak Hours'!$Y111)*-1</f>
        <v>-0</v>
      </c>
      <c r="AB111" s="425"/>
      <c r="AC111" s="422" t="n">
        <f aca="false">(Peak!F112*'Peak Hours'!V111*'Peak Hours'!$Y111)*-1</f>
        <v>-0</v>
      </c>
      <c r="AD111" s="425"/>
    </row>
    <row r="112" customFormat="false" ht="12.75" hidden="false" customHeight="false" outlineLevel="0" collapsed="false">
      <c r="A112" s="400" t="n">
        <f aca="false">A111+30.417</f>
        <v>39642.534</v>
      </c>
      <c r="B112" s="417" t="n">
        <f aca="false">IF($A$1="BL",0,'Peak Hours'!B112*Peak!H113*'Peak Hours'!$Y112)</f>
        <v>1054207.60329299</v>
      </c>
      <c r="C112" s="417" t="n">
        <f aca="false">IF($A$1="BL",0,'Peak Hours'!C112*Peak!I113*'Peak Hours'!$Y112)</f>
        <v>843285.714463201</v>
      </c>
      <c r="D112" s="417" t="n">
        <f aca="false">IF($A$1="BL",0,'Peak Hours'!D112*Peak!J113*'Peak Hours'!$Y112)</f>
        <v>1409286.3578607</v>
      </c>
      <c r="E112" s="417" t="n">
        <f aca="false">IF($A$1="BL",0,'Peak Hours'!E112*Peak!K113*'Peak Hours'!$Y112)</f>
        <v>2291191.66958714</v>
      </c>
      <c r="F112" s="417" t="n">
        <f aca="false">IF($A$1="BL",0,'Peak Hours'!F112*Peak!L113*'Peak Hours'!$Y112)</f>
        <v>1915814.59857942</v>
      </c>
      <c r="G112" s="417" t="n">
        <f aca="false">IF($A$1="BL",0,'Peak Hours'!G112*Peak!M113*'Peak Hours'!$Y112)</f>
        <v>2784396.55218014</v>
      </c>
      <c r="H112" s="417" t="n">
        <f aca="false">IF($A$1="BL",0,'Peak Hours'!H112*Peak!N113*'Peak Hours'!$Y112)</f>
        <v>1888746.05635679</v>
      </c>
      <c r="I112" s="417" t="n">
        <f aca="false">IF($A$1="BL",0,'Peak Hours'!I112*Peak!O113*'Peak Hours'!$Y112)</f>
        <v>1641841.23254571</v>
      </c>
      <c r="J112" s="417" t="n">
        <f aca="false">IF($A$1="BL",0,'Peak Hours'!J112*Peak!P113*'Peak Hours'!$Y112)</f>
        <v>1599905.62440031</v>
      </c>
      <c r="K112" s="417" t="n">
        <f aca="false">IF($A$1="BL",0,'Peak Hours'!K112*Peak!Q113*'Peak Hours'!$Y112)</f>
        <v>1572487.68642453</v>
      </c>
      <c r="L112" s="417" t="n">
        <f aca="false">IF($A$1="BL",0,'Peak Hours'!L112*Peak!R113*'Peak Hours'!$Y112)</f>
        <v>1418696.30390363</v>
      </c>
      <c r="M112" s="417" t="n">
        <f aca="false">IF($A$1="BL",0,'Peak Hours'!M112*Peak!S113*'Peak Hours'!$Y112)</f>
        <v>1116707.75758343</v>
      </c>
      <c r="N112" s="417" t="n">
        <f aca="false">IF($A$1="BL",0,'Peak Hours'!N112*Peak!T113*'Peak Hours'!$Y112)</f>
        <v>1035723.91766998</v>
      </c>
      <c r="O112" s="417" t="n">
        <f aca="false">IF($A$1="BL",0,'Peak Hours'!O112*Peak!U113*'Peak Hours'!$Y112)</f>
        <v>0</v>
      </c>
      <c r="P112" s="417" t="n">
        <f aca="false">IF($A$1="BL",0,'Peak Hours'!P112*Peak!V113*'Peak Hours'!$Y112)</f>
        <v>0</v>
      </c>
      <c r="Q112" s="417" t="n">
        <f aca="false">IF($A$1="BL",0,'Peak Hours'!Q112*Peak!W113*'Peak Hours'!$Y112)</f>
        <v>0</v>
      </c>
      <c r="R112" s="417" t="n">
        <f aca="false">IF($A$1="BL",0,'Peak Hours'!R112*Peak!X113*'Peak Hours'!$Y112)</f>
        <v>0</v>
      </c>
      <c r="S112" s="417" t="n">
        <f aca="false">IF($A$1="BL",0,'Peak Hours'!S112*Peak!Y113*'Peak Hours'!$Y112)</f>
        <v>0</v>
      </c>
      <c r="T112" s="417" t="n">
        <f aca="false">IF($A$1="BL",0,'Peak Hours'!T112*Peak!Z113*'Peak Hours'!$Y112)</f>
        <v>0</v>
      </c>
      <c r="U112" s="417" t="n">
        <f aca="false">IF($A$1="BL",0,'Peak Hours'!U112*Peak!AA113*'Peak Hours'!$Y112)</f>
        <v>0</v>
      </c>
      <c r="V112" s="424"/>
      <c r="W112" s="422" t="n">
        <f aca="false">(IF($A$1="BL",0,Peak!C113*'Peak Hours'!V112*'Peak Hours'!$Y112))*-1</f>
        <v>-9430352.17221477</v>
      </c>
      <c r="X112" s="424"/>
      <c r="Y112" s="422" t="n">
        <f aca="false">(IF($A$1="bl",0,Peak!D113*'Peak Hours'!V112*'Peak Hours'!$Y112))*-1</f>
        <v>-184965.322712881</v>
      </c>
      <c r="Z112" s="424"/>
      <c r="AA112" s="422" t="n">
        <f aca="false">(Peak!E113*'Peak Hours'!V112*'Peak Hours'!$Y112)*-1</f>
        <v>-0</v>
      </c>
      <c r="AB112" s="425"/>
      <c r="AC112" s="422" t="n">
        <f aca="false">(Peak!F113*'Peak Hours'!V112*'Peak Hours'!$Y112)*-1</f>
        <v>-0</v>
      </c>
      <c r="AD112" s="425"/>
    </row>
    <row r="113" customFormat="false" ht="12.75" hidden="false" customHeight="false" outlineLevel="0" collapsed="false">
      <c r="A113" s="400" t="n">
        <f aca="false">A112+30.417</f>
        <v>39672.951</v>
      </c>
      <c r="B113" s="417" t="n">
        <f aca="false">IF($A$1="BL",0,'Peak Hours'!B113*Peak!H114*'Peak Hours'!$Y113)</f>
        <v>1840771.9494847</v>
      </c>
      <c r="C113" s="417" t="n">
        <f aca="false">IF($A$1="BL",0,'Peak Hours'!C113*Peak!I114*'Peak Hours'!$Y113)</f>
        <v>1206451.78405209</v>
      </c>
      <c r="D113" s="417" t="n">
        <f aca="false">IF($A$1="BL",0,'Peak Hours'!D113*Peak!J114*'Peak Hours'!$Y113)</f>
        <v>1945511.16990902</v>
      </c>
      <c r="E113" s="417" t="n">
        <f aca="false">IF($A$1="BL",0,'Peak Hours'!E113*Peak!K114*'Peak Hours'!$Y113)</f>
        <v>2976499.38042324</v>
      </c>
      <c r="F113" s="417" t="n">
        <f aca="false">IF($A$1="BL",0,'Peak Hours'!F113*Peak!L114*'Peak Hours'!$Y113)</f>
        <v>2336462.5962703</v>
      </c>
      <c r="G113" s="417" t="n">
        <f aca="false">IF($A$1="BL",0,'Peak Hours'!G113*Peak!M114*'Peak Hours'!$Y113)</f>
        <v>3492512.47386902</v>
      </c>
      <c r="H113" s="417" t="n">
        <f aca="false">IF($A$1="BL",0,'Peak Hours'!H113*Peak!N114*'Peak Hours'!$Y113)</f>
        <v>1968406.98888746</v>
      </c>
      <c r="I113" s="417" t="n">
        <f aca="false">IF($A$1="BL",0,'Peak Hours'!I113*Peak!O114*'Peak Hours'!$Y113)</f>
        <v>1760716.97445654</v>
      </c>
      <c r="J113" s="417" t="n">
        <f aca="false">IF($A$1="BL",0,'Peak Hours'!J113*Peak!P114*'Peak Hours'!$Y113)</f>
        <v>1493241.36963282</v>
      </c>
      <c r="K113" s="417" t="n">
        <f aca="false">IF($A$1="BL",0,'Peak Hours'!K113*Peak!Q114*'Peak Hours'!$Y113)</f>
        <v>1118476.93996377</v>
      </c>
      <c r="L113" s="417" t="n">
        <f aca="false">IF($A$1="BL",0,'Peak Hours'!L113*Peak!R114*'Peak Hours'!$Y113)</f>
        <v>989944.575217553</v>
      </c>
      <c r="M113" s="417" t="n">
        <f aca="false">IF($A$1="BL",0,'Peak Hours'!M113*Peak!S114*'Peak Hours'!$Y113)</f>
        <v>0</v>
      </c>
      <c r="N113" s="417" t="n">
        <f aca="false">IF($A$1="BL",0,'Peak Hours'!N113*Peak!T114*'Peak Hours'!$Y113)</f>
        <v>0</v>
      </c>
      <c r="O113" s="417" t="n">
        <f aca="false">IF($A$1="BL",0,'Peak Hours'!O113*Peak!U114*'Peak Hours'!$Y113)</f>
        <v>0</v>
      </c>
      <c r="P113" s="417" t="n">
        <f aca="false">IF($A$1="BL",0,'Peak Hours'!P113*Peak!V114*'Peak Hours'!$Y113)</f>
        <v>0</v>
      </c>
      <c r="Q113" s="417" t="n">
        <f aca="false">IF($A$1="BL",0,'Peak Hours'!Q113*Peak!W114*'Peak Hours'!$Y113)</f>
        <v>0</v>
      </c>
      <c r="R113" s="417" t="n">
        <f aca="false">IF($A$1="BL",0,'Peak Hours'!R113*Peak!X114*'Peak Hours'!$Y113)</f>
        <v>0</v>
      </c>
      <c r="S113" s="417" t="n">
        <f aca="false">IF($A$1="BL",0,'Peak Hours'!S113*Peak!Y114*'Peak Hours'!$Y113)</f>
        <v>0</v>
      </c>
      <c r="T113" s="417" t="n">
        <f aca="false">IF($A$1="BL",0,'Peak Hours'!T113*Peak!Z114*'Peak Hours'!$Y113)</f>
        <v>0</v>
      </c>
      <c r="U113" s="417" t="n">
        <f aca="false">IF($A$1="BL",0,'Peak Hours'!U113*Peak!AA114*'Peak Hours'!$Y113)</f>
        <v>0</v>
      </c>
      <c r="V113" s="424"/>
      <c r="W113" s="422" t="n">
        <f aca="false">(IF($A$1="BL",0,Peak!C114*'Peak Hours'!V113*'Peak Hours'!$Y113))*-1</f>
        <v>-7058977.06458181</v>
      </c>
      <c r="X113" s="424"/>
      <c r="Y113" s="422" t="n">
        <f aca="false">(IF($A$1="bl",0,Peak!D114*'Peak Hours'!V113*'Peak Hours'!$Y113))*-1</f>
        <v>-146268.63019795</v>
      </c>
      <c r="Z113" s="424"/>
      <c r="AA113" s="422" t="n">
        <f aca="false">(Peak!E114*'Peak Hours'!V113*'Peak Hours'!$Y113)*-1</f>
        <v>-0</v>
      </c>
      <c r="AB113" s="425"/>
      <c r="AC113" s="422" t="n">
        <f aca="false">(Peak!F114*'Peak Hours'!V113*'Peak Hours'!$Y113)*-1</f>
        <v>-0</v>
      </c>
      <c r="AD113" s="425"/>
    </row>
    <row r="114" customFormat="false" ht="12.75" hidden="false" customHeight="false" outlineLevel="0" collapsed="false">
      <c r="A114" s="400" t="n">
        <f aca="false">A113+30.417</f>
        <v>39703.368</v>
      </c>
      <c r="B114" s="417" t="n">
        <f aca="false">IF($A$1="BL",0,'Peak Hours'!B114*Peak!H115*'Peak Hours'!$Y114)</f>
        <v>602584.158821382</v>
      </c>
      <c r="C114" s="417" t="n">
        <f aca="false">IF($A$1="BL",0,'Peak Hours'!C114*Peak!I115*'Peak Hours'!$Y114)</f>
        <v>521951.68306099</v>
      </c>
      <c r="D114" s="417" t="n">
        <f aca="false">IF($A$1="BL",0,'Peak Hours'!D114*Peak!J115*'Peak Hours'!$Y114)</f>
        <v>767958.021300387</v>
      </c>
      <c r="E114" s="417" t="n">
        <f aca="false">IF($A$1="BL",0,'Peak Hours'!E114*Peak!K115*'Peak Hours'!$Y114)</f>
        <v>1155568.93898177</v>
      </c>
      <c r="F114" s="417" t="n">
        <f aca="false">IF($A$1="BL",0,'Peak Hours'!F114*Peak!L115*'Peak Hours'!$Y114)</f>
        <v>912285.697149258</v>
      </c>
      <c r="G114" s="417" t="n">
        <f aca="false">IF($A$1="BL",0,'Peak Hours'!G114*Peak!M115*'Peak Hours'!$Y114)</f>
        <v>1580329.59229624</v>
      </c>
      <c r="H114" s="417" t="n">
        <f aca="false">IF($A$1="BL",0,'Peak Hours'!H114*Peak!N115*'Peak Hours'!$Y114)</f>
        <v>1479940.06559492</v>
      </c>
      <c r="I114" s="417" t="n">
        <f aca="false">IF($A$1="BL",0,'Peak Hours'!I114*Peak!O115*'Peak Hours'!$Y114)</f>
        <v>1415659.8026455</v>
      </c>
      <c r="J114" s="417" t="n">
        <f aca="false">IF($A$1="BL",0,'Peak Hours'!J114*Peak!P115*'Peak Hours'!$Y114)</f>
        <v>1348834.28755561</v>
      </c>
      <c r="K114" s="417" t="n">
        <f aca="false">IF($A$1="BL",0,'Peak Hours'!K114*Peak!Q115*'Peak Hours'!$Y114)</f>
        <v>1129449.72356897</v>
      </c>
      <c r="L114" s="417" t="n">
        <f aca="false">IF($A$1="BL",0,'Peak Hours'!L114*Peak!R115*'Peak Hours'!$Y114)</f>
        <v>1033735.02661275</v>
      </c>
      <c r="M114" s="417" t="n">
        <f aca="false">IF($A$1="BL",0,'Peak Hours'!M114*Peak!S115*'Peak Hours'!$Y114)</f>
        <v>0</v>
      </c>
      <c r="N114" s="417" t="n">
        <f aca="false">IF($A$1="BL",0,'Peak Hours'!N114*Peak!T115*'Peak Hours'!$Y114)</f>
        <v>0</v>
      </c>
      <c r="O114" s="417" t="n">
        <f aca="false">IF($A$1="BL",0,'Peak Hours'!O114*Peak!U115*'Peak Hours'!$Y114)</f>
        <v>0</v>
      </c>
      <c r="P114" s="417" t="n">
        <f aca="false">IF($A$1="BL",0,'Peak Hours'!P114*Peak!V115*'Peak Hours'!$Y114)</f>
        <v>0</v>
      </c>
      <c r="Q114" s="417" t="n">
        <f aca="false">IF($A$1="BL",0,'Peak Hours'!Q114*Peak!W115*'Peak Hours'!$Y114)</f>
        <v>0</v>
      </c>
      <c r="R114" s="417" t="n">
        <f aca="false">IF($A$1="BL",0,'Peak Hours'!R114*Peak!X115*'Peak Hours'!$Y114)</f>
        <v>0</v>
      </c>
      <c r="S114" s="417" t="n">
        <f aca="false">IF($A$1="BL",0,'Peak Hours'!S114*Peak!Y115*'Peak Hours'!$Y114)</f>
        <v>0</v>
      </c>
      <c r="T114" s="417" t="n">
        <f aca="false">IF($A$1="BL",0,'Peak Hours'!T114*Peak!Z115*'Peak Hours'!$Y114)</f>
        <v>0</v>
      </c>
      <c r="U114" s="417" t="n">
        <f aca="false">IF($A$1="BL",0,'Peak Hours'!U114*Peak!AA115*'Peak Hours'!$Y114)</f>
        <v>0</v>
      </c>
      <c r="V114" s="424"/>
      <c r="W114" s="422" t="n">
        <f aca="false">(IF($A$1="BL",0,Peak!C115*'Peak Hours'!V114*'Peak Hours'!$Y114))*-1</f>
        <v>-6917945.58620643</v>
      </c>
      <c r="X114" s="424"/>
      <c r="Y114" s="422" t="n">
        <f aca="false">(IF($A$1="bl",0,Peak!D115*'Peak Hours'!V114*'Peak Hours'!$Y114))*-1</f>
        <v>-144067.605353599</v>
      </c>
      <c r="Z114" s="424"/>
      <c r="AA114" s="422" t="n">
        <f aca="false">(Peak!E115*'Peak Hours'!V114*'Peak Hours'!$Y114)*-1</f>
        <v>-0</v>
      </c>
      <c r="AB114" s="425"/>
      <c r="AC114" s="422" t="n">
        <f aca="false">(Peak!F115*'Peak Hours'!V114*'Peak Hours'!$Y114)*-1</f>
        <v>-0</v>
      </c>
      <c r="AD114" s="425"/>
    </row>
    <row r="115" customFormat="false" ht="12.75" hidden="false" customHeight="false" outlineLevel="0" collapsed="false">
      <c r="A115" s="400" t="n">
        <f aca="false">A114+30.417</f>
        <v>39733.785</v>
      </c>
      <c r="B115" s="417" t="n">
        <f aca="false">IF($A$1="BL",0,'Peak Hours'!B115*Peak!H116*'Peak Hours'!$Y115)</f>
        <v>262763.649682516</v>
      </c>
      <c r="C115" s="417" t="n">
        <f aca="false">IF($A$1="BL",0,'Peak Hours'!C115*Peak!I116*'Peak Hours'!$Y115)</f>
        <v>249619.828627576</v>
      </c>
      <c r="D115" s="417" t="n">
        <f aca="false">IF($A$1="BL",0,'Peak Hours'!D115*Peak!J116*'Peak Hours'!$Y115)</f>
        <v>485415.577264231</v>
      </c>
      <c r="E115" s="417" t="n">
        <f aca="false">IF($A$1="BL",0,'Peak Hours'!E115*Peak!K116*'Peak Hours'!$Y115)</f>
        <v>908699.374389831</v>
      </c>
      <c r="F115" s="417" t="n">
        <f aca="false">IF($A$1="BL",0,'Peak Hours'!F115*Peak!L116*'Peak Hours'!$Y115)</f>
        <v>893077.588297397</v>
      </c>
      <c r="G115" s="417" t="n">
        <f aca="false">IF($A$1="BL",0,'Peak Hours'!G115*Peak!M116*'Peak Hours'!$Y115)</f>
        <v>1770601.00446597</v>
      </c>
      <c r="H115" s="417" t="n">
        <f aca="false">IF($A$1="BL",0,'Peak Hours'!H115*Peak!N116*'Peak Hours'!$Y115)</f>
        <v>1485562.44786178</v>
      </c>
      <c r="I115" s="417" t="n">
        <f aca="false">IF($A$1="BL",0,'Peak Hours'!I115*Peak!O116*'Peak Hours'!$Y115)</f>
        <v>1244574.48543886</v>
      </c>
      <c r="J115" s="417" t="n">
        <f aca="false">IF($A$1="BL",0,'Peak Hours'!J115*Peak!P116*'Peak Hours'!$Y115)</f>
        <v>1110737.2327627</v>
      </c>
      <c r="K115" s="417" t="n">
        <f aca="false">IF($A$1="BL",0,'Peak Hours'!K115*Peak!Q116*'Peak Hours'!$Y115)</f>
        <v>0</v>
      </c>
      <c r="L115" s="417" t="n">
        <f aca="false">IF($A$1="BL",0,'Peak Hours'!L115*Peak!R116*'Peak Hours'!$Y115)</f>
        <v>0</v>
      </c>
      <c r="M115" s="417" t="n">
        <f aca="false">IF($A$1="BL",0,'Peak Hours'!M115*Peak!S116*'Peak Hours'!$Y115)</f>
        <v>0</v>
      </c>
      <c r="N115" s="417" t="n">
        <f aca="false">IF($A$1="BL",0,'Peak Hours'!N115*Peak!T116*'Peak Hours'!$Y115)</f>
        <v>0</v>
      </c>
      <c r="O115" s="417" t="n">
        <f aca="false">IF($A$1="BL",0,'Peak Hours'!O115*Peak!U116*'Peak Hours'!$Y115)</f>
        <v>0</v>
      </c>
      <c r="P115" s="417" t="n">
        <f aca="false">IF($A$1="BL",0,'Peak Hours'!P115*Peak!V116*'Peak Hours'!$Y115)</f>
        <v>0</v>
      </c>
      <c r="Q115" s="417" t="n">
        <f aca="false">IF($A$1="BL",0,'Peak Hours'!Q115*Peak!W116*'Peak Hours'!$Y115)</f>
        <v>0</v>
      </c>
      <c r="R115" s="417" t="n">
        <f aca="false">IF($A$1="BL",0,'Peak Hours'!R115*Peak!X116*'Peak Hours'!$Y115)</f>
        <v>0</v>
      </c>
      <c r="S115" s="417" t="n">
        <f aca="false">IF($A$1="BL",0,'Peak Hours'!S115*Peak!Y116*'Peak Hours'!$Y115)</f>
        <v>0</v>
      </c>
      <c r="T115" s="417" t="n">
        <f aca="false">IF($A$1="BL",0,'Peak Hours'!T115*Peak!Z116*'Peak Hours'!$Y115)</f>
        <v>0</v>
      </c>
      <c r="U115" s="417" t="n">
        <f aca="false">IF($A$1="BL",0,'Peak Hours'!U115*Peak!AA116*'Peak Hours'!$Y115)</f>
        <v>0</v>
      </c>
      <c r="V115" s="424"/>
      <c r="W115" s="422" t="n">
        <f aca="false">(IF($A$1="BL",0,Peak!C116*'Peak Hours'!V115*'Peak Hours'!$Y115))*-1</f>
        <v>-5618539.00950652</v>
      </c>
      <c r="X115" s="424"/>
      <c r="Y115" s="422" t="n">
        <f aca="false">(IF($A$1="bl",0,Peak!D116*'Peak Hours'!V115*'Peak Hours'!$Y115))*-1</f>
        <v>-105825.659888071</v>
      </c>
      <c r="Z115" s="424"/>
      <c r="AA115" s="422" t="n">
        <f aca="false">(Peak!E116*'Peak Hours'!V115*'Peak Hours'!$Y115)*-1</f>
        <v>-0</v>
      </c>
      <c r="AB115" s="425"/>
      <c r="AC115" s="422" t="n">
        <f aca="false">(Peak!F116*'Peak Hours'!V115*'Peak Hours'!$Y115)*-1</f>
        <v>-0</v>
      </c>
      <c r="AD115" s="425"/>
    </row>
    <row r="116" customFormat="false" ht="12.75" hidden="false" customHeight="false" outlineLevel="0" collapsed="false">
      <c r="A116" s="400" t="n">
        <f aca="false">A115+30.417</f>
        <v>39764.202</v>
      </c>
      <c r="B116" s="417" t="n">
        <f aca="false">IF($A$1="BL",0,'Peak Hours'!B116*Peak!H117*'Peak Hours'!$Y116)</f>
        <v>319646.627820797</v>
      </c>
      <c r="C116" s="417" t="n">
        <f aca="false">IF($A$1="BL",0,'Peak Hours'!C116*Peak!I117*'Peak Hours'!$Y116)</f>
        <v>296384.15795127</v>
      </c>
      <c r="D116" s="417" t="n">
        <f aca="false">IF($A$1="BL",0,'Peak Hours'!D116*Peak!J117*'Peak Hours'!$Y116)</f>
        <v>563958.669503703</v>
      </c>
      <c r="E116" s="417" t="n">
        <f aca="false">IF($A$1="BL",0,'Peak Hours'!E116*Peak!K117*'Peak Hours'!$Y116)</f>
        <v>1058525.56192581</v>
      </c>
      <c r="F116" s="417" t="n">
        <f aca="false">IF($A$1="BL",0,'Peak Hours'!F116*Peak!L117*'Peak Hours'!$Y116)</f>
        <v>1016214.01384452</v>
      </c>
      <c r="G116" s="417" t="n">
        <f aca="false">IF($A$1="BL",0,'Peak Hours'!G116*Peak!M117*'Peak Hours'!$Y116)</f>
        <v>2020629.53581065</v>
      </c>
      <c r="H116" s="417" t="n">
        <f aca="false">IF($A$1="BL",0,'Peak Hours'!H116*Peak!N117*'Peak Hours'!$Y116)</f>
        <v>1792357.75610545</v>
      </c>
      <c r="I116" s="417" t="n">
        <f aca="false">IF($A$1="BL",0,'Peak Hours'!I116*Peak!O117*'Peak Hours'!$Y116)</f>
        <v>1400929.61348704</v>
      </c>
      <c r="J116" s="417" t="n">
        <f aca="false">IF($A$1="BL",0,'Peak Hours'!J116*Peak!P117*'Peak Hours'!$Y116)</f>
        <v>1216625.35500811</v>
      </c>
      <c r="K116" s="417" t="n">
        <f aca="false">IF($A$1="BL",0,'Peak Hours'!K116*Peak!Q117*'Peak Hours'!$Y116)</f>
        <v>1146471.61476749</v>
      </c>
      <c r="L116" s="417" t="n">
        <f aca="false">IF($A$1="BL",0,'Peak Hours'!L116*Peak!R117*'Peak Hours'!$Y116)</f>
        <v>0</v>
      </c>
      <c r="M116" s="417" t="n">
        <f aca="false">IF($A$1="BL",0,'Peak Hours'!M116*Peak!S117*'Peak Hours'!$Y116)</f>
        <v>0</v>
      </c>
      <c r="N116" s="417" t="n">
        <f aca="false">IF($A$1="BL",0,'Peak Hours'!N116*Peak!T117*'Peak Hours'!$Y116)</f>
        <v>0</v>
      </c>
      <c r="O116" s="417" t="n">
        <f aca="false">IF($A$1="BL",0,'Peak Hours'!O116*Peak!U117*'Peak Hours'!$Y116)</f>
        <v>0</v>
      </c>
      <c r="P116" s="417" t="n">
        <f aca="false">IF($A$1="BL",0,'Peak Hours'!P116*Peak!V117*'Peak Hours'!$Y116)</f>
        <v>0</v>
      </c>
      <c r="Q116" s="417" t="n">
        <f aca="false">IF($A$1="BL",0,'Peak Hours'!Q116*Peak!W117*'Peak Hours'!$Y116)</f>
        <v>0</v>
      </c>
      <c r="R116" s="417" t="n">
        <f aca="false">IF($A$1="BL",0,'Peak Hours'!R116*Peak!X117*'Peak Hours'!$Y116)</f>
        <v>0</v>
      </c>
      <c r="S116" s="417" t="n">
        <f aca="false">IF($A$1="BL",0,'Peak Hours'!S116*Peak!Y117*'Peak Hours'!$Y116)</f>
        <v>0</v>
      </c>
      <c r="T116" s="417" t="n">
        <f aca="false">IF($A$1="BL",0,'Peak Hours'!T116*Peak!Z117*'Peak Hours'!$Y116)</f>
        <v>0</v>
      </c>
      <c r="U116" s="417" t="n">
        <f aca="false">IF($A$1="BL",0,'Peak Hours'!U116*Peak!AA117*'Peak Hours'!$Y116)</f>
        <v>0</v>
      </c>
      <c r="V116" s="424"/>
      <c r="W116" s="422" t="n">
        <f aca="false">(IF($A$1="BL",0,Peak!C117*'Peak Hours'!V116*'Peak Hours'!$Y116))*-1</f>
        <v>-7271202.38209783</v>
      </c>
      <c r="X116" s="424"/>
      <c r="Y116" s="422" t="n">
        <f aca="false">(IF($A$1="bl",0,Peak!D117*'Peak Hours'!V116*'Peak Hours'!$Y116))*-1</f>
        <v>-125275.133440228</v>
      </c>
      <c r="Z116" s="424"/>
      <c r="AA116" s="422" t="n">
        <f aca="false">(Peak!E117*'Peak Hours'!V116*'Peak Hours'!$Y116)*-1</f>
        <v>-0</v>
      </c>
      <c r="AB116" s="425"/>
      <c r="AC116" s="422" t="n">
        <f aca="false">(Peak!F117*'Peak Hours'!V116*'Peak Hours'!$Y116)*-1</f>
        <v>-0</v>
      </c>
      <c r="AD116" s="425"/>
    </row>
    <row r="117" customFormat="false" ht="12.75" hidden="false" customHeight="false" outlineLevel="0" collapsed="false">
      <c r="A117" s="400" t="n">
        <f aca="false">A116+30.417</f>
        <v>39794.619</v>
      </c>
      <c r="B117" s="417" t="n">
        <f aca="false">IF($A$1="BL",0,'Peak Hours'!B117*Peak!H118*'Peak Hours'!$Y117)</f>
        <v>582675.213519272</v>
      </c>
      <c r="C117" s="417" t="n">
        <f aca="false">IF($A$1="BL",0,'Peak Hours'!C117*Peak!I118*'Peak Hours'!$Y117)</f>
        <v>534259.697605287</v>
      </c>
      <c r="D117" s="417" t="n">
        <f aca="false">IF($A$1="BL",0,'Peak Hours'!D117*Peak!J118*'Peak Hours'!$Y117)</f>
        <v>1013559.27231477</v>
      </c>
      <c r="E117" s="417" t="n">
        <f aca="false">IF($A$1="BL",0,'Peak Hours'!E117*Peak!K118*'Peak Hours'!$Y117)</f>
        <v>1506778.37142047</v>
      </c>
      <c r="F117" s="417" t="n">
        <f aca="false">IF($A$1="BL",0,'Peak Hours'!F117*Peak!L118*'Peak Hours'!$Y117)</f>
        <v>1143158.87026666</v>
      </c>
      <c r="G117" s="417" t="n">
        <f aca="false">IF($A$1="BL",0,'Peak Hours'!G117*Peak!M118*'Peak Hours'!$Y117)</f>
        <v>1941178.89436872</v>
      </c>
      <c r="H117" s="417" t="n">
        <f aca="false">IF($A$1="BL",0,'Peak Hours'!H117*Peak!N118*'Peak Hours'!$Y117)</f>
        <v>1758956.00871657</v>
      </c>
      <c r="I117" s="417" t="n">
        <f aca="false">IF($A$1="BL",0,'Peak Hours'!I117*Peak!O118*'Peak Hours'!$Y117)</f>
        <v>1650505.25514542</v>
      </c>
      <c r="J117" s="417" t="n">
        <f aca="false">IF($A$1="BL",0,'Peak Hours'!J117*Peak!P118*'Peak Hours'!$Y117)</f>
        <v>1568252.1014402</v>
      </c>
      <c r="K117" s="417" t="n">
        <f aca="false">IF($A$1="BL",0,'Peak Hours'!K117*Peak!Q118*'Peak Hours'!$Y117)</f>
        <v>1565114.50702682</v>
      </c>
      <c r="L117" s="417" t="n">
        <f aca="false">IF($A$1="BL",0,'Peak Hours'!L117*Peak!R118*'Peak Hours'!$Y117)</f>
        <v>1529573.7660957</v>
      </c>
      <c r="M117" s="417" t="n">
        <f aca="false">IF($A$1="BL",0,'Peak Hours'!M117*Peak!S118*'Peak Hours'!$Y117)</f>
        <v>1250616.00400809</v>
      </c>
      <c r="N117" s="417" t="n">
        <f aca="false">IF($A$1="BL",0,'Peak Hours'!N117*Peak!T118*'Peak Hours'!$Y117)</f>
        <v>0</v>
      </c>
      <c r="O117" s="417" t="n">
        <f aca="false">IF($A$1="BL",0,'Peak Hours'!O117*Peak!U118*'Peak Hours'!$Y117)</f>
        <v>0</v>
      </c>
      <c r="P117" s="417" t="n">
        <f aca="false">IF($A$1="BL",0,'Peak Hours'!P117*Peak!V118*'Peak Hours'!$Y117)</f>
        <v>0</v>
      </c>
      <c r="Q117" s="417" t="n">
        <f aca="false">IF($A$1="BL",0,'Peak Hours'!Q117*Peak!W118*'Peak Hours'!$Y117)</f>
        <v>0</v>
      </c>
      <c r="R117" s="417" t="n">
        <f aca="false">IF($A$1="BL",0,'Peak Hours'!R117*Peak!X118*'Peak Hours'!$Y117)</f>
        <v>0</v>
      </c>
      <c r="S117" s="417" t="n">
        <f aca="false">IF($A$1="BL",0,'Peak Hours'!S117*Peak!Y118*'Peak Hours'!$Y117)</f>
        <v>0</v>
      </c>
      <c r="T117" s="417" t="n">
        <f aca="false">IF($A$1="BL",0,'Peak Hours'!T117*Peak!Z118*'Peak Hours'!$Y117)</f>
        <v>0</v>
      </c>
      <c r="U117" s="417" t="n">
        <f aca="false">IF($A$1="BL",0,'Peak Hours'!U117*Peak!AA118*'Peak Hours'!$Y117)</f>
        <v>0</v>
      </c>
      <c r="V117" s="426" t="n">
        <f aca="false">SUM(B106:U117)</f>
        <v>160241383.9346</v>
      </c>
      <c r="W117" s="422" t="n">
        <f aca="false">(IF($A$1="BL",0,Peak!C118*'Peak Hours'!V117*'Peak Hours'!$Y117))*-1</f>
        <v>-10011273.3235337</v>
      </c>
      <c r="X117" s="426" t="n">
        <f aca="false">SUM(W106:W117)</f>
        <v>-92558008.9526294</v>
      </c>
      <c r="Y117" s="422" t="n">
        <f aca="false">(IF($A$1="bl",0,Peak!D118*'Peak Hours'!V117*'Peak Hours'!$Y117))*-1</f>
        <v>-159651.140863263</v>
      </c>
      <c r="Z117" s="426" t="n">
        <f aca="false">SUM(Y106:Y117)</f>
        <v>-1717117.86176933</v>
      </c>
      <c r="AA117" s="422" t="n">
        <f aca="false">(Peak!E118*'Peak Hours'!V117*'Peak Hours'!$Y117)*-1</f>
        <v>-0</v>
      </c>
      <c r="AB117" s="427" t="n">
        <f aca="false">SUM(AA106:AA117)</f>
        <v>0</v>
      </c>
      <c r="AC117" s="422" t="n">
        <f aca="false">(Peak!F118*'Peak Hours'!V117*'Peak Hours'!$Y117)*-1</f>
        <v>-0</v>
      </c>
      <c r="AD117" s="427" t="n">
        <f aca="false">SUM(AC106:AC117)</f>
        <v>0</v>
      </c>
    </row>
    <row r="118" customFormat="false" ht="12.75" hidden="false" customHeight="false" outlineLevel="0" collapsed="false">
      <c r="A118" s="400" t="n">
        <f aca="false">A117+30.417</f>
        <v>39825.036</v>
      </c>
      <c r="B118" s="417" t="n">
        <f aca="false">IF($A$1="BL",0,'Peak Hours'!B118*Peak!H119*'Peak Hours'!$Y118)</f>
        <v>380246.600376526</v>
      </c>
      <c r="C118" s="417" t="n">
        <f aca="false">IF($A$1="BL",0,'Peak Hours'!C118*Peak!I119*'Peak Hours'!$Y118)</f>
        <v>344039.271431547</v>
      </c>
      <c r="D118" s="417" t="n">
        <f aca="false">IF($A$1="BL",0,'Peak Hours'!D118*Peak!J119*'Peak Hours'!$Y118)</f>
        <v>608734.427227766</v>
      </c>
      <c r="E118" s="417" t="n">
        <f aca="false">IF($A$1="BL",0,'Peak Hours'!E118*Peak!K119*'Peak Hours'!$Y118)</f>
        <v>1132406.76928308</v>
      </c>
      <c r="F118" s="417" t="n">
        <f aca="false">IF($A$1="BL",0,'Peak Hours'!F118*Peak!L119*'Peak Hours'!$Y118)</f>
        <v>1072073.04355749</v>
      </c>
      <c r="G118" s="417" t="n">
        <f aca="false">IF($A$1="BL",0,'Peak Hours'!G118*Peak!M119*'Peak Hours'!$Y118)</f>
        <v>1999722.07932449</v>
      </c>
      <c r="H118" s="417" t="n">
        <f aca="false">IF($A$1="BL",0,'Peak Hours'!H118*Peak!N119*'Peak Hours'!$Y118)</f>
        <v>1980943.46250707</v>
      </c>
      <c r="I118" s="417" t="n">
        <f aca="false">IF($A$1="BL",0,'Peak Hours'!I118*Peak!O119*'Peak Hours'!$Y118)</f>
        <v>1835912.41360657</v>
      </c>
      <c r="J118" s="417" t="n">
        <f aca="false">IF($A$1="BL",0,'Peak Hours'!J118*Peak!P119*'Peak Hours'!$Y118)</f>
        <v>1402445.35993506</v>
      </c>
      <c r="K118" s="417" t="n">
        <f aca="false">IF($A$1="BL",0,'Peak Hours'!K118*Peak!Q119*'Peak Hours'!$Y118)</f>
        <v>1220943.58181997</v>
      </c>
      <c r="L118" s="417" t="n">
        <f aca="false">IF($A$1="BL",0,'Peak Hours'!L118*Peak!R119*'Peak Hours'!$Y118)</f>
        <v>0</v>
      </c>
      <c r="M118" s="417" t="n">
        <f aca="false">IF($A$1="BL",0,'Peak Hours'!M118*Peak!S119*'Peak Hours'!$Y118)</f>
        <v>0</v>
      </c>
      <c r="N118" s="417" t="n">
        <f aca="false">IF($A$1="BL",0,'Peak Hours'!N118*Peak!T119*'Peak Hours'!$Y118)</f>
        <v>0</v>
      </c>
      <c r="O118" s="417" t="n">
        <f aca="false">IF($A$1="BL",0,'Peak Hours'!O118*Peak!U119*'Peak Hours'!$Y118)</f>
        <v>0</v>
      </c>
      <c r="P118" s="417" t="n">
        <f aca="false">IF($A$1="BL",0,'Peak Hours'!P118*Peak!V119*'Peak Hours'!$Y118)</f>
        <v>0</v>
      </c>
      <c r="Q118" s="417" t="n">
        <f aca="false">IF($A$1="BL",0,'Peak Hours'!Q118*Peak!W119*'Peak Hours'!$Y118)</f>
        <v>0</v>
      </c>
      <c r="R118" s="417" t="n">
        <f aca="false">IF($A$1="BL",0,'Peak Hours'!R118*Peak!X119*'Peak Hours'!$Y118)</f>
        <v>0</v>
      </c>
      <c r="S118" s="417" t="n">
        <f aca="false">IF($A$1="BL",0,'Peak Hours'!S118*Peak!Y119*'Peak Hours'!$Y118)</f>
        <v>0</v>
      </c>
      <c r="T118" s="417" t="n">
        <f aca="false">IF($A$1="BL",0,'Peak Hours'!T118*Peak!Z119*'Peak Hours'!$Y118)</f>
        <v>0</v>
      </c>
      <c r="U118" s="417" t="n">
        <f aca="false">IF($A$1="BL",0,'Peak Hours'!U118*Peak!AA119*'Peak Hours'!$Y118)</f>
        <v>0</v>
      </c>
      <c r="V118" s="424"/>
      <c r="W118" s="422" t="n">
        <f aca="false">(IF($A$1="BL",0,Peak!C119*'Peak Hours'!V118*'Peak Hours'!$Y118))*-1</f>
        <v>-7638605.01315618</v>
      </c>
      <c r="X118" s="424"/>
      <c r="Y118" s="422" t="n">
        <f aca="false">(IF($A$1="bl",0,Peak!D119*'Peak Hours'!V118*'Peak Hours'!$Y118))*-1</f>
        <v>-122289.643486732</v>
      </c>
      <c r="Z118" s="424"/>
      <c r="AA118" s="422" t="n">
        <f aca="false">(Peak!E119*'Peak Hours'!V118*'Peak Hours'!$Y118)*-1</f>
        <v>-0</v>
      </c>
      <c r="AB118" s="425"/>
      <c r="AC118" s="422" t="n">
        <f aca="false">(Peak!F119*'Peak Hours'!V118*'Peak Hours'!$Y118)*-1</f>
        <v>-0</v>
      </c>
      <c r="AD118" s="425"/>
    </row>
    <row r="119" customFormat="false" ht="12.75" hidden="false" customHeight="false" outlineLevel="0" collapsed="false">
      <c r="A119" s="400" t="n">
        <f aca="false">A118+30.417</f>
        <v>39855.453</v>
      </c>
      <c r="B119" s="417" t="n">
        <f aca="false">IF($A$1="BL",0,'Peak Hours'!B119*Peak!H120*'Peak Hours'!$Y119)</f>
        <v>531174.945295492</v>
      </c>
      <c r="C119" s="417" t="n">
        <f aca="false">IF($A$1="BL",0,'Peak Hours'!C119*Peak!I120*'Peak Hours'!$Y119)</f>
        <v>498609.957474561</v>
      </c>
      <c r="D119" s="417" t="n">
        <f aca="false">IF($A$1="BL",0,'Peak Hours'!D119*Peak!J120*'Peak Hours'!$Y119)</f>
        <v>781815.399507461</v>
      </c>
      <c r="E119" s="417" t="n">
        <f aca="false">IF($A$1="BL",0,'Peak Hours'!E119*Peak!K120*'Peak Hours'!$Y119)</f>
        <v>1151477.54176857</v>
      </c>
      <c r="F119" s="417" t="n">
        <f aca="false">IF($A$1="BL",0,'Peak Hours'!F119*Peak!L120*'Peak Hours'!$Y119)</f>
        <v>1073934.54599147</v>
      </c>
      <c r="G119" s="417" t="n">
        <f aca="false">IF($A$1="BL",0,'Peak Hours'!G119*Peak!M120*'Peak Hours'!$Y119)</f>
        <v>2022864.55588917</v>
      </c>
      <c r="H119" s="417" t="n">
        <f aca="false">IF($A$1="BL",0,'Peak Hours'!H119*Peak!N120*'Peak Hours'!$Y119)</f>
        <v>1918523.14427932</v>
      </c>
      <c r="I119" s="417" t="n">
        <f aca="false">IF($A$1="BL",0,'Peak Hours'!I119*Peak!O120*'Peak Hours'!$Y119)</f>
        <v>1885940.67208187</v>
      </c>
      <c r="J119" s="417" t="n">
        <f aca="false">IF($A$1="BL",0,'Peak Hours'!J119*Peak!P120*'Peak Hours'!$Y119)</f>
        <v>1527018.47503209</v>
      </c>
      <c r="K119" s="417" t="n">
        <f aca="false">IF($A$1="BL",0,'Peak Hours'!K119*Peak!Q120*'Peak Hours'!$Y119)</f>
        <v>1273841.88076787</v>
      </c>
      <c r="L119" s="417" t="n">
        <f aca="false">IF($A$1="BL",0,'Peak Hours'!L119*Peak!R120*'Peak Hours'!$Y119)</f>
        <v>1083828.91062568</v>
      </c>
      <c r="M119" s="417" t="n">
        <f aca="false">IF($A$1="BL",0,'Peak Hours'!M119*Peak!S120*'Peak Hours'!$Y119)</f>
        <v>0</v>
      </c>
      <c r="N119" s="417" t="n">
        <f aca="false">IF($A$1="BL",0,'Peak Hours'!N119*Peak!T120*'Peak Hours'!$Y119)</f>
        <v>0</v>
      </c>
      <c r="O119" s="417" t="n">
        <f aca="false">IF($A$1="BL",0,'Peak Hours'!O119*Peak!U120*'Peak Hours'!$Y119)</f>
        <v>0</v>
      </c>
      <c r="P119" s="417" t="n">
        <f aca="false">IF($A$1="BL",0,'Peak Hours'!P119*Peak!V120*'Peak Hours'!$Y119)</f>
        <v>0</v>
      </c>
      <c r="Q119" s="417" t="n">
        <f aca="false">IF($A$1="BL",0,'Peak Hours'!Q119*Peak!W120*'Peak Hours'!$Y119)</f>
        <v>0</v>
      </c>
      <c r="R119" s="417" t="n">
        <f aca="false">IF($A$1="BL",0,'Peak Hours'!R119*Peak!X120*'Peak Hours'!$Y119)</f>
        <v>0</v>
      </c>
      <c r="S119" s="417" t="n">
        <f aca="false">IF($A$1="BL",0,'Peak Hours'!S119*Peak!Y120*'Peak Hours'!$Y119)</f>
        <v>0</v>
      </c>
      <c r="T119" s="417" t="n">
        <f aca="false">IF($A$1="BL",0,'Peak Hours'!T119*Peak!Z120*'Peak Hours'!$Y119)</f>
        <v>0</v>
      </c>
      <c r="U119" s="417" t="n">
        <f aca="false">IF($A$1="BL",0,'Peak Hours'!U119*Peak!AA120*'Peak Hours'!$Y119)</f>
        <v>0</v>
      </c>
      <c r="V119" s="424"/>
      <c r="W119" s="422" t="n">
        <f aca="false">(IF($A$1="BL",0,Peak!C120*'Peak Hours'!V119*'Peak Hours'!$Y119))*-1</f>
        <v>-7899580.26626524</v>
      </c>
      <c r="X119" s="424"/>
      <c r="Y119" s="422" t="n">
        <f aca="false">(IF($A$1="bl",0,Peak!D120*'Peak Hours'!V119*'Peak Hours'!$Y119))*-1</f>
        <v>-141338.607183704</v>
      </c>
      <c r="Z119" s="424"/>
      <c r="AA119" s="422" t="n">
        <f aca="false">(Peak!E120*'Peak Hours'!V119*'Peak Hours'!$Y119)*-1</f>
        <v>-0</v>
      </c>
      <c r="AB119" s="425"/>
      <c r="AC119" s="422" t="n">
        <f aca="false">(Peak!F120*'Peak Hours'!V119*'Peak Hours'!$Y119)*-1</f>
        <v>-0</v>
      </c>
      <c r="AD119" s="425"/>
    </row>
    <row r="120" customFormat="false" ht="12.75" hidden="false" customHeight="false" outlineLevel="0" collapsed="false">
      <c r="A120" s="400" t="n">
        <f aca="false">A119+30.417</f>
        <v>39885.87</v>
      </c>
      <c r="B120" s="417" t="n">
        <f aca="false">IF($A$1="BL",0,'Peak Hours'!B120*Peak!H121*'Peak Hours'!$Y120)</f>
        <v>328913.33849539</v>
      </c>
      <c r="C120" s="417" t="n">
        <f aca="false">IF($A$1="BL",0,'Peak Hours'!C120*Peak!I121*'Peak Hours'!$Y120)</f>
        <v>292512.111061638</v>
      </c>
      <c r="D120" s="417" t="n">
        <f aca="false">IF($A$1="BL",0,'Peak Hours'!D120*Peak!J121*'Peak Hours'!$Y120)</f>
        <v>563643.57788059</v>
      </c>
      <c r="E120" s="417" t="n">
        <f aca="false">IF($A$1="BL",0,'Peak Hours'!E120*Peak!K121*'Peak Hours'!$Y120)</f>
        <v>1062953.98317377</v>
      </c>
      <c r="F120" s="417" t="n">
        <f aca="false">IF($A$1="BL",0,'Peak Hours'!F120*Peak!L121*'Peak Hours'!$Y120)</f>
        <v>989165.583289574</v>
      </c>
      <c r="G120" s="417" t="n">
        <f aca="false">IF($A$1="BL",0,'Peak Hours'!G120*Peak!M121*'Peak Hours'!$Y120)</f>
        <v>1952804.74233535</v>
      </c>
      <c r="H120" s="417" t="n">
        <f aca="false">IF($A$1="BL",0,'Peak Hours'!H120*Peak!N121*'Peak Hours'!$Y120)</f>
        <v>1885092.14957976</v>
      </c>
      <c r="I120" s="417" t="n">
        <f aca="false">IF($A$1="BL",0,'Peak Hours'!I120*Peak!O121*'Peak Hours'!$Y120)</f>
        <v>1492789.03791261</v>
      </c>
      <c r="J120" s="417" t="n">
        <f aca="false">IF($A$1="BL",0,'Peak Hours'!J120*Peak!P121*'Peak Hours'!$Y120)</f>
        <v>1330698.82217391</v>
      </c>
      <c r="K120" s="417" t="n">
        <f aca="false">IF($A$1="BL",0,'Peak Hours'!K120*Peak!Q121*'Peak Hours'!$Y120)</f>
        <v>1152392.87169535</v>
      </c>
      <c r="L120" s="417" t="n">
        <f aca="false">IF($A$1="BL",0,'Peak Hours'!L120*Peak!R121*'Peak Hours'!$Y120)</f>
        <v>1104005.86257885</v>
      </c>
      <c r="M120" s="417" t="n">
        <f aca="false">IF($A$1="BL",0,'Peak Hours'!M120*Peak!S121*'Peak Hours'!$Y120)</f>
        <v>1094756.36320672</v>
      </c>
      <c r="N120" s="417" t="n">
        <f aca="false">IF($A$1="BL",0,'Peak Hours'!N120*Peak!T121*'Peak Hours'!$Y120)</f>
        <v>0</v>
      </c>
      <c r="O120" s="417" t="n">
        <f aca="false">IF($A$1="BL",0,'Peak Hours'!O120*Peak!U121*'Peak Hours'!$Y120)</f>
        <v>0</v>
      </c>
      <c r="P120" s="417" t="n">
        <f aca="false">IF($A$1="BL",0,'Peak Hours'!P120*Peak!V121*'Peak Hours'!$Y120)</f>
        <v>0</v>
      </c>
      <c r="Q120" s="417" t="n">
        <f aca="false">IF($A$1="BL",0,'Peak Hours'!Q120*Peak!W121*'Peak Hours'!$Y120)</f>
        <v>0</v>
      </c>
      <c r="R120" s="417" t="n">
        <f aca="false">IF($A$1="BL",0,'Peak Hours'!R120*Peak!X121*'Peak Hours'!$Y120)</f>
        <v>0</v>
      </c>
      <c r="S120" s="417" t="n">
        <f aca="false">IF($A$1="BL",0,'Peak Hours'!S120*Peak!Y121*'Peak Hours'!$Y120)</f>
        <v>0</v>
      </c>
      <c r="T120" s="417" t="n">
        <f aca="false">IF($A$1="BL",0,'Peak Hours'!T120*Peak!Z121*'Peak Hours'!$Y120)</f>
        <v>0</v>
      </c>
      <c r="U120" s="417" t="n">
        <f aca="false">IF($A$1="BL",0,'Peak Hours'!U120*Peak!AA121*'Peak Hours'!$Y120)</f>
        <v>0</v>
      </c>
      <c r="V120" s="424"/>
      <c r="W120" s="422" t="n">
        <f aca="false">(IF($A$1="BL",0,Peak!C121*'Peak Hours'!V120*'Peak Hours'!$Y120))*-1</f>
        <v>-9047290.7167194</v>
      </c>
      <c r="X120" s="424"/>
      <c r="Y120" s="422" t="n">
        <f aca="false">(IF($A$1="bl",0,Peak!D121*'Peak Hours'!V120*'Peak Hours'!$Y120))*-1</f>
        <v>-164916.203924344</v>
      </c>
      <c r="Z120" s="424"/>
      <c r="AA120" s="422" t="n">
        <f aca="false">(Peak!E121*'Peak Hours'!V120*'Peak Hours'!$Y120)*-1</f>
        <v>-0</v>
      </c>
      <c r="AB120" s="425"/>
      <c r="AC120" s="422" t="n">
        <f aca="false">(Peak!F121*'Peak Hours'!V120*'Peak Hours'!$Y120)*-1</f>
        <v>-0</v>
      </c>
      <c r="AD120" s="425"/>
    </row>
    <row r="121" customFormat="false" ht="12.75" hidden="false" customHeight="false" outlineLevel="0" collapsed="false">
      <c r="A121" s="400" t="n">
        <f aca="false">A120+30.417</f>
        <v>39916.287</v>
      </c>
      <c r="B121" s="417" t="n">
        <f aca="false">IF($A$1="BL",0,'Peak Hours'!B121*Peak!H122*'Peak Hours'!$Y121)</f>
        <v>266566.13627559</v>
      </c>
      <c r="C121" s="417" t="n">
        <f aca="false">IF($A$1="BL",0,'Peak Hours'!C121*Peak!I122*'Peak Hours'!$Y121)</f>
        <v>257399.332436386</v>
      </c>
      <c r="D121" s="417" t="n">
        <f aca="false">IF($A$1="BL",0,'Peak Hours'!D121*Peak!J122*'Peak Hours'!$Y121)</f>
        <v>488872.776032997</v>
      </c>
      <c r="E121" s="417" t="n">
        <f aca="false">IF($A$1="BL",0,'Peak Hours'!E121*Peak!K122*'Peak Hours'!$Y121)</f>
        <v>935828.193206769</v>
      </c>
      <c r="F121" s="417" t="n">
        <f aca="false">IF($A$1="BL",0,'Peak Hours'!F121*Peak!L122*'Peak Hours'!$Y121)</f>
        <v>933778.293200127</v>
      </c>
      <c r="G121" s="417" t="n">
        <f aca="false">IF($A$1="BL",0,'Peak Hours'!G121*Peak!M122*'Peak Hours'!$Y121)</f>
        <v>1697470.97948691</v>
      </c>
      <c r="H121" s="417" t="n">
        <f aca="false">IF($A$1="BL",0,'Peak Hours'!H121*Peak!N122*'Peak Hours'!$Y121)</f>
        <v>1298390.14229555</v>
      </c>
      <c r="I121" s="417" t="n">
        <f aca="false">IF($A$1="BL",0,'Peak Hours'!I121*Peak!O122*'Peak Hours'!$Y121)</f>
        <v>1190099.99092307</v>
      </c>
      <c r="J121" s="417" t="n">
        <f aca="false">IF($A$1="BL",0,'Peak Hours'!J121*Peak!P122*'Peak Hours'!$Y121)</f>
        <v>1073961.89198233</v>
      </c>
      <c r="K121" s="417" t="n">
        <f aca="false">IF($A$1="BL",0,'Peak Hours'!K121*Peak!Q122*'Peak Hours'!$Y121)</f>
        <v>1059569.30010947</v>
      </c>
      <c r="L121" s="417" t="n">
        <f aca="false">IF($A$1="BL",0,'Peak Hours'!L121*Peak!R122*'Peak Hours'!$Y121)</f>
        <v>1031425.27508298</v>
      </c>
      <c r="M121" s="417" t="n">
        <f aca="false">IF($A$1="BL",0,'Peak Hours'!M121*Peak!S122*'Peak Hours'!$Y121)</f>
        <v>0</v>
      </c>
      <c r="N121" s="417" t="n">
        <f aca="false">IF($A$1="BL",0,'Peak Hours'!N121*Peak!T122*'Peak Hours'!$Y121)</f>
        <v>0</v>
      </c>
      <c r="O121" s="417" t="n">
        <f aca="false">IF($A$1="BL",0,'Peak Hours'!O121*Peak!U122*'Peak Hours'!$Y121)</f>
        <v>0</v>
      </c>
      <c r="P121" s="417" t="n">
        <f aca="false">IF($A$1="BL",0,'Peak Hours'!P121*Peak!V122*'Peak Hours'!$Y121)</f>
        <v>0</v>
      </c>
      <c r="Q121" s="417" t="n">
        <f aca="false">IF($A$1="BL",0,'Peak Hours'!Q121*Peak!W122*'Peak Hours'!$Y121)</f>
        <v>0</v>
      </c>
      <c r="R121" s="417" t="n">
        <f aca="false">IF($A$1="BL",0,'Peak Hours'!R121*Peak!X122*'Peak Hours'!$Y121)</f>
        <v>0</v>
      </c>
      <c r="S121" s="417" t="n">
        <f aca="false">IF($A$1="BL",0,'Peak Hours'!S121*Peak!Y122*'Peak Hours'!$Y121)</f>
        <v>0</v>
      </c>
      <c r="T121" s="417" t="n">
        <f aca="false">IF($A$1="BL",0,'Peak Hours'!T121*Peak!Z122*'Peak Hours'!$Y121)</f>
        <v>0</v>
      </c>
      <c r="U121" s="417" t="n">
        <f aca="false">IF($A$1="BL",0,'Peak Hours'!U121*Peak!AA122*'Peak Hours'!$Y121)</f>
        <v>0</v>
      </c>
      <c r="V121" s="424"/>
      <c r="W121" s="422" t="n">
        <f aca="false">(IF($A$1="BL",0,Peak!C122*'Peak Hours'!V121*'Peak Hours'!$Y121))*-1</f>
        <v>-7589380.15797712</v>
      </c>
      <c r="X121" s="424"/>
      <c r="Y121" s="422" t="n">
        <f aca="false">(IF($A$1="bl",0,Peak!D122*'Peak Hours'!V121*'Peak Hours'!$Y121))*-1</f>
        <v>-145756.821409604</v>
      </c>
      <c r="Z121" s="424"/>
      <c r="AA121" s="422" t="n">
        <f aca="false">(Peak!E122*'Peak Hours'!V121*'Peak Hours'!$Y121)*-1</f>
        <v>-0</v>
      </c>
      <c r="AB121" s="425"/>
      <c r="AC121" s="422" t="n">
        <f aca="false">(Peak!F122*'Peak Hours'!V121*'Peak Hours'!$Y121)*-1</f>
        <v>-0</v>
      </c>
      <c r="AD121" s="425"/>
    </row>
    <row r="122" customFormat="false" ht="12.75" hidden="false" customHeight="false" outlineLevel="0" collapsed="false">
      <c r="A122" s="400" t="n">
        <f aca="false">A121+30.417</f>
        <v>39946.704</v>
      </c>
      <c r="B122" s="417" t="n">
        <f aca="false">IF($A$1="BL",0,'Peak Hours'!B122*Peak!H123*'Peak Hours'!$Y122)</f>
        <v>368247.117798012</v>
      </c>
      <c r="C122" s="417" t="n">
        <f aca="false">IF($A$1="BL",0,'Peak Hours'!C122*Peak!I123*'Peak Hours'!$Y122)</f>
        <v>284790.6102931</v>
      </c>
      <c r="D122" s="417" t="n">
        <f aca="false">IF($A$1="BL",0,'Peak Hours'!D122*Peak!J123*'Peak Hours'!$Y122)</f>
        <v>515845.599251877</v>
      </c>
      <c r="E122" s="417" t="n">
        <f aca="false">IF($A$1="BL",0,'Peak Hours'!E122*Peak!K123*'Peak Hours'!$Y122)</f>
        <v>958163.144803886</v>
      </c>
      <c r="F122" s="417" t="n">
        <f aca="false">IF($A$1="BL",0,'Peak Hours'!F122*Peak!L123*'Peak Hours'!$Y122)</f>
        <v>942349.946149362</v>
      </c>
      <c r="G122" s="417" t="n">
        <f aca="false">IF($A$1="BL",0,'Peak Hours'!G122*Peak!M123*'Peak Hours'!$Y122)</f>
        <v>1571790.98218312</v>
      </c>
      <c r="H122" s="417" t="n">
        <f aca="false">IF($A$1="BL",0,'Peak Hours'!H122*Peak!N123*'Peak Hours'!$Y122)</f>
        <v>1303371.80168991</v>
      </c>
      <c r="I122" s="417" t="n">
        <f aca="false">IF($A$1="BL",0,'Peak Hours'!I122*Peak!O123*'Peak Hours'!$Y122)</f>
        <v>1196948.8780724</v>
      </c>
      <c r="J122" s="417" t="n">
        <f aca="false">IF($A$1="BL",0,'Peak Hours'!J122*Peak!P123*'Peak Hours'!$Y122)</f>
        <v>1093174.87489043</v>
      </c>
      <c r="K122" s="417" t="n">
        <f aca="false">IF($A$1="BL",0,'Peak Hours'!K122*Peak!Q123*'Peak Hours'!$Y122)</f>
        <v>0</v>
      </c>
      <c r="L122" s="417" t="n">
        <f aca="false">IF($A$1="BL",0,'Peak Hours'!L122*Peak!R123*'Peak Hours'!$Y122)</f>
        <v>0</v>
      </c>
      <c r="M122" s="417" t="n">
        <f aca="false">IF($A$1="BL",0,'Peak Hours'!M122*Peak!S123*'Peak Hours'!$Y122)</f>
        <v>0</v>
      </c>
      <c r="N122" s="417" t="n">
        <f aca="false">IF($A$1="BL",0,'Peak Hours'!N122*Peak!T123*'Peak Hours'!$Y122)</f>
        <v>0</v>
      </c>
      <c r="O122" s="417" t="n">
        <f aca="false">IF($A$1="BL",0,'Peak Hours'!O122*Peak!U123*'Peak Hours'!$Y122)</f>
        <v>0</v>
      </c>
      <c r="P122" s="417" t="n">
        <f aca="false">IF($A$1="BL",0,'Peak Hours'!P122*Peak!V123*'Peak Hours'!$Y122)</f>
        <v>0</v>
      </c>
      <c r="Q122" s="417" t="n">
        <f aca="false">IF($A$1="BL",0,'Peak Hours'!Q122*Peak!W123*'Peak Hours'!$Y122)</f>
        <v>0</v>
      </c>
      <c r="R122" s="417" t="n">
        <f aca="false">IF($A$1="BL",0,'Peak Hours'!R122*Peak!X123*'Peak Hours'!$Y122)</f>
        <v>0</v>
      </c>
      <c r="S122" s="417" t="n">
        <f aca="false">IF($A$1="BL",0,'Peak Hours'!S122*Peak!Y123*'Peak Hours'!$Y122)</f>
        <v>0</v>
      </c>
      <c r="T122" s="417" t="n">
        <f aca="false">IF($A$1="BL",0,'Peak Hours'!T122*Peak!Z123*'Peak Hours'!$Y122)</f>
        <v>0</v>
      </c>
      <c r="U122" s="417" t="n">
        <f aca="false">IF($A$1="BL",0,'Peak Hours'!U122*Peak!AA123*'Peak Hours'!$Y122)</f>
        <v>0</v>
      </c>
      <c r="V122" s="424"/>
      <c r="W122" s="422" t="n">
        <f aca="false">(IF($A$1="BL",0,Peak!C123*'Peak Hours'!V122*'Peak Hours'!$Y122))*-1</f>
        <v>-5860018.75337281</v>
      </c>
      <c r="X122" s="424"/>
      <c r="Y122" s="422" t="n">
        <f aca="false">(IF($A$1="bl",0,Peak!D123*'Peak Hours'!V122*'Peak Hours'!$Y122))*-1</f>
        <v>-107066.482926544</v>
      </c>
      <c r="Z122" s="424"/>
      <c r="AA122" s="422" t="n">
        <f aca="false">(Peak!E123*'Peak Hours'!V122*'Peak Hours'!$Y122)*-1</f>
        <v>-0</v>
      </c>
      <c r="AB122" s="425"/>
      <c r="AC122" s="422" t="n">
        <f aca="false">(Peak!F123*'Peak Hours'!V122*'Peak Hours'!$Y122)*-1</f>
        <v>-0</v>
      </c>
      <c r="AD122" s="425"/>
    </row>
    <row r="123" customFormat="false" ht="12.75" hidden="false" customHeight="false" outlineLevel="0" collapsed="false">
      <c r="A123" s="400" t="n">
        <f aca="false">A122+30.417</f>
        <v>39977.121</v>
      </c>
      <c r="B123" s="417" t="n">
        <f aca="false">IF($A$1="BL",0,'Peak Hours'!B123*Peak!H124*'Peak Hours'!$Y123)</f>
        <v>696629.767712464</v>
      </c>
      <c r="C123" s="417" t="n">
        <f aca="false">IF($A$1="BL",0,'Peak Hours'!C123*Peak!I124*'Peak Hours'!$Y123)</f>
        <v>594902.685730306</v>
      </c>
      <c r="D123" s="417" t="n">
        <f aca="false">IF($A$1="BL",0,'Peak Hours'!D123*Peak!J124*'Peak Hours'!$Y123)</f>
        <v>1071656.69232378</v>
      </c>
      <c r="E123" s="417" t="n">
        <f aca="false">IF($A$1="BL",0,'Peak Hours'!E123*Peak!K124*'Peak Hours'!$Y123)</f>
        <v>1740924.19153201</v>
      </c>
      <c r="F123" s="417" t="n">
        <f aca="false">IF($A$1="BL",0,'Peak Hours'!F123*Peak!L124*'Peak Hours'!$Y123)</f>
        <v>1065436.5807656</v>
      </c>
      <c r="G123" s="417" t="n">
        <f aca="false">IF($A$1="BL",0,'Peak Hours'!G123*Peak!M124*'Peak Hours'!$Y123)</f>
        <v>1771485.52121248</v>
      </c>
      <c r="H123" s="417" t="n">
        <f aca="false">IF($A$1="BL",0,'Peak Hours'!H123*Peak!N124*'Peak Hours'!$Y123)</f>
        <v>1653400.38019259</v>
      </c>
      <c r="I123" s="417" t="n">
        <f aca="false">IF($A$1="BL",0,'Peak Hours'!I123*Peak!O124*'Peak Hours'!$Y123)</f>
        <v>1424567.71224538</v>
      </c>
      <c r="J123" s="417" t="n">
        <f aca="false">IF($A$1="BL",0,'Peak Hours'!J123*Peak!P124*'Peak Hours'!$Y123)</f>
        <v>1157612.65660338</v>
      </c>
      <c r="K123" s="417" t="n">
        <f aca="false">IF($A$1="BL",0,'Peak Hours'!K123*Peak!Q124*'Peak Hours'!$Y123)</f>
        <v>1060000.68999556</v>
      </c>
      <c r="L123" s="417" t="n">
        <f aca="false">IF($A$1="BL",0,'Peak Hours'!L123*Peak!R124*'Peak Hours'!$Y123)</f>
        <v>0</v>
      </c>
      <c r="M123" s="417" t="n">
        <f aca="false">IF($A$1="BL",0,'Peak Hours'!M123*Peak!S124*'Peak Hours'!$Y123)</f>
        <v>0</v>
      </c>
      <c r="N123" s="417" t="n">
        <f aca="false">IF($A$1="BL",0,'Peak Hours'!N123*Peak!T124*'Peak Hours'!$Y123)</f>
        <v>0</v>
      </c>
      <c r="O123" s="417" t="n">
        <f aca="false">IF($A$1="BL",0,'Peak Hours'!O123*Peak!U124*'Peak Hours'!$Y123)</f>
        <v>0</v>
      </c>
      <c r="P123" s="417" t="n">
        <f aca="false">IF($A$1="BL",0,'Peak Hours'!P123*Peak!V124*'Peak Hours'!$Y123)</f>
        <v>0</v>
      </c>
      <c r="Q123" s="417" t="n">
        <f aca="false">IF($A$1="BL",0,'Peak Hours'!Q123*Peak!W124*'Peak Hours'!$Y123)</f>
        <v>0</v>
      </c>
      <c r="R123" s="417" t="n">
        <f aca="false">IF($A$1="BL",0,'Peak Hours'!R123*Peak!X124*'Peak Hours'!$Y123)</f>
        <v>0</v>
      </c>
      <c r="S123" s="417" t="n">
        <f aca="false">IF($A$1="BL",0,'Peak Hours'!S123*Peak!Y124*'Peak Hours'!$Y123)</f>
        <v>0</v>
      </c>
      <c r="T123" s="417" t="n">
        <f aca="false">IF($A$1="BL",0,'Peak Hours'!T123*Peak!Z124*'Peak Hours'!$Y123)</f>
        <v>0</v>
      </c>
      <c r="U123" s="417" t="n">
        <f aca="false">IF($A$1="BL",0,'Peak Hours'!U123*Peak!AA124*'Peak Hours'!$Y123)</f>
        <v>0</v>
      </c>
      <c r="V123" s="424"/>
      <c r="W123" s="422" t="n">
        <f aca="false">(IF($A$1="BL",0,Peak!C124*'Peak Hours'!V123*'Peak Hours'!$Y123))*-1</f>
        <v>-6710316.55074283</v>
      </c>
      <c r="X123" s="424"/>
      <c r="Y123" s="422" t="n">
        <f aca="false">(IF($A$1="bl",0,Peak!D124*'Peak Hours'!V123*'Peak Hours'!$Y123))*-1</f>
        <v>-128894.831674143</v>
      </c>
      <c r="Z123" s="424"/>
      <c r="AA123" s="422" t="n">
        <f aca="false">(Peak!E124*'Peak Hours'!V123*'Peak Hours'!$Y123)*-1</f>
        <v>-0</v>
      </c>
      <c r="AB123" s="425"/>
      <c r="AC123" s="422" t="n">
        <f aca="false">(Peak!F124*'Peak Hours'!V123*'Peak Hours'!$Y123)*-1</f>
        <v>-0</v>
      </c>
      <c r="AD123" s="425"/>
    </row>
    <row r="124" customFormat="false" ht="12.75" hidden="false" customHeight="false" outlineLevel="0" collapsed="false">
      <c r="A124" s="400" t="n">
        <f aca="false">A123+30.417</f>
        <v>40007.538</v>
      </c>
      <c r="B124" s="417" t="n">
        <f aca="false">IF($A$1="BL",0,'Peak Hours'!B124*Peak!H125*'Peak Hours'!$Y124)</f>
        <v>1092914.02013802</v>
      </c>
      <c r="C124" s="417" t="n">
        <f aca="false">IF($A$1="BL",0,'Peak Hours'!C124*Peak!I125*'Peak Hours'!$Y124)</f>
        <v>906136.793563027</v>
      </c>
      <c r="D124" s="417" t="n">
        <f aca="false">IF($A$1="BL",0,'Peak Hours'!D124*Peak!J125*'Peak Hours'!$Y124)</f>
        <v>1557530.73156464</v>
      </c>
      <c r="E124" s="417" t="n">
        <f aca="false">IF($A$1="BL",0,'Peak Hours'!E124*Peak!K125*'Peak Hours'!$Y124)</f>
        <v>2586136.87411704</v>
      </c>
      <c r="F124" s="417" t="n">
        <f aca="false">IF($A$1="BL",0,'Peak Hours'!F124*Peak!L125*'Peak Hours'!$Y124)</f>
        <v>2211068.49170085</v>
      </c>
      <c r="G124" s="417" t="n">
        <f aca="false">IF($A$1="BL",0,'Peak Hours'!G124*Peak!M125*'Peak Hours'!$Y124)</f>
        <v>3656392.90572368</v>
      </c>
      <c r="H124" s="417" t="n">
        <f aca="false">IF($A$1="BL",0,'Peak Hours'!H124*Peak!N125*'Peak Hours'!$Y124)</f>
        <v>2022020.57314261</v>
      </c>
      <c r="I124" s="417" t="n">
        <f aca="false">IF($A$1="BL",0,'Peak Hours'!I124*Peak!O125*'Peak Hours'!$Y124)</f>
        <v>1746492.28265265</v>
      </c>
      <c r="J124" s="417" t="n">
        <f aca="false">IF($A$1="BL",0,'Peak Hours'!J124*Peak!P125*'Peak Hours'!$Y124)</f>
        <v>1671716.53070414</v>
      </c>
      <c r="K124" s="417" t="n">
        <f aca="false">IF($A$1="BL",0,'Peak Hours'!K124*Peak!Q125*'Peak Hours'!$Y124)</f>
        <v>1444040.24837506</v>
      </c>
      <c r="L124" s="417" t="n">
        <f aca="false">IF($A$1="BL",0,'Peak Hours'!L124*Peak!R125*'Peak Hours'!$Y124)</f>
        <v>1101877.30796804</v>
      </c>
      <c r="M124" s="417" t="n">
        <f aca="false">IF($A$1="BL",0,'Peak Hours'!M124*Peak!S125*'Peak Hours'!$Y124)</f>
        <v>0</v>
      </c>
      <c r="N124" s="417" t="n">
        <f aca="false">IF($A$1="BL",0,'Peak Hours'!N124*Peak!T125*'Peak Hours'!$Y124)</f>
        <v>0</v>
      </c>
      <c r="O124" s="417" t="n">
        <f aca="false">IF($A$1="BL",0,'Peak Hours'!O124*Peak!U125*'Peak Hours'!$Y124)</f>
        <v>0</v>
      </c>
      <c r="P124" s="417" t="n">
        <f aca="false">IF($A$1="BL",0,'Peak Hours'!P124*Peak!V125*'Peak Hours'!$Y124)</f>
        <v>0</v>
      </c>
      <c r="Q124" s="417" t="n">
        <f aca="false">IF($A$1="BL",0,'Peak Hours'!Q124*Peak!W125*'Peak Hours'!$Y124)</f>
        <v>0</v>
      </c>
      <c r="R124" s="417" t="n">
        <f aca="false">IF($A$1="BL",0,'Peak Hours'!R124*Peak!X125*'Peak Hours'!$Y124)</f>
        <v>0</v>
      </c>
      <c r="S124" s="417" t="n">
        <f aca="false">IF($A$1="BL",0,'Peak Hours'!S124*Peak!Y125*'Peak Hours'!$Y124)</f>
        <v>0</v>
      </c>
      <c r="T124" s="417" t="n">
        <f aca="false">IF($A$1="BL",0,'Peak Hours'!T124*Peak!Z125*'Peak Hours'!$Y124)</f>
        <v>0</v>
      </c>
      <c r="U124" s="417" t="n">
        <f aca="false">IF($A$1="BL",0,'Peak Hours'!U124*Peak!AA125*'Peak Hours'!$Y124)</f>
        <v>0</v>
      </c>
      <c r="V124" s="424"/>
      <c r="W124" s="422" t="n">
        <f aca="false">(IF($A$1="BL",0,Peak!C125*'Peak Hours'!V124*'Peak Hours'!$Y124))*-1</f>
        <v>-7718170.81359782</v>
      </c>
      <c r="X124" s="424"/>
      <c r="Y124" s="422" t="n">
        <f aca="false">(IF($A$1="bl",0,Peak!D125*'Peak Hours'!V124*'Peak Hours'!$Y124))*-1</f>
        <v>-148972.680454154</v>
      </c>
      <c r="Z124" s="424"/>
      <c r="AA124" s="422" t="n">
        <f aca="false">(Peak!E125*'Peak Hours'!V124*'Peak Hours'!$Y124)*-1</f>
        <v>-0</v>
      </c>
      <c r="AB124" s="425"/>
      <c r="AC124" s="422" t="n">
        <f aca="false">(Peak!F125*'Peak Hours'!V124*'Peak Hours'!$Y124)*-1</f>
        <v>-0</v>
      </c>
      <c r="AD124" s="425"/>
    </row>
    <row r="125" customFormat="false" ht="12.75" hidden="false" customHeight="false" outlineLevel="0" collapsed="false">
      <c r="A125" s="400" t="n">
        <f aca="false">A124+30.417</f>
        <v>40037.955</v>
      </c>
      <c r="B125" s="417" t="n">
        <f aca="false">IF($A$1="BL",0,'Peak Hours'!B125*Peak!H126*'Peak Hours'!$Y125)</f>
        <v>1248320.58335119</v>
      </c>
      <c r="C125" s="417" t="n">
        <f aca="false">IF($A$1="BL",0,'Peak Hours'!C125*Peak!I126*'Peak Hours'!$Y125)</f>
        <v>939351.427589131</v>
      </c>
      <c r="D125" s="417" t="n">
        <f aca="false">IF($A$1="BL",0,'Peak Hours'!D125*Peak!J126*'Peak Hours'!$Y125)</f>
        <v>1567223.30203011</v>
      </c>
      <c r="E125" s="417" t="n">
        <f aca="false">IF($A$1="BL",0,'Peak Hours'!E125*Peak!K126*'Peak Hours'!$Y125)</f>
        <v>2502521.83761838</v>
      </c>
      <c r="F125" s="417" t="n">
        <f aca="false">IF($A$1="BL",0,'Peak Hours'!F125*Peak!L126*'Peak Hours'!$Y125)</f>
        <v>2112665.02501856</v>
      </c>
      <c r="G125" s="417" t="n">
        <f aca="false">IF($A$1="BL",0,'Peak Hours'!G125*Peak!M126*'Peak Hours'!$Y125)</f>
        <v>2944255.59011324</v>
      </c>
      <c r="H125" s="417" t="n">
        <f aca="false">IF($A$1="BL",0,'Peak Hours'!H125*Peak!N126*'Peak Hours'!$Y125)</f>
        <v>2209638.55185192</v>
      </c>
      <c r="I125" s="417" t="n">
        <f aca="false">IF($A$1="BL",0,'Peak Hours'!I125*Peak!O126*'Peak Hours'!$Y125)</f>
        <v>2046760.31021266</v>
      </c>
      <c r="J125" s="417" t="n">
        <f aca="false">IF($A$1="BL",0,'Peak Hours'!J125*Peak!P126*'Peak Hours'!$Y125)</f>
        <v>1567218.92805116</v>
      </c>
      <c r="K125" s="417" t="n">
        <f aca="false">IF($A$1="BL",0,'Peak Hours'!K125*Peak!Q126*'Peak Hours'!$Y125)</f>
        <v>1191711.10465021</v>
      </c>
      <c r="L125" s="417" t="n">
        <f aca="false">IF($A$1="BL",0,'Peak Hours'!L125*Peak!R126*'Peak Hours'!$Y125)</f>
        <v>1109777.04613537</v>
      </c>
      <c r="M125" s="417" t="n">
        <f aca="false">IF($A$1="BL",0,'Peak Hours'!M125*Peak!S126*'Peak Hours'!$Y125)</f>
        <v>1033576.95589022</v>
      </c>
      <c r="N125" s="417" t="n">
        <f aca="false">IF($A$1="BL",0,'Peak Hours'!N125*Peak!T126*'Peak Hours'!$Y125)</f>
        <v>998073.543341422</v>
      </c>
      <c r="O125" s="417" t="n">
        <f aca="false">IF($A$1="BL",0,'Peak Hours'!O125*Peak!U126*'Peak Hours'!$Y125)</f>
        <v>998070.537276974</v>
      </c>
      <c r="P125" s="417" t="n">
        <f aca="false">IF($A$1="BL",0,'Peak Hours'!P125*Peak!V126*'Peak Hours'!$Y125)</f>
        <v>998067.705650617</v>
      </c>
      <c r="Q125" s="417" t="n">
        <f aca="false">IF($A$1="BL",0,'Peak Hours'!Q125*Peak!W126*'Peak Hours'!$Y125)</f>
        <v>998064.006921326</v>
      </c>
      <c r="R125" s="417" t="n">
        <f aca="false">IF($A$1="BL",0,'Peak Hours'!R125*Peak!X126*'Peak Hours'!$Y125)</f>
        <v>996845.65129657</v>
      </c>
      <c r="S125" s="417" t="n">
        <f aca="false">IF($A$1="BL",0,'Peak Hours'!S125*Peak!Y126*'Peak Hours'!$Y125)</f>
        <v>0</v>
      </c>
      <c r="T125" s="417" t="n">
        <f aca="false">IF($A$1="BL",0,'Peak Hours'!T125*Peak!Z126*'Peak Hours'!$Y125)</f>
        <v>0</v>
      </c>
      <c r="U125" s="417" t="n">
        <f aca="false">IF($A$1="BL",0,'Peak Hours'!U125*Peak!AA126*'Peak Hours'!$Y125)</f>
        <v>0</v>
      </c>
      <c r="V125" s="424"/>
      <c r="W125" s="422" t="n">
        <f aca="false">(IF($A$1="BL",0,Peak!C126*'Peak Hours'!V125*'Peak Hours'!$Y125))*-1</f>
        <v>-13172344.855207</v>
      </c>
      <c r="X125" s="424"/>
      <c r="Y125" s="422" t="n">
        <f aca="false">(IF($A$1="bl",0,Peak!D126*'Peak Hours'!V125*'Peak Hours'!$Y125))*-1</f>
        <v>-268597.74285884</v>
      </c>
      <c r="Z125" s="424"/>
      <c r="AA125" s="422" t="n">
        <f aca="false">(Peak!E126*'Peak Hours'!V125*'Peak Hours'!$Y125)*-1</f>
        <v>-0</v>
      </c>
      <c r="AB125" s="425"/>
      <c r="AC125" s="422" t="n">
        <f aca="false">(Peak!F126*'Peak Hours'!V125*'Peak Hours'!$Y125)*-1</f>
        <v>-0</v>
      </c>
      <c r="AD125" s="425"/>
    </row>
    <row r="126" customFormat="false" ht="12.75" hidden="false" customHeight="false" outlineLevel="0" collapsed="false">
      <c r="A126" s="400" t="n">
        <f aca="false">A125+30.417</f>
        <v>40068.372</v>
      </c>
      <c r="B126" s="417" t="n">
        <f aca="false">IF($A$1="BL",0,'Peak Hours'!B126*Peak!H127*'Peak Hours'!$Y126)</f>
        <v>667152.227327486</v>
      </c>
      <c r="C126" s="417" t="n">
        <f aca="false">IF($A$1="BL",0,'Peak Hours'!C126*Peak!I127*'Peak Hours'!$Y126)</f>
        <v>588825.291300229</v>
      </c>
      <c r="D126" s="417" t="n">
        <f aca="false">IF($A$1="BL",0,'Peak Hours'!D126*Peak!J127*'Peak Hours'!$Y126)</f>
        <v>1087020.5193056</v>
      </c>
      <c r="E126" s="417" t="n">
        <f aca="false">IF($A$1="BL",0,'Peak Hours'!E126*Peak!K127*'Peak Hours'!$Y126)</f>
        <v>1817736.26866998</v>
      </c>
      <c r="F126" s="417" t="n">
        <f aca="false">IF($A$1="BL",0,'Peak Hours'!F126*Peak!L127*'Peak Hours'!$Y126)</f>
        <v>921735.244905235</v>
      </c>
      <c r="G126" s="417" t="n">
        <f aca="false">IF($A$1="BL",0,'Peak Hours'!G126*Peak!M127*'Peak Hours'!$Y126)</f>
        <v>1646253.66896406</v>
      </c>
      <c r="H126" s="417" t="n">
        <f aca="false">IF($A$1="BL",0,'Peak Hours'!H126*Peak!N127*'Peak Hours'!$Y126)</f>
        <v>1552083.85580494</v>
      </c>
      <c r="I126" s="417" t="n">
        <f aca="false">IF($A$1="BL",0,'Peak Hours'!I126*Peak!O127*'Peak Hours'!$Y126)</f>
        <v>1308818.46483116</v>
      </c>
      <c r="J126" s="417" t="n">
        <f aca="false">IF($A$1="BL",0,'Peak Hours'!J126*Peak!P127*'Peak Hours'!$Y126)</f>
        <v>1000738.21245603</v>
      </c>
      <c r="K126" s="417" t="n">
        <f aca="false">IF($A$1="BL",0,'Peak Hours'!K126*Peak!Q127*'Peak Hours'!$Y126)</f>
        <v>0</v>
      </c>
      <c r="L126" s="417" t="n">
        <f aca="false">IF($A$1="BL",0,'Peak Hours'!L126*Peak!R127*'Peak Hours'!$Y126)</f>
        <v>0</v>
      </c>
      <c r="M126" s="417" t="n">
        <f aca="false">IF($A$1="BL",0,'Peak Hours'!M126*Peak!S127*'Peak Hours'!$Y126)</f>
        <v>0</v>
      </c>
      <c r="N126" s="417" t="n">
        <f aca="false">IF($A$1="BL",0,'Peak Hours'!N126*Peak!T127*'Peak Hours'!$Y126)</f>
        <v>0</v>
      </c>
      <c r="O126" s="417" t="n">
        <f aca="false">IF($A$1="BL",0,'Peak Hours'!O126*Peak!U127*'Peak Hours'!$Y126)</f>
        <v>0</v>
      </c>
      <c r="P126" s="417" t="n">
        <f aca="false">IF($A$1="BL",0,'Peak Hours'!P126*Peak!V127*'Peak Hours'!$Y126)</f>
        <v>0</v>
      </c>
      <c r="Q126" s="417" t="n">
        <f aca="false">IF($A$1="BL",0,'Peak Hours'!Q126*Peak!W127*'Peak Hours'!$Y126)</f>
        <v>0</v>
      </c>
      <c r="R126" s="417" t="n">
        <f aca="false">IF($A$1="BL",0,'Peak Hours'!R126*Peak!X127*'Peak Hours'!$Y126)</f>
        <v>0</v>
      </c>
      <c r="S126" s="417" t="n">
        <f aca="false">IF($A$1="BL",0,'Peak Hours'!S126*Peak!Y127*'Peak Hours'!$Y126)</f>
        <v>0</v>
      </c>
      <c r="T126" s="417" t="n">
        <f aca="false">IF($A$1="BL",0,'Peak Hours'!T126*Peak!Z127*'Peak Hours'!$Y126)</f>
        <v>0</v>
      </c>
      <c r="U126" s="417" t="n">
        <f aca="false">IF($A$1="BL",0,'Peak Hours'!U126*Peak!AA127*'Peak Hours'!$Y126)</f>
        <v>0</v>
      </c>
      <c r="V126" s="424"/>
      <c r="W126" s="422" t="n">
        <f aca="false">(IF($A$1="BL",0,Peak!C127*'Peak Hours'!V126*'Peak Hours'!$Y126))*-1</f>
        <v>-5259293.21282605</v>
      </c>
      <c r="X126" s="424"/>
      <c r="Y126" s="422" t="n">
        <f aca="false">(IF($A$1="bl",0,Peak!D127*'Peak Hours'!V126*'Peak Hours'!$Y126))*-1</f>
        <v>-107782.045904308</v>
      </c>
      <c r="Z126" s="424"/>
      <c r="AA126" s="422" t="n">
        <f aca="false">(Peak!E127*'Peak Hours'!V126*'Peak Hours'!$Y126)*-1</f>
        <v>-0</v>
      </c>
      <c r="AB126" s="425"/>
      <c r="AC126" s="422" t="n">
        <f aca="false">(Peak!F127*'Peak Hours'!V126*'Peak Hours'!$Y126)*-1</f>
        <v>-0</v>
      </c>
      <c r="AD126" s="425"/>
    </row>
    <row r="127" customFormat="false" ht="12.75" hidden="false" customHeight="false" outlineLevel="0" collapsed="false">
      <c r="A127" s="400" t="n">
        <f aca="false">A126+30.417</f>
        <v>40098.789</v>
      </c>
      <c r="B127" s="417" t="n">
        <f aca="false">IF($A$1="BL",0,'Peak Hours'!B127*Peak!H128*'Peak Hours'!$Y127)</f>
        <v>268047.428439408</v>
      </c>
      <c r="C127" s="417" t="n">
        <f aca="false">IF($A$1="BL",0,'Peak Hours'!C127*Peak!I128*'Peak Hours'!$Y127)</f>
        <v>265152.684885358</v>
      </c>
      <c r="D127" s="417" t="n">
        <f aca="false">IF($A$1="BL",0,'Peak Hours'!D127*Peak!J128*'Peak Hours'!$Y127)</f>
        <v>530305.369770716</v>
      </c>
      <c r="E127" s="417" t="n">
        <f aca="false">IF($A$1="BL",0,'Peak Hours'!E127*Peak!K128*'Peak Hours'!$Y127)</f>
        <v>1051341.51641485</v>
      </c>
      <c r="F127" s="417" t="n">
        <f aca="false">IF($A$1="BL",0,'Peak Hours'!F127*Peak!L128*'Peak Hours'!$Y127)</f>
        <v>988379.622067586</v>
      </c>
      <c r="G127" s="417" t="n">
        <f aca="false">IF($A$1="BL",0,'Peak Hours'!G127*Peak!M128*'Peak Hours'!$Y127)</f>
        <v>1516247.73752197</v>
      </c>
      <c r="H127" s="417" t="n">
        <f aca="false">IF($A$1="BL",0,'Peak Hours'!H127*Peak!N128*'Peak Hours'!$Y127)</f>
        <v>1281458.08480215</v>
      </c>
      <c r="I127" s="417" t="n">
        <f aca="false">IF($A$1="BL",0,'Peak Hours'!I127*Peak!O128*'Peak Hours'!$Y127)</f>
        <v>1193828.12217753</v>
      </c>
      <c r="J127" s="417" t="n">
        <f aca="false">IF($A$1="BL",0,'Peak Hours'!J127*Peak!P128*'Peak Hours'!$Y127)</f>
        <v>1124466.51786888</v>
      </c>
      <c r="K127" s="417" t="n">
        <f aca="false">IF($A$1="BL",0,'Peak Hours'!K127*Peak!Q128*'Peak Hours'!$Y127)</f>
        <v>0</v>
      </c>
      <c r="L127" s="417" t="n">
        <f aca="false">IF($A$1="BL",0,'Peak Hours'!L127*Peak!R128*'Peak Hours'!$Y127)</f>
        <v>0</v>
      </c>
      <c r="M127" s="417" t="n">
        <f aca="false">IF($A$1="BL",0,'Peak Hours'!M127*Peak!S128*'Peak Hours'!$Y127)</f>
        <v>0</v>
      </c>
      <c r="N127" s="417" t="n">
        <f aca="false">IF($A$1="BL",0,'Peak Hours'!N127*Peak!T128*'Peak Hours'!$Y127)</f>
        <v>0</v>
      </c>
      <c r="O127" s="417" t="n">
        <f aca="false">IF($A$1="BL",0,'Peak Hours'!O127*Peak!U128*'Peak Hours'!$Y127)</f>
        <v>0</v>
      </c>
      <c r="P127" s="417" t="n">
        <f aca="false">IF($A$1="BL",0,'Peak Hours'!P127*Peak!V128*'Peak Hours'!$Y127)</f>
        <v>0</v>
      </c>
      <c r="Q127" s="417" t="n">
        <f aca="false">IF($A$1="BL",0,'Peak Hours'!Q127*Peak!W128*'Peak Hours'!$Y127)</f>
        <v>0</v>
      </c>
      <c r="R127" s="417" t="n">
        <f aca="false">IF($A$1="BL",0,'Peak Hours'!R127*Peak!X128*'Peak Hours'!$Y127)</f>
        <v>0</v>
      </c>
      <c r="S127" s="417" t="n">
        <f aca="false">IF($A$1="BL",0,'Peak Hours'!S127*Peak!Y128*'Peak Hours'!$Y127)</f>
        <v>0</v>
      </c>
      <c r="T127" s="417" t="n">
        <f aca="false">IF($A$1="BL",0,'Peak Hours'!T127*Peak!Z128*'Peak Hours'!$Y127)</f>
        <v>0</v>
      </c>
      <c r="U127" s="417" t="n">
        <f aca="false">IF($A$1="BL",0,'Peak Hours'!U127*Peak!AA128*'Peak Hours'!$Y127)</f>
        <v>0</v>
      </c>
      <c r="V127" s="424"/>
      <c r="W127" s="422" t="n">
        <f aca="false">(IF($A$1="BL",0,Peak!C128*'Peak Hours'!V127*'Peak Hours'!$Y127))*-1</f>
        <v>-5824681.95687006</v>
      </c>
      <c r="X127" s="424"/>
      <c r="Y127" s="422" t="n">
        <f aca="false">(IF($A$1="bl",0,Peak!D128*'Peak Hours'!V127*'Peak Hours'!$Y127))*-1</f>
        <v>-107961.682647482</v>
      </c>
      <c r="Z127" s="424"/>
      <c r="AA127" s="422" t="n">
        <f aca="false">(Peak!E128*'Peak Hours'!V127*'Peak Hours'!$Y127)*-1</f>
        <v>-0</v>
      </c>
      <c r="AB127" s="425"/>
      <c r="AC127" s="422" t="n">
        <f aca="false">(Peak!F128*'Peak Hours'!V127*'Peak Hours'!$Y127)*-1</f>
        <v>-0</v>
      </c>
      <c r="AD127" s="425"/>
    </row>
    <row r="128" customFormat="false" ht="12.75" hidden="false" customHeight="false" outlineLevel="0" collapsed="false">
      <c r="A128" s="400" t="n">
        <f aca="false">A127+30.417</f>
        <v>40129.206</v>
      </c>
      <c r="B128" s="417" t="n">
        <f aca="false">IF($A$1="BL",0,'Peak Hours'!B128*Peak!H129*'Peak Hours'!$Y128)</f>
        <v>510358.768280799</v>
      </c>
      <c r="C128" s="417" t="n">
        <f aca="false">IF($A$1="BL",0,'Peak Hours'!C128*Peak!I129*'Peak Hours'!$Y128)</f>
        <v>472268.270998199</v>
      </c>
      <c r="D128" s="417" t="n">
        <f aca="false">IF($A$1="BL",0,'Peak Hours'!D128*Peak!J129*'Peak Hours'!$Y128)</f>
        <v>773233.326255057</v>
      </c>
      <c r="E128" s="417" t="n">
        <f aca="false">IF($A$1="BL",0,'Peak Hours'!E128*Peak!K129*'Peak Hours'!$Y128)</f>
        <v>1113268.5970305</v>
      </c>
      <c r="F128" s="417" t="n">
        <f aca="false">IF($A$1="BL",0,'Peak Hours'!F128*Peak!L129*'Peak Hours'!$Y128)</f>
        <v>1003429.80025725</v>
      </c>
      <c r="G128" s="417" t="n">
        <f aca="false">IF($A$1="BL",0,'Peak Hours'!G128*Peak!M129*'Peak Hours'!$Y128)</f>
        <v>1926514.10116612</v>
      </c>
      <c r="H128" s="417" t="n">
        <f aca="false">IF($A$1="BL",0,'Peak Hours'!H128*Peak!N129*'Peak Hours'!$Y128)</f>
        <v>1786210.40074932</v>
      </c>
      <c r="I128" s="417" t="n">
        <f aca="false">IF($A$1="BL",0,'Peak Hours'!I128*Peak!O129*'Peak Hours'!$Y128)</f>
        <v>1371312.9623706</v>
      </c>
      <c r="J128" s="417" t="n">
        <f aca="false">IF($A$1="BL",0,'Peak Hours'!J128*Peak!P129*'Peak Hours'!$Y128)</f>
        <v>1362299.266138</v>
      </c>
      <c r="K128" s="417" t="n">
        <f aca="false">IF($A$1="BL",0,'Peak Hours'!K128*Peak!Q129*'Peak Hours'!$Y128)</f>
        <v>1335148.13910526</v>
      </c>
      <c r="L128" s="417" t="n">
        <f aca="false">IF($A$1="BL",0,'Peak Hours'!L128*Peak!R129*'Peak Hours'!$Y128)</f>
        <v>0</v>
      </c>
      <c r="M128" s="417" t="n">
        <f aca="false">IF($A$1="BL",0,'Peak Hours'!M128*Peak!S129*'Peak Hours'!$Y128)</f>
        <v>0</v>
      </c>
      <c r="N128" s="417" t="n">
        <f aca="false">IF($A$1="BL",0,'Peak Hours'!N128*Peak!T129*'Peak Hours'!$Y128)</f>
        <v>0</v>
      </c>
      <c r="O128" s="417" t="n">
        <f aca="false">IF($A$1="BL",0,'Peak Hours'!O128*Peak!U129*'Peak Hours'!$Y128)</f>
        <v>0</v>
      </c>
      <c r="P128" s="417" t="n">
        <f aca="false">IF($A$1="BL",0,'Peak Hours'!P128*Peak!V129*'Peak Hours'!$Y128)</f>
        <v>0</v>
      </c>
      <c r="Q128" s="417" t="n">
        <f aca="false">IF($A$1="BL",0,'Peak Hours'!Q128*Peak!W129*'Peak Hours'!$Y128)</f>
        <v>0</v>
      </c>
      <c r="R128" s="417" t="n">
        <f aca="false">IF($A$1="BL",0,'Peak Hours'!R128*Peak!X129*'Peak Hours'!$Y128)</f>
        <v>0</v>
      </c>
      <c r="S128" s="417" t="n">
        <f aca="false">IF($A$1="BL",0,'Peak Hours'!S128*Peak!Y129*'Peak Hours'!$Y128)</f>
        <v>0</v>
      </c>
      <c r="T128" s="417" t="n">
        <f aca="false">IF($A$1="BL",0,'Peak Hours'!T128*Peak!Z129*'Peak Hours'!$Y128)</f>
        <v>0</v>
      </c>
      <c r="U128" s="417" t="n">
        <f aca="false">IF($A$1="BL",0,'Peak Hours'!U128*Peak!AA129*'Peak Hours'!$Y128)</f>
        <v>0</v>
      </c>
      <c r="V128" s="424"/>
      <c r="W128" s="422" t="n">
        <f aca="false">(IF($A$1="BL",0,Peak!C129*'Peak Hours'!V128*'Peak Hours'!$Y128))*-1</f>
        <v>-7537981.18124585</v>
      </c>
      <c r="X128" s="424"/>
      <c r="Y128" s="422" t="n">
        <f aca="false">(IF($A$1="bl",0,Peak!D129*'Peak Hours'!V128*'Peak Hours'!$Y128))*-1</f>
        <v>-127803.731291633</v>
      </c>
      <c r="Z128" s="424"/>
      <c r="AA128" s="422" t="n">
        <f aca="false">(Peak!E129*'Peak Hours'!V128*'Peak Hours'!$Y128)*-1</f>
        <v>-0</v>
      </c>
      <c r="AB128" s="425"/>
      <c r="AC128" s="422" t="n">
        <f aca="false">(Peak!F129*'Peak Hours'!V128*'Peak Hours'!$Y128)*-1</f>
        <v>-0</v>
      </c>
      <c r="AD128" s="425"/>
    </row>
    <row r="129" customFormat="false" ht="12.75" hidden="false" customHeight="false" outlineLevel="0" collapsed="false">
      <c r="A129" s="400" t="n">
        <f aca="false">A128+30.417</f>
        <v>40159.623</v>
      </c>
      <c r="B129" s="417" t="n">
        <f aca="false">IF($A$1="BL",0,'Peak Hours'!B129*Peak!H130*'Peak Hours'!$Y129)</f>
        <v>490577.846527659</v>
      </c>
      <c r="C129" s="417" t="n">
        <f aca="false">IF($A$1="BL",0,'Peak Hours'!C129*Peak!I130*'Peak Hours'!$Y129)</f>
        <v>404751.095944344</v>
      </c>
      <c r="D129" s="417" t="n">
        <f aca="false">IF($A$1="BL",0,'Peak Hours'!D129*Peak!J130*'Peak Hours'!$Y129)</f>
        <v>615899.994729035</v>
      </c>
      <c r="E129" s="417" t="n">
        <f aca="false">IF($A$1="BL",0,'Peak Hours'!E129*Peak!K130*'Peak Hours'!$Y129)</f>
        <v>1144242.40625435</v>
      </c>
      <c r="F129" s="417" t="n">
        <f aca="false">IF($A$1="BL",0,'Peak Hours'!F129*Peak!L130*'Peak Hours'!$Y129)</f>
        <v>1086930.29033301</v>
      </c>
      <c r="G129" s="417" t="n">
        <f aca="false">IF($A$1="BL",0,'Peak Hours'!G129*Peak!M130*'Peak Hours'!$Y129)</f>
        <v>2035716.5184157</v>
      </c>
      <c r="H129" s="417" t="n">
        <f aca="false">IF($A$1="BL",0,'Peak Hours'!H129*Peak!N130*'Peak Hours'!$Y129)</f>
        <v>2021514.55472159</v>
      </c>
      <c r="I129" s="417" t="n">
        <f aca="false">IF($A$1="BL",0,'Peak Hours'!I129*Peak!O130*'Peak Hours'!$Y129)</f>
        <v>1922786.40821202</v>
      </c>
      <c r="J129" s="417" t="n">
        <f aca="false">IF($A$1="BL",0,'Peak Hours'!J129*Peak!P130*'Peak Hours'!$Y129)</f>
        <v>1500497.94998611</v>
      </c>
      <c r="K129" s="417" t="n">
        <f aca="false">IF($A$1="BL",0,'Peak Hours'!K129*Peak!Q130*'Peak Hours'!$Y129)</f>
        <v>1341138.61735084</v>
      </c>
      <c r="L129" s="417" t="n">
        <f aca="false">IF($A$1="BL",0,'Peak Hours'!L129*Peak!R130*'Peak Hours'!$Y129)</f>
        <v>0</v>
      </c>
      <c r="M129" s="417" t="n">
        <f aca="false">IF($A$1="BL",0,'Peak Hours'!M129*Peak!S130*'Peak Hours'!$Y129)</f>
        <v>0</v>
      </c>
      <c r="N129" s="417" t="n">
        <f aca="false">IF($A$1="BL",0,'Peak Hours'!N129*Peak!T130*'Peak Hours'!$Y129)</f>
        <v>0</v>
      </c>
      <c r="O129" s="417" t="n">
        <f aca="false">IF($A$1="BL",0,'Peak Hours'!O129*Peak!U130*'Peak Hours'!$Y129)</f>
        <v>0</v>
      </c>
      <c r="P129" s="417" t="n">
        <f aca="false">IF($A$1="BL",0,'Peak Hours'!P129*Peak!V130*'Peak Hours'!$Y129)</f>
        <v>0</v>
      </c>
      <c r="Q129" s="417" t="n">
        <f aca="false">IF($A$1="BL",0,'Peak Hours'!Q129*Peak!W130*'Peak Hours'!$Y129)</f>
        <v>0</v>
      </c>
      <c r="R129" s="417" t="n">
        <f aca="false">IF($A$1="BL",0,'Peak Hours'!R129*Peak!X130*'Peak Hours'!$Y129)</f>
        <v>0</v>
      </c>
      <c r="S129" s="417" t="n">
        <f aca="false">IF($A$1="BL",0,'Peak Hours'!S129*Peak!Y130*'Peak Hours'!$Y129)</f>
        <v>0</v>
      </c>
      <c r="T129" s="417" t="n">
        <f aca="false">IF($A$1="BL",0,'Peak Hours'!T129*Peak!Z130*'Peak Hours'!$Y129)</f>
        <v>0</v>
      </c>
      <c r="U129" s="417" t="n">
        <f aca="false">IF($A$1="BL",0,'Peak Hours'!U129*Peak!AA130*'Peak Hours'!$Y129)</f>
        <v>0</v>
      </c>
      <c r="V129" s="426" t="n">
        <f aca="false">SUM(B118:U129)</f>
        <v>158167046.644632</v>
      </c>
      <c r="W129" s="422" t="n">
        <f aca="false">(IF($A$1="BL",0,Peak!C130*'Peak Hours'!V129*'Peak Hours'!$Y129))*-1</f>
        <v>-7936564.78317291</v>
      </c>
      <c r="X129" s="426" t="n">
        <f aca="false">SUM(W118:W129)</f>
        <v>-92194228.2611532</v>
      </c>
      <c r="Y129" s="422" t="n">
        <f aca="false">(IF($A$1="bl",0,Peak!D130*'Peak Hours'!V129*'Peak Hours'!$Y129))*-1</f>
        <v>-124550.39715178</v>
      </c>
      <c r="Z129" s="426" t="n">
        <f aca="false">SUM(Y118:Y129)</f>
        <v>-1695930.87091327</v>
      </c>
      <c r="AA129" s="422" t="n">
        <f aca="false">(Peak!E130*'Peak Hours'!V129*'Peak Hours'!$Y129)*-1</f>
        <v>-0</v>
      </c>
      <c r="AB129" s="427" t="n">
        <f aca="false">SUM(AA118:AA129)</f>
        <v>0</v>
      </c>
      <c r="AC129" s="422" t="n">
        <f aca="false">(Peak!F130*'Peak Hours'!V129*'Peak Hours'!$Y129)*-1</f>
        <v>-0</v>
      </c>
      <c r="AD129" s="427" t="n">
        <f aca="false">SUM(AC118:AC129)</f>
        <v>0</v>
      </c>
    </row>
    <row r="130" customFormat="false" ht="12.75" hidden="false" customHeight="false" outlineLevel="0" collapsed="false">
      <c r="A130" s="400" t="n">
        <f aca="false">A129+30.417</f>
        <v>40190.04</v>
      </c>
      <c r="B130" s="417" t="n">
        <f aca="false">IF($A$1="BL",0,'Peak Hours'!B130*Peak!H131*'Peak Hours'!$Y130)</f>
        <v>311480.303483039</v>
      </c>
      <c r="C130" s="417" t="n">
        <f aca="false">IF($A$1="BL",0,'Peak Hours'!C130*Peak!I131*'Peak Hours'!$Y130)</f>
        <v>311480.303483039</v>
      </c>
      <c r="D130" s="417" t="n">
        <f aca="false">IF($A$1="BL",0,'Peak Hours'!D130*Peak!J131*'Peak Hours'!$Y130)</f>
        <v>617878.456762351</v>
      </c>
      <c r="E130" s="417" t="n">
        <f aca="false">IF($A$1="BL",0,'Peak Hours'!E130*Peak!K131*'Peak Hours'!$Y130)</f>
        <v>1165575.29512147</v>
      </c>
      <c r="F130" s="417" t="n">
        <f aca="false">IF($A$1="BL",0,'Peak Hours'!F130*Peak!L131*'Peak Hours'!$Y130)</f>
        <v>1118306.40948421</v>
      </c>
      <c r="G130" s="417" t="n">
        <f aca="false">IF($A$1="BL",0,'Peak Hours'!G130*Peak!M131*'Peak Hours'!$Y130)</f>
        <v>2214373.72830669</v>
      </c>
      <c r="H130" s="417" t="n">
        <f aca="false">IF($A$1="BL",0,'Peak Hours'!H130*Peak!N131*'Peak Hours'!$Y130)</f>
        <v>1646109.76155154</v>
      </c>
      <c r="I130" s="417" t="n">
        <f aca="false">IF($A$1="BL",0,'Peak Hours'!I130*Peak!O131*'Peak Hours'!$Y130)</f>
        <v>1423032.47652707</v>
      </c>
      <c r="J130" s="417" t="n">
        <f aca="false">IF($A$1="BL",0,'Peak Hours'!J130*Peak!P131*'Peak Hours'!$Y130)</f>
        <v>0</v>
      </c>
      <c r="K130" s="417" t="n">
        <f aca="false">IF($A$1="BL",0,'Peak Hours'!K130*Peak!Q131*'Peak Hours'!$Y130)</f>
        <v>0</v>
      </c>
      <c r="L130" s="417" t="n">
        <f aca="false">IF($A$1="BL",0,'Peak Hours'!L130*Peak!R131*'Peak Hours'!$Y130)</f>
        <v>0</v>
      </c>
      <c r="M130" s="417" t="n">
        <f aca="false">IF($A$1="BL",0,'Peak Hours'!M130*Peak!S131*'Peak Hours'!$Y130)</f>
        <v>0</v>
      </c>
      <c r="N130" s="417" t="n">
        <f aca="false">IF($A$1="BL",0,'Peak Hours'!N130*Peak!T131*'Peak Hours'!$Y130)</f>
        <v>0</v>
      </c>
      <c r="O130" s="417" t="n">
        <f aca="false">IF($A$1="BL",0,'Peak Hours'!O130*Peak!U131*'Peak Hours'!$Y130)</f>
        <v>0</v>
      </c>
      <c r="P130" s="417" t="n">
        <f aca="false">IF($A$1="BL",0,'Peak Hours'!P130*Peak!V131*'Peak Hours'!$Y130)</f>
        <v>0</v>
      </c>
      <c r="Q130" s="417" t="n">
        <f aca="false">IF($A$1="BL",0,'Peak Hours'!Q130*Peak!W131*'Peak Hours'!$Y130)</f>
        <v>0</v>
      </c>
      <c r="R130" s="417" t="n">
        <f aca="false">IF($A$1="BL",0,'Peak Hours'!R130*Peak!X131*'Peak Hours'!$Y130)</f>
        <v>0</v>
      </c>
      <c r="S130" s="417" t="n">
        <f aca="false">IF($A$1="BL",0,'Peak Hours'!S130*Peak!Y131*'Peak Hours'!$Y130)</f>
        <v>0</v>
      </c>
      <c r="T130" s="417" t="n">
        <f aca="false">IF($A$1="BL",0,'Peak Hours'!T130*Peak!Z131*'Peak Hours'!$Y130)</f>
        <v>0</v>
      </c>
      <c r="U130" s="417" t="n">
        <f aca="false">IF($A$1="BL",0,'Peak Hours'!U130*Peak!AA131*'Peak Hours'!$Y130)</f>
        <v>0</v>
      </c>
      <c r="V130" s="424"/>
      <c r="W130" s="422" t="n">
        <f aca="false">(IF($A$1="BL",0,Peak!C131*'Peak Hours'!V130*'Peak Hours'!$Y130))*-1</f>
        <v>-5514588.4623888</v>
      </c>
      <c r="X130" s="424"/>
      <c r="Y130" s="422" t="n">
        <f aca="false">(IF($A$1="bl",0,Peak!D131*'Peak Hours'!V130*'Peak Hours'!$Y130))*-1</f>
        <v>-86370.9100248688</v>
      </c>
      <c r="Z130" s="424"/>
      <c r="AA130" s="422" t="n">
        <f aca="false">(Peak!E131*'Peak Hours'!V130*'Peak Hours'!$Y130)*-1</f>
        <v>-0</v>
      </c>
      <c r="AB130" s="425"/>
      <c r="AC130" s="422" t="n">
        <f aca="false">(Peak!F131*'Peak Hours'!V130*'Peak Hours'!$Y130)*-1</f>
        <v>-0</v>
      </c>
      <c r="AD130" s="425"/>
    </row>
    <row r="131" customFormat="false" ht="12.75" hidden="false" customHeight="false" outlineLevel="0" collapsed="false">
      <c r="A131" s="400" t="n">
        <f aca="false">A130+30.417</f>
        <v>40220.457</v>
      </c>
      <c r="B131" s="417" t="n">
        <f aca="false">IF($A$1="BL",0,'Peak Hours'!B131*Peak!H132*'Peak Hours'!$Y131)</f>
        <v>365396.269915415</v>
      </c>
      <c r="C131" s="417" t="n">
        <f aca="false">IF($A$1="BL",0,'Peak Hours'!C131*Peak!I132*'Peak Hours'!$Y131)</f>
        <v>311509.189389798</v>
      </c>
      <c r="D131" s="417" t="n">
        <f aca="false">IF($A$1="BL",0,'Peak Hours'!D131*Peak!J132*'Peak Hours'!$Y131)</f>
        <v>600854.230812536</v>
      </c>
      <c r="E131" s="417" t="n">
        <f aca="false">IF($A$1="BL",0,'Peak Hours'!E131*Peak!K132*'Peak Hours'!$Y131)</f>
        <v>1134846.70242252</v>
      </c>
      <c r="F131" s="417" t="n">
        <f aca="false">IF($A$1="BL",0,'Peak Hours'!F131*Peak!L132*'Peak Hours'!$Y131)</f>
        <v>1076436.82663375</v>
      </c>
      <c r="G131" s="417" t="n">
        <f aca="false">IF($A$1="BL",0,'Peak Hours'!G131*Peak!M132*'Peak Hours'!$Y131)</f>
        <v>2077221.42213506</v>
      </c>
      <c r="H131" s="417" t="n">
        <f aca="false">IF($A$1="BL",0,'Peak Hours'!H131*Peak!N132*'Peak Hours'!$Y131)</f>
        <v>2020815.77087841</v>
      </c>
      <c r="I131" s="417" t="n">
        <f aca="false">IF($A$1="BL",0,'Peak Hours'!I131*Peak!O132*'Peak Hours'!$Y131)</f>
        <v>1672713.34550009</v>
      </c>
      <c r="J131" s="417" t="n">
        <f aca="false">IF($A$1="BL",0,'Peak Hours'!J131*Peak!P132*'Peak Hours'!$Y131)</f>
        <v>1378868.25714397</v>
      </c>
      <c r="K131" s="417" t="n">
        <f aca="false">IF($A$1="BL",0,'Peak Hours'!K131*Peak!Q132*'Peak Hours'!$Y131)</f>
        <v>1168668.82665483</v>
      </c>
      <c r="L131" s="417" t="n">
        <f aca="false">IF($A$1="BL",0,'Peak Hours'!L131*Peak!R132*'Peak Hours'!$Y131)</f>
        <v>0</v>
      </c>
      <c r="M131" s="417" t="n">
        <f aca="false">IF($A$1="BL",0,'Peak Hours'!M131*Peak!S132*'Peak Hours'!$Y131)</f>
        <v>0</v>
      </c>
      <c r="N131" s="417" t="n">
        <f aca="false">IF($A$1="BL",0,'Peak Hours'!N131*Peak!T132*'Peak Hours'!$Y131)</f>
        <v>0</v>
      </c>
      <c r="O131" s="417" t="n">
        <f aca="false">IF($A$1="BL",0,'Peak Hours'!O131*Peak!U132*'Peak Hours'!$Y131)</f>
        <v>0</v>
      </c>
      <c r="P131" s="417" t="n">
        <f aca="false">IF($A$1="BL",0,'Peak Hours'!P131*Peak!V132*'Peak Hours'!$Y131)</f>
        <v>0</v>
      </c>
      <c r="Q131" s="417" t="n">
        <f aca="false">IF($A$1="BL",0,'Peak Hours'!Q131*Peak!W132*'Peak Hours'!$Y131)</f>
        <v>0</v>
      </c>
      <c r="R131" s="417" t="n">
        <f aca="false">IF($A$1="BL",0,'Peak Hours'!R131*Peak!X132*'Peak Hours'!$Y131)</f>
        <v>0</v>
      </c>
      <c r="S131" s="417" t="n">
        <f aca="false">IF($A$1="BL",0,'Peak Hours'!S131*Peak!Y132*'Peak Hours'!$Y131)</f>
        <v>0</v>
      </c>
      <c r="T131" s="417" t="n">
        <f aca="false">IF($A$1="BL",0,'Peak Hours'!T131*Peak!Z132*'Peak Hours'!$Y131)</f>
        <v>0</v>
      </c>
      <c r="U131" s="417" t="n">
        <f aca="false">IF($A$1="BL",0,'Peak Hours'!U131*Peak!AA132*'Peak Hours'!$Y131)</f>
        <v>0</v>
      </c>
      <c r="V131" s="424"/>
      <c r="W131" s="422" t="n">
        <f aca="false">(IF($A$1="BL",0,Peak!C132*'Peak Hours'!V131*'Peak Hours'!$Y131))*-1</f>
        <v>-7139306.16244838</v>
      </c>
      <c r="X131" s="424"/>
      <c r="Y131" s="422" t="n">
        <f aca="false">(IF($A$1="bl",0,Peak!D132*'Peak Hours'!V131*'Peak Hours'!$Y131))*-1</f>
        <v>-124965.911115611</v>
      </c>
      <c r="Z131" s="424"/>
      <c r="AA131" s="422" t="n">
        <f aca="false">(Peak!E132*'Peak Hours'!V131*'Peak Hours'!$Y131)*-1</f>
        <v>-0</v>
      </c>
      <c r="AB131" s="425"/>
      <c r="AC131" s="422" t="n">
        <f aca="false">(Peak!F132*'Peak Hours'!V131*'Peak Hours'!$Y131)*-1</f>
        <v>-0</v>
      </c>
      <c r="AD131" s="425"/>
    </row>
    <row r="132" customFormat="false" ht="12.75" hidden="false" customHeight="false" outlineLevel="0" collapsed="false">
      <c r="A132" s="400" t="n">
        <f aca="false">A131+30.417</f>
        <v>40250.874</v>
      </c>
      <c r="B132" s="417" t="n">
        <f aca="false">IF($A$1="BL",0,'Peak Hours'!B132*Peak!H133*'Peak Hours'!$Y132)</f>
        <v>275376.784891008</v>
      </c>
      <c r="C132" s="417" t="n">
        <f aca="false">IF($A$1="BL",0,'Peak Hours'!C132*Peak!I133*'Peak Hours'!$Y132)</f>
        <v>265200.798849645</v>
      </c>
      <c r="D132" s="417" t="n">
        <f aca="false">IF($A$1="BL",0,'Peak Hours'!D132*Peak!J133*'Peak Hours'!$Y132)</f>
        <v>516792.885738921</v>
      </c>
      <c r="E132" s="417" t="n">
        <f aca="false">IF($A$1="BL",0,'Peak Hours'!E132*Peak!K133*'Peak Hours'!$Y132)</f>
        <v>966652.457958413</v>
      </c>
      <c r="F132" s="417" t="n">
        <f aca="false">IF($A$1="BL",0,'Peak Hours'!F132*Peak!L133*'Peak Hours'!$Y132)</f>
        <v>938292.735285517</v>
      </c>
      <c r="G132" s="417" t="n">
        <f aca="false">IF($A$1="BL",0,'Peak Hours'!G132*Peak!M133*'Peak Hours'!$Y132)</f>
        <v>1859989.74417034</v>
      </c>
      <c r="H132" s="417" t="n">
        <f aca="false">IF($A$1="BL",0,'Peak Hours'!H132*Peak!N133*'Peak Hours'!$Y132)</f>
        <v>1610340.73795811</v>
      </c>
      <c r="I132" s="417" t="n">
        <f aca="false">IF($A$1="BL",0,'Peak Hours'!I132*Peak!O133*'Peak Hours'!$Y132)</f>
        <v>1304383.23131984</v>
      </c>
      <c r="J132" s="417" t="n">
        <f aca="false">IF($A$1="BL",0,'Peak Hours'!J132*Peak!P133*'Peak Hours'!$Y132)</f>
        <v>1224362.34675438</v>
      </c>
      <c r="K132" s="417" t="n">
        <f aca="false">IF($A$1="BL",0,'Peak Hours'!K132*Peak!Q133*'Peak Hours'!$Y132)</f>
        <v>0</v>
      </c>
      <c r="L132" s="417" t="n">
        <f aca="false">IF($A$1="BL",0,'Peak Hours'!L132*Peak!R133*'Peak Hours'!$Y132)</f>
        <v>0</v>
      </c>
      <c r="M132" s="417" t="n">
        <f aca="false">IF($A$1="BL",0,'Peak Hours'!M132*Peak!S133*'Peak Hours'!$Y132)</f>
        <v>0</v>
      </c>
      <c r="N132" s="417" t="n">
        <f aca="false">IF($A$1="BL",0,'Peak Hours'!N132*Peak!T133*'Peak Hours'!$Y132)</f>
        <v>0</v>
      </c>
      <c r="O132" s="417" t="n">
        <f aca="false">IF($A$1="BL",0,'Peak Hours'!O132*Peak!U133*'Peak Hours'!$Y132)</f>
        <v>0</v>
      </c>
      <c r="P132" s="417" t="n">
        <f aca="false">IF($A$1="BL",0,'Peak Hours'!P132*Peak!V133*'Peak Hours'!$Y132)</f>
        <v>0</v>
      </c>
      <c r="Q132" s="417" t="n">
        <f aca="false">IF($A$1="BL",0,'Peak Hours'!Q132*Peak!W133*'Peak Hours'!$Y132)</f>
        <v>0</v>
      </c>
      <c r="R132" s="417" t="n">
        <f aca="false">IF($A$1="BL",0,'Peak Hours'!R132*Peak!X133*'Peak Hours'!$Y132)</f>
        <v>0</v>
      </c>
      <c r="S132" s="417" t="n">
        <f aca="false">IF($A$1="BL",0,'Peak Hours'!S132*Peak!Y133*'Peak Hours'!$Y132)</f>
        <v>0</v>
      </c>
      <c r="T132" s="417" t="n">
        <f aca="false">IF($A$1="BL",0,'Peak Hours'!T132*Peak!Z133*'Peak Hours'!$Y132)</f>
        <v>0</v>
      </c>
      <c r="U132" s="417" t="n">
        <f aca="false">IF($A$1="BL",0,'Peak Hours'!U132*Peak!AA133*'Peak Hours'!$Y132)</f>
        <v>0</v>
      </c>
      <c r="V132" s="424"/>
      <c r="W132" s="422" t="n">
        <f aca="false">(IF($A$1="BL",0,Peak!C133*'Peak Hours'!V132*'Peak Hours'!$Y132))*-1</f>
        <v>-6104670.20268733</v>
      </c>
      <c r="X132" s="424"/>
      <c r="Y132" s="422" t="n">
        <f aca="false">(IF($A$1="bl",0,Peak!D133*'Peak Hours'!V132*'Peak Hours'!$Y132))*-1</f>
        <v>-108864.367274233</v>
      </c>
      <c r="Z132" s="424"/>
      <c r="AA132" s="422" t="n">
        <f aca="false">(Peak!E133*'Peak Hours'!V132*'Peak Hours'!$Y132)*-1</f>
        <v>-0</v>
      </c>
      <c r="AB132" s="425"/>
      <c r="AC132" s="422" t="n">
        <f aca="false">(Peak!F133*'Peak Hours'!V132*'Peak Hours'!$Y132)*-1</f>
        <v>-0</v>
      </c>
      <c r="AD132" s="425"/>
    </row>
    <row r="133" customFormat="false" ht="12.75" hidden="false" customHeight="false" outlineLevel="0" collapsed="false">
      <c r="A133" s="400" t="n">
        <f aca="false">A132+30.417</f>
        <v>40281.291</v>
      </c>
      <c r="B133" s="417" t="n">
        <f aca="false">IF($A$1="BL",0,'Peak Hours'!B133*Peak!H134*'Peak Hours'!$Y133)</f>
        <v>256268.733371117</v>
      </c>
      <c r="C133" s="417" t="n">
        <f aca="false">IF($A$1="BL",0,'Peak Hours'!C133*Peak!I134*'Peak Hours'!$Y133)</f>
        <v>247853.698723846</v>
      </c>
      <c r="D133" s="417" t="n">
        <f aca="false">IF($A$1="BL",0,'Peak Hours'!D133*Peak!J134*'Peak Hours'!$Y133)</f>
        <v>473696.15674639</v>
      </c>
      <c r="E133" s="417" t="n">
        <f aca="false">IF($A$1="BL",0,'Peak Hours'!E133*Peak!K134*'Peak Hours'!$Y133)</f>
        <v>919209.688927937</v>
      </c>
      <c r="F133" s="417" t="n">
        <f aca="false">IF($A$1="BL",0,'Peak Hours'!F133*Peak!L134*'Peak Hours'!$Y133)</f>
        <v>915542.876828806</v>
      </c>
      <c r="G133" s="417" t="n">
        <f aca="false">IF($A$1="BL",0,'Peak Hours'!G133*Peak!M134*'Peak Hours'!$Y133)</f>
        <v>1409169.77762991</v>
      </c>
      <c r="H133" s="417" t="n">
        <f aca="false">IF($A$1="BL",0,'Peak Hours'!H133*Peak!N134*'Peak Hours'!$Y133)</f>
        <v>1216439.42370196</v>
      </c>
      <c r="I133" s="417" t="n">
        <f aca="false">IF($A$1="BL",0,'Peak Hours'!I133*Peak!O134*'Peak Hours'!$Y133)</f>
        <v>0</v>
      </c>
      <c r="J133" s="417" t="n">
        <f aca="false">IF($A$1="BL",0,'Peak Hours'!J133*Peak!P134*'Peak Hours'!$Y133)</f>
        <v>0</v>
      </c>
      <c r="K133" s="417" t="n">
        <f aca="false">IF($A$1="BL",0,'Peak Hours'!K133*Peak!Q134*'Peak Hours'!$Y133)</f>
        <v>0</v>
      </c>
      <c r="L133" s="417" t="n">
        <f aca="false">IF($A$1="BL",0,'Peak Hours'!L133*Peak!R134*'Peak Hours'!$Y133)</f>
        <v>0</v>
      </c>
      <c r="M133" s="417" t="n">
        <f aca="false">IF($A$1="BL",0,'Peak Hours'!M133*Peak!S134*'Peak Hours'!$Y133)</f>
        <v>0</v>
      </c>
      <c r="N133" s="417" t="n">
        <f aca="false">IF($A$1="BL",0,'Peak Hours'!N133*Peak!T134*'Peak Hours'!$Y133)</f>
        <v>0</v>
      </c>
      <c r="O133" s="417" t="n">
        <f aca="false">IF($A$1="BL",0,'Peak Hours'!O133*Peak!U134*'Peak Hours'!$Y133)</f>
        <v>0</v>
      </c>
      <c r="P133" s="417" t="n">
        <f aca="false">IF($A$1="BL",0,'Peak Hours'!P133*Peak!V134*'Peak Hours'!$Y133)</f>
        <v>0</v>
      </c>
      <c r="Q133" s="417" t="n">
        <f aca="false">IF($A$1="BL",0,'Peak Hours'!Q133*Peak!W134*'Peak Hours'!$Y133)</f>
        <v>0</v>
      </c>
      <c r="R133" s="417" t="n">
        <f aca="false">IF($A$1="BL",0,'Peak Hours'!R133*Peak!X134*'Peak Hours'!$Y133)</f>
        <v>0</v>
      </c>
      <c r="S133" s="417" t="n">
        <f aca="false">IF($A$1="BL",0,'Peak Hours'!S133*Peak!Y134*'Peak Hours'!$Y133)</f>
        <v>0</v>
      </c>
      <c r="T133" s="417" t="n">
        <f aca="false">IF($A$1="BL",0,'Peak Hours'!T133*Peak!Z134*'Peak Hours'!$Y133)</f>
        <v>0</v>
      </c>
      <c r="U133" s="417" t="n">
        <f aca="false">IF($A$1="BL",0,'Peak Hours'!U133*Peak!AA134*'Peak Hours'!$Y133)</f>
        <v>0</v>
      </c>
      <c r="V133" s="424"/>
      <c r="W133" s="422" t="n">
        <f aca="false">(IF($A$1="BL",0,Peak!C134*'Peak Hours'!V133*'Peak Hours'!$Y133))*-1</f>
        <v>-3693286.39023017</v>
      </c>
      <c r="X133" s="424"/>
      <c r="Y133" s="422" t="n">
        <f aca="false">(IF($A$1="bl",0,Peak!D134*'Peak Hours'!V133*'Peak Hours'!$Y133))*-1</f>
        <v>-69392.7868367723</v>
      </c>
      <c r="Z133" s="424"/>
      <c r="AA133" s="422" t="n">
        <f aca="false">(Peak!E134*'Peak Hours'!V133*'Peak Hours'!$Y133)*-1</f>
        <v>-0</v>
      </c>
      <c r="AB133" s="425"/>
      <c r="AC133" s="422" t="n">
        <f aca="false">(Peak!F134*'Peak Hours'!V133*'Peak Hours'!$Y133)*-1</f>
        <v>-0</v>
      </c>
      <c r="AD133" s="425"/>
    </row>
    <row r="134" customFormat="false" ht="12.75" hidden="false" customHeight="false" outlineLevel="0" collapsed="false">
      <c r="A134" s="400" t="n">
        <f aca="false">A133+30.417</f>
        <v>40311.708</v>
      </c>
      <c r="B134" s="417" t="n">
        <f aca="false">IF($A$1="BL",0,'Peak Hours'!B134*Peak!H135*'Peak Hours'!$Y134)</f>
        <v>418370.936285139</v>
      </c>
      <c r="C134" s="417" t="n">
        <f aca="false">IF($A$1="BL",0,'Peak Hours'!C134*Peak!I135*'Peak Hours'!$Y134)</f>
        <v>246442.647423869</v>
      </c>
      <c r="D134" s="417" t="n">
        <f aca="false">IF($A$1="BL",0,'Peak Hours'!D134*Peak!J135*'Peak Hours'!$Y134)</f>
        <v>462176.94216409</v>
      </c>
      <c r="E134" s="417" t="n">
        <f aca="false">IF($A$1="BL",0,'Peak Hours'!E134*Peak!K135*'Peak Hours'!$Y134)</f>
        <v>850954.334542297</v>
      </c>
      <c r="F134" s="417" t="n">
        <f aca="false">IF($A$1="BL",0,'Peak Hours'!F134*Peak!L135*'Peak Hours'!$Y134)</f>
        <v>818719.786964333</v>
      </c>
      <c r="G134" s="417" t="n">
        <f aca="false">IF($A$1="BL",0,'Peak Hours'!G134*Peak!M135*'Peak Hours'!$Y134)</f>
        <v>1581861.76725496</v>
      </c>
      <c r="H134" s="417" t="n">
        <f aca="false">IF($A$1="BL",0,'Peak Hours'!H134*Peak!N135*'Peak Hours'!$Y134)</f>
        <v>1218491.47196708</v>
      </c>
      <c r="I134" s="417" t="n">
        <f aca="false">IF($A$1="BL",0,'Peak Hours'!I134*Peak!O135*'Peak Hours'!$Y134)</f>
        <v>0</v>
      </c>
      <c r="J134" s="417" t="n">
        <f aca="false">IF($A$1="BL",0,'Peak Hours'!J134*Peak!P135*'Peak Hours'!$Y134)</f>
        <v>0</v>
      </c>
      <c r="K134" s="417" t="n">
        <f aca="false">IF($A$1="BL",0,'Peak Hours'!K134*Peak!Q135*'Peak Hours'!$Y134)</f>
        <v>0</v>
      </c>
      <c r="L134" s="417" t="n">
        <f aca="false">IF($A$1="BL",0,'Peak Hours'!L134*Peak!R135*'Peak Hours'!$Y134)</f>
        <v>0</v>
      </c>
      <c r="M134" s="417" t="n">
        <f aca="false">IF($A$1="BL",0,'Peak Hours'!M134*Peak!S135*'Peak Hours'!$Y134)</f>
        <v>0</v>
      </c>
      <c r="N134" s="417" t="n">
        <f aca="false">IF($A$1="BL",0,'Peak Hours'!N134*Peak!T135*'Peak Hours'!$Y134)</f>
        <v>0</v>
      </c>
      <c r="O134" s="417" t="n">
        <f aca="false">IF($A$1="BL",0,'Peak Hours'!O134*Peak!U135*'Peak Hours'!$Y134)</f>
        <v>0</v>
      </c>
      <c r="P134" s="417" t="n">
        <f aca="false">IF($A$1="BL",0,'Peak Hours'!P134*Peak!V135*'Peak Hours'!$Y134)</f>
        <v>0</v>
      </c>
      <c r="Q134" s="417" t="n">
        <f aca="false">IF($A$1="BL",0,'Peak Hours'!Q134*Peak!W135*'Peak Hours'!$Y134)</f>
        <v>0</v>
      </c>
      <c r="R134" s="417" t="n">
        <f aca="false">IF($A$1="BL",0,'Peak Hours'!R134*Peak!X135*'Peak Hours'!$Y134)</f>
        <v>0</v>
      </c>
      <c r="S134" s="417" t="n">
        <f aca="false">IF($A$1="BL",0,'Peak Hours'!S134*Peak!Y135*'Peak Hours'!$Y134)</f>
        <v>0</v>
      </c>
      <c r="T134" s="417" t="n">
        <f aca="false">IF($A$1="BL",0,'Peak Hours'!T134*Peak!Z135*'Peak Hours'!$Y134)</f>
        <v>0</v>
      </c>
      <c r="U134" s="417" t="n">
        <f aca="false">IF($A$1="BL",0,'Peak Hours'!U134*Peak!AA135*'Peak Hours'!$Y134)</f>
        <v>0</v>
      </c>
      <c r="V134" s="424"/>
      <c r="W134" s="422" t="n">
        <f aca="false">(IF($A$1="BL",0,Peak!C135*'Peak Hours'!V134*'Peak Hours'!$Y134))*-1</f>
        <v>-3888698.36854922</v>
      </c>
      <c r="X134" s="424"/>
      <c r="Y134" s="422" t="n">
        <f aca="false">(IF($A$1="bl",0,Peak!D135*'Peak Hours'!V134*'Peak Hours'!$Y134))*-1</f>
        <v>-69508.4414815002</v>
      </c>
      <c r="Z134" s="424"/>
      <c r="AA134" s="422" t="n">
        <f aca="false">(Peak!E135*'Peak Hours'!V134*'Peak Hours'!$Y134)*-1</f>
        <v>-0</v>
      </c>
      <c r="AB134" s="425"/>
      <c r="AC134" s="422" t="n">
        <f aca="false">(Peak!F135*'Peak Hours'!V134*'Peak Hours'!$Y134)*-1</f>
        <v>-0</v>
      </c>
      <c r="AD134" s="425"/>
    </row>
    <row r="135" customFormat="false" ht="12.75" hidden="false" customHeight="false" outlineLevel="0" collapsed="false">
      <c r="A135" s="400" t="n">
        <f aca="false">A134+30.417</f>
        <v>40342.125</v>
      </c>
      <c r="B135" s="417" t="n">
        <f aca="false">IF($A$1="BL",0,'Peak Hours'!B135*Peak!H136*'Peak Hours'!$Y135)</f>
        <v>563672.939226038</v>
      </c>
      <c r="C135" s="417" t="n">
        <f aca="false">IF($A$1="BL",0,'Peak Hours'!C135*Peak!I136*'Peak Hours'!$Y135)</f>
        <v>515489.934297253</v>
      </c>
      <c r="D135" s="417" t="n">
        <f aca="false">IF($A$1="BL",0,'Peak Hours'!D135*Peak!J136*'Peak Hours'!$Y135)</f>
        <v>762903.141514132</v>
      </c>
      <c r="E135" s="417" t="n">
        <f aca="false">IF($A$1="BL",0,'Peak Hours'!E135*Peak!K136*'Peak Hours'!$Y135)</f>
        <v>1267543.65420261</v>
      </c>
      <c r="F135" s="417" t="n">
        <f aca="false">IF($A$1="BL",0,'Peak Hours'!F135*Peak!L136*'Peak Hours'!$Y135)</f>
        <v>1188309.90455022</v>
      </c>
      <c r="G135" s="417" t="n">
        <f aca="false">IF($A$1="BL",0,'Peak Hours'!G135*Peak!M136*'Peak Hours'!$Y135)</f>
        <v>1617000.39328703</v>
      </c>
      <c r="H135" s="417" t="n">
        <f aca="false">IF($A$1="BL",0,'Peak Hours'!H135*Peak!N136*'Peak Hours'!$Y135)</f>
        <v>1323739.78635124</v>
      </c>
      <c r="I135" s="417" t="n">
        <f aca="false">IF($A$1="BL",0,'Peak Hours'!I135*Peak!O136*'Peak Hours'!$Y135)</f>
        <v>1187950.90790151</v>
      </c>
      <c r="J135" s="417" t="n">
        <f aca="false">IF($A$1="BL",0,'Peak Hours'!J135*Peak!P136*'Peak Hours'!$Y135)</f>
        <v>1187950.90790151</v>
      </c>
      <c r="K135" s="417" t="n">
        <f aca="false">IF($A$1="BL",0,'Peak Hours'!K135*Peak!Q136*'Peak Hours'!$Y135)</f>
        <v>1187949.76964384</v>
      </c>
      <c r="L135" s="417" t="n">
        <f aca="false">IF($A$1="BL",0,'Peak Hours'!L135*Peak!R136*'Peak Hours'!$Y135)</f>
        <v>1187944.81325816</v>
      </c>
      <c r="M135" s="417" t="n">
        <f aca="false">IF($A$1="BL",0,'Peak Hours'!M135*Peak!S136*'Peak Hours'!$Y135)</f>
        <v>1187940.22518665</v>
      </c>
      <c r="N135" s="417" t="n">
        <f aca="false">IF($A$1="BL",0,'Peak Hours'!N135*Peak!T136*'Peak Hours'!$Y135)</f>
        <v>1187927.91863202</v>
      </c>
      <c r="O135" s="417" t="n">
        <f aca="false">IF($A$1="BL",0,'Peak Hours'!O135*Peak!U136*'Peak Hours'!$Y135)</f>
        <v>1098325.91623062</v>
      </c>
      <c r="P135" s="417" t="n">
        <f aca="false">IF($A$1="BL",0,'Peak Hours'!P135*Peak!V136*'Peak Hours'!$Y135)</f>
        <v>0</v>
      </c>
      <c r="Q135" s="417" t="n">
        <f aca="false">IF($A$1="BL",0,'Peak Hours'!Q135*Peak!W136*'Peak Hours'!$Y135)</f>
        <v>0</v>
      </c>
      <c r="R135" s="417" t="n">
        <f aca="false">IF($A$1="BL",0,'Peak Hours'!R135*Peak!X136*'Peak Hours'!$Y135)</f>
        <v>0</v>
      </c>
      <c r="S135" s="417" t="n">
        <f aca="false">IF($A$1="BL",0,'Peak Hours'!S135*Peak!Y136*'Peak Hours'!$Y135)</f>
        <v>0</v>
      </c>
      <c r="T135" s="417" t="n">
        <f aca="false">IF($A$1="BL",0,'Peak Hours'!T135*Peak!Z136*'Peak Hours'!$Y135)</f>
        <v>0</v>
      </c>
      <c r="U135" s="417" t="n">
        <f aca="false">IF($A$1="BL",0,'Peak Hours'!U135*Peak!AA136*'Peak Hours'!$Y135)</f>
        <v>0</v>
      </c>
      <c r="V135" s="424"/>
      <c r="W135" s="422" t="n">
        <f aca="false">(IF($A$1="BL",0,Peak!C136*'Peak Hours'!V135*'Peak Hours'!$Y135))*-1</f>
        <v>-11303653.7937569</v>
      </c>
      <c r="X135" s="424"/>
      <c r="Y135" s="422" t="n">
        <f aca="false">(IF($A$1="bl",0,Peak!D136*'Peak Hours'!V135*'Peak Hours'!$Y135))*-1</f>
        <v>-212417.408218876</v>
      </c>
      <c r="Z135" s="424"/>
      <c r="AA135" s="422" t="n">
        <f aca="false">(Peak!E136*'Peak Hours'!V135*'Peak Hours'!$Y135)*-1</f>
        <v>-0</v>
      </c>
      <c r="AB135" s="425"/>
      <c r="AC135" s="422" t="n">
        <f aca="false">(Peak!F136*'Peak Hours'!V135*'Peak Hours'!$Y135)*-1</f>
        <v>-0</v>
      </c>
      <c r="AD135" s="425"/>
    </row>
    <row r="136" customFormat="false" ht="12.75" hidden="false" customHeight="false" outlineLevel="0" collapsed="false">
      <c r="A136" s="400" t="n">
        <f aca="false">A135+30.417</f>
        <v>40372.542</v>
      </c>
      <c r="B136" s="417" t="n">
        <f aca="false">IF($A$1="BL",0,'Peak Hours'!B136*Peak!H137*'Peak Hours'!$Y136)</f>
        <v>1294385.31394368</v>
      </c>
      <c r="C136" s="417" t="n">
        <f aca="false">IF($A$1="BL",0,'Peak Hours'!C136*Peak!I137*'Peak Hours'!$Y136)</f>
        <v>974126.849973252</v>
      </c>
      <c r="D136" s="417" t="n">
        <f aca="false">IF($A$1="BL",0,'Peak Hours'!D136*Peak!J137*'Peak Hours'!$Y136)</f>
        <v>1713871.08114413</v>
      </c>
      <c r="E136" s="417" t="n">
        <f aca="false">IF($A$1="BL",0,'Peak Hours'!E136*Peak!K137*'Peak Hours'!$Y136)</f>
        <v>2909674.10462369</v>
      </c>
      <c r="F136" s="417" t="n">
        <f aca="false">IF($A$1="BL",0,'Peak Hours'!F136*Peak!L137*'Peak Hours'!$Y136)</f>
        <v>2499553.18179293</v>
      </c>
      <c r="G136" s="417" t="n">
        <f aca="false">IF($A$1="BL",0,'Peak Hours'!G136*Peak!M137*'Peak Hours'!$Y136)</f>
        <v>4323141.3594044</v>
      </c>
      <c r="H136" s="417" t="n">
        <f aca="false">IF($A$1="BL",0,'Peak Hours'!H136*Peak!N137*'Peak Hours'!$Y136)</f>
        <v>2323098.01550659</v>
      </c>
      <c r="I136" s="417" t="n">
        <f aca="false">IF($A$1="BL",0,'Peak Hours'!I136*Peak!O137*'Peak Hours'!$Y136)</f>
        <v>1361919.55082256</v>
      </c>
      <c r="J136" s="417" t="n">
        <f aca="false">IF($A$1="BL",0,'Peak Hours'!J136*Peak!P137*'Peak Hours'!$Y136)</f>
        <v>1220163.51341898</v>
      </c>
      <c r="K136" s="417" t="n">
        <f aca="false">IF($A$1="BL",0,'Peak Hours'!K136*Peak!Q137*'Peak Hours'!$Y136)</f>
        <v>1151238.1834526</v>
      </c>
      <c r="L136" s="417" t="n">
        <f aca="false">IF($A$1="BL",0,'Peak Hours'!L136*Peak!R137*'Peak Hours'!$Y136)</f>
        <v>1093773.41981207</v>
      </c>
      <c r="M136" s="417" t="n">
        <f aca="false">IF($A$1="BL",0,'Peak Hours'!M136*Peak!S137*'Peak Hours'!$Y136)</f>
        <v>0</v>
      </c>
      <c r="N136" s="417" t="n">
        <f aca="false">IF($A$1="BL",0,'Peak Hours'!N136*Peak!T137*'Peak Hours'!$Y136)</f>
        <v>0</v>
      </c>
      <c r="O136" s="417" t="n">
        <f aca="false">IF($A$1="BL",0,'Peak Hours'!O136*Peak!U137*'Peak Hours'!$Y136)</f>
        <v>0</v>
      </c>
      <c r="P136" s="417" t="n">
        <f aca="false">IF($A$1="BL",0,'Peak Hours'!P136*Peak!V137*'Peak Hours'!$Y136)</f>
        <v>0</v>
      </c>
      <c r="Q136" s="417" t="n">
        <f aca="false">IF($A$1="BL",0,'Peak Hours'!Q136*Peak!W137*'Peak Hours'!$Y136)</f>
        <v>0</v>
      </c>
      <c r="R136" s="417" t="n">
        <f aca="false">IF($A$1="BL",0,'Peak Hours'!R136*Peak!X137*'Peak Hours'!$Y136)</f>
        <v>0</v>
      </c>
      <c r="S136" s="417" t="n">
        <f aca="false">IF($A$1="BL",0,'Peak Hours'!S136*Peak!Y137*'Peak Hours'!$Y136)</f>
        <v>0</v>
      </c>
      <c r="T136" s="417" t="n">
        <f aca="false">IF($A$1="BL",0,'Peak Hours'!T136*Peak!Z137*'Peak Hours'!$Y136)</f>
        <v>0</v>
      </c>
      <c r="U136" s="417" t="n">
        <f aca="false">IF($A$1="BL",0,'Peak Hours'!U136*Peak!AA137*'Peak Hours'!$Y136)</f>
        <v>0</v>
      </c>
      <c r="V136" s="424"/>
      <c r="W136" s="422" t="n">
        <f aca="false">(IF($A$1="BL",0,Peak!C137*'Peak Hours'!V136*'Peak Hours'!$Y136))*-1</f>
        <v>-8048487.66960541</v>
      </c>
      <c r="X136" s="424"/>
      <c r="Y136" s="422" t="n">
        <f aca="false">(IF($A$1="bl",0,Peak!D137*'Peak Hours'!V136*'Peak Hours'!$Y136))*-1</f>
        <v>-151979.598023268</v>
      </c>
      <c r="Z136" s="424"/>
      <c r="AA136" s="422" t="n">
        <f aca="false">(Peak!E137*'Peak Hours'!V136*'Peak Hours'!$Y136)*-1</f>
        <v>-0</v>
      </c>
      <c r="AB136" s="425"/>
      <c r="AC136" s="422" t="n">
        <f aca="false">(Peak!F137*'Peak Hours'!V136*'Peak Hours'!$Y136)*-1</f>
        <v>-0</v>
      </c>
      <c r="AD136" s="425"/>
    </row>
    <row r="137" customFormat="false" ht="12.75" hidden="false" customHeight="false" outlineLevel="0" collapsed="false">
      <c r="A137" s="400" t="n">
        <f aca="false">A136+30.417</f>
        <v>40402.959</v>
      </c>
      <c r="B137" s="417" t="n">
        <f aca="false">IF($A$1="BL",0,'Peak Hours'!B137*Peak!H138*'Peak Hours'!$Y137)</f>
        <v>2111429.16055683</v>
      </c>
      <c r="C137" s="417" t="n">
        <f aca="false">IF($A$1="BL",0,'Peak Hours'!C137*Peak!I138*'Peak Hours'!$Y137)</f>
        <v>1240495.23006175</v>
      </c>
      <c r="D137" s="417" t="n">
        <f aca="false">IF($A$1="BL",0,'Peak Hours'!D137*Peak!J138*'Peak Hours'!$Y137)</f>
        <v>1945970.7080258</v>
      </c>
      <c r="E137" s="417" t="n">
        <f aca="false">IF($A$1="BL",0,'Peak Hours'!E137*Peak!K138*'Peak Hours'!$Y137)</f>
        <v>3200409.02963392</v>
      </c>
      <c r="F137" s="417" t="n">
        <f aca="false">IF($A$1="BL",0,'Peak Hours'!F137*Peak!L138*'Peak Hours'!$Y137)</f>
        <v>2690169.98680572</v>
      </c>
      <c r="G137" s="417" t="n">
        <f aca="false">IF($A$1="BL",0,'Peak Hours'!G137*Peak!M138*'Peak Hours'!$Y137)</f>
        <v>4542006.62657177</v>
      </c>
      <c r="H137" s="417" t="n">
        <f aca="false">IF($A$1="BL",0,'Peak Hours'!H137*Peak!N138*'Peak Hours'!$Y137)</f>
        <v>3372871.98587859</v>
      </c>
      <c r="I137" s="417" t="n">
        <f aca="false">IF($A$1="BL",0,'Peak Hours'!I137*Peak!O138*'Peak Hours'!$Y137)</f>
        <v>0</v>
      </c>
      <c r="J137" s="417" t="n">
        <f aca="false">IF($A$1="BL",0,'Peak Hours'!J137*Peak!P138*'Peak Hours'!$Y137)</f>
        <v>0</v>
      </c>
      <c r="K137" s="417" t="n">
        <f aca="false">IF($A$1="BL",0,'Peak Hours'!K137*Peak!Q138*'Peak Hours'!$Y137)</f>
        <v>0</v>
      </c>
      <c r="L137" s="417" t="n">
        <f aca="false">IF($A$1="BL",0,'Peak Hours'!L137*Peak!R138*'Peak Hours'!$Y137)</f>
        <v>0</v>
      </c>
      <c r="M137" s="417" t="n">
        <f aca="false">IF($A$1="BL",0,'Peak Hours'!M137*Peak!S138*'Peak Hours'!$Y137)</f>
        <v>0</v>
      </c>
      <c r="N137" s="417" t="n">
        <f aca="false">IF($A$1="BL",0,'Peak Hours'!N137*Peak!T138*'Peak Hours'!$Y137)</f>
        <v>0</v>
      </c>
      <c r="O137" s="417" t="n">
        <f aca="false">IF($A$1="BL",0,'Peak Hours'!O137*Peak!U138*'Peak Hours'!$Y137)</f>
        <v>0</v>
      </c>
      <c r="P137" s="417" t="n">
        <f aca="false">IF($A$1="BL",0,'Peak Hours'!P137*Peak!V138*'Peak Hours'!$Y137)</f>
        <v>0</v>
      </c>
      <c r="Q137" s="417" t="n">
        <f aca="false">IF($A$1="BL",0,'Peak Hours'!Q137*Peak!W138*'Peak Hours'!$Y137)</f>
        <v>0</v>
      </c>
      <c r="R137" s="417" t="n">
        <f aca="false">IF($A$1="BL",0,'Peak Hours'!R137*Peak!X138*'Peak Hours'!$Y137)</f>
        <v>0</v>
      </c>
      <c r="S137" s="417" t="n">
        <f aca="false">IF($A$1="BL",0,'Peak Hours'!S137*Peak!Y138*'Peak Hours'!$Y137)</f>
        <v>0</v>
      </c>
      <c r="T137" s="417" t="n">
        <f aca="false">IF($A$1="BL",0,'Peak Hours'!T137*Peak!Z138*'Peak Hours'!$Y137)</f>
        <v>0</v>
      </c>
      <c r="U137" s="417" t="n">
        <f aca="false">IF($A$1="BL",0,'Peak Hours'!U137*Peak!AA138*'Peak Hours'!$Y137)</f>
        <v>0</v>
      </c>
      <c r="V137" s="424"/>
      <c r="W137" s="422" t="n">
        <f aca="false">(IF($A$1="BL",0,Peak!C138*'Peak Hours'!V137*'Peak Hours'!$Y137))*-1</f>
        <v>-3561207.38368714</v>
      </c>
      <c r="X137" s="424"/>
      <c r="Y137" s="422" t="n">
        <f aca="false">(IF($A$1="bl",0,Peak!D138*'Peak Hours'!V137*'Peak Hours'!$Y137))*-1</f>
        <v>-71042.0187648763</v>
      </c>
      <c r="Z137" s="424"/>
      <c r="AA137" s="422" t="n">
        <f aca="false">(Peak!E138*'Peak Hours'!V137*'Peak Hours'!$Y137)*-1</f>
        <v>-0</v>
      </c>
      <c r="AB137" s="425"/>
      <c r="AC137" s="422" t="n">
        <f aca="false">(Peak!F138*'Peak Hours'!V137*'Peak Hours'!$Y137)*-1</f>
        <v>-0</v>
      </c>
      <c r="AD137" s="425"/>
    </row>
    <row r="138" customFormat="false" ht="12.75" hidden="false" customHeight="false" outlineLevel="0" collapsed="false">
      <c r="A138" s="400" t="n">
        <f aca="false">A137+30.417</f>
        <v>40433.376</v>
      </c>
      <c r="B138" s="417" t="n">
        <f aca="false">IF($A$1="BL",0,'Peak Hours'!B138*Peak!H139*'Peak Hours'!$Y138)</f>
        <v>519061.781273778</v>
      </c>
      <c r="C138" s="417" t="n">
        <f aca="false">IF($A$1="BL",0,'Peak Hours'!C138*Peak!I139*'Peak Hours'!$Y138)</f>
        <v>432293.576043847</v>
      </c>
      <c r="D138" s="417" t="n">
        <f aca="false">IF($A$1="BL",0,'Peak Hours'!D138*Peak!J139*'Peak Hours'!$Y138)</f>
        <v>649005.655958928</v>
      </c>
      <c r="E138" s="417" t="n">
        <f aca="false">IF($A$1="BL",0,'Peak Hours'!E138*Peak!K139*'Peak Hours'!$Y138)</f>
        <v>1147376.96413362</v>
      </c>
      <c r="F138" s="417" t="n">
        <f aca="false">IF($A$1="BL",0,'Peak Hours'!F138*Peak!L139*'Peak Hours'!$Y138)</f>
        <v>1072517.91566043</v>
      </c>
      <c r="G138" s="417" t="n">
        <f aca="false">IF($A$1="BL",0,'Peak Hours'!G138*Peak!M139*'Peak Hours'!$Y138)</f>
        <v>2090275.80187675</v>
      </c>
      <c r="H138" s="417" t="n">
        <f aca="false">IF($A$1="BL",0,'Peak Hours'!H138*Peak!N139*'Peak Hours'!$Y138)</f>
        <v>1569418.19522237</v>
      </c>
      <c r="I138" s="417" t="n">
        <f aca="false">IF($A$1="BL",0,'Peak Hours'!I138*Peak!O139*'Peak Hours'!$Y138)</f>
        <v>1268600.6905643</v>
      </c>
      <c r="J138" s="417" t="n">
        <f aca="false">IF($A$1="BL",0,'Peak Hours'!J138*Peak!P139*'Peak Hours'!$Y138)</f>
        <v>1196361.8624301</v>
      </c>
      <c r="K138" s="417" t="n">
        <f aca="false">IF($A$1="BL",0,'Peak Hours'!K138*Peak!Q139*'Peak Hours'!$Y138)</f>
        <v>1056204.51905821</v>
      </c>
      <c r="L138" s="417" t="n">
        <f aca="false">IF($A$1="BL",0,'Peak Hours'!L138*Peak!R139*'Peak Hours'!$Y138)</f>
        <v>1039490.96210954</v>
      </c>
      <c r="M138" s="417" t="n">
        <f aca="false">IF($A$1="BL",0,'Peak Hours'!M138*Peak!S139*'Peak Hours'!$Y138)</f>
        <v>1031337.3661098</v>
      </c>
      <c r="N138" s="417" t="n">
        <f aca="false">IF($A$1="BL",0,'Peak Hours'!N138*Peak!T139*'Peak Hours'!$Y138)</f>
        <v>0</v>
      </c>
      <c r="O138" s="417" t="n">
        <f aca="false">IF($A$1="BL",0,'Peak Hours'!O138*Peak!U139*'Peak Hours'!$Y138)</f>
        <v>0</v>
      </c>
      <c r="P138" s="417" t="n">
        <f aca="false">IF($A$1="BL",0,'Peak Hours'!P138*Peak!V139*'Peak Hours'!$Y138)</f>
        <v>0</v>
      </c>
      <c r="Q138" s="417" t="n">
        <f aca="false">IF($A$1="BL",0,'Peak Hours'!Q138*Peak!W139*'Peak Hours'!$Y138)</f>
        <v>0</v>
      </c>
      <c r="R138" s="417" t="n">
        <f aca="false">IF($A$1="BL",0,'Peak Hours'!R138*Peak!X139*'Peak Hours'!$Y138)</f>
        <v>0</v>
      </c>
      <c r="S138" s="417" t="n">
        <f aca="false">IF($A$1="BL",0,'Peak Hours'!S138*Peak!Y139*'Peak Hours'!$Y138)</f>
        <v>0</v>
      </c>
      <c r="T138" s="417" t="n">
        <f aca="false">IF($A$1="BL",0,'Peak Hours'!T138*Peak!Z139*'Peak Hours'!$Y138)</f>
        <v>0</v>
      </c>
      <c r="U138" s="417" t="n">
        <f aca="false">IF($A$1="BL",0,'Peak Hours'!U138*Peak!AA139*'Peak Hours'!$Y138)</f>
        <v>0</v>
      </c>
      <c r="V138" s="424"/>
      <c r="W138" s="422" t="n">
        <f aca="false">(IF($A$1="BL",0,Peak!C139*'Peak Hours'!V138*'Peak Hours'!$Y138))*-1</f>
        <v>-8475854.97960456</v>
      </c>
      <c r="X138" s="424"/>
      <c r="Y138" s="422" t="n">
        <f aca="false">(IF($A$1="bl",0,Peak!D139*'Peak Hours'!V138*'Peak Hours'!$Y138))*-1</f>
        <v>-169934.406357605</v>
      </c>
      <c r="Z138" s="424"/>
      <c r="AA138" s="422" t="n">
        <f aca="false">(Peak!E139*'Peak Hours'!V138*'Peak Hours'!$Y138)*-1</f>
        <v>-0</v>
      </c>
      <c r="AB138" s="425"/>
      <c r="AC138" s="422" t="n">
        <f aca="false">(Peak!F139*'Peak Hours'!V138*'Peak Hours'!$Y138)*-1</f>
        <v>-0</v>
      </c>
      <c r="AD138" s="425"/>
    </row>
    <row r="139" customFormat="false" ht="12.75" hidden="false" customHeight="false" outlineLevel="0" collapsed="false">
      <c r="A139" s="400" t="n">
        <f aca="false">A138+30.417</f>
        <v>40463.793</v>
      </c>
      <c r="B139" s="417" t="n">
        <f aca="false">IF($A$1="BL",0,'Peak Hours'!B139*Peak!H140*'Peak Hours'!$Y139)</f>
        <v>267308.610387578</v>
      </c>
      <c r="C139" s="417" t="n">
        <f aca="false">IF($A$1="BL",0,'Peak Hours'!C139*Peak!I140*'Peak Hours'!$Y139)</f>
        <v>249739.942334128</v>
      </c>
      <c r="D139" s="417" t="n">
        <f aca="false">IF($A$1="BL",0,'Peak Hours'!D139*Peak!J140*'Peak Hours'!$Y139)</f>
        <v>489622.24897194</v>
      </c>
      <c r="E139" s="417" t="n">
        <f aca="false">IF($A$1="BL",0,'Peak Hours'!E139*Peak!K140*'Peak Hours'!$Y139)</f>
        <v>924771.863690818</v>
      </c>
      <c r="F139" s="417" t="n">
        <f aca="false">IF($A$1="BL",0,'Peak Hours'!F139*Peak!L140*'Peak Hours'!$Y139)</f>
        <v>886808.075022118</v>
      </c>
      <c r="G139" s="417" t="n">
        <f aca="false">IF($A$1="BL",0,'Peak Hours'!G139*Peak!M140*'Peak Hours'!$Y139)</f>
        <v>1764349.91917542</v>
      </c>
      <c r="H139" s="417" t="n">
        <f aca="false">IF($A$1="BL",0,'Peak Hours'!H139*Peak!N140*'Peak Hours'!$Y139)</f>
        <v>1678975.74803556</v>
      </c>
      <c r="I139" s="417" t="n">
        <f aca="false">IF($A$1="BL",0,'Peak Hours'!I139*Peak!O140*'Peak Hours'!$Y139)</f>
        <v>1257780.99831883</v>
      </c>
      <c r="J139" s="417" t="n">
        <f aca="false">IF($A$1="BL",0,'Peak Hours'!J139*Peak!P140*'Peak Hours'!$Y139)</f>
        <v>1178903.72336231</v>
      </c>
      <c r="K139" s="417" t="n">
        <f aca="false">IF($A$1="BL",0,'Peak Hours'!K139*Peak!Q140*'Peak Hours'!$Y139)</f>
        <v>0</v>
      </c>
      <c r="L139" s="417" t="n">
        <f aca="false">IF($A$1="BL",0,'Peak Hours'!L139*Peak!R140*'Peak Hours'!$Y139)</f>
        <v>0</v>
      </c>
      <c r="M139" s="417" t="n">
        <f aca="false">IF($A$1="BL",0,'Peak Hours'!M139*Peak!S140*'Peak Hours'!$Y139)</f>
        <v>0</v>
      </c>
      <c r="N139" s="417" t="n">
        <f aca="false">IF($A$1="BL",0,'Peak Hours'!N139*Peak!T140*'Peak Hours'!$Y139)</f>
        <v>0</v>
      </c>
      <c r="O139" s="417" t="n">
        <f aca="false">IF($A$1="BL",0,'Peak Hours'!O139*Peak!U140*'Peak Hours'!$Y139)</f>
        <v>0</v>
      </c>
      <c r="P139" s="417" t="n">
        <f aca="false">IF($A$1="BL",0,'Peak Hours'!P139*Peak!V140*'Peak Hours'!$Y139)</f>
        <v>0</v>
      </c>
      <c r="Q139" s="417" t="n">
        <f aca="false">IF($A$1="BL",0,'Peak Hours'!Q139*Peak!W140*'Peak Hours'!$Y139)</f>
        <v>0</v>
      </c>
      <c r="R139" s="417" t="n">
        <f aca="false">IF($A$1="BL",0,'Peak Hours'!R139*Peak!X140*'Peak Hours'!$Y139)</f>
        <v>0</v>
      </c>
      <c r="S139" s="417" t="n">
        <f aca="false">IF($A$1="BL",0,'Peak Hours'!S139*Peak!Y140*'Peak Hours'!$Y139)</f>
        <v>0</v>
      </c>
      <c r="T139" s="417" t="n">
        <f aca="false">IF($A$1="BL",0,'Peak Hours'!T139*Peak!Z140*'Peak Hours'!$Y139)</f>
        <v>0</v>
      </c>
      <c r="U139" s="417" t="n">
        <f aca="false">IF($A$1="BL",0,'Peak Hours'!U139*Peak!AA140*'Peak Hours'!$Y139)</f>
        <v>0</v>
      </c>
      <c r="V139" s="424"/>
      <c r="W139" s="422" t="n">
        <f aca="false">(IF($A$1="BL",0,Peak!C140*'Peak Hours'!V139*'Peak Hours'!$Y139))*-1</f>
        <v>-6073962.60609433</v>
      </c>
      <c r="X139" s="424"/>
      <c r="Y139" s="422" t="n">
        <f aca="false">(IF($A$1="bl",0,Peak!D140*'Peak Hours'!V139*'Peak Hours'!$Y139))*-1</f>
        <v>-110140.819650012</v>
      </c>
      <c r="Z139" s="424"/>
      <c r="AA139" s="422" t="n">
        <f aca="false">(Peak!E140*'Peak Hours'!V139*'Peak Hours'!$Y139)*-1</f>
        <v>-0</v>
      </c>
      <c r="AB139" s="425"/>
      <c r="AC139" s="422" t="n">
        <f aca="false">(Peak!F140*'Peak Hours'!V139*'Peak Hours'!$Y139)*-1</f>
        <v>-0</v>
      </c>
      <c r="AD139" s="425"/>
    </row>
    <row r="140" customFormat="false" ht="12.75" hidden="false" customHeight="false" outlineLevel="0" collapsed="false">
      <c r="A140" s="400" t="n">
        <f aca="false">A139+30.417</f>
        <v>40494.21</v>
      </c>
      <c r="B140" s="417" t="n">
        <f aca="false">IF($A$1="BL",0,'Peak Hours'!B140*Peak!H141*'Peak Hours'!$Y140)</f>
        <v>396966.421059307</v>
      </c>
      <c r="C140" s="417" t="n">
        <f aca="false">IF($A$1="BL",0,'Peak Hours'!C140*Peak!I141*'Peak Hours'!$Y140)</f>
        <v>396961.626952953</v>
      </c>
      <c r="D140" s="417" t="n">
        <f aca="false">IF($A$1="BL",0,'Peak Hours'!D140*Peak!J141*'Peak Hours'!$Y140)</f>
        <v>790178.011762352</v>
      </c>
      <c r="E140" s="417" t="n">
        <f aca="false">IF($A$1="BL",0,'Peak Hours'!E140*Peak!K141*'Peak Hours'!$Y140)</f>
        <v>1447784.02259178</v>
      </c>
      <c r="F140" s="417" t="n">
        <f aca="false">IF($A$1="BL",0,'Peak Hours'!F140*Peak!L141*'Peak Hours'!$Y140)</f>
        <v>1099675.01153498</v>
      </c>
      <c r="G140" s="417" t="n">
        <f aca="false">IF($A$1="BL",0,'Peak Hours'!G140*Peak!M141*'Peak Hours'!$Y140)</f>
        <v>1920954.07451136</v>
      </c>
      <c r="H140" s="417" t="n">
        <f aca="false">IF($A$1="BL",0,'Peak Hours'!H140*Peak!N141*'Peak Hours'!$Y140)</f>
        <v>1756212.94166593</v>
      </c>
      <c r="I140" s="417" t="n">
        <f aca="false">IF($A$1="BL",0,'Peak Hours'!I140*Peak!O141*'Peak Hours'!$Y140)</f>
        <v>1489448.09823883</v>
      </c>
      <c r="J140" s="417" t="n">
        <f aca="false">IF($A$1="BL",0,'Peak Hours'!J140*Peak!P141*'Peak Hours'!$Y140)</f>
        <v>1476618.85234656</v>
      </c>
      <c r="K140" s="417" t="n">
        <f aca="false">IF($A$1="BL",0,'Peak Hours'!K140*Peak!Q141*'Peak Hours'!$Y140)</f>
        <v>1476614.90661567</v>
      </c>
      <c r="L140" s="417" t="n">
        <f aca="false">IF($A$1="BL",0,'Peak Hours'!L140*Peak!R141*'Peak Hours'!$Y140)</f>
        <v>1476612.00340756</v>
      </c>
      <c r="M140" s="417" t="n">
        <f aca="false">IF($A$1="BL",0,'Peak Hours'!M140*Peak!S141*'Peak Hours'!$Y140)</f>
        <v>1476612.00340756</v>
      </c>
      <c r="N140" s="417" t="n">
        <f aca="false">IF($A$1="BL",0,'Peak Hours'!N140*Peak!T141*'Peak Hours'!$Y140)</f>
        <v>0</v>
      </c>
      <c r="O140" s="417" t="n">
        <f aca="false">IF($A$1="BL",0,'Peak Hours'!O140*Peak!U141*'Peak Hours'!$Y140)</f>
        <v>0</v>
      </c>
      <c r="P140" s="417" t="n">
        <f aca="false">IF($A$1="BL",0,'Peak Hours'!P140*Peak!V141*'Peak Hours'!$Y140)</f>
        <v>0</v>
      </c>
      <c r="Q140" s="417" t="n">
        <f aca="false">IF($A$1="BL",0,'Peak Hours'!Q140*Peak!W141*'Peak Hours'!$Y140)</f>
        <v>0</v>
      </c>
      <c r="R140" s="417" t="n">
        <f aca="false">IF($A$1="BL",0,'Peak Hours'!R140*Peak!X141*'Peak Hours'!$Y140)</f>
        <v>0</v>
      </c>
      <c r="S140" s="417" t="n">
        <f aca="false">IF($A$1="BL",0,'Peak Hours'!S140*Peak!Y141*'Peak Hours'!$Y140)</f>
        <v>0</v>
      </c>
      <c r="T140" s="417" t="n">
        <f aca="false">IF($A$1="BL",0,'Peak Hours'!T140*Peak!Z141*'Peak Hours'!$Y140)</f>
        <v>0</v>
      </c>
      <c r="U140" s="417" t="n">
        <f aca="false">IF($A$1="BL",0,'Peak Hours'!U140*Peak!AA141*'Peak Hours'!$Y140)</f>
        <v>0</v>
      </c>
      <c r="V140" s="424"/>
      <c r="W140" s="422" t="n">
        <f aca="false">(IF($A$1="BL",0,Peak!C141*'Peak Hours'!V140*'Peak Hours'!$Y140))*-1</f>
        <v>-10279228.3795204</v>
      </c>
      <c r="X140" s="424"/>
      <c r="Y140" s="422" t="n">
        <f aca="false">(IF($A$1="bl",0,Peak!D141*'Peak Hours'!V140*'Peak Hours'!$Y140))*-1</f>
        <v>-170501.326418814</v>
      </c>
      <c r="Z140" s="424"/>
      <c r="AA140" s="422" t="n">
        <f aca="false">(Peak!E141*'Peak Hours'!V140*'Peak Hours'!$Y140)*-1</f>
        <v>-0</v>
      </c>
      <c r="AB140" s="425"/>
      <c r="AC140" s="422" t="n">
        <f aca="false">(Peak!F141*'Peak Hours'!V140*'Peak Hours'!$Y140)*-1</f>
        <v>-0</v>
      </c>
      <c r="AD140" s="425"/>
    </row>
    <row r="141" customFormat="false" ht="12.75" hidden="false" customHeight="false" outlineLevel="0" collapsed="false">
      <c r="A141" s="400" t="n">
        <f aca="false">A140+30.417</f>
        <v>40524.627</v>
      </c>
      <c r="B141" s="417" t="n">
        <f aca="false">IF($A$1="BL",0,'Peak Hours'!B141*Peak!H142*'Peak Hours'!$Y141)</f>
        <v>442278.786765552</v>
      </c>
      <c r="C141" s="417" t="n">
        <f aca="false">IF($A$1="BL",0,'Peak Hours'!C141*Peak!I142*'Peak Hours'!$Y141)</f>
        <v>378359.003063272</v>
      </c>
      <c r="D141" s="417" t="n">
        <f aca="false">IF($A$1="BL",0,'Peak Hours'!D141*Peak!J142*'Peak Hours'!$Y141)</f>
        <v>647791.069986635</v>
      </c>
      <c r="E141" s="417" t="n">
        <f aca="false">IF($A$1="BL",0,'Peak Hours'!E141*Peak!K142*'Peak Hours'!$Y141)</f>
        <v>1202841.76904224</v>
      </c>
      <c r="F141" s="417" t="n">
        <f aca="false">IF($A$1="BL",0,'Peak Hours'!F141*Peak!L142*'Peak Hours'!$Y141)</f>
        <v>1131298.08375337</v>
      </c>
      <c r="G141" s="417" t="n">
        <f aca="false">IF($A$1="BL",0,'Peak Hours'!G141*Peak!M142*'Peak Hours'!$Y141)</f>
        <v>2157847.06285384</v>
      </c>
      <c r="H141" s="417" t="n">
        <f aca="false">IF($A$1="BL",0,'Peak Hours'!H141*Peak!N142*'Peak Hours'!$Y141)</f>
        <v>2142256.25081313</v>
      </c>
      <c r="I141" s="417" t="n">
        <f aca="false">IF($A$1="BL",0,'Peak Hours'!I141*Peak!O142*'Peak Hours'!$Y141)</f>
        <v>1976258.38477196</v>
      </c>
      <c r="J141" s="417" t="n">
        <f aca="false">IF($A$1="BL",0,'Peak Hours'!J141*Peak!P142*'Peak Hours'!$Y141)</f>
        <v>1516266.68084357</v>
      </c>
      <c r="K141" s="417" t="n">
        <f aca="false">IF($A$1="BL",0,'Peak Hours'!K141*Peak!Q142*'Peak Hours'!$Y141)</f>
        <v>1357850.1457567</v>
      </c>
      <c r="L141" s="417" t="n">
        <f aca="false">IF($A$1="BL",0,'Peak Hours'!L141*Peak!R142*'Peak Hours'!$Y141)</f>
        <v>0</v>
      </c>
      <c r="M141" s="417" t="n">
        <f aca="false">IF($A$1="BL",0,'Peak Hours'!M141*Peak!S142*'Peak Hours'!$Y141)</f>
        <v>0</v>
      </c>
      <c r="N141" s="417" t="n">
        <f aca="false">IF($A$1="BL",0,'Peak Hours'!N141*Peak!T142*'Peak Hours'!$Y141)</f>
        <v>0</v>
      </c>
      <c r="O141" s="417" t="n">
        <f aca="false">IF($A$1="BL",0,'Peak Hours'!O141*Peak!U142*'Peak Hours'!$Y141)</f>
        <v>0</v>
      </c>
      <c r="P141" s="417" t="n">
        <f aca="false">IF($A$1="BL",0,'Peak Hours'!P141*Peak!V142*'Peak Hours'!$Y141)</f>
        <v>0</v>
      </c>
      <c r="Q141" s="417" t="n">
        <f aca="false">IF($A$1="BL",0,'Peak Hours'!Q141*Peak!W142*'Peak Hours'!$Y141)</f>
        <v>0</v>
      </c>
      <c r="R141" s="417" t="n">
        <f aca="false">IF($A$1="BL",0,'Peak Hours'!R141*Peak!X142*'Peak Hours'!$Y141)</f>
        <v>0</v>
      </c>
      <c r="S141" s="417" t="n">
        <f aca="false">IF($A$1="BL",0,'Peak Hours'!S141*Peak!Y142*'Peak Hours'!$Y141)</f>
        <v>0</v>
      </c>
      <c r="T141" s="417" t="n">
        <f aca="false">IF($A$1="BL",0,'Peak Hours'!T141*Peak!Z142*'Peak Hours'!$Y141)</f>
        <v>0</v>
      </c>
      <c r="U141" s="417" t="n">
        <f aca="false">IF($A$1="BL",0,'Peak Hours'!U141*Peak!AA142*'Peak Hours'!$Y141)</f>
        <v>0</v>
      </c>
      <c r="V141" s="426" t="n">
        <f aca="false">SUM(B130:U141)</f>
        <v>145972996.686761</v>
      </c>
      <c r="W141" s="422" t="n">
        <f aca="false">(IF($A$1="BL",0,Peak!C142*'Peak Hours'!V141*'Peak Hours'!$Y141))*-1</f>
        <v>-8276228.31096884</v>
      </c>
      <c r="X141" s="426" t="n">
        <f aca="false">SUM(W130:W141)</f>
        <v>-82359172.7095415</v>
      </c>
      <c r="Y141" s="422" t="n">
        <f aca="false">(IF($A$1="bl",0,Peak!D142*'Peak Hours'!V141*'Peak Hours'!$Y141))*-1</f>
        <v>-127064.366668164</v>
      </c>
      <c r="Z141" s="426" t="n">
        <f aca="false">SUM(Y130:Y141)</f>
        <v>-1472182.3608346</v>
      </c>
      <c r="AA141" s="422" t="n">
        <f aca="false">(Peak!E142*'Peak Hours'!V141*'Peak Hours'!$Y141)*-1</f>
        <v>-0</v>
      </c>
      <c r="AB141" s="427" t="n">
        <f aca="false">SUM(AA130:AA141)</f>
        <v>0</v>
      </c>
      <c r="AC141" s="422" t="n">
        <f aca="false">(Peak!F142*'Peak Hours'!V141*'Peak Hours'!$Y141)*-1</f>
        <v>-0</v>
      </c>
      <c r="AD141" s="427" t="n">
        <f aca="false">SUM(AC130:AC141)</f>
        <v>0</v>
      </c>
    </row>
    <row r="142" customFormat="false" ht="12.75" hidden="false" customHeight="false" outlineLevel="0" collapsed="false">
      <c r="A142" s="400" t="n">
        <f aca="false">A141+30.417</f>
        <v>40555.044</v>
      </c>
      <c r="B142" s="417" t="n">
        <f aca="false">IF($A$1="BL",0,'Peak Hours'!B142*Peak!H143*'Peak Hours'!$Y142)</f>
        <v>535097.127230931</v>
      </c>
      <c r="C142" s="417" t="n">
        <f aca="false">IF($A$1="BL",0,'Peak Hours'!C142*Peak!I143*'Peak Hours'!$Y142)</f>
        <v>514552.817611837</v>
      </c>
      <c r="D142" s="417" t="n">
        <f aca="false">IF($A$1="BL",0,'Peak Hours'!D142*Peak!J143*'Peak Hours'!$Y142)</f>
        <v>998272.522088307</v>
      </c>
      <c r="E142" s="417" t="n">
        <f aca="false">IF($A$1="BL",0,'Peak Hours'!E142*Peak!K143*'Peak Hours'!$Y142)</f>
        <v>1625857.49986263</v>
      </c>
      <c r="F142" s="417" t="n">
        <f aca="false">IF($A$1="BL",0,'Peak Hours'!F142*Peak!L143*'Peak Hours'!$Y142)</f>
        <v>1067213.25386549</v>
      </c>
      <c r="G142" s="417" t="n">
        <f aca="false">IF($A$1="BL",0,'Peak Hours'!G142*Peak!M143*'Peak Hours'!$Y142)</f>
        <v>1979775.9730241</v>
      </c>
      <c r="H142" s="417" t="n">
        <f aca="false">IF($A$1="BL",0,'Peak Hours'!H142*Peak!N143*'Peak Hours'!$Y142)</f>
        <v>1819839.97137869</v>
      </c>
      <c r="I142" s="417" t="n">
        <f aca="false">IF($A$1="BL",0,'Peak Hours'!I142*Peak!O143*'Peak Hours'!$Y142)</f>
        <v>1804065.1830223</v>
      </c>
      <c r="J142" s="417" t="n">
        <f aca="false">IF($A$1="BL",0,'Peak Hours'!J142*Peak!P143*'Peak Hours'!$Y142)</f>
        <v>1711364.57258582</v>
      </c>
      <c r="K142" s="417" t="n">
        <f aca="false">IF($A$1="BL",0,'Peak Hours'!K142*Peak!Q143*'Peak Hours'!$Y142)</f>
        <v>1315180.50151826</v>
      </c>
      <c r="L142" s="417" t="n">
        <f aca="false">IF($A$1="BL",0,'Peak Hours'!L142*Peak!R143*'Peak Hours'!$Y142)</f>
        <v>0</v>
      </c>
      <c r="M142" s="417" t="n">
        <f aca="false">IF($A$1="BL",0,'Peak Hours'!M142*Peak!S143*'Peak Hours'!$Y142)</f>
        <v>0</v>
      </c>
      <c r="N142" s="417" t="n">
        <f aca="false">IF($A$1="BL",0,'Peak Hours'!N142*Peak!T143*'Peak Hours'!$Y142)</f>
        <v>0</v>
      </c>
      <c r="O142" s="417" t="n">
        <f aca="false">IF($A$1="BL",0,'Peak Hours'!O142*Peak!U143*'Peak Hours'!$Y142)</f>
        <v>0</v>
      </c>
      <c r="P142" s="417" t="n">
        <f aca="false">IF($A$1="BL",0,'Peak Hours'!P142*Peak!V143*'Peak Hours'!$Y142)</f>
        <v>0</v>
      </c>
      <c r="Q142" s="417" t="n">
        <f aca="false">IF($A$1="BL",0,'Peak Hours'!Q142*Peak!W143*'Peak Hours'!$Y142)</f>
        <v>0</v>
      </c>
      <c r="R142" s="417" t="n">
        <f aca="false">IF($A$1="BL",0,'Peak Hours'!R142*Peak!X143*'Peak Hours'!$Y142)</f>
        <v>0</v>
      </c>
      <c r="S142" s="417" t="n">
        <f aca="false">IF($A$1="BL",0,'Peak Hours'!S142*Peak!Y143*'Peak Hours'!$Y142)</f>
        <v>0</v>
      </c>
      <c r="T142" s="417" t="n">
        <f aca="false">IF($A$1="BL",0,'Peak Hours'!T142*Peak!Z143*'Peak Hours'!$Y142)</f>
        <v>0</v>
      </c>
      <c r="U142" s="417" t="n">
        <f aca="false">IF($A$1="BL",0,'Peak Hours'!U142*Peak!AA143*'Peak Hours'!$Y142)</f>
        <v>0</v>
      </c>
      <c r="V142" s="424"/>
      <c r="W142" s="422" t="n">
        <f aca="false">(IF($A$1="BL",0,Peak!C143*'Peak Hours'!V142*'Peak Hours'!$Y142))*-1</f>
        <v>-8130469.78024403</v>
      </c>
      <c r="X142" s="424"/>
      <c r="Y142" s="422" t="n">
        <f aca="false">(IF($A$1="bl",0,Peak!D143*'Peak Hours'!V142*'Peak Hours'!$Y142))*-1</f>
        <v>-127276.14061261</v>
      </c>
      <c r="Z142" s="424"/>
      <c r="AA142" s="422" t="n">
        <f aca="false">(Peak!E143*'Peak Hours'!V142*'Peak Hours'!$Y142)*-1</f>
        <v>-0</v>
      </c>
      <c r="AB142" s="425"/>
      <c r="AC142" s="422" t="n">
        <f aca="false">(Peak!F143*'Peak Hours'!V142*'Peak Hours'!$Y142)*-1</f>
        <v>-0</v>
      </c>
      <c r="AD142" s="425"/>
    </row>
    <row r="143" customFormat="false" ht="12.75" hidden="false" customHeight="false" outlineLevel="0" collapsed="false">
      <c r="A143" s="400" t="n">
        <f aca="false">A142+30.417</f>
        <v>40585.461</v>
      </c>
      <c r="B143" s="417" t="n">
        <f aca="false">IF($A$1="BL",0,'Peak Hours'!B143*Peak!H144*'Peak Hours'!$Y143)</f>
        <v>469640.310854683</v>
      </c>
      <c r="C143" s="417" t="n">
        <f aca="false">IF($A$1="BL",0,'Peak Hours'!C143*Peak!I144*'Peak Hours'!$Y143)</f>
        <v>373115.464002525</v>
      </c>
      <c r="D143" s="417" t="n">
        <f aca="false">IF($A$1="BL",0,'Peak Hours'!D143*Peak!J144*'Peak Hours'!$Y143)</f>
        <v>631297.780323623</v>
      </c>
      <c r="E143" s="417" t="n">
        <f aca="false">IF($A$1="BL",0,'Peak Hours'!E143*Peak!K144*'Peak Hours'!$Y143)</f>
        <v>1176790.8198572</v>
      </c>
      <c r="F143" s="417" t="n">
        <f aca="false">IF($A$1="BL",0,'Peak Hours'!F143*Peak!L144*'Peak Hours'!$Y143)</f>
        <v>1111171.39440058</v>
      </c>
      <c r="G143" s="417" t="n">
        <f aca="false">IF($A$1="BL",0,'Peak Hours'!G143*Peak!M144*'Peak Hours'!$Y143)</f>
        <v>2057190.20750599</v>
      </c>
      <c r="H143" s="417" t="n">
        <f aca="false">IF($A$1="BL",0,'Peak Hours'!H143*Peak!N144*'Peak Hours'!$Y143)</f>
        <v>2024804.2231094</v>
      </c>
      <c r="I143" s="417" t="n">
        <f aca="false">IF($A$1="BL",0,'Peak Hours'!I143*Peak!O144*'Peak Hours'!$Y143)</f>
        <v>1773328.30899255</v>
      </c>
      <c r="J143" s="417" t="n">
        <f aca="false">IF($A$1="BL",0,'Peak Hours'!J143*Peak!P144*'Peak Hours'!$Y143)</f>
        <v>1410062.96156612</v>
      </c>
      <c r="K143" s="417" t="n">
        <f aca="false">IF($A$1="BL",0,'Peak Hours'!K143*Peak!Q144*'Peak Hours'!$Y143)</f>
        <v>1297799.70426805</v>
      </c>
      <c r="L143" s="417" t="n">
        <f aca="false">IF($A$1="BL",0,'Peak Hours'!L143*Peak!R144*'Peak Hours'!$Y143)</f>
        <v>1170930.64078831</v>
      </c>
      <c r="M143" s="417" t="n">
        <f aca="false">IF($A$1="BL",0,'Peak Hours'!M143*Peak!S144*'Peak Hours'!$Y143)</f>
        <v>1148078.16873491</v>
      </c>
      <c r="N143" s="417" t="n">
        <f aca="false">IF($A$1="BL",0,'Peak Hours'!N143*Peak!T144*'Peak Hours'!$Y143)</f>
        <v>0</v>
      </c>
      <c r="O143" s="417" t="n">
        <f aca="false">IF($A$1="BL",0,'Peak Hours'!O143*Peak!U144*'Peak Hours'!$Y143)</f>
        <v>0</v>
      </c>
      <c r="P143" s="417" t="n">
        <f aca="false">IF($A$1="BL",0,'Peak Hours'!P143*Peak!V144*'Peak Hours'!$Y143)</f>
        <v>0</v>
      </c>
      <c r="Q143" s="417" t="n">
        <f aca="false">IF($A$1="BL",0,'Peak Hours'!Q143*Peak!W144*'Peak Hours'!$Y143)</f>
        <v>0</v>
      </c>
      <c r="R143" s="417" t="n">
        <f aca="false">IF($A$1="BL",0,'Peak Hours'!R143*Peak!X144*'Peak Hours'!$Y143)</f>
        <v>0</v>
      </c>
      <c r="S143" s="417" t="n">
        <f aca="false">IF($A$1="BL",0,'Peak Hours'!S143*Peak!Y144*'Peak Hours'!$Y143)</f>
        <v>0</v>
      </c>
      <c r="T143" s="417" t="n">
        <f aca="false">IF($A$1="BL",0,'Peak Hours'!T143*Peak!Z144*'Peak Hours'!$Y143)</f>
        <v>0</v>
      </c>
      <c r="U143" s="417" t="n">
        <f aca="false">IF($A$1="BL",0,'Peak Hours'!U143*Peak!AA144*'Peak Hours'!$Y143)</f>
        <v>0</v>
      </c>
      <c r="V143" s="424"/>
      <c r="W143" s="422" t="n">
        <f aca="false">(IF($A$1="BL",0,Peak!C144*'Peak Hours'!V143*'Peak Hours'!$Y143))*-1</f>
        <v>-9529349.70765509</v>
      </c>
      <c r="X143" s="424"/>
      <c r="Y143" s="422" t="n">
        <f aca="false">(IF($A$1="bl",0,Peak!D144*'Peak Hours'!V143*'Peak Hours'!$Y143))*-1</f>
        <v>-166715.426748595</v>
      </c>
      <c r="Z143" s="424"/>
      <c r="AA143" s="422" t="n">
        <f aca="false">(Peak!E144*'Peak Hours'!V143*'Peak Hours'!$Y143)*-1</f>
        <v>-0</v>
      </c>
      <c r="AB143" s="425"/>
      <c r="AC143" s="422" t="n">
        <f aca="false">(Peak!F144*'Peak Hours'!V143*'Peak Hours'!$Y143)*-1</f>
        <v>-0</v>
      </c>
      <c r="AD143" s="425"/>
    </row>
    <row r="144" customFormat="false" ht="12.75" hidden="false" customHeight="false" outlineLevel="0" collapsed="false">
      <c r="A144" s="400" t="n">
        <f aca="false">A143+30.417</f>
        <v>40615.878</v>
      </c>
      <c r="B144" s="417" t="n">
        <f aca="false">IF($A$1="BL",0,'Peak Hours'!B144*Peak!H145*'Peak Hours'!$Y144)</f>
        <v>452418.156574881</v>
      </c>
      <c r="C144" s="417" t="n">
        <f aca="false">IF($A$1="BL",0,'Peak Hours'!C144*Peak!I145*'Peak Hours'!$Y144)</f>
        <v>371647.071839991</v>
      </c>
      <c r="D144" s="417" t="n">
        <f aca="false">IF($A$1="BL",0,'Peak Hours'!D144*Peak!J145*'Peak Hours'!$Y144)</f>
        <v>570715.931106557</v>
      </c>
      <c r="E144" s="417" t="n">
        <f aca="false">IF($A$1="BL",0,'Peak Hours'!E144*Peak!K145*'Peak Hours'!$Y144)</f>
        <v>1016975.20253564</v>
      </c>
      <c r="F144" s="417" t="n">
        <f aca="false">IF($A$1="BL",0,'Peak Hours'!F144*Peak!L145*'Peak Hours'!$Y144)</f>
        <v>958739.274554876</v>
      </c>
      <c r="G144" s="417" t="n">
        <f aca="false">IF($A$1="BL",0,'Peak Hours'!G144*Peak!M145*'Peak Hours'!$Y144)</f>
        <v>1799522.10894553</v>
      </c>
      <c r="H144" s="417" t="n">
        <f aca="false">IF($A$1="BL",0,'Peak Hours'!H144*Peak!N145*'Peak Hours'!$Y144)</f>
        <v>1789669.93024788</v>
      </c>
      <c r="I144" s="417" t="n">
        <f aca="false">IF($A$1="BL",0,'Peak Hours'!I144*Peak!O145*'Peak Hours'!$Y144)</f>
        <v>1681302.37437775</v>
      </c>
      <c r="J144" s="417" t="n">
        <f aca="false">IF($A$1="BL",0,'Peak Hours'!J144*Peak!P145*'Peak Hours'!$Y144)</f>
        <v>1342124.55028212</v>
      </c>
      <c r="K144" s="417" t="n">
        <f aca="false">IF($A$1="BL",0,'Peak Hours'!K144*Peak!Q145*'Peak Hours'!$Y144)</f>
        <v>1252179.30086879</v>
      </c>
      <c r="L144" s="417" t="n">
        <f aca="false">IF($A$1="BL",0,'Peak Hours'!L144*Peak!R145*'Peak Hours'!$Y144)</f>
        <v>1189645.46197277</v>
      </c>
      <c r="M144" s="417" t="n">
        <f aca="false">IF($A$1="BL",0,'Peak Hours'!M144*Peak!S145*'Peak Hours'!$Y144)</f>
        <v>0</v>
      </c>
      <c r="N144" s="417" t="n">
        <f aca="false">IF($A$1="BL",0,'Peak Hours'!N144*Peak!T145*'Peak Hours'!$Y144)</f>
        <v>0</v>
      </c>
      <c r="O144" s="417" t="n">
        <f aca="false">IF($A$1="BL",0,'Peak Hours'!O144*Peak!U145*'Peak Hours'!$Y144)</f>
        <v>0</v>
      </c>
      <c r="P144" s="417" t="n">
        <f aca="false">IF($A$1="BL",0,'Peak Hours'!P144*Peak!V145*'Peak Hours'!$Y144)</f>
        <v>0</v>
      </c>
      <c r="Q144" s="417" t="n">
        <f aca="false">IF($A$1="BL",0,'Peak Hours'!Q144*Peak!W145*'Peak Hours'!$Y144)</f>
        <v>0</v>
      </c>
      <c r="R144" s="417" t="n">
        <f aca="false">IF($A$1="BL",0,'Peak Hours'!R144*Peak!X145*'Peak Hours'!$Y144)</f>
        <v>0</v>
      </c>
      <c r="S144" s="417" t="n">
        <f aca="false">IF($A$1="BL",0,'Peak Hours'!S144*Peak!Y145*'Peak Hours'!$Y144)</f>
        <v>0</v>
      </c>
      <c r="T144" s="417" t="n">
        <f aca="false">IF($A$1="BL",0,'Peak Hours'!T144*Peak!Z145*'Peak Hours'!$Y144)</f>
        <v>0</v>
      </c>
      <c r="U144" s="417" t="n">
        <f aca="false">IF($A$1="BL",0,'Peak Hours'!U144*Peak!AA145*'Peak Hours'!$Y144)</f>
        <v>0</v>
      </c>
      <c r="V144" s="424"/>
      <c r="W144" s="422" t="n">
        <f aca="false">(IF($A$1="BL",0,Peak!C145*'Peak Hours'!V144*'Peak Hours'!$Y144))*-1</f>
        <v>-8496938.40063389</v>
      </c>
      <c r="X144" s="424"/>
      <c r="Y144" s="422" t="n">
        <f aca="false">(IF($A$1="bl",0,Peak!D145*'Peak Hours'!V144*'Peak Hours'!$Y144))*-1</f>
        <v>-151447.805978642</v>
      </c>
      <c r="Z144" s="424"/>
      <c r="AA144" s="422" t="n">
        <f aca="false">(Peak!E145*'Peak Hours'!V144*'Peak Hours'!$Y144)*-1</f>
        <v>-0</v>
      </c>
      <c r="AB144" s="425"/>
      <c r="AC144" s="422" t="n">
        <f aca="false">(Peak!F145*'Peak Hours'!V144*'Peak Hours'!$Y144)*-1</f>
        <v>-0</v>
      </c>
      <c r="AD144" s="425"/>
    </row>
    <row r="145" customFormat="false" ht="12.75" hidden="false" customHeight="false" outlineLevel="0" collapsed="false">
      <c r="A145" s="400" t="n">
        <f aca="false">A144+30.417</f>
        <v>40646.295</v>
      </c>
      <c r="B145" s="417" t="n">
        <f aca="false">IF($A$1="BL",0,'Peak Hours'!B145*Peak!H146*'Peak Hours'!$Y145)</f>
        <v>269496.940682408</v>
      </c>
      <c r="C145" s="417" t="n">
        <f aca="false">IF($A$1="BL",0,'Peak Hours'!C145*Peak!I146*'Peak Hours'!$Y145)</f>
        <v>259721.308046096</v>
      </c>
      <c r="D145" s="417" t="n">
        <f aca="false">IF($A$1="BL",0,'Peak Hours'!D145*Peak!J146*'Peak Hours'!$Y145)</f>
        <v>487737.382677554</v>
      </c>
      <c r="E145" s="417" t="n">
        <f aca="false">IF($A$1="BL",0,'Peak Hours'!E145*Peak!K146*'Peak Hours'!$Y145)</f>
        <v>942061.490723805</v>
      </c>
      <c r="F145" s="417" t="n">
        <f aca="false">IF($A$1="BL",0,'Peak Hours'!F145*Peak!L146*'Peak Hours'!$Y145)</f>
        <v>939687.182278284</v>
      </c>
      <c r="G145" s="417" t="n">
        <f aca="false">IF($A$1="BL",0,'Peak Hours'!G145*Peak!M146*'Peak Hours'!$Y145)</f>
        <v>1647124.47145025</v>
      </c>
      <c r="H145" s="417" t="n">
        <f aca="false">IF($A$1="BL",0,'Peak Hours'!H145*Peak!N146*'Peak Hours'!$Y145)</f>
        <v>1310781.28077223</v>
      </c>
      <c r="I145" s="417" t="n">
        <f aca="false">IF($A$1="BL",0,'Peak Hours'!I145*Peak!O146*'Peak Hours'!$Y145)</f>
        <v>1141596.32700832</v>
      </c>
      <c r="J145" s="417" t="n">
        <f aca="false">IF($A$1="BL",0,'Peak Hours'!J145*Peak!P146*'Peak Hours'!$Y145)</f>
        <v>0</v>
      </c>
      <c r="K145" s="417" t="n">
        <f aca="false">IF($A$1="BL",0,'Peak Hours'!K145*Peak!Q146*'Peak Hours'!$Y145)</f>
        <v>0</v>
      </c>
      <c r="L145" s="417" t="n">
        <f aca="false">IF($A$1="BL",0,'Peak Hours'!L145*Peak!R146*'Peak Hours'!$Y145)</f>
        <v>0</v>
      </c>
      <c r="M145" s="417" t="n">
        <f aca="false">IF($A$1="BL",0,'Peak Hours'!M145*Peak!S146*'Peak Hours'!$Y145)</f>
        <v>0</v>
      </c>
      <c r="N145" s="417" t="n">
        <f aca="false">IF($A$1="BL",0,'Peak Hours'!N145*Peak!T146*'Peak Hours'!$Y145)</f>
        <v>0</v>
      </c>
      <c r="O145" s="417" t="n">
        <f aca="false">IF($A$1="BL",0,'Peak Hours'!O145*Peak!U146*'Peak Hours'!$Y145)</f>
        <v>0</v>
      </c>
      <c r="P145" s="417" t="n">
        <f aca="false">IF($A$1="BL",0,'Peak Hours'!P145*Peak!V146*'Peak Hours'!$Y145)</f>
        <v>0</v>
      </c>
      <c r="Q145" s="417" t="n">
        <f aca="false">IF($A$1="BL",0,'Peak Hours'!Q145*Peak!W146*'Peak Hours'!$Y145)</f>
        <v>0</v>
      </c>
      <c r="R145" s="417" t="n">
        <f aca="false">IF($A$1="BL",0,'Peak Hours'!R145*Peak!X146*'Peak Hours'!$Y145)</f>
        <v>0</v>
      </c>
      <c r="S145" s="417" t="n">
        <f aca="false">IF($A$1="BL",0,'Peak Hours'!S145*Peak!Y146*'Peak Hours'!$Y145)</f>
        <v>0</v>
      </c>
      <c r="T145" s="417" t="n">
        <f aca="false">IF($A$1="BL",0,'Peak Hours'!T145*Peak!Z146*'Peak Hours'!$Y145)</f>
        <v>0</v>
      </c>
      <c r="U145" s="417" t="n">
        <f aca="false">IF($A$1="BL",0,'Peak Hours'!U145*Peak!AA146*'Peak Hours'!$Y145)</f>
        <v>0</v>
      </c>
      <c r="V145" s="424"/>
      <c r="W145" s="422" t="n">
        <f aca="false">(IF($A$1="BL",0,Peak!C146*'Peak Hours'!V145*'Peak Hours'!$Y145))*-1</f>
        <v>-4846845.14402356</v>
      </c>
      <c r="X145" s="424"/>
      <c r="Y145" s="422" t="n">
        <f aca="false">(IF($A$1="bl",0,Peak!D146*'Peak Hours'!V145*'Peak Hours'!$Y145))*-1</f>
        <v>-91020.1313931638</v>
      </c>
      <c r="Z145" s="424"/>
      <c r="AA145" s="422" t="n">
        <f aca="false">(Peak!E146*'Peak Hours'!V145*'Peak Hours'!$Y145)*-1</f>
        <v>-0</v>
      </c>
      <c r="AB145" s="425"/>
      <c r="AC145" s="422" t="n">
        <f aca="false">(Peak!F146*'Peak Hours'!V145*'Peak Hours'!$Y145)*-1</f>
        <v>-0</v>
      </c>
      <c r="AD145" s="425"/>
    </row>
    <row r="146" customFormat="false" ht="12.75" hidden="false" customHeight="false" outlineLevel="0" collapsed="false">
      <c r="A146" s="400" t="n">
        <f aca="false">A145+30.417</f>
        <v>40676.712</v>
      </c>
      <c r="B146" s="417" t="n">
        <f aca="false">IF($A$1="BL",0,'Peak Hours'!B146*Peak!H147*'Peak Hours'!$Y146)</f>
        <v>341225.442635779</v>
      </c>
      <c r="C146" s="417" t="n">
        <f aca="false">IF($A$1="BL",0,'Peak Hours'!C146*Peak!I147*'Peak Hours'!$Y146)</f>
        <v>266314.016745517</v>
      </c>
      <c r="D146" s="417" t="n">
        <f aca="false">IF($A$1="BL",0,'Peak Hours'!D146*Peak!J147*'Peak Hours'!$Y146)</f>
        <v>457009.686072303</v>
      </c>
      <c r="E146" s="417" t="n">
        <f aca="false">IF($A$1="BL",0,'Peak Hours'!E146*Peak!K147*'Peak Hours'!$Y146)</f>
        <v>868679.092600314</v>
      </c>
      <c r="F146" s="417" t="n">
        <f aca="false">IF($A$1="BL",0,'Peak Hours'!F146*Peak!L147*'Peak Hours'!$Y146)</f>
        <v>857486.839430804</v>
      </c>
      <c r="G146" s="417" t="n">
        <f aca="false">IF($A$1="BL",0,'Peak Hours'!G146*Peak!M147*'Peak Hours'!$Y146)</f>
        <v>1624323.60478678</v>
      </c>
      <c r="H146" s="417" t="n">
        <f aca="false">IF($A$1="BL",0,'Peak Hours'!H146*Peak!N147*'Peak Hours'!$Y146)</f>
        <v>1556500.14388887</v>
      </c>
      <c r="I146" s="417" t="n">
        <f aca="false">IF($A$1="BL",0,'Peak Hours'!I146*Peak!O147*'Peak Hours'!$Y146)</f>
        <v>1216355.96712488</v>
      </c>
      <c r="J146" s="417" t="n">
        <f aca="false">IF($A$1="BL",0,'Peak Hours'!J146*Peak!P147*'Peak Hours'!$Y146)</f>
        <v>0</v>
      </c>
      <c r="K146" s="417" t="n">
        <f aca="false">IF($A$1="BL",0,'Peak Hours'!K146*Peak!Q147*'Peak Hours'!$Y146)</f>
        <v>0</v>
      </c>
      <c r="L146" s="417" t="n">
        <f aca="false">IF($A$1="BL",0,'Peak Hours'!L146*Peak!R147*'Peak Hours'!$Y146)</f>
        <v>0</v>
      </c>
      <c r="M146" s="417" t="n">
        <f aca="false">IF($A$1="BL",0,'Peak Hours'!M146*Peak!S147*'Peak Hours'!$Y146)</f>
        <v>0</v>
      </c>
      <c r="N146" s="417" t="n">
        <f aca="false">IF($A$1="BL",0,'Peak Hours'!N146*Peak!T147*'Peak Hours'!$Y146)</f>
        <v>0</v>
      </c>
      <c r="O146" s="417" t="n">
        <f aca="false">IF($A$1="BL",0,'Peak Hours'!O146*Peak!U147*'Peak Hours'!$Y146)</f>
        <v>0</v>
      </c>
      <c r="P146" s="417" t="n">
        <f aca="false">IF($A$1="BL",0,'Peak Hours'!P146*Peak!V147*'Peak Hours'!$Y146)</f>
        <v>0</v>
      </c>
      <c r="Q146" s="417" t="n">
        <f aca="false">IF($A$1="BL",0,'Peak Hours'!Q146*Peak!W147*'Peak Hours'!$Y146)</f>
        <v>0</v>
      </c>
      <c r="R146" s="417" t="n">
        <f aca="false">IF($A$1="BL",0,'Peak Hours'!R146*Peak!X147*'Peak Hours'!$Y146)</f>
        <v>0</v>
      </c>
      <c r="S146" s="417" t="n">
        <f aca="false">IF($A$1="BL",0,'Peak Hours'!S146*Peak!Y147*'Peak Hours'!$Y146)</f>
        <v>0</v>
      </c>
      <c r="T146" s="417" t="n">
        <f aca="false">IF($A$1="BL",0,'Peak Hours'!T146*Peak!Z147*'Peak Hours'!$Y146)</f>
        <v>0</v>
      </c>
      <c r="U146" s="417" t="n">
        <f aca="false">IF($A$1="BL",0,'Peak Hours'!U146*Peak!AA147*'Peak Hours'!$Y146)</f>
        <v>0</v>
      </c>
      <c r="V146" s="424"/>
      <c r="W146" s="422" t="n">
        <f aca="false">(IF($A$1="BL",0,Peak!C147*'Peak Hours'!V146*'Peak Hours'!$Y146))*-1</f>
        <v>-5103291.97704068</v>
      </c>
      <c r="X146" s="424"/>
      <c r="Y146" s="422" t="n">
        <f aca="false">(IF($A$1="bl",0,Peak!D147*'Peak Hours'!V146*'Peak Hours'!$Y146))*-1</f>
        <v>-91171.8316121524</v>
      </c>
      <c r="Z146" s="424"/>
      <c r="AA146" s="422" t="n">
        <f aca="false">(Peak!E147*'Peak Hours'!V146*'Peak Hours'!$Y146)*-1</f>
        <v>-0</v>
      </c>
      <c r="AB146" s="425"/>
      <c r="AC146" s="422" t="n">
        <f aca="false">(Peak!F147*'Peak Hours'!V146*'Peak Hours'!$Y146)*-1</f>
        <v>-0</v>
      </c>
      <c r="AD146" s="425"/>
    </row>
    <row r="147" customFormat="false" ht="12.75" hidden="false" customHeight="false" outlineLevel="0" collapsed="false">
      <c r="A147" s="400" t="n">
        <f aca="false">A146+30.417</f>
        <v>40707.129</v>
      </c>
      <c r="B147" s="417" t="n">
        <f aca="false">IF($A$1="BL",0,'Peak Hours'!B147*Peak!H148*'Peak Hours'!$Y147)</f>
        <v>798928.304646282</v>
      </c>
      <c r="C147" s="417" t="n">
        <f aca="false">IF($A$1="BL",0,'Peak Hours'!C147*Peak!I148*'Peak Hours'!$Y147)</f>
        <v>708148.598347439</v>
      </c>
      <c r="D147" s="417" t="n">
        <f aca="false">IF($A$1="BL",0,'Peak Hours'!D147*Peak!J148*'Peak Hours'!$Y147)</f>
        <v>1275156.06173129</v>
      </c>
      <c r="E147" s="417" t="n">
        <f aca="false">IF($A$1="BL",0,'Peak Hours'!E147*Peak!K148*'Peak Hours'!$Y147)</f>
        <v>2228092.64924095</v>
      </c>
      <c r="F147" s="417" t="n">
        <f aca="false">IF($A$1="BL",0,'Peak Hours'!F147*Peak!L148*'Peak Hours'!$Y147)</f>
        <v>1996374.29936059</v>
      </c>
      <c r="G147" s="417" t="n">
        <f aca="false">IF($A$1="BL",0,'Peak Hours'!G147*Peak!M148*'Peak Hours'!$Y147)</f>
        <v>2221224.84477235</v>
      </c>
      <c r="H147" s="417" t="n">
        <f aca="false">IF($A$1="BL",0,'Peak Hours'!H147*Peak!N148*'Peak Hours'!$Y147)</f>
        <v>1435136.9269609</v>
      </c>
      <c r="I147" s="417" t="n">
        <f aca="false">IF($A$1="BL",0,'Peak Hours'!I147*Peak!O148*'Peak Hours'!$Y147)</f>
        <v>1279918.2327303</v>
      </c>
      <c r="J147" s="417" t="n">
        <f aca="false">IF($A$1="BL",0,'Peak Hours'!J147*Peak!P148*'Peak Hours'!$Y147)</f>
        <v>1242036.10227937</v>
      </c>
      <c r="K147" s="417" t="n">
        <f aca="false">IF($A$1="BL",0,'Peak Hours'!K147*Peak!Q148*'Peak Hours'!$Y147)</f>
        <v>0</v>
      </c>
      <c r="L147" s="417" t="n">
        <f aca="false">IF($A$1="BL",0,'Peak Hours'!L147*Peak!R148*'Peak Hours'!$Y147)</f>
        <v>0</v>
      </c>
      <c r="M147" s="417" t="n">
        <f aca="false">IF($A$1="BL",0,'Peak Hours'!M147*Peak!S148*'Peak Hours'!$Y147)</f>
        <v>0</v>
      </c>
      <c r="N147" s="417" t="n">
        <f aca="false">IF($A$1="BL",0,'Peak Hours'!N147*Peak!T148*'Peak Hours'!$Y147)</f>
        <v>0</v>
      </c>
      <c r="O147" s="417" t="n">
        <f aca="false">IF($A$1="BL",0,'Peak Hours'!O147*Peak!U148*'Peak Hours'!$Y147)</f>
        <v>0</v>
      </c>
      <c r="P147" s="417" t="n">
        <f aca="false">IF($A$1="BL",0,'Peak Hours'!P147*Peak!V148*'Peak Hours'!$Y147)</f>
        <v>0</v>
      </c>
      <c r="Q147" s="417" t="n">
        <f aca="false">IF($A$1="BL",0,'Peak Hours'!Q147*Peak!W148*'Peak Hours'!$Y147)</f>
        <v>0</v>
      </c>
      <c r="R147" s="417" t="n">
        <f aca="false">IF($A$1="BL",0,'Peak Hours'!R147*Peak!X148*'Peak Hours'!$Y147)</f>
        <v>0</v>
      </c>
      <c r="S147" s="417" t="n">
        <f aca="false">IF($A$1="BL",0,'Peak Hours'!S147*Peak!Y148*'Peak Hours'!$Y147)</f>
        <v>0</v>
      </c>
      <c r="T147" s="417" t="n">
        <f aca="false">IF($A$1="BL",0,'Peak Hours'!T147*Peak!Z148*'Peak Hours'!$Y147)</f>
        <v>0</v>
      </c>
      <c r="U147" s="417" t="n">
        <f aca="false">IF($A$1="BL",0,'Peak Hours'!U147*Peak!AA148*'Peak Hours'!$Y147)</f>
        <v>0</v>
      </c>
      <c r="V147" s="424"/>
      <c r="W147" s="422" t="n">
        <f aca="false">(IF($A$1="BL",0,Peak!C148*'Peak Hours'!V147*'Peak Hours'!$Y147))*-1</f>
        <v>-6043575.15556138</v>
      </c>
      <c r="X147" s="424"/>
      <c r="Y147" s="422" t="n">
        <f aca="false">(IF($A$1="bl",0,Peak!D148*'Peak Hours'!V147*'Peak Hours'!$Y147))*-1</f>
        <v>-113512.0992444</v>
      </c>
      <c r="Z147" s="424"/>
      <c r="AA147" s="422" t="n">
        <f aca="false">(Peak!E148*'Peak Hours'!V147*'Peak Hours'!$Y147)*-1</f>
        <v>-0</v>
      </c>
      <c r="AB147" s="425"/>
      <c r="AC147" s="422" t="n">
        <f aca="false">(Peak!F148*'Peak Hours'!V147*'Peak Hours'!$Y147)*-1</f>
        <v>-0</v>
      </c>
      <c r="AD147" s="425"/>
    </row>
    <row r="148" customFormat="false" ht="12.75" hidden="false" customHeight="false" outlineLevel="0" collapsed="false">
      <c r="A148" s="400" t="n">
        <f aca="false">A147+30.417</f>
        <v>40737.546</v>
      </c>
      <c r="B148" s="417" t="n">
        <f aca="false">IF($A$1="BL",0,'Peak Hours'!B148*Peak!H149*'Peak Hours'!$Y148)</f>
        <v>784224.816301593</v>
      </c>
      <c r="C148" s="417" t="n">
        <f aca="false">IF($A$1="BL",0,'Peak Hours'!C148*Peak!I149*'Peak Hours'!$Y148)</f>
        <v>678816.906249455</v>
      </c>
      <c r="D148" s="417" t="n">
        <f aca="false">IF($A$1="BL",0,'Peak Hours'!D148*Peak!J149*'Peak Hours'!$Y148)</f>
        <v>1213257.54168739</v>
      </c>
      <c r="E148" s="417" t="n">
        <f aca="false">IF($A$1="BL",0,'Peak Hours'!E148*Peak!K149*'Peak Hours'!$Y148)</f>
        <v>2132769.3272566</v>
      </c>
      <c r="F148" s="417" t="n">
        <f aca="false">IF($A$1="BL",0,'Peak Hours'!F148*Peak!L149*'Peak Hours'!$Y148)</f>
        <v>1792133.03564747</v>
      </c>
      <c r="G148" s="417" t="n">
        <f aca="false">IF($A$1="BL",0,'Peak Hours'!G148*Peak!M149*'Peak Hours'!$Y148)</f>
        <v>2759612.08723763</v>
      </c>
      <c r="H148" s="417" t="n">
        <f aca="false">IF($A$1="BL",0,'Peak Hours'!H148*Peak!N149*'Peak Hours'!$Y148)</f>
        <v>2585060.23514843</v>
      </c>
      <c r="I148" s="417" t="n">
        <f aca="false">IF($A$1="BL",0,'Peak Hours'!I148*Peak!O149*'Peak Hours'!$Y148)</f>
        <v>2067850.22325033</v>
      </c>
      <c r="J148" s="417" t="n">
        <f aca="false">IF($A$1="BL",0,'Peak Hours'!J148*Peak!P149*'Peak Hours'!$Y148)</f>
        <v>1583558.54580512</v>
      </c>
      <c r="K148" s="417" t="n">
        <f aca="false">IF($A$1="BL",0,'Peak Hours'!K148*Peak!Q149*'Peak Hours'!$Y148)</f>
        <v>1413124.08751308</v>
      </c>
      <c r="L148" s="417" t="n">
        <f aca="false">IF($A$1="BL",0,'Peak Hours'!L148*Peak!R149*'Peak Hours'!$Y148)</f>
        <v>1237450.44419602</v>
      </c>
      <c r="M148" s="417" t="n">
        <f aca="false">IF($A$1="BL",0,'Peak Hours'!M148*Peak!S149*'Peak Hours'!$Y148)</f>
        <v>1232649.98251202</v>
      </c>
      <c r="N148" s="417" t="n">
        <f aca="false">IF($A$1="BL",0,'Peak Hours'!N148*Peak!T149*'Peak Hours'!$Y148)</f>
        <v>1232644.35174522</v>
      </c>
      <c r="O148" s="417" t="n">
        <f aca="false">IF($A$1="BL",0,'Peak Hours'!O148*Peak!U149*'Peak Hours'!$Y148)</f>
        <v>1213070.0908778</v>
      </c>
      <c r="P148" s="417" t="n">
        <f aca="false">IF($A$1="BL",0,'Peak Hours'!P148*Peak!V149*'Peak Hours'!$Y148)</f>
        <v>0</v>
      </c>
      <c r="Q148" s="417" t="n">
        <f aca="false">IF($A$1="BL",0,'Peak Hours'!Q148*Peak!W149*'Peak Hours'!$Y148)</f>
        <v>0</v>
      </c>
      <c r="R148" s="417" t="n">
        <f aca="false">IF($A$1="BL",0,'Peak Hours'!R148*Peak!X149*'Peak Hours'!$Y148)</f>
        <v>0</v>
      </c>
      <c r="S148" s="417" t="n">
        <f aca="false">IF($A$1="BL",0,'Peak Hours'!S148*Peak!Y149*'Peak Hours'!$Y148)</f>
        <v>0</v>
      </c>
      <c r="T148" s="417" t="n">
        <f aca="false">IF($A$1="BL",0,'Peak Hours'!T148*Peak!Z149*'Peak Hours'!$Y148)</f>
        <v>0</v>
      </c>
      <c r="U148" s="417" t="n">
        <f aca="false">IF($A$1="BL",0,'Peak Hours'!U148*Peak!AA149*'Peak Hours'!$Y148)</f>
        <v>0</v>
      </c>
      <c r="V148" s="424"/>
      <c r="W148" s="422" t="n">
        <f aca="false">(IF($A$1="BL",0,Peak!C149*'Peak Hours'!V148*'Peak Hours'!$Y148))*-1</f>
        <v>-11501222.5702067</v>
      </c>
      <c r="X148" s="424"/>
      <c r="Y148" s="422" t="n">
        <f aca="false">(IF($A$1="bl",0,Peak!D149*'Peak Hours'!V148*'Peak Hours'!$Y148))*-1</f>
        <v>-217066.091600541</v>
      </c>
      <c r="Z148" s="424"/>
      <c r="AA148" s="422" t="n">
        <f aca="false">(Peak!E149*'Peak Hours'!V148*'Peak Hours'!$Y148)*-1</f>
        <v>-0</v>
      </c>
      <c r="AB148" s="425"/>
      <c r="AC148" s="422" t="n">
        <f aca="false">(Peak!F149*'Peak Hours'!V148*'Peak Hours'!$Y148)*-1</f>
        <v>-0</v>
      </c>
      <c r="AD148" s="425"/>
    </row>
    <row r="149" customFormat="false" ht="12.75" hidden="false" customHeight="false" outlineLevel="0" collapsed="false">
      <c r="A149" s="400" t="n">
        <f aca="false">A148+30.417</f>
        <v>40767.963</v>
      </c>
      <c r="B149" s="417" t="n">
        <f aca="false">IF($A$1="BL",0,'Peak Hours'!B149*Peak!H150*'Peak Hours'!$Y149)</f>
        <v>778307.645408462</v>
      </c>
      <c r="C149" s="417" t="n">
        <f aca="false">IF($A$1="BL",0,'Peak Hours'!C149*Peak!I150*'Peak Hours'!$Y149)</f>
        <v>667719.688450842</v>
      </c>
      <c r="D149" s="417" t="n">
        <f aca="false">IF($A$1="BL",0,'Peak Hours'!D149*Peak!J150*'Peak Hours'!$Y149)</f>
        <v>1203614.63560317</v>
      </c>
      <c r="E149" s="417" t="n">
        <f aca="false">IF($A$1="BL",0,'Peak Hours'!E149*Peak!K150*'Peak Hours'!$Y149)</f>
        <v>2132317.77880256</v>
      </c>
      <c r="F149" s="417" t="n">
        <f aca="false">IF($A$1="BL",0,'Peak Hours'!F149*Peak!L150*'Peak Hours'!$Y149)</f>
        <v>1955633.22695286</v>
      </c>
      <c r="G149" s="417" t="n">
        <f aca="false">IF($A$1="BL",0,'Peak Hours'!G149*Peak!M150*'Peak Hours'!$Y149)</f>
        <v>3488809.37650806</v>
      </c>
      <c r="H149" s="417" t="n">
        <f aca="false">IF($A$1="BL",0,'Peak Hours'!H149*Peak!N150*'Peak Hours'!$Y149)</f>
        <v>2220490.1303258</v>
      </c>
      <c r="I149" s="417" t="n">
        <f aca="false">IF($A$1="BL",0,'Peak Hours'!I149*Peak!O150*'Peak Hours'!$Y149)</f>
        <v>1819007.40082422</v>
      </c>
      <c r="J149" s="417" t="n">
        <f aca="false">IF($A$1="BL",0,'Peak Hours'!J149*Peak!P150*'Peak Hours'!$Y149)</f>
        <v>1712675.05145221</v>
      </c>
      <c r="K149" s="417" t="n">
        <f aca="false">IF($A$1="BL",0,'Peak Hours'!K149*Peak!Q150*'Peak Hours'!$Y149)</f>
        <v>1676485.88841586</v>
      </c>
      <c r="L149" s="417" t="n">
        <f aca="false">IF($A$1="BL",0,'Peak Hours'!L149*Peak!R150*'Peak Hours'!$Y149)</f>
        <v>1667943.07507725</v>
      </c>
      <c r="M149" s="417" t="n">
        <f aca="false">IF($A$1="BL",0,'Peak Hours'!M149*Peak!S150*'Peak Hours'!$Y149)</f>
        <v>1616207.09673251</v>
      </c>
      <c r="N149" s="417" t="n">
        <f aca="false">IF($A$1="BL",0,'Peak Hours'!N149*Peak!T150*'Peak Hours'!$Y149)</f>
        <v>1273721.54628127</v>
      </c>
      <c r="O149" s="417" t="n">
        <f aca="false">IF($A$1="BL",0,'Peak Hours'!O149*Peak!U150*'Peak Hours'!$Y149)</f>
        <v>1179516.12750662</v>
      </c>
      <c r="P149" s="417" t="n">
        <f aca="false">IF($A$1="BL",0,'Peak Hours'!P149*Peak!V150*'Peak Hours'!$Y149)</f>
        <v>1130834.74720883</v>
      </c>
      <c r="Q149" s="417" t="n">
        <f aca="false">IF($A$1="BL",0,'Peak Hours'!Q149*Peak!W150*'Peak Hours'!$Y149)</f>
        <v>1086090.26765242</v>
      </c>
      <c r="R149" s="417" t="n">
        <f aca="false">IF($A$1="BL",0,'Peak Hours'!R149*Peak!X150*'Peak Hours'!$Y149)</f>
        <v>1063313.89198094</v>
      </c>
      <c r="S149" s="417" t="n">
        <f aca="false">IF($A$1="BL",0,'Peak Hours'!S149*Peak!Y150*'Peak Hours'!$Y149)</f>
        <v>0</v>
      </c>
      <c r="T149" s="417" t="n">
        <f aca="false">IF($A$1="BL",0,'Peak Hours'!T149*Peak!Z150*'Peak Hours'!$Y149)</f>
        <v>0</v>
      </c>
      <c r="U149" s="417" t="n">
        <f aca="false">IF($A$1="BL",0,'Peak Hours'!U149*Peak!AA150*'Peak Hours'!$Y149)</f>
        <v>0</v>
      </c>
      <c r="V149" s="424"/>
      <c r="W149" s="422" t="n">
        <f aca="false">(IF($A$1="BL",0,Peak!C150*'Peak Hours'!V149*'Peak Hours'!$Y149))*-1</f>
        <v>-14020537.9903472</v>
      </c>
      <c r="X149" s="424"/>
      <c r="Y149" s="422" t="n">
        <f aca="false">(IF($A$1="bl",0,Peak!D150*'Peak Hours'!V149*'Peak Hours'!$Y149))*-1</f>
        <v>-279550.11653984</v>
      </c>
      <c r="Z149" s="424"/>
      <c r="AA149" s="422" t="n">
        <f aca="false">(Peak!E150*'Peak Hours'!V149*'Peak Hours'!$Y149)*-1</f>
        <v>-0</v>
      </c>
      <c r="AB149" s="425"/>
      <c r="AC149" s="422" t="n">
        <f aca="false">(Peak!F150*'Peak Hours'!V149*'Peak Hours'!$Y149)*-1</f>
        <v>-0</v>
      </c>
      <c r="AD149" s="425"/>
    </row>
    <row r="150" customFormat="false" ht="12.75" hidden="false" customHeight="false" outlineLevel="0" collapsed="false">
      <c r="A150" s="400" t="n">
        <f aca="false">A149+30.417</f>
        <v>40798.38</v>
      </c>
      <c r="B150" s="417" t="n">
        <f aca="false">IF($A$1="BL",0,'Peak Hours'!B150*Peak!H151*'Peak Hours'!$Y150)</f>
        <v>513708.701058123</v>
      </c>
      <c r="C150" s="417" t="n">
        <f aca="false">IF($A$1="BL",0,'Peak Hours'!C150*Peak!I151*'Peak Hours'!$Y150)</f>
        <v>346716.920376844</v>
      </c>
      <c r="D150" s="417" t="n">
        <f aca="false">IF($A$1="BL",0,'Peak Hours'!D150*Peak!J151*'Peak Hours'!$Y150)</f>
        <v>541215.836653547</v>
      </c>
      <c r="E150" s="417" t="n">
        <f aca="false">IF($A$1="BL",0,'Peak Hours'!E150*Peak!K151*'Peak Hours'!$Y150)</f>
        <v>990374.050220859</v>
      </c>
      <c r="F150" s="417" t="n">
        <f aca="false">IF($A$1="BL",0,'Peak Hours'!F150*Peak!L151*'Peak Hours'!$Y150)</f>
        <v>918670.785829164</v>
      </c>
      <c r="G150" s="417" t="n">
        <f aca="false">IF($A$1="BL",0,'Peak Hours'!G150*Peak!M151*'Peak Hours'!$Y150)</f>
        <v>1796168.8437521</v>
      </c>
      <c r="H150" s="417" t="n">
        <f aca="false">IF($A$1="BL",0,'Peak Hours'!H150*Peak!N151*'Peak Hours'!$Y150)</f>
        <v>1469280.81084647</v>
      </c>
      <c r="I150" s="417" t="n">
        <f aca="false">IF($A$1="BL",0,'Peak Hours'!I150*Peak!O151*'Peak Hours'!$Y150)</f>
        <v>1274703.08567656</v>
      </c>
      <c r="J150" s="417" t="n">
        <f aca="false">IF($A$1="BL",0,'Peak Hours'!J150*Peak!P151*'Peak Hours'!$Y150)</f>
        <v>1202560.24758585</v>
      </c>
      <c r="K150" s="417" t="n">
        <f aca="false">IF($A$1="BL",0,'Peak Hours'!K150*Peak!Q151*'Peak Hours'!$Y150)</f>
        <v>1133641.75683982</v>
      </c>
      <c r="L150" s="417" t="n">
        <f aca="false">IF($A$1="BL",0,'Peak Hours'!L150*Peak!R151*'Peak Hours'!$Y150)</f>
        <v>1088069.43237357</v>
      </c>
      <c r="M150" s="417" t="n">
        <f aca="false">IF($A$1="BL",0,'Peak Hours'!M150*Peak!S151*'Peak Hours'!$Y150)</f>
        <v>1048579.82934157</v>
      </c>
      <c r="N150" s="417" t="n">
        <f aca="false">IF($A$1="BL",0,'Peak Hours'!N150*Peak!T151*'Peak Hours'!$Y150)</f>
        <v>0</v>
      </c>
      <c r="O150" s="417" t="n">
        <f aca="false">IF($A$1="BL",0,'Peak Hours'!O150*Peak!U151*'Peak Hours'!$Y150)</f>
        <v>0</v>
      </c>
      <c r="P150" s="417" t="n">
        <f aca="false">IF($A$1="BL",0,'Peak Hours'!P150*Peak!V151*'Peak Hours'!$Y150)</f>
        <v>0</v>
      </c>
      <c r="Q150" s="417" t="n">
        <f aca="false">IF($A$1="BL",0,'Peak Hours'!Q150*Peak!W151*'Peak Hours'!$Y150)</f>
        <v>0</v>
      </c>
      <c r="R150" s="417" t="n">
        <f aca="false">IF($A$1="BL",0,'Peak Hours'!R150*Peak!X151*'Peak Hours'!$Y150)</f>
        <v>0</v>
      </c>
      <c r="S150" s="417" t="n">
        <f aca="false">IF($A$1="BL",0,'Peak Hours'!S150*Peak!Y151*'Peak Hours'!$Y150)</f>
        <v>0</v>
      </c>
      <c r="T150" s="417" t="n">
        <f aca="false">IF($A$1="BL",0,'Peak Hours'!T150*Peak!Z151*'Peak Hours'!$Y150)</f>
        <v>0</v>
      </c>
      <c r="U150" s="417" t="n">
        <f aca="false">IF($A$1="BL",0,'Peak Hours'!U150*Peak!AA151*'Peak Hours'!$Y150)</f>
        <v>0</v>
      </c>
      <c r="V150" s="424"/>
      <c r="W150" s="422" t="n">
        <f aca="false">(IF($A$1="BL",0,Peak!C151*'Peak Hours'!V150*'Peak Hours'!$Y150))*-1</f>
        <v>-8651376.38229531</v>
      </c>
      <c r="X150" s="424"/>
      <c r="Y150" s="422" t="n">
        <f aca="false">(IF($A$1="bl",0,Peak!D151*'Peak Hours'!V150*'Peak Hours'!$Y150))*-1</f>
        <v>-173364.422858051</v>
      </c>
      <c r="Z150" s="424"/>
      <c r="AA150" s="422" t="n">
        <f aca="false">(Peak!E151*'Peak Hours'!V150*'Peak Hours'!$Y150)*-1</f>
        <v>-0</v>
      </c>
      <c r="AB150" s="425"/>
      <c r="AC150" s="422" t="n">
        <f aca="false">(Peak!F151*'Peak Hours'!V150*'Peak Hours'!$Y150)*-1</f>
        <v>-0</v>
      </c>
      <c r="AD150" s="425"/>
    </row>
    <row r="151" customFormat="false" ht="12.75" hidden="false" customHeight="false" outlineLevel="0" collapsed="false">
      <c r="A151" s="400" t="n">
        <f aca="false">A150+30.417</f>
        <v>40828.797</v>
      </c>
      <c r="B151" s="417" t="n">
        <f aca="false">IF($A$1="BL",0,'Peak Hours'!B151*Peak!H152*'Peak Hours'!$Y151)</f>
        <v>271212.955418565</v>
      </c>
      <c r="C151" s="417" t="n">
        <f aca="false">IF($A$1="BL",0,'Peak Hours'!C151*Peak!I152*'Peak Hours'!$Y151)</f>
        <v>266185.931798958</v>
      </c>
      <c r="D151" s="417" t="n">
        <f aca="false">IF($A$1="BL",0,'Peak Hours'!D151*Peak!J152*'Peak Hours'!$Y151)</f>
        <v>519540.189542095</v>
      </c>
      <c r="E151" s="417" t="n">
        <f aca="false">IF($A$1="BL",0,'Peak Hours'!E151*Peak!K152*'Peak Hours'!$Y151)</f>
        <v>976834.286995975</v>
      </c>
      <c r="F151" s="417" t="n">
        <f aca="false">IF($A$1="BL",0,'Peak Hours'!F151*Peak!L152*'Peak Hours'!$Y151)</f>
        <v>943669.500372227</v>
      </c>
      <c r="G151" s="417" t="n">
        <f aca="false">IF($A$1="BL",0,'Peak Hours'!G151*Peak!M152*'Peak Hours'!$Y151)</f>
        <v>1862407.87737423</v>
      </c>
      <c r="H151" s="417" t="n">
        <f aca="false">IF($A$1="BL",0,'Peak Hours'!H151*Peak!N152*'Peak Hours'!$Y151)</f>
        <v>1407854.79166648</v>
      </c>
      <c r="I151" s="417" t="n">
        <f aca="false">IF($A$1="BL",0,'Peak Hours'!I151*Peak!O152*'Peak Hours'!$Y151)</f>
        <v>1317848.85151344</v>
      </c>
      <c r="J151" s="417" t="n">
        <f aca="false">IF($A$1="BL",0,'Peak Hours'!J151*Peak!P152*'Peak Hours'!$Y151)</f>
        <v>1194935.19171432</v>
      </c>
      <c r="K151" s="417" t="n">
        <f aca="false">IF($A$1="BL",0,'Peak Hours'!K151*Peak!Q152*'Peak Hours'!$Y151)</f>
        <v>0</v>
      </c>
      <c r="L151" s="417" t="n">
        <f aca="false">IF($A$1="BL",0,'Peak Hours'!L151*Peak!R152*'Peak Hours'!$Y151)</f>
        <v>0</v>
      </c>
      <c r="M151" s="417" t="n">
        <f aca="false">IF($A$1="BL",0,'Peak Hours'!M151*Peak!S152*'Peak Hours'!$Y151)</f>
        <v>0</v>
      </c>
      <c r="N151" s="417" t="n">
        <f aca="false">IF($A$1="BL",0,'Peak Hours'!N151*Peak!T152*'Peak Hours'!$Y151)</f>
        <v>0</v>
      </c>
      <c r="O151" s="417" t="n">
        <f aca="false">IF($A$1="BL",0,'Peak Hours'!O151*Peak!U152*'Peak Hours'!$Y151)</f>
        <v>0</v>
      </c>
      <c r="P151" s="417" t="n">
        <f aca="false">IF($A$1="BL",0,'Peak Hours'!P151*Peak!V152*'Peak Hours'!$Y151)</f>
        <v>0</v>
      </c>
      <c r="Q151" s="417" t="n">
        <f aca="false">IF($A$1="BL",0,'Peak Hours'!Q151*Peak!W152*'Peak Hours'!$Y151)</f>
        <v>0</v>
      </c>
      <c r="R151" s="417" t="n">
        <f aca="false">IF($A$1="BL",0,'Peak Hours'!R151*Peak!X152*'Peak Hours'!$Y151)</f>
        <v>0</v>
      </c>
      <c r="S151" s="417" t="n">
        <f aca="false">IF($A$1="BL",0,'Peak Hours'!S151*Peak!Y152*'Peak Hours'!$Y151)</f>
        <v>0</v>
      </c>
      <c r="T151" s="417" t="n">
        <f aca="false">IF($A$1="BL",0,'Peak Hours'!T151*Peak!Z152*'Peak Hours'!$Y151)</f>
        <v>0</v>
      </c>
      <c r="U151" s="417" t="n">
        <f aca="false">IF($A$1="BL",0,'Peak Hours'!U151*Peak!AA152*'Peak Hours'!$Y151)</f>
        <v>0</v>
      </c>
      <c r="V151" s="424"/>
      <c r="W151" s="422" t="n">
        <f aca="false">(IF($A$1="BL",0,Peak!C152*'Peak Hours'!V151*'Peak Hours'!$Y151))*-1</f>
        <v>-6199744.65865165</v>
      </c>
      <c r="X151" s="424"/>
      <c r="Y151" s="422" t="n">
        <f aca="false">(IF($A$1="bl",0,Peak!D152*'Peak Hours'!V151*'Peak Hours'!$Y151))*-1</f>
        <v>-112363.94112888</v>
      </c>
      <c r="Z151" s="424"/>
      <c r="AA151" s="422" t="n">
        <f aca="false">(Peak!E152*'Peak Hours'!V151*'Peak Hours'!$Y151)*-1</f>
        <v>-0</v>
      </c>
      <c r="AB151" s="425"/>
      <c r="AC151" s="422" t="n">
        <f aca="false">(Peak!F152*'Peak Hours'!V151*'Peak Hours'!$Y151)*-1</f>
        <v>-0</v>
      </c>
      <c r="AD151" s="425"/>
    </row>
    <row r="152" customFormat="false" ht="12.75" hidden="false" customHeight="false" outlineLevel="0" collapsed="false">
      <c r="A152" s="400" t="n">
        <f aca="false">A151+30.417</f>
        <v>40859.214</v>
      </c>
      <c r="B152" s="417" t="n">
        <f aca="false">IF($A$1="BL",0,'Peak Hours'!B152*Peak!H153*'Peak Hours'!$Y152)</f>
        <v>515729.863998522</v>
      </c>
      <c r="C152" s="417" t="n">
        <f aca="false">IF($A$1="BL",0,'Peak Hours'!C152*Peak!I153*'Peak Hours'!$Y152)</f>
        <v>499340.330518027</v>
      </c>
      <c r="D152" s="417" t="n">
        <f aca="false">IF($A$1="BL",0,'Peak Hours'!D152*Peak!J153*'Peak Hours'!$Y152)</f>
        <v>633343.942906517</v>
      </c>
      <c r="E152" s="417" t="n">
        <f aca="false">IF($A$1="BL",0,'Peak Hours'!E152*Peak!K153*'Peak Hours'!$Y152)</f>
        <v>1085615.88884408</v>
      </c>
      <c r="F152" s="417" t="n">
        <f aca="false">IF($A$1="BL",0,'Peak Hours'!F152*Peak!L153*'Peak Hours'!$Y152)</f>
        <v>920253.096022921</v>
      </c>
      <c r="G152" s="417" t="n">
        <f aca="false">IF($A$1="BL",0,'Peak Hours'!G152*Peak!M153*'Peak Hours'!$Y152)</f>
        <v>1739809.31355743</v>
      </c>
      <c r="H152" s="417" t="n">
        <f aca="false">IF($A$1="BL",0,'Peak Hours'!H152*Peak!N153*'Peak Hours'!$Y152)</f>
        <v>1624787.32233013</v>
      </c>
      <c r="I152" s="417" t="n">
        <f aca="false">IF($A$1="BL",0,'Peak Hours'!I152*Peak!O153*'Peak Hours'!$Y152)</f>
        <v>1582319.5862119</v>
      </c>
      <c r="J152" s="417" t="n">
        <f aca="false">IF($A$1="BL",0,'Peak Hours'!J152*Peak!P153*'Peak Hours'!$Y152)</f>
        <v>1547799.16506822</v>
      </c>
      <c r="K152" s="417" t="n">
        <f aca="false">IF($A$1="BL",0,'Peak Hours'!K152*Peak!Q153*'Peak Hours'!$Y152)</f>
        <v>1270195.95021096</v>
      </c>
      <c r="L152" s="417" t="n">
        <f aca="false">IF($A$1="BL",0,'Peak Hours'!L152*Peak!R153*'Peak Hours'!$Y152)</f>
        <v>0</v>
      </c>
      <c r="M152" s="417" t="n">
        <f aca="false">IF($A$1="BL",0,'Peak Hours'!M152*Peak!S153*'Peak Hours'!$Y152)</f>
        <v>0</v>
      </c>
      <c r="N152" s="417" t="n">
        <f aca="false">IF($A$1="BL",0,'Peak Hours'!N152*Peak!T153*'Peak Hours'!$Y152)</f>
        <v>0</v>
      </c>
      <c r="O152" s="417" t="n">
        <f aca="false">IF($A$1="BL",0,'Peak Hours'!O152*Peak!U153*'Peak Hours'!$Y152)</f>
        <v>0</v>
      </c>
      <c r="P152" s="417" t="n">
        <f aca="false">IF($A$1="BL",0,'Peak Hours'!P152*Peak!V153*'Peak Hours'!$Y152)</f>
        <v>0</v>
      </c>
      <c r="Q152" s="417" t="n">
        <f aca="false">IF($A$1="BL",0,'Peak Hours'!Q152*Peak!W153*'Peak Hours'!$Y152)</f>
        <v>0</v>
      </c>
      <c r="R152" s="417" t="n">
        <f aca="false">IF($A$1="BL",0,'Peak Hours'!R152*Peak!X153*'Peak Hours'!$Y152)</f>
        <v>0</v>
      </c>
      <c r="S152" s="417" t="n">
        <f aca="false">IF($A$1="BL",0,'Peak Hours'!S152*Peak!Y153*'Peak Hours'!$Y152)</f>
        <v>0</v>
      </c>
      <c r="T152" s="417" t="n">
        <f aca="false">IF($A$1="BL",0,'Peak Hours'!T152*Peak!Z153*'Peak Hours'!$Y152)</f>
        <v>0</v>
      </c>
      <c r="U152" s="417" t="n">
        <f aca="false">IF($A$1="BL",0,'Peak Hours'!U152*Peak!AA153*'Peak Hours'!$Y152)</f>
        <v>0</v>
      </c>
      <c r="V152" s="424"/>
      <c r="W152" s="422" t="n">
        <f aca="false">(IF($A$1="BL",0,Peak!C153*'Peak Hours'!V152*'Peak Hours'!$Y152))*-1</f>
        <v>-8023366.58232894</v>
      </c>
      <c r="X152" s="424"/>
      <c r="Y152" s="422" t="n">
        <f aca="false">(IF($A$1="bl",0,Peak!D153*'Peak Hours'!V152*'Peak Hours'!$Y152))*-1</f>
        <v>-133015.071521203</v>
      </c>
      <c r="Z152" s="424"/>
      <c r="AA152" s="422" t="n">
        <f aca="false">(Peak!E153*'Peak Hours'!V152*'Peak Hours'!$Y152)*-1</f>
        <v>-0</v>
      </c>
      <c r="AB152" s="425"/>
      <c r="AC152" s="422" t="n">
        <f aca="false">(Peak!F153*'Peak Hours'!V152*'Peak Hours'!$Y152)*-1</f>
        <v>-0</v>
      </c>
      <c r="AD152" s="425"/>
    </row>
    <row r="153" customFormat="false" ht="12.75" hidden="false" customHeight="false" outlineLevel="0" collapsed="false">
      <c r="A153" s="400" t="n">
        <f aca="false">A152+30.417</f>
        <v>40889.631</v>
      </c>
      <c r="B153" s="417" t="n">
        <f aca="false">IF($A$1="BL",0,'Peak Hours'!B153*Peak!H154*'Peak Hours'!$Y153)</f>
        <v>328068.395216159</v>
      </c>
      <c r="C153" s="417" t="n">
        <f aca="false">IF($A$1="BL",0,'Peak Hours'!C153*Peak!I154*'Peak Hours'!$Y153)</f>
        <v>310852.513458884</v>
      </c>
      <c r="D153" s="417" t="n">
        <f aca="false">IF($A$1="BL",0,'Peak Hours'!D153*Peak!J154*'Peak Hours'!$Y153)</f>
        <v>601215.347527968</v>
      </c>
      <c r="E153" s="417" t="n">
        <f aca="false">IF($A$1="BL",0,'Peak Hours'!E153*Peak!K154*'Peak Hours'!$Y153)</f>
        <v>1123012.19749115</v>
      </c>
      <c r="F153" s="417" t="n">
        <f aca="false">IF($A$1="BL",0,'Peak Hours'!F153*Peak!L154*'Peak Hours'!$Y153)</f>
        <v>1102807.83389851</v>
      </c>
      <c r="G153" s="417" t="n">
        <f aca="false">IF($A$1="BL",0,'Peak Hours'!G153*Peak!M154*'Peak Hours'!$Y153)</f>
        <v>2167065.63142261</v>
      </c>
      <c r="H153" s="417" t="n">
        <f aca="false">IF($A$1="BL",0,'Peak Hours'!H153*Peak!N154*'Peak Hours'!$Y153)</f>
        <v>1753697.62491667</v>
      </c>
      <c r="I153" s="417" t="n">
        <f aca="false">IF($A$1="BL",0,'Peak Hours'!I153*Peak!O154*'Peak Hours'!$Y153)</f>
        <v>1495782.47353407</v>
      </c>
      <c r="J153" s="417" t="n">
        <f aca="false">IF($A$1="BL",0,'Peak Hours'!J153*Peak!P154*'Peak Hours'!$Y153)</f>
        <v>0</v>
      </c>
      <c r="K153" s="417" t="n">
        <f aca="false">IF($A$1="BL",0,'Peak Hours'!K153*Peak!Q154*'Peak Hours'!$Y153)</f>
        <v>0</v>
      </c>
      <c r="L153" s="417" t="n">
        <f aca="false">IF($A$1="BL",0,'Peak Hours'!L153*Peak!R154*'Peak Hours'!$Y153)</f>
        <v>0</v>
      </c>
      <c r="M153" s="417" t="n">
        <f aca="false">IF($A$1="BL",0,'Peak Hours'!M153*Peak!S154*'Peak Hours'!$Y153)</f>
        <v>0</v>
      </c>
      <c r="N153" s="417" t="n">
        <f aca="false">IF($A$1="BL",0,'Peak Hours'!N153*Peak!T154*'Peak Hours'!$Y153)</f>
        <v>0</v>
      </c>
      <c r="O153" s="417" t="n">
        <f aca="false">IF($A$1="BL",0,'Peak Hours'!O153*Peak!U154*'Peak Hours'!$Y153)</f>
        <v>0</v>
      </c>
      <c r="P153" s="417" t="n">
        <f aca="false">IF($A$1="BL",0,'Peak Hours'!P153*Peak!V154*'Peak Hours'!$Y153)</f>
        <v>0</v>
      </c>
      <c r="Q153" s="417" t="n">
        <f aca="false">IF($A$1="BL",0,'Peak Hours'!Q153*Peak!W154*'Peak Hours'!$Y153)</f>
        <v>0</v>
      </c>
      <c r="R153" s="417" t="n">
        <f aca="false">IF($A$1="BL",0,'Peak Hours'!R153*Peak!X154*'Peak Hours'!$Y153)</f>
        <v>0</v>
      </c>
      <c r="S153" s="417" t="n">
        <f aca="false">IF($A$1="BL",0,'Peak Hours'!S153*Peak!Y154*'Peak Hours'!$Y153)</f>
        <v>0</v>
      </c>
      <c r="T153" s="417" t="n">
        <f aca="false">IF($A$1="BL",0,'Peak Hours'!T153*Peak!Z154*'Peak Hours'!$Y153)</f>
        <v>0</v>
      </c>
      <c r="U153" s="417" t="n">
        <f aca="false">IF($A$1="BL",0,'Peak Hours'!U153*Peak!AA154*'Peak Hours'!$Y153)</f>
        <v>0</v>
      </c>
      <c r="V153" s="426" t="n">
        <f aca="false">SUM(B142:U153)</f>
        <v>157796271.57159</v>
      </c>
      <c r="W153" s="422" t="n">
        <f aca="false">(IF($A$1="BL",0,Peak!C154*'Peak Hours'!V153*'Peak Hours'!$Y153))*-1</f>
        <v>-5848349.37547832</v>
      </c>
      <c r="X153" s="426" t="n">
        <f aca="false">SUM(W142:W153)</f>
        <v>-96395067.7244668</v>
      </c>
      <c r="Y153" s="422" t="n">
        <f aca="false">(IF($A$1="bl",0,Peak!D154*'Peak Hours'!V153*'Peak Hours'!$Y153))*-1</f>
        <v>-89743.2085657651</v>
      </c>
      <c r="Z153" s="426" t="n">
        <f aca="false">SUM(Y142:Y153)</f>
        <v>-1746246.28780384</v>
      </c>
      <c r="AA153" s="422" t="n">
        <f aca="false">(Peak!E154*'Peak Hours'!V153*'Peak Hours'!$Y153)*-1</f>
        <v>-0</v>
      </c>
      <c r="AB153" s="427" t="n">
        <f aca="false">SUM(AA142:AA153)</f>
        <v>0</v>
      </c>
      <c r="AC153" s="422" t="n">
        <f aca="false">(Peak!F154*'Peak Hours'!V153*'Peak Hours'!$Y153)*-1</f>
        <v>-0</v>
      </c>
      <c r="AD153" s="427" t="n">
        <f aca="false">SUM(AC142:AC153)</f>
        <v>0</v>
      </c>
    </row>
    <row r="154" customFormat="false" ht="12.75" hidden="false" customHeight="false" outlineLevel="0" collapsed="false">
      <c r="A154" s="400" t="n">
        <f aca="false">A153+30.417</f>
        <v>40920.048</v>
      </c>
      <c r="B154" s="417" t="n">
        <f aca="false">IF($A$1="BL",0,'Peak Hours'!B154*Peak!H155*'Peak Hours'!$Y154)</f>
        <v>331676.570780574</v>
      </c>
      <c r="C154" s="417" t="n">
        <f aca="false">IF($A$1="BL",0,'Peak Hours'!C154*Peak!I155*'Peak Hours'!$Y154)</f>
        <v>322199.965637514</v>
      </c>
      <c r="D154" s="417" t="n">
        <f aca="false">IF($A$1="BL",0,'Peak Hours'!D154*Peak!J155*'Peak Hours'!$Y154)</f>
        <v>644311.984166794</v>
      </c>
      <c r="E154" s="417" t="n">
        <f aca="false">IF($A$1="BL",0,'Peak Hours'!E154*Peak!K155*'Peak Hours'!$Y154)</f>
        <v>1259107.50899901</v>
      </c>
      <c r="F154" s="417" t="n">
        <f aca="false">IF($A$1="BL",0,'Peak Hours'!F154*Peak!L155*'Peak Hours'!$Y154)</f>
        <v>1070077.78703753</v>
      </c>
      <c r="G154" s="417" t="n">
        <f aca="false">IF($A$1="BL",0,'Peak Hours'!G154*Peak!M155*'Peak Hours'!$Y154)</f>
        <v>1672255.66142153</v>
      </c>
      <c r="H154" s="417" t="n">
        <f aca="false">IF($A$1="BL",0,'Peak Hours'!H154*Peak!N155*'Peak Hours'!$Y154)</f>
        <v>1435349.63440529</v>
      </c>
      <c r="I154" s="417" t="n">
        <f aca="false">IF($A$1="BL",0,'Peak Hours'!I154*Peak!O155*'Peak Hours'!$Y154)</f>
        <v>1300727.3970927</v>
      </c>
      <c r="J154" s="417" t="n">
        <f aca="false">IF($A$1="BL",0,'Peak Hours'!J154*Peak!P155*'Peak Hours'!$Y154)</f>
        <v>0</v>
      </c>
      <c r="K154" s="417" t="n">
        <f aca="false">IF($A$1="BL",0,'Peak Hours'!K154*Peak!Q155*'Peak Hours'!$Y154)</f>
        <v>0</v>
      </c>
      <c r="L154" s="417" t="n">
        <f aca="false">IF($A$1="BL",0,'Peak Hours'!L154*Peak!R155*'Peak Hours'!$Y154)</f>
        <v>0</v>
      </c>
      <c r="M154" s="417" t="n">
        <f aca="false">IF($A$1="BL",0,'Peak Hours'!M154*Peak!S155*'Peak Hours'!$Y154)</f>
        <v>0</v>
      </c>
      <c r="N154" s="417" t="n">
        <f aca="false">IF($A$1="BL",0,'Peak Hours'!N154*Peak!T155*'Peak Hours'!$Y154)</f>
        <v>0</v>
      </c>
      <c r="O154" s="417" t="n">
        <f aca="false">IF($A$1="BL",0,'Peak Hours'!O154*Peak!U155*'Peak Hours'!$Y154)</f>
        <v>0</v>
      </c>
      <c r="P154" s="417" t="n">
        <f aca="false">IF($A$1="BL",0,'Peak Hours'!P154*Peak!V155*'Peak Hours'!$Y154)</f>
        <v>0</v>
      </c>
      <c r="Q154" s="417" t="n">
        <f aca="false">IF($A$1="BL",0,'Peak Hours'!Q154*Peak!W155*'Peak Hours'!$Y154)</f>
        <v>0</v>
      </c>
      <c r="R154" s="417" t="n">
        <f aca="false">IF($A$1="BL",0,'Peak Hours'!R154*Peak!X155*'Peak Hours'!$Y154)</f>
        <v>0</v>
      </c>
      <c r="S154" s="417" t="n">
        <f aca="false">IF($A$1="BL",0,'Peak Hours'!S154*Peak!Y155*'Peak Hours'!$Y154)</f>
        <v>0</v>
      </c>
      <c r="T154" s="417" t="n">
        <f aca="false">IF($A$1="BL",0,'Peak Hours'!T154*Peak!Z155*'Peak Hours'!$Y154)</f>
        <v>0</v>
      </c>
      <c r="U154" s="417" t="n">
        <f aca="false">IF($A$1="BL",0,'Peak Hours'!U154*Peak!AA155*'Peak Hours'!$Y154)</f>
        <v>0</v>
      </c>
      <c r="V154" s="424"/>
      <c r="W154" s="422" t="n">
        <f aca="false">(IF($A$1="BL",0,Peak!C155*'Peak Hours'!V154*'Peak Hours'!$Y154))*-1</f>
        <v>-5615657.06105741</v>
      </c>
      <c r="X154" s="424"/>
      <c r="Y154" s="422" t="n">
        <f aca="false">(IF($A$1="bl",0,Peak!D155*'Peak Hours'!V154*'Peak Hours'!$Y154))*-1</f>
        <v>-89892.7805800414</v>
      </c>
      <c r="Z154" s="424"/>
      <c r="AA154" s="422" t="n">
        <f aca="false">(Peak!E155*'Peak Hours'!V154*'Peak Hours'!$Y154)*-1</f>
        <v>-0</v>
      </c>
      <c r="AB154" s="425"/>
      <c r="AC154" s="422" t="n">
        <f aca="false">(Peak!F155*'Peak Hours'!V154*'Peak Hours'!$Y154)*-1</f>
        <v>-0</v>
      </c>
      <c r="AD154" s="425"/>
    </row>
    <row r="155" customFormat="false" ht="12.75" hidden="false" customHeight="false" outlineLevel="0" collapsed="false">
      <c r="A155" s="400" t="n">
        <f aca="false">A154+30.417</f>
        <v>40950.465</v>
      </c>
      <c r="B155" s="417" t="n">
        <f aca="false">IF($A$1="BL",0,'Peak Hours'!B155*Peak!H156*'Peak Hours'!$Y155)</f>
        <v>380371.355963848</v>
      </c>
      <c r="C155" s="417" t="n">
        <f aca="false">IF($A$1="BL",0,'Peak Hours'!C155*Peak!I156*'Peak Hours'!$Y155)</f>
        <v>334113.740785434</v>
      </c>
      <c r="D155" s="417" t="n">
        <f aca="false">IF($A$1="BL",0,'Peak Hours'!D155*Peak!J156*'Peak Hours'!$Y155)</f>
        <v>637460.516318527</v>
      </c>
      <c r="E155" s="417" t="n">
        <f aca="false">IF($A$1="BL",0,'Peak Hours'!E155*Peak!K156*'Peak Hours'!$Y155)</f>
        <v>1187256.01103233</v>
      </c>
      <c r="F155" s="417" t="n">
        <f aca="false">IF($A$1="BL",0,'Peak Hours'!F155*Peak!L156*'Peak Hours'!$Y155)</f>
        <v>1115769.86515936</v>
      </c>
      <c r="G155" s="417" t="n">
        <f aca="false">IF($A$1="BL",0,'Peak Hours'!G155*Peak!M156*'Peak Hours'!$Y155)</f>
        <v>2214149.38789637</v>
      </c>
      <c r="H155" s="417" t="n">
        <f aca="false">IF($A$1="BL",0,'Peak Hours'!H155*Peak!N156*'Peak Hours'!$Y155)</f>
        <v>1945461.67524174</v>
      </c>
      <c r="I155" s="417" t="n">
        <f aca="false">IF($A$1="BL",0,'Peak Hours'!I155*Peak!O156*'Peak Hours'!$Y155)</f>
        <v>1508614.14595145</v>
      </c>
      <c r="J155" s="417" t="n">
        <f aca="false">IF($A$1="BL",0,'Peak Hours'!J155*Peak!P156*'Peak Hours'!$Y155)</f>
        <v>1252014.92335322</v>
      </c>
      <c r="K155" s="417" t="n">
        <f aca="false">IF($A$1="BL",0,'Peak Hours'!K155*Peak!Q156*'Peak Hours'!$Y155)</f>
        <v>1190979.5343855</v>
      </c>
      <c r="L155" s="417" t="n">
        <f aca="false">IF($A$1="BL",0,'Peak Hours'!L155*Peak!R156*'Peak Hours'!$Y155)</f>
        <v>0</v>
      </c>
      <c r="M155" s="417" t="n">
        <f aca="false">IF($A$1="BL",0,'Peak Hours'!M155*Peak!S156*'Peak Hours'!$Y155)</f>
        <v>0</v>
      </c>
      <c r="N155" s="417" t="n">
        <f aca="false">IF($A$1="BL",0,'Peak Hours'!N155*Peak!T156*'Peak Hours'!$Y155)</f>
        <v>0</v>
      </c>
      <c r="O155" s="417" t="n">
        <f aca="false">IF($A$1="BL",0,'Peak Hours'!O155*Peak!U156*'Peak Hours'!$Y155)</f>
        <v>0</v>
      </c>
      <c r="P155" s="417" t="n">
        <f aca="false">IF($A$1="BL",0,'Peak Hours'!P155*Peak!V156*'Peak Hours'!$Y155)</f>
        <v>0</v>
      </c>
      <c r="Q155" s="417" t="n">
        <f aca="false">IF($A$1="BL",0,'Peak Hours'!Q155*Peak!W156*'Peak Hours'!$Y155)</f>
        <v>0</v>
      </c>
      <c r="R155" s="417" t="n">
        <f aca="false">IF($A$1="BL",0,'Peak Hours'!R155*Peak!X156*'Peak Hours'!$Y155)</f>
        <v>0</v>
      </c>
      <c r="S155" s="417" t="n">
        <f aca="false">IF($A$1="BL",0,'Peak Hours'!S155*Peak!Y156*'Peak Hours'!$Y155)</f>
        <v>0</v>
      </c>
      <c r="T155" s="417" t="n">
        <f aca="false">IF($A$1="BL",0,'Peak Hours'!T155*Peak!Z156*'Peak Hours'!$Y155)</f>
        <v>0</v>
      </c>
      <c r="U155" s="417" t="n">
        <f aca="false">IF($A$1="BL",0,'Peak Hours'!U155*Peak!AA156*'Peak Hours'!$Y155)</f>
        <v>0</v>
      </c>
      <c r="V155" s="424"/>
      <c r="W155" s="422" t="n">
        <f aca="false">(IF($A$1="BL",0,Peak!C156*'Peak Hours'!V155*'Peak Hours'!$Y155))*-1</f>
        <v>-7270151.76846705</v>
      </c>
      <c r="X155" s="424"/>
      <c r="Y155" s="422" t="n">
        <f aca="false">(IF($A$1="bl",0,Peak!D156*'Peak Hours'!V155*'Peak Hours'!$Y155))*-1</f>
        <v>-130061.536050345</v>
      </c>
      <c r="Z155" s="424"/>
      <c r="AA155" s="422" t="n">
        <f aca="false">(Peak!E156*'Peak Hours'!V155*'Peak Hours'!$Y155)*-1</f>
        <v>-0</v>
      </c>
      <c r="AB155" s="425"/>
      <c r="AC155" s="422" t="n">
        <f aca="false">(Peak!F156*'Peak Hours'!V155*'Peak Hours'!$Y155)*-1</f>
        <v>-0</v>
      </c>
      <c r="AD155" s="425"/>
    </row>
    <row r="156" customFormat="false" ht="12.75" hidden="false" customHeight="false" outlineLevel="0" collapsed="false">
      <c r="A156" s="400" t="n">
        <f aca="false">A155+30.417</f>
        <v>40980.882</v>
      </c>
      <c r="B156" s="417" t="n">
        <f aca="false">IF($A$1="BL",0,'Peak Hours'!B156*Peak!H157*'Peak Hours'!$Y156)</f>
        <v>355252.954949912</v>
      </c>
      <c r="C156" s="417" t="n">
        <f aca="false">IF($A$1="BL",0,'Peak Hours'!C156*Peak!I157*'Peak Hours'!$Y156)</f>
        <v>314299.989631723</v>
      </c>
      <c r="D156" s="417" t="n">
        <f aca="false">IF($A$1="BL",0,'Peak Hours'!D156*Peak!J157*'Peak Hours'!$Y156)</f>
        <v>599686.440010574</v>
      </c>
      <c r="E156" s="417" t="n">
        <f aca="false">IF($A$1="BL",0,'Peak Hours'!E156*Peak!K157*'Peak Hours'!$Y156)</f>
        <v>1120478.96456101</v>
      </c>
      <c r="F156" s="417" t="n">
        <f aca="false">IF($A$1="BL",0,'Peak Hours'!F156*Peak!L157*'Peak Hours'!$Y156)</f>
        <v>1051004.09057225</v>
      </c>
      <c r="G156" s="417" t="n">
        <f aca="false">IF($A$1="BL",0,'Peak Hours'!G156*Peak!M157*'Peak Hours'!$Y156)</f>
        <v>2093498.84029467</v>
      </c>
      <c r="H156" s="417" t="n">
        <f aca="false">IF($A$1="BL",0,'Peak Hours'!H156*Peak!N157*'Peak Hours'!$Y156)</f>
        <v>1802030.41547824</v>
      </c>
      <c r="I156" s="417" t="n">
        <f aca="false">IF($A$1="BL",0,'Peak Hours'!I156*Peak!O157*'Peak Hours'!$Y156)</f>
        <v>1444399.31939568</v>
      </c>
      <c r="J156" s="417" t="n">
        <f aca="false">IF($A$1="BL",0,'Peak Hours'!J156*Peak!P157*'Peak Hours'!$Y156)</f>
        <v>1191464.25991086</v>
      </c>
      <c r="K156" s="417" t="n">
        <f aca="false">IF($A$1="BL",0,'Peak Hours'!K156*Peak!Q157*'Peak Hours'!$Y156)</f>
        <v>1180435.48668107</v>
      </c>
      <c r="L156" s="417" t="n">
        <f aca="false">IF($A$1="BL",0,'Peak Hours'!L156*Peak!R157*'Peak Hours'!$Y156)</f>
        <v>0</v>
      </c>
      <c r="M156" s="417" t="n">
        <f aca="false">IF($A$1="BL",0,'Peak Hours'!M156*Peak!S157*'Peak Hours'!$Y156)</f>
        <v>0</v>
      </c>
      <c r="N156" s="417" t="n">
        <f aca="false">IF($A$1="BL",0,'Peak Hours'!N156*Peak!T157*'Peak Hours'!$Y156)</f>
        <v>0</v>
      </c>
      <c r="O156" s="417" t="n">
        <f aca="false">IF($A$1="BL",0,'Peak Hours'!O156*Peak!U157*'Peak Hours'!$Y156)</f>
        <v>0</v>
      </c>
      <c r="P156" s="417" t="n">
        <f aca="false">IF($A$1="BL",0,'Peak Hours'!P156*Peak!V157*'Peak Hours'!$Y156)</f>
        <v>0</v>
      </c>
      <c r="Q156" s="417" t="n">
        <f aca="false">IF($A$1="BL",0,'Peak Hours'!Q156*Peak!W157*'Peak Hours'!$Y156)</f>
        <v>0</v>
      </c>
      <c r="R156" s="417" t="n">
        <f aca="false">IF($A$1="BL",0,'Peak Hours'!R156*Peak!X157*'Peak Hours'!$Y156)</f>
        <v>0</v>
      </c>
      <c r="S156" s="417" t="n">
        <f aca="false">IF($A$1="BL",0,'Peak Hours'!S156*Peak!Y157*'Peak Hours'!$Y156)</f>
        <v>0</v>
      </c>
      <c r="T156" s="417" t="n">
        <f aca="false">IF($A$1="BL",0,'Peak Hours'!T156*Peak!Z157*'Peak Hours'!$Y156)</f>
        <v>0</v>
      </c>
      <c r="U156" s="417" t="n">
        <f aca="false">IF($A$1="BL",0,'Peak Hours'!U156*Peak!AA157*'Peak Hours'!$Y156)</f>
        <v>0</v>
      </c>
      <c r="V156" s="424"/>
      <c r="W156" s="422" t="n">
        <f aca="false">(IF($A$1="BL",0,Peak!C157*'Peak Hours'!V156*'Peak Hours'!$Y156))*-1</f>
        <v>-7346835.98073923</v>
      </c>
      <c r="X156" s="424"/>
      <c r="Y156" s="422" t="n">
        <f aca="false">(IF($A$1="bl",0,Peak!D157*'Peak Hours'!V156*'Peak Hours'!$Y156))*-1</f>
        <v>-133904.058046805</v>
      </c>
      <c r="Z156" s="424"/>
      <c r="AA156" s="422" t="n">
        <f aca="false">(Peak!E157*'Peak Hours'!V156*'Peak Hours'!$Y156)*-1</f>
        <v>-0</v>
      </c>
      <c r="AB156" s="425"/>
      <c r="AC156" s="422" t="n">
        <f aca="false">(Peak!F157*'Peak Hours'!V156*'Peak Hours'!$Y156)*-1</f>
        <v>-0</v>
      </c>
      <c r="AD156" s="425"/>
    </row>
    <row r="157" customFormat="false" ht="12.75" hidden="false" customHeight="false" outlineLevel="0" collapsed="false">
      <c r="A157" s="400" t="n">
        <f aca="false">A156+30.417</f>
        <v>41011.299</v>
      </c>
      <c r="B157" s="417" t="n">
        <f aca="false">IF($A$1="BL",0,'Peak Hours'!B157*Peak!H158*'Peak Hours'!$Y157)</f>
        <v>266222.906756358</v>
      </c>
      <c r="C157" s="417" t="n">
        <f aca="false">IF($A$1="BL",0,'Peak Hours'!C157*Peak!I158*'Peak Hours'!$Y157)</f>
        <v>260688.038502172</v>
      </c>
      <c r="D157" s="417" t="n">
        <f aca="false">IF($A$1="BL",0,'Peak Hours'!D157*Peak!J158*'Peak Hours'!$Y157)</f>
        <v>521376.077004344</v>
      </c>
      <c r="E157" s="417" t="n">
        <f aca="false">IF($A$1="BL",0,'Peak Hours'!E157*Peak!K158*'Peak Hours'!$Y157)</f>
        <v>957733.829614576</v>
      </c>
      <c r="F157" s="417" t="n">
        <f aca="false">IF($A$1="BL",0,'Peak Hours'!F157*Peak!L158*'Peak Hours'!$Y157)</f>
        <v>726371.708424438</v>
      </c>
      <c r="G157" s="417" t="n">
        <f aca="false">IF($A$1="BL",0,'Peak Hours'!G157*Peak!M158*'Peak Hours'!$Y157)</f>
        <v>1345702.04156909</v>
      </c>
      <c r="H157" s="417" t="n">
        <f aca="false">IF($A$1="BL",0,'Peak Hours'!H157*Peak!N158*'Peak Hours'!$Y157)</f>
        <v>1176447.75654003</v>
      </c>
      <c r="I157" s="417" t="n">
        <f aca="false">IF($A$1="BL",0,'Peak Hours'!I157*Peak!O158*'Peak Hours'!$Y157)</f>
        <v>1167715.05767091</v>
      </c>
      <c r="J157" s="417" t="n">
        <f aca="false">IF($A$1="BL",0,'Peak Hours'!J157*Peak!P158*'Peak Hours'!$Y157)</f>
        <v>0</v>
      </c>
      <c r="K157" s="417" t="n">
        <f aca="false">IF($A$1="BL",0,'Peak Hours'!K157*Peak!Q158*'Peak Hours'!$Y157)</f>
        <v>0</v>
      </c>
      <c r="L157" s="417" t="n">
        <f aca="false">IF($A$1="BL",0,'Peak Hours'!L157*Peak!R158*'Peak Hours'!$Y157)</f>
        <v>0</v>
      </c>
      <c r="M157" s="417" t="n">
        <f aca="false">IF($A$1="BL",0,'Peak Hours'!M157*Peak!S158*'Peak Hours'!$Y157)</f>
        <v>0</v>
      </c>
      <c r="N157" s="417" t="n">
        <f aca="false">IF($A$1="BL",0,'Peak Hours'!N157*Peak!T158*'Peak Hours'!$Y157)</f>
        <v>0</v>
      </c>
      <c r="O157" s="417" t="n">
        <f aca="false">IF($A$1="BL",0,'Peak Hours'!O157*Peak!U158*'Peak Hours'!$Y157)</f>
        <v>0</v>
      </c>
      <c r="P157" s="417" t="n">
        <f aca="false">IF($A$1="BL",0,'Peak Hours'!P157*Peak!V158*'Peak Hours'!$Y157)</f>
        <v>0</v>
      </c>
      <c r="Q157" s="417" t="n">
        <f aca="false">IF($A$1="BL",0,'Peak Hours'!Q157*Peak!W158*'Peak Hours'!$Y157)</f>
        <v>0</v>
      </c>
      <c r="R157" s="417" t="n">
        <f aca="false">IF($A$1="BL",0,'Peak Hours'!R157*Peak!X158*'Peak Hours'!$Y157)</f>
        <v>0</v>
      </c>
      <c r="S157" s="417" t="n">
        <f aca="false">IF($A$1="BL",0,'Peak Hours'!S157*Peak!Y158*'Peak Hours'!$Y157)</f>
        <v>0</v>
      </c>
      <c r="T157" s="417" t="n">
        <f aca="false">IF($A$1="BL",0,'Peak Hours'!T157*Peak!Z158*'Peak Hours'!$Y157)</f>
        <v>0</v>
      </c>
      <c r="U157" s="417" t="n">
        <f aca="false">IF($A$1="BL",0,'Peak Hours'!U157*Peak!AA158*'Peak Hours'!$Y157)</f>
        <v>0</v>
      </c>
      <c r="V157" s="424"/>
      <c r="W157" s="422" t="n">
        <f aca="false">(IF($A$1="BL",0,Peak!C158*'Peak Hours'!V157*'Peak Hours'!$Y157))*-1</f>
        <v>-4835539.39143996</v>
      </c>
      <c r="X157" s="424"/>
      <c r="Y157" s="422" t="n">
        <f aca="false">(IF($A$1="bl",0,Peak!D158*'Peak Hours'!V157*'Peak Hours'!$Y157))*-1</f>
        <v>-92857.3140993805</v>
      </c>
      <c r="Z157" s="424"/>
      <c r="AA157" s="422" t="n">
        <f aca="false">(Peak!E158*'Peak Hours'!V157*'Peak Hours'!$Y157)*-1</f>
        <v>-0</v>
      </c>
      <c r="AB157" s="425"/>
      <c r="AC157" s="422" t="n">
        <f aca="false">(Peak!F158*'Peak Hours'!V157*'Peak Hours'!$Y157)*-1</f>
        <v>-0</v>
      </c>
      <c r="AD157" s="425"/>
    </row>
    <row r="158" customFormat="false" ht="12.75" hidden="false" customHeight="false" outlineLevel="0" collapsed="false">
      <c r="A158" s="400" t="n">
        <f aca="false">A157+30.417</f>
        <v>41041.716</v>
      </c>
      <c r="B158" s="417" t="n">
        <f aca="false">IF($A$1="BL",0,'Peak Hours'!B158*Peak!H159*'Peak Hours'!$Y158)</f>
        <v>519580.046103413</v>
      </c>
      <c r="C158" s="417" t="n">
        <f aca="false">IF($A$1="BL",0,'Peak Hours'!C158*Peak!I159*'Peak Hours'!$Y158)</f>
        <v>446986.461445411</v>
      </c>
      <c r="D158" s="417" t="n">
        <f aca="false">IF($A$1="BL",0,'Peak Hours'!D158*Peak!J159*'Peak Hours'!$Y158)</f>
        <v>558330.988560346</v>
      </c>
      <c r="E158" s="417" t="n">
        <f aca="false">IF($A$1="BL",0,'Peak Hours'!E158*Peak!K159*'Peak Hours'!$Y158)</f>
        <v>970205.207195086</v>
      </c>
      <c r="F158" s="417" t="n">
        <f aca="false">IF($A$1="BL",0,'Peak Hours'!F158*Peak!L159*'Peak Hours'!$Y158)</f>
        <v>917065.831078743</v>
      </c>
      <c r="G158" s="417" t="n">
        <f aca="false">IF($A$1="BL",0,'Peak Hours'!G158*Peak!M159*'Peak Hours'!$Y158)</f>
        <v>1703964.22871604</v>
      </c>
      <c r="H158" s="417" t="n">
        <f aca="false">IF($A$1="BL",0,'Peak Hours'!H158*Peak!N159*'Peak Hours'!$Y158)</f>
        <v>1667612.63644032</v>
      </c>
      <c r="I158" s="417" t="n">
        <f aca="false">IF($A$1="BL",0,'Peak Hours'!I158*Peak!O159*'Peak Hours'!$Y158)</f>
        <v>1375677.179952</v>
      </c>
      <c r="J158" s="417" t="n">
        <f aca="false">IF($A$1="BL",0,'Peak Hours'!J158*Peak!P159*'Peak Hours'!$Y158)</f>
        <v>1166338.81332282</v>
      </c>
      <c r="K158" s="417" t="n">
        <f aca="false">IF($A$1="BL",0,'Peak Hours'!K158*Peak!Q159*'Peak Hours'!$Y158)</f>
        <v>0</v>
      </c>
      <c r="L158" s="417" t="n">
        <f aca="false">IF($A$1="BL",0,'Peak Hours'!L158*Peak!R159*'Peak Hours'!$Y158)</f>
        <v>0</v>
      </c>
      <c r="M158" s="417" t="n">
        <f aca="false">IF($A$1="BL",0,'Peak Hours'!M158*Peak!S159*'Peak Hours'!$Y158)</f>
        <v>0</v>
      </c>
      <c r="N158" s="417" t="n">
        <f aca="false">IF($A$1="BL",0,'Peak Hours'!N158*Peak!T159*'Peak Hours'!$Y158)</f>
        <v>0</v>
      </c>
      <c r="O158" s="417" t="n">
        <f aca="false">IF($A$1="BL",0,'Peak Hours'!O158*Peak!U159*'Peak Hours'!$Y158)</f>
        <v>0</v>
      </c>
      <c r="P158" s="417" t="n">
        <f aca="false">IF($A$1="BL",0,'Peak Hours'!P158*Peak!V159*'Peak Hours'!$Y158)</f>
        <v>0</v>
      </c>
      <c r="Q158" s="417" t="n">
        <f aca="false">IF($A$1="BL",0,'Peak Hours'!Q158*Peak!W159*'Peak Hours'!$Y158)</f>
        <v>0</v>
      </c>
      <c r="R158" s="417" t="n">
        <f aca="false">IF($A$1="BL",0,'Peak Hours'!R158*Peak!X159*'Peak Hours'!$Y158)</f>
        <v>0</v>
      </c>
      <c r="S158" s="417" t="n">
        <f aca="false">IF($A$1="BL",0,'Peak Hours'!S158*Peak!Y159*'Peak Hours'!$Y158)</f>
        <v>0</v>
      </c>
      <c r="T158" s="417" t="n">
        <f aca="false">IF($A$1="BL",0,'Peak Hours'!T158*Peak!Z159*'Peak Hours'!$Y158)</f>
        <v>0</v>
      </c>
      <c r="U158" s="417" t="n">
        <f aca="false">IF($A$1="BL",0,'Peak Hours'!U158*Peak!AA159*'Peak Hours'!$Y158)</f>
        <v>0</v>
      </c>
      <c r="V158" s="424"/>
      <c r="W158" s="422" t="n">
        <f aca="false">(IF($A$1="BL",0,Peak!C159*'Peak Hours'!V158*'Peak Hours'!$Y158))*-1</f>
        <v>-6222807.60015406</v>
      </c>
      <c r="X158" s="424"/>
      <c r="Y158" s="422" t="n">
        <f aca="false">(IF($A$1="bl",0,Peak!D159*'Peak Hours'!V158*'Peak Hours'!$Y158))*-1</f>
        <v>-113681.426576112</v>
      </c>
      <c r="Z158" s="424"/>
      <c r="AA158" s="422" t="n">
        <f aca="false">(Peak!E159*'Peak Hours'!V158*'Peak Hours'!$Y158)*-1</f>
        <v>-0</v>
      </c>
      <c r="AB158" s="425"/>
      <c r="AC158" s="422" t="n">
        <f aca="false">(Peak!F159*'Peak Hours'!V158*'Peak Hours'!$Y158)*-1</f>
        <v>-0</v>
      </c>
      <c r="AD158" s="425"/>
    </row>
    <row r="159" customFormat="false" ht="12.75" hidden="false" customHeight="false" outlineLevel="0" collapsed="false">
      <c r="A159" s="400" t="n">
        <f aca="false">A158+30.417</f>
        <v>41072.133</v>
      </c>
      <c r="B159" s="417" t="n">
        <f aca="false">IF($A$1="BL",0,'Peak Hours'!B159*Peak!H160*'Peak Hours'!$Y159)</f>
        <v>658686.287382034</v>
      </c>
      <c r="C159" s="417" t="n">
        <f aca="false">IF($A$1="BL",0,'Peak Hours'!C159*Peak!I160*'Peak Hours'!$Y159)</f>
        <v>597508.700775625</v>
      </c>
      <c r="D159" s="417" t="n">
        <f aca="false">IF($A$1="BL",0,'Peak Hours'!D159*Peak!J160*'Peak Hours'!$Y159)</f>
        <v>1090723.69545505</v>
      </c>
      <c r="E159" s="417" t="n">
        <f aca="false">IF($A$1="BL",0,'Peak Hours'!E159*Peak!K160*'Peak Hours'!$Y159)</f>
        <v>1825571.17945921</v>
      </c>
      <c r="F159" s="417" t="n">
        <f aca="false">IF($A$1="BL",0,'Peak Hours'!F159*Peak!L160*'Peak Hours'!$Y159)</f>
        <v>1225959.369141</v>
      </c>
      <c r="G159" s="417" t="n">
        <f aca="false">IF($A$1="BL",0,'Peak Hours'!G159*Peak!M160*'Peak Hours'!$Y159)</f>
        <v>2135358.80972285</v>
      </c>
      <c r="H159" s="417" t="n">
        <f aca="false">IF($A$1="BL",0,'Peak Hours'!H159*Peak!N160*'Peak Hours'!$Y159)</f>
        <v>1437992.82233721</v>
      </c>
      <c r="I159" s="417" t="n">
        <f aca="false">IF($A$1="BL",0,'Peak Hours'!I159*Peak!O160*'Peak Hours'!$Y159)</f>
        <v>1274069.34225946</v>
      </c>
      <c r="J159" s="417" t="n">
        <f aca="false">IF($A$1="BL",0,'Peak Hours'!J159*Peak!P160*'Peak Hours'!$Y159)</f>
        <v>1142537.85892019</v>
      </c>
      <c r="K159" s="417" t="n">
        <f aca="false">IF($A$1="BL",0,'Peak Hours'!K159*Peak!Q160*'Peak Hours'!$Y159)</f>
        <v>1125421.45126001</v>
      </c>
      <c r="L159" s="417" t="n">
        <f aca="false">IF($A$1="BL",0,'Peak Hours'!L159*Peak!R160*'Peak Hours'!$Y159)</f>
        <v>0</v>
      </c>
      <c r="M159" s="417" t="n">
        <f aca="false">IF($A$1="BL",0,'Peak Hours'!M159*Peak!S160*'Peak Hours'!$Y159)</f>
        <v>0</v>
      </c>
      <c r="N159" s="417" t="n">
        <f aca="false">IF($A$1="BL",0,'Peak Hours'!N159*Peak!T160*'Peak Hours'!$Y159)</f>
        <v>0</v>
      </c>
      <c r="O159" s="417" t="n">
        <f aca="false">IF($A$1="BL",0,'Peak Hours'!O159*Peak!U160*'Peak Hours'!$Y159)</f>
        <v>0</v>
      </c>
      <c r="P159" s="417" t="n">
        <f aca="false">IF($A$1="BL",0,'Peak Hours'!P159*Peak!V160*'Peak Hours'!$Y159)</f>
        <v>0</v>
      </c>
      <c r="Q159" s="417" t="n">
        <f aca="false">IF($A$1="BL",0,'Peak Hours'!Q159*Peak!W160*'Peak Hours'!$Y159)</f>
        <v>0</v>
      </c>
      <c r="R159" s="417" t="n">
        <f aca="false">IF($A$1="BL",0,'Peak Hours'!R159*Peak!X160*'Peak Hours'!$Y159)</f>
        <v>0</v>
      </c>
      <c r="S159" s="417" t="n">
        <f aca="false">IF($A$1="BL",0,'Peak Hours'!S159*Peak!Y160*'Peak Hours'!$Y159)</f>
        <v>0</v>
      </c>
      <c r="T159" s="417" t="n">
        <f aca="false">IF($A$1="BL",0,'Peak Hours'!T159*Peak!Z160*'Peak Hours'!$Y159)</f>
        <v>0</v>
      </c>
      <c r="U159" s="417" t="n">
        <f aca="false">IF($A$1="BL",0,'Peak Hours'!U159*Peak!AA160*'Peak Hours'!$Y159)</f>
        <v>0</v>
      </c>
      <c r="V159" s="424"/>
      <c r="W159" s="422" t="n">
        <f aca="false">(IF($A$1="BL",0,Peak!C160*'Peak Hours'!V159*'Peak Hours'!$Y159))*-1</f>
        <v>-7125746.62109541</v>
      </c>
      <c r="X159" s="424"/>
      <c r="Y159" s="422" t="n">
        <f aca="false">(IF($A$1="bl",0,Peak!D160*'Peak Hours'!V159*'Peak Hours'!$Y159))*-1</f>
        <v>-136858.407435103</v>
      </c>
      <c r="Z159" s="424"/>
      <c r="AA159" s="422" t="n">
        <f aca="false">(Peak!E160*'Peak Hours'!V159*'Peak Hours'!$Y159)*-1</f>
        <v>-0</v>
      </c>
      <c r="AB159" s="425"/>
      <c r="AC159" s="422" t="n">
        <f aca="false">(Peak!F160*'Peak Hours'!V159*'Peak Hours'!$Y159)*-1</f>
        <v>-0</v>
      </c>
      <c r="AD159" s="425"/>
    </row>
    <row r="160" customFormat="false" ht="12.75" hidden="false" customHeight="false" outlineLevel="0" collapsed="false">
      <c r="A160" s="400" t="n">
        <f aca="false">A159+30.417</f>
        <v>41102.55</v>
      </c>
      <c r="B160" s="417" t="n">
        <f aca="false">IF($A$1="BL",0,'Peak Hours'!B160*Peak!H161*'Peak Hours'!$Y160)</f>
        <v>775956.231164373</v>
      </c>
      <c r="C160" s="417" t="n">
        <f aca="false">IF($A$1="BL",0,'Peak Hours'!C160*Peak!I161*'Peak Hours'!$Y160)</f>
        <v>682058.568621325</v>
      </c>
      <c r="D160" s="417" t="n">
        <f aca="false">IF($A$1="BL",0,'Peak Hours'!D160*Peak!J161*'Peak Hours'!$Y160)</f>
        <v>1234985.25362726</v>
      </c>
      <c r="E160" s="417" t="n">
        <f aca="false">IF($A$1="BL",0,'Peak Hours'!E160*Peak!K161*'Peak Hours'!$Y160)</f>
        <v>2182612.99103807</v>
      </c>
      <c r="F160" s="417" t="n">
        <f aca="false">IF($A$1="BL",0,'Peak Hours'!F160*Peak!L161*'Peak Hours'!$Y160)</f>
        <v>1990334.11586239</v>
      </c>
      <c r="G160" s="417" t="n">
        <f aca="false">IF($A$1="BL",0,'Peak Hours'!G160*Peak!M161*'Peak Hours'!$Y160)</f>
        <v>2718479.48705632</v>
      </c>
      <c r="H160" s="417" t="n">
        <f aca="false">IF($A$1="BL",0,'Peak Hours'!H160*Peak!N161*'Peak Hours'!$Y160)</f>
        <v>2308380.016109</v>
      </c>
      <c r="I160" s="417" t="n">
        <f aca="false">IF($A$1="BL",0,'Peak Hours'!I160*Peak!O161*'Peak Hours'!$Y160)</f>
        <v>2198161.22200347</v>
      </c>
      <c r="J160" s="417" t="n">
        <f aca="false">IF($A$1="BL",0,'Peak Hours'!J160*Peak!P161*'Peak Hours'!$Y160)</f>
        <v>1903655.87436064</v>
      </c>
      <c r="K160" s="417" t="n">
        <f aca="false">IF($A$1="BL",0,'Peak Hours'!K160*Peak!Q161*'Peak Hours'!$Y160)</f>
        <v>1463908.85155488</v>
      </c>
      <c r="L160" s="417" t="n">
        <f aca="false">IF($A$1="BL",0,'Peak Hours'!L160*Peak!R161*'Peak Hours'!$Y160)</f>
        <v>1242653.98995099</v>
      </c>
      <c r="M160" s="417" t="n">
        <f aca="false">IF($A$1="BL",0,'Peak Hours'!M160*Peak!S161*'Peak Hours'!$Y160)</f>
        <v>1192778.57548251</v>
      </c>
      <c r="N160" s="417" t="n">
        <f aca="false">IF($A$1="BL",0,'Peak Hours'!N160*Peak!T161*'Peak Hours'!$Y160)</f>
        <v>0</v>
      </c>
      <c r="O160" s="417" t="n">
        <f aca="false">IF($A$1="BL",0,'Peak Hours'!O160*Peak!U161*'Peak Hours'!$Y160)</f>
        <v>0</v>
      </c>
      <c r="P160" s="417" t="n">
        <f aca="false">IF($A$1="BL",0,'Peak Hours'!P160*Peak!V161*'Peak Hours'!$Y160)</f>
        <v>0</v>
      </c>
      <c r="Q160" s="417" t="n">
        <f aca="false">IF($A$1="BL",0,'Peak Hours'!Q160*Peak!W161*'Peak Hours'!$Y160)</f>
        <v>0</v>
      </c>
      <c r="R160" s="417" t="n">
        <f aca="false">IF($A$1="BL",0,'Peak Hours'!R160*Peak!X161*'Peak Hours'!$Y160)</f>
        <v>0</v>
      </c>
      <c r="S160" s="417" t="n">
        <f aca="false">IF($A$1="BL",0,'Peak Hours'!S160*Peak!Y161*'Peak Hours'!$Y160)</f>
        <v>0</v>
      </c>
      <c r="T160" s="417" t="n">
        <f aca="false">IF($A$1="BL",0,'Peak Hours'!T160*Peak!Z161*'Peak Hours'!$Y160)</f>
        <v>0</v>
      </c>
      <c r="U160" s="417" t="n">
        <f aca="false">IF($A$1="BL",0,'Peak Hours'!U160*Peak!AA161*'Peak Hours'!$Y160)</f>
        <v>0</v>
      </c>
      <c r="V160" s="424"/>
      <c r="W160" s="422" t="n">
        <f aca="false">(IF($A$1="BL",0,Peak!C161*'Peak Hours'!V160*'Peak Hours'!$Y160))*-1</f>
        <v>-9288795.80232861</v>
      </c>
      <c r="X160" s="424"/>
      <c r="Y160" s="422" t="n">
        <f aca="false">(IF($A$1="bl",0,Peak!D161*'Peak Hours'!V160*'Peak Hours'!$Y160))*-1</f>
        <v>-179266.967790314</v>
      </c>
      <c r="Z160" s="424"/>
      <c r="AA160" s="422" t="n">
        <f aca="false">(Peak!E161*'Peak Hours'!V160*'Peak Hours'!$Y160)*-1</f>
        <v>-0</v>
      </c>
      <c r="AB160" s="425"/>
      <c r="AC160" s="422" t="n">
        <f aca="false">(Peak!F161*'Peak Hours'!V160*'Peak Hours'!$Y160)*-1</f>
        <v>-0</v>
      </c>
      <c r="AD160" s="425"/>
    </row>
    <row r="161" customFormat="false" ht="12.75" hidden="false" customHeight="false" outlineLevel="0" collapsed="false">
      <c r="A161" s="400" t="n">
        <f aca="false">A160+30.417</f>
        <v>41132.967</v>
      </c>
      <c r="B161" s="417" t="n">
        <f aca="false">IF($A$1="BL",0,'Peak Hours'!B161*Peak!H162*'Peak Hours'!$Y161)</f>
        <v>1546641.06801516</v>
      </c>
      <c r="C161" s="417" t="n">
        <f aca="false">IF($A$1="BL",0,'Peak Hours'!C161*Peak!I162*'Peak Hours'!$Y161)</f>
        <v>987740.407938542</v>
      </c>
      <c r="D161" s="417" t="n">
        <f aca="false">IF($A$1="BL",0,'Peak Hours'!D161*Peak!J162*'Peak Hours'!$Y161)</f>
        <v>1650095.85333816</v>
      </c>
      <c r="E161" s="417" t="n">
        <f aca="false">IF($A$1="BL",0,'Peak Hours'!E161*Peak!K162*'Peak Hours'!$Y161)</f>
        <v>2831446.57247901</v>
      </c>
      <c r="F161" s="417" t="n">
        <f aca="false">IF($A$1="BL",0,'Peak Hours'!F161*Peak!L162*'Peak Hours'!$Y161)</f>
        <v>2459987.05336046</v>
      </c>
      <c r="G161" s="417" t="n">
        <f aca="false">IF($A$1="BL",0,'Peak Hours'!G161*Peak!M162*'Peak Hours'!$Y161)</f>
        <v>4271243.53655756</v>
      </c>
      <c r="H161" s="417" t="n">
        <f aca="false">IF($A$1="BL",0,'Peak Hours'!H161*Peak!N162*'Peak Hours'!$Y161)</f>
        <v>2846963.99621238</v>
      </c>
      <c r="I161" s="417" t="n">
        <f aca="false">IF($A$1="BL",0,'Peak Hours'!I161*Peak!O162*'Peak Hours'!$Y161)</f>
        <v>1566011.11606895</v>
      </c>
      <c r="J161" s="417" t="n">
        <f aca="false">IF($A$1="BL",0,'Peak Hours'!J161*Peak!P162*'Peak Hours'!$Y161)</f>
        <v>1338398.37979647</v>
      </c>
      <c r="K161" s="417" t="n">
        <f aca="false">IF($A$1="BL",0,'Peak Hours'!K161*Peak!Q162*'Peak Hours'!$Y161)</f>
        <v>1228117.51694981</v>
      </c>
      <c r="L161" s="417" t="n">
        <f aca="false">IF($A$1="BL",0,'Peak Hours'!L161*Peak!R162*'Peak Hours'!$Y161)</f>
        <v>1154484.41503691</v>
      </c>
      <c r="M161" s="417" t="n">
        <f aca="false">IF($A$1="BL",0,'Peak Hours'!M161*Peak!S162*'Peak Hours'!$Y161)</f>
        <v>1059935.74509227</v>
      </c>
      <c r="N161" s="417" t="n">
        <f aca="false">IF($A$1="BL",0,'Peak Hours'!N161*Peak!T162*'Peak Hours'!$Y161)</f>
        <v>0</v>
      </c>
      <c r="O161" s="417" t="n">
        <f aca="false">IF($A$1="BL",0,'Peak Hours'!O161*Peak!U162*'Peak Hours'!$Y161)</f>
        <v>0</v>
      </c>
      <c r="P161" s="417" t="n">
        <f aca="false">IF($A$1="BL",0,'Peak Hours'!P161*Peak!V162*'Peak Hours'!$Y161)</f>
        <v>0</v>
      </c>
      <c r="Q161" s="417" t="n">
        <f aca="false">IF($A$1="BL",0,'Peak Hours'!Q161*Peak!W162*'Peak Hours'!$Y161)</f>
        <v>0</v>
      </c>
      <c r="R161" s="417" t="n">
        <f aca="false">IF($A$1="BL",0,'Peak Hours'!R161*Peak!X162*'Peak Hours'!$Y161)</f>
        <v>0</v>
      </c>
      <c r="S161" s="417" t="n">
        <f aca="false">IF($A$1="BL",0,'Peak Hours'!S161*Peak!Y162*'Peak Hours'!$Y161)</f>
        <v>0</v>
      </c>
      <c r="T161" s="417" t="n">
        <f aca="false">IF($A$1="BL",0,'Peak Hours'!T161*Peak!Z162*'Peak Hours'!$Y161)</f>
        <v>0</v>
      </c>
      <c r="U161" s="417" t="n">
        <f aca="false">IF($A$1="BL",0,'Peak Hours'!U161*Peak!AA162*'Peak Hours'!$Y161)</f>
        <v>0</v>
      </c>
      <c r="V161" s="424"/>
      <c r="W161" s="422" t="n">
        <f aca="false">(IF($A$1="BL",0,Peak!C162*'Peak Hours'!V161*'Peak Hours'!$Y161))*-1</f>
        <v>-8807154.53850416</v>
      </c>
      <c r="X161" s="424"/>
      <c r="Y161" s="422" t="n">
        <f aca="false">(IF($A$1="bl",0,Peak!D162*'Peak Hours'!V161*'Peak Hours'!$Y161))*-1</f>
        <v>-179565.746069965</v>
      </c>
      <c r="Z161" s="424"/>
      <c r="AA161" s="422" t="n">
        <f aca="false">(Peak!E162*'Peak Hours'!V161*'Peak Hours'!$Y161)*-1</f>
        <v>-0</v>
      </c>
      <c r="AB161" s="425"/>
      <c r="AC161" s="422" t="n">
        <f aca="false">(Peak!F162*'Peak Hours'!V161*'Peak Hours'!$Y161)*-1</f>
        <v>-0</v>
      </c>
      <c r="AD161" s="425"/>
    </row>
    <row r="162" customFormat="false" ht="12.75" hidden="false" customHeight="false" outlineLevel="0" collapsed="false">
      <c r="A162" s="400" t="n">
        <f aca="false">A161+30.417</f>
        <v>41163.384</v>
      </c>
      <c r="B162" s="417" t="n">
        <f aca="false">IF($A$1="BL",0,'Peak Hours'!B162*Peak!H163*'Peak Hours'!$Y162)</f>
        <v>592065.558797111</v>
      </c>
      <c r="C162" s="417" t="n">
        <f aca="false">IF($A$1="BL",0,'Peak Hours'!C162*Peak!I163*'Peak Hours'!$Y162)</f>
        <v>534799.210471643</v>
      </c>
      <c r="D162" s="417" t="n">
        <f aca="false">IF($A$1="BL",0,'Peak Hours'!D162*Peak!J163*'Peak Hours'!$Y162)</f>
        <v>1008058.07921392</v>
      </c>
      <c r="E162" s="417" t="n">
        <f aca="false">IF($A$1="BL",0,'Peak Hours'!E162*Peak!K163*'Peak Hours'!$Y162)</f>
        <v>1218237.91831886</v>
      </c>
      <c r="F162" s="417" t="n">
        <f aca="false">IF($A$1="BL",0,'Peak Hours'!F162*Peak!L163*'Peak Hours'!$Y162)</f>
        <v>1026722.97406262</v>
      </c>
      <c r="G162" s="417" t="n">
        <f aca="false">IF($A$1="BL",0,'Peak Hours'!G162*Peak!M163*'Peak Hours'!$Y162)</f>
        <v>1970404.56105468</v>
      </c>
      <c r="H162" s="417" t="n">
        <f aca="false">IF($A$1="BL",0,'Peak Hours'!H162*Peak!N163*'Peak Hours'!$Y162)</f>
        <v>1452187.40803734</v>
      </c>
      <c r="I162" s="417" t="n">
        <f aca="false">IF($A$1="BL",0,'Peak Hours'!I162*Peak!O163*'Peak Hours'!$Y162)</f>
        <v>1279107.70167436</v>
      </c>
      <c r="J162" s="417" t="n">
        <f aca="false">IF($A$1="BL",0,'Peak Hours'!J162*Peak!P163*'Peak Hours'!$Y162)</f>
        <v>1134508.78324977</v>
      </c>
      <c r="K162" s="417" t="n">
        <f aca="false">IF($A$1="BL",0,'Peak Hours'!K162*Peak!Q163*'Peak Hours'!$Y162)</f>
        <v>1121079.642516</v>
      </c>
      <c r="L162" s="417" t="n">
        <f aca="false">IF($A$1="BL",0,'Peak Hours'!L162*Peak!R163*'Peak Hours'!$Y162)</f>
        <v>1080835.61432514</v>
      </c>
      <c r="M162" s="417" t="n">
        <f aca="false">IF($A$1="BL",0,'Peak Hours'!M162*Peak!S163*'Peak Hours'!$Y162)</f>
        <v>1055595.40164183</v>
      </c>
      <c r="N162" s="417" t="n">
        <f aca="false">IF($A$1="BL",0,'Peak Hours'!N162*Peak!T163*'Peak Hours'!$Y162)</f>
        <v>0</v>
      </c>
      <c r="O162" s="417" t="n">
        <f aca="false">IF($A$1="BL",0,'Peak Hours'!O162*Peak!U163*'Peak Hours'!$Y162)</f>
        <v>0</v>
      </c>
      <c r="P162" s="417" t="n">
        <f aca="false">IF($A$1="BL",0,'Peak Hours'!P162*Peak!V163*'Peak Hours'!$Y162)</f>
        <v>0</v>
      </c>
      <c r="Q162" s="417" t="n">
        <f aca="false">IF($A$1="BL",0,'Peak Hours'!Q162*Peak!W163*'Peak Hours'!$Y162)</f>
        <v>0</v>
      </c>
      <c r="R162" s="417" t="n">
        <f aca="false">IF($A$1="BL",0,'Peak Hours'!R162*Peak!X163*'Peak Hours'!$Y162)</f>
        <v>0</v>
      </c>
      <c r="S162" s="417" t="n">
        <f aca="false">IF($A$1="BL",0,'Peak Hours'!S162*Peak!Y163*'Peak Hours'!$Y162)</f>
        <v>0</v>
      </c>
      <c r="T162" s="417" t="n">
        <f aca="false">IF($A$1="BL",0,'Peak Hours'!T162*Peak!Z163*'Peak Hours'!$Y162)</f>
        <v>0</v>
      </c>
      <c r="U162" s="417" t="n">
        <f aca="false">IF($A$1="BL",0,'Peak Hours'!U162*Peak!AA163*'Peak Hours'!$Y162)</f>
        <v>0</v>
      </c>
      <c r="V162" s="424"/>
      <c r="W162" s="422" t="n">
        <f aca="false">(IF($A$1="BL",0,Peak!C163*'Peak Hours'!V162*'Peak Hours'!$Y162))*-1</f>
        <v>-8631196.17888889</v>
      </c>
      <c r="X162" s="424"/>
      <c r="Y162" s="422" t="n">
        <f aca="false">(IF($A$1="bl",0,Peak!D163*'Peak Hours'!V162*'Peak Hours'!$Y162))*-1</f>
        <v>-176863.672031537</v>
      </c>
      <c r="Z162" s="424"/>
      <c r="AA162" s="422" t="n">
        <f aca="false">(Peak!E163*'Peak Hours'!V162*'Peak Hours'!$Y162)*-1</f>
        <v>-0</v>
      </c>
      <c r="AB162" s="425"/>
      <c r="AC162" s="422" t="n">
        <f aca="false">(Peak!F163*'Peak Hours'!V162*'Peak Hours'!$Y162)*-1</f>
        <v>-0</v>
      </c>
      <c r="AD162" s="425"/>
    </row>
    <row r="163" customFormat="false" ht="12.75" hidden="false" customHeight="false" outlineLevel="0" collapsed="false">
      <c r="A163" s="400" t="n">
        <f aca="false">A162+30.417</f>
        <v>41193.801</v>
      </c>
      <c r="B163" s="417" t="n">
        <f aca="false">IF($A$1="BL",0,'Peak Hours'!B163*Peak!H164*'Peak Hours'!$Y163)</f>
        <v>381678.611766932</v>
      </c>
      <c r="C163" s="417" t="n">
        <f aca="false">IF($A$1="BL",0,'Peak Hours'!C163*Peak!I164*'Peak Hours'!$Y163)</f>
        <v>320563.60892465</v>
      </c>
      <c r="D163" s="417" t="n">
        <f aca="false">IF($A$1="BL",0,'Peak Hours'!D163*Peak!J164*'Peak Hours'!$Y163)</f>
        <v>602991.608929075</v>
      </c>
      <c r="E163" s="417" t="n">
        <f aca="false">IF($A$1="BL",0,'Peak Hours'!E163*Peak!K164*'Peak Hours'!$Y163)</f>
        <v>1057997.92552998</v>
      </c>
      <c r="F163" s="417" t="n">
        <f aca="false">IF($A$1="BL",0,'Peak Hours'!F163*Peak!L164*'Peak Hours'!$Y163)</f>
        <v>929442.136318383</v>
      </c>
      <c r="G163" s="417" t="n">
        <f aca="false">IF($A$1="BL",0,'Peak Hours'!G163*Peak!M164*'Peak Hours'!$Y163)</f>
        <v>1743598.46270835</v>
      </c>
      <c r="H163" s="417" t="n">
        <f aca="false">IF($A$1="BL",0,'Peak Hours'!H163*Peak!N164*'Peak Hours'!$Y163)</f>
        <v>1615570.90206934</v>
      </c>
      <c r="I163" s="417" t="n">
        <f aca="false">IF($A$1="BL",0,'Peak Hours'!I163*Peak!O164*'Peak Hours'!$Y163)</f>
        <v>1599905.85823743</v>
      </c>
      <c r="J163" s="417" t="n">
        <f aca="false">IF($A$1="BL",0,'Peak Hours'!J163*Peak!P164*'Peak Hours'!$Y163)</f>
        <v>1328712.2031293</v>
      </c>
      <c r="K163" s="417" t="n">
        <f aca="false">IF($A$1="BL",0,'Peak Hours'!K163*Peak!Q164*'Peak Hours'!$Y163)</f>
        <v>1216204.74085609</v>
      </c>
      <c r="L163" s="417" t="n">
        <f aca="false">IF($A$1="BL",0,'Peak Hours'!L163*Peak!R164*'Peak Hours'!$Y163)</f>
        <v>0</v>
      </c>
      <c r="M163" s="417" t="n">
        <f aca="false">IF($A$1="BL",0,'Peak Hours'!M163*Peak!S164*'Peak Hours'!$Y163)</f>
        <v>0</v>
      </c>
      <c r="N163" s="417" t="n">
        <f aca="false">IF($A$1="BL",0,'Peak Hours'!N163*Peak!T164*'Peak Hours'!$Y163)</f>
        <v>0</v>
      </c>
      <c r="O163" s="417" t="n">
        <f aca="false">IF($A$1="BL",0,'Peak Hours'!O163*Peak!U164*'Peak Hours'!$Y163)</f>
        <v>0</v>
      </c>
      <c r="P163" s="417" t="n">
        <f aca="false">IF($A$1="BL",0,'Peak Hours'!P163*Peak!V164*'Peak Hours'!$Y163)</f>
        <v>0</v>
      </c>
      <c r="Q163" s="417" t="n">
        <f aca="false">IF($A$1="BL",0,'Peak Hours'!Q163*Peak!W164*'Peak Hours'!$Y163)</f>
        <v>0</v>
      </c>
      <c r="R163" s="417" t="n">
        <f aca="false">IF($A$1="BL",0,'Peak Hours'!R163*Peak!X164*'Peak Hours'!$Y163)</f>
        <v>0</v>
      </c>
      <c r="S163" s="417" t="n">
        <f aca="false">IF($A$1="BL",0,'Peak Hours'!S163*Peak!Y164*'Peak Hours'!$Y163)</f>
        <v>0</v>
      </c>
      <c r="T163" s="417" t="n">
        <f aca="false">IF($A$1="BL",0,'Peak Hours'!T163*Peak!Z164*'Peak Hours'!$Y163)</f>
        <v>0</v>
      </c>
      <c r="U163" s="417" t="n">
        <f aca="false">IF($A$1="BL",0,'Peak Hours'!U163*Peak!AA164*'Peak Hours'!$Y163)</f>
        <v>0</v>
      </c>
      <c r="V163" s="424"/>
      <c r="W163" s="422" t="n">
        <f aca="false">(IF($A$1="BL",0,Peak!C164*'Peak Hours'!V163*'Peak Hours'!$Y163))*-1</f>
        <v>-7309880.06534316</v>
      </c>
      <c r="X163" s="424"/>
      <c r="Y163" s="422" t="n">
        <f aca="false">(IF($A$1="bl",0,Peak!D164*'Peak Hours'!V163*'Peak Hours'!$Y163))*-1</f>
        <v>-135474.104861019</v>
      </c>
      <c r="Z163" s="424"/>
      <c r="AA163" s="422" t="n">
        <f aca="false">(Peak!E164*'Peak Hours'!V163*'Peak Hours'!$Y163)*-1</f>
        <v>-0</v>
      </c>
      <c r="AB163" s="425"/>
      <c r="AC163" s="422" t="n">
        <f aca="false">(Peak!F164*'Peak Hours'!V163*'Peak Hours'!$Y163)*-1</f>
        <v>-0</v>
      </c>
      <c r="AD163" s="425"/>
    </row>
    <row r="164" customFormat="false" ht="12.75" hidden="false" customHeight="false" outlineLevel="0" collapsed="false">
      <c r="A164" s="400" t="n">
        <f aca="false">A163+30.417</f>
        <v>41224.218</v>
      </c>
      <c r="B164" s="417" t="n">
        <f aca="false">IF($A$1="BL",0,'Peak Hours'!B164*Peak!H165*'Peak Hours'!$Y164)</f>
        <v>505470.775582603</v>
      </c>
      <c r="C164" s="417" t="n">
        <f aca="false">IF($A$1="BL",0,'Peak Hours'!C164*Peak!I165*'Peak Hours'!$Y164)</f>
        <v>475099.352111237</v>
      </c>
      <c r="D164" s="417" t="n">
        <f aca="false">IF($A$1="BL",0,'Peak Hours'!D164*Peak!J165*'Peak Hours'!$Y164)</f>
        <v>789193.636548726</v>
      </c>
      <c r="E164" s="417" t="n">
        <f aca="false">IF($A$1="BL",0,'Peak Hours'!E164*Peak!K165*'Peak Hours'!$Y164)</f>
        <v>1152035.99006781</v>
      </c>
      <c r="F164" s="417" t="n">
        <f aca="false">IF($A$1="BL",0,'Peak Hours'!F164*Peak!L165*'Peak Hours'!$Y164)</f>
        <v>1026650.80655952</v>
      </c>
      <c r="G164" s="417" t="n">
        <f aca="false">IF($A$1="BL",0,'Peak Hours'!G164*Peak!M165*'Peak Hours'!$Y164)</f>
        <v>1957006.33009087</v>
      </c>
      <c r="H164" s="417" t="n">
        <f aca="false">IF($A$1="BL",0,'Peak Hours'!H164*Peak!N165*'Peak Hours'!$Y164)</f>
        <v>1768939.40118875</v>
      </c>
      <c r="I164" s="417" t="n">
        <f aca="false">IF($A$1="BL",0,'Peak Hours'!I164*Peak!O165*'Peak Hours'!$Y164)</f>
        <v>1387080.01227501</v>
      </c>
      <c r="J164" s="417" t="n">
        <f aca="false">IF($A$1="BL",0,'Peak Hours'!J164*Peak!P165*'Peak Hours'!$Y164)</f>
        <v>1376730.07353675</v>
      </c>
      <c r="K164" s="417" t="n">
        <f aca="false">IF($A$1="BL",0,'Peak Hours'!K164*Peak!Q165*'Peak Hours'!$Y164)</f>
        <v>1345483.96518832</v>
      </c>
      <c r="L164" s="417" t="n">
        <f aca="false">IF($A$1="BL",0,'Peak Hours'!L164*Peak!R165*'Peak Hours'!$Y164)</f>
        <v>0</v>
      </c>
      <c r="M164" s="417" t="n">
        <f aca="false">IF($A$1="BL",0,'Peak Hours'!M164*Peak!S165*'Peak Hours'!$Y164)</f>
        <v>0</v>
      </c>
      <c r="N164" s="417" t="n">
        <f aca="false">IF($A$1="BL",0,'Peak Hours'!N164*Peak!T165*'Peak Hours'!$Y164)</f>
        <v>0</v>
      </c>
      <c r="O164" s="417" t="n">
        <f aca="false">IF($A$1="BL",0,'Peak Hours'!O164*Peak!U165*'Peak Hours'!$Y164)</f>
        <v>0</v>
      </c>
      <c r="P164" s="417" t="n">
        <f aca="false">IF($A$1="BL",0,'Peak Hours'!P164*Peak!V165*'Peak Hours'!$Y164)</f>
        <v>0</v>
      </c>
      <c r="Q164" s="417" t="n">
        <f aca="false">IF($A$1="BL",0,'Peak Hours'!Q164*Peak!W165*'Peak Hours'!$Y164)</f>
        <v>0</v>
      </c>
      <c r="R164" s="417" t="n">
        <f aca="false">IF($A$1="BL",0,'Peak Hours'!R164*Peak!X165*'Peak Hours'!$Y164)</f>
        <v>0</v>
      </c>
      <c r="S164" s="417" t="n">
        <f aca="false">IF($A$1="BL",0,'Peak Hours'!S164*Peak!Y165*'Peak Hours'!$Y164)</f>
        <v>0</v>
      </c>
      <c r="T164" s="417" t="n">
        <f aca="false">IF($A$1="BL",0,'Peak Hours'!T164*Peak!Z165*'Peak Hours'!$Y164)</f>
        <v>0</v>
      </c>
      <c r="U164" s="417" t="n">
        <f aca="false">IF($A$1="BL",0,'Peak Hours'!U164*Peak!AA165*'Peak Hours'!$Y164)</f>
        <v>0</v>
      </c>
      <c r="V164" s="424"/>
      <c r="W164" s="422" t="n">
        <f aca="false">(IF($A$1="BL",0,Peak!C165*'Peak Hours'!V164*'Peak Hours'!$Y164))*-1</f>
        <v>-8004651.27478932</v>
      </c>
      <c r="X164" s="424"/>
      <c r="Y164" s="422" t="n">
        <f aca="false">(IF($A$1="bl",0,Peak!D165*'Peak Hours'!V164*'Peak Hours'!$Y164))*-1</f>
        <v>-135699.895035787</v>
      </c>
      <c r="Z164" s="424"/>
      <c r="AA164" s="422" t="n">
        <f aca="false">(Peak!E165*'Peak Hours'!V164*'Peak Hours'!$Y164)*-1</f>
        <v>-0</v>
      </c>
      <c r="AB164" s="425"/>
      <c r="AC164" s="422" t="n">
        <f aca="false">(Peak!F165*'Peak Hours'!V164*'Peak Hours'!$Y164)*-1</f>
        <v>-0</v>
      </c>
      <c r="AD164" s="425"/>
    </row>
    <row r="165" customFormat="false" ht="12.75" hidden="false" customHeight="false" outlineLevel="0" collapsed="false">
      <c r="A165" s="400" t="n">
        <f aca="false">A164+30.417</f>
        <v>41254.635</v>
      </c>
      <c r="B165" s="417" t="n">
        <f aca="false">IF($A$1="BL",0,'Peak Hours'!B165*Peak!H166*'Peak Hours'!$Y165)</f>
        <v>493781.732112918</v>
      </c>
      <c r="C165" s="417" t="n">
        <f aca="false">IF($A$1="BL",0,'Peak Hours'!C165*Peak!I166*'Peak Hours'!$Y165)</f>
        <v>482445.681721086</v>
      </c>
      <c r="D165" s="417" t="n">
        <f aca="false">IF($A$1="BL",0,'Peak Hours'!D165*Peak!J166*'Peak Hours'!$Y165)</f>
        <v>667858.980347434</v>
      </c>
      <c r="E165" s="417" t="n">
        <f aca="false">IF($A$1="BL",0,'Peak Hours'!E165*Peak!K166*'Peak Hours'!$Y165)</f>
        <v>1212148.95722773</v>
      </c>
      <c r="F165" s="417" t="n">
        <f aca="false">IF($A$1="BL",0,'Peak Hours'!F165*Peak!L166*'Peak Hours'!$Y165)</f>
        <v>1134691.00888365</v>
      </c>
      <c r="G165" s="417" t="n">
        <f aca="false">IF($A$1="BL",0,'Peak Hours'!G165*Peak!M166*'Peak Hours'!$Y165)</f>
        <v>2190195.97458247</v>
      </c>
      <c r="H165" s="417" t="n">
        <f aca="false">IF($A$1="BL",0,'Peak Hours'!H165*Peak!N166*'Peak Hours'!$Y165)</f>
        <v>2149378.08429255</v>
      </c>
      <c r="I165" s="417" t="n">
        <f aca="false">IF($A$1="BL",0,'Peak Hours'!I165*Peak!O166*'Peak Hours'!$Y165)</f>
        <v>1779729.7093947</v>
      </c>
      <c r="J165" s="417" t="n">
        <f aca="false">IF($A$1="BL",0,'Peak Hours'!J165*Peak!P166*'Peak Hours'!$Y165)</f>
        <v>1489452.26382356</v>
      </c>
      <c r="K165" s="417" t="n">
        <f aca="false">IF($A$1="BL",0,'Peak Hours'!K165*Peak!Q166*'Peak Hours'!$Y165)</f>
        <v>0</v>
      </c>
      <c r="L165" s="417" t="n">
        <f aca="false">IF($A$1="BL",0,'Peak Hours'!L165*Peak!R166*'Peak Hours'!$Y165)</f>
        <v>0</v>
      </c>
      <c r="M165" s="417" t="n">
        <f aca="false">IF($A$1="BL",0,'Peak Hours'!M165*Peak!S166*'Peak Hours'!$Y165)</f>
        <v>0</v>
      </c>
      <c r="N165" s="417" t="n">
        <f aca="false">IF($A$1="BL",0,'Peak Hours'!N165*Peak!T166*'Peak Hours'!$Y165)</f>
        <v>0</v>
      </c>
      <c r="O165" s="417" t="n">
        <f aca="false">IF($A$1="BL",0,'Peak Hours'!O165*Peak!U166*'Peak Hours'!$Y165)</f>
        <v>0</v>
      </c>
      <c r="P165" s="417" t="n">
        <f aca="false">IF($A$1="BL",0,'Peak Hours'!P165*Peak!V166*'Peak Hours'!$Y165)</f>
        <v>0</v>
      </c>
      <c r="Q165" s="417" t="n">
        <f aca="false">IF($A$1="BL",0,'Peak Hours'!Q165*Peak!W166*'Peak Hours'!$Y165)</f>
        <v>0</v>
      </c>
      <c r="R165" s="417" t="n">
        <f aca="false">IF($A$1="BL",0,'Peak Hours'!R165*Peak!X166*'Peak Hours'!$Y165)</f>
        <v>0</v>
      </c>
      <c r="S165" s="417" t="n">
        <f aca="false">IF($A$1="BL",0,'Peak Hours'!S165*Peak!Y166*'Peak Hours'!$Y165)</f>
        <v>0</v>
      </c>
      <c r="T165" s="417" t="n">
        <f aca="false">IF($A$1="BL",0,'Peak Hours'!T165*Peak!Z166*'Peak Hours'!$Y165)</f>
        <v>0</v>
      </c>
      <c r="U165" s="417" t="n">
        <f aca="false">IF($A$1="BL",0,'Peak Hours'!U165*Peak!AA166*'Peak Hours'!$Y165)</f>
        <v>0</v>
      </c>
      <c r="V165" s="426" t="n">
        <f aca="false">SUM(B154:U165)</f>
        <v>149704969.237769</v>
      </c>
      <c r="W165" s="422" t="n">
        <f aca="false">(IF($A$1="BL",0,Peak!C166*'Peak Hours'!V165*'Peak Hours'!$Y165))*-1</f>
        <v>-7131309.18352562</v>
      </c>
      <c r="X165" s="426" t="n">
        <f aca="false">SUM(W154:W165)</f>
        <v>-87589725.4663329</v>
      </c>
      <c r="Y165" s="422" t="n">
        <f aca="false">(IF($A$1="bl",0,Peak!D166*'Peak Hours'!V165*'Peak Hours'!$Y165))*-1</f>
        <v>-111900.087942446</v>
      </c>
      <c r="Z165" s="426" t="n">
        <f aca="false">SUM(Y154:Y165)</f>
        <v>-1616025.99651886</v>
      </c>
      <c r="AA165" s="422" t="n">
        <f aca="false">(Peak!E166*'Peak Hours'!V165*'Peak Hours'!$Y165)*-1</f>
        <v>-0</v>
      </c>
      <c r="AB165" s="427" t="n">
        <f aca="false">SUM(AA154:AA165)</f>
        <v>0</v>
      </c>
      <c r="AC165" s="422" t="n">
        <f aca="false">(Peak!F166*'Peak Hours'!V165*'Peak Hours'!$Y165)*-1</f>
        <v>-0</v>
      </c>
      <c r="AD165" s="427" t="n">
        <f aca="false">SUM(AC154:AC165)</f>
        <v>0</v>
      </c>
    </row>
    <row r="166" customFormat="false" ht="12.75" hidden="false" customHeight="false" outlineLevel="0" collapsed="false">
      <c r="A166" s="400" t="n">
        <f aca="false">A165+30.417</f>
        <v>41285.052</v>
      </c>
      <c r="B166" s="417" t="n">
        <f aca="false">IF($A$1="BL",0,'Peak Hours'!B166*Peak!H167*'Peak Hours'!$Y166)</f>
        <v>345767.096066978</v>
      </c>
      <c r="C166" s="417" t="n">
        <f aca="false">IF($A$1="BL",0,'Peak Hours'!C166*Peak!I167*'Peak Hours'!$Y166)</f>
        <v>333987.556815771</v>
      </c>
      <c r="D166" s="417" t="n">
        <f aca="false">IF($A$1="BL",0,'Peak Hours'!D166*Peak!J167*'Peak Hours'!$Y166)</f>
        <v>639382.683107996</v>
      </c>
      <c r="E166" s="417" t="n">
        <f aca="false">IF($A$1="BL",0,'Peak Hours'!E166*Peak!K167*'Peak Hours'!$Y166)</f>
        <v>1222663.66535325</v>
      </c>
      <c r="F166" s="417" t="n">
        <f aca="false">IF($A$1="BL",0,'Peak Hours'!F166*Peak!L167*'Peak Hours'!$Y166)</f>
        <v>1219827.88592256</v>
      </c>
      <c r="G166" s="417" t="n">
        <f aca="false">IF($A$1="BL",0,'Peak Hours'!G166*Peak!M167*'Peak Hours'!$Y166)</f>
        <v>2273875.86054996</v>
      </c>
      <c r="H166" s="417" t="n">
        <f aca="false">IF($A$1="BL",0,'Peak Hours'!H166*Peak!N167*'Peak Hours'!$Y166)</f>
        <v>1658345.89988989</v>
      </c>
      <c r="I166" s="417" t="n">
        <f aca="false">IF($A$1="BL",0,'Peak Hours'!I166*Peak!O167*'Peak Hours'!$Y166)</f>
        <v>1486670.53498011</v>
      </c>
      <c r="J166" s="417" t="n">
        <f aca="false">IF($A$1="BL",0,'Peak Hours'!J166*Peak!P167*'Peak Hours'!$Y166)</f>
        <v>1363034.38566732</v>
      </c>
      <c r="K166" s="417" t="n">
        <f aca="false">IF($A$1="BL",0,'Peak Hours'!K166*Peak!Q167*'Peak Hours'!$Y166)</f>
        <v>0</v>
      </c>
      <c r="L166" s="417" t="n">
        <f aca="false">IF($A$1="BL",0,'Peak Hours'!L166*Peak!R167*'Peak Hours'!$Y166)</f>
        <v>0</v>
      </c>
      <c r="M166" s="417" t="n">
        <f aca="false">IF($A$1="BL",0,'Peak Hours'!M166*Peak!S167*'Peak Hours'!$Y166)</f>
        <v>0</v>
      </c>
      <c r="N166" s="417" t="n">
        <f aca="false">IF($A$1="BL",0,'Peak Hours'!N166*Peak!T167*'Peak Hours'!$Y166)</f>
        <v>0</v>
      </c>
      <c r="O166" s="417" t="n">
        <f aca="false">IF($A$1="BL",0,'Peak Hours'!O166*Peak!U167*'Peak Hours'!$Y166)</f>
        <v>0</v>
      </c>
      <c r="P166" s="417" t="n">
        <f aca="false">IF($A$1="BL",0,'Peak Hours'!P166*Peak!V167*'Peak Hours'!$Y166)</f>
        <v>0</v>
      </c>
      <c r="Q166" s="417" t="n">
        <f aca="false">IF($A$1="BL",0,'Peak Hours'!Q166*Peak!W167*'Peak Hours'!$Y166)</f>
        <v>0</v>
      </c>
      <c r="R166" s="417" t="n">
        <f aca="false">IF($A$1="BL",0,'Peak Hours'!R166*Peak!X167*'Peak Hours'!$Y166)</f>
        <v>0</v>
      </c>
      <c r="S166" s="417" t="n">
        <f aca="false">IF($A$1="BL",0,'Peak Hours'!S166*Peak!Y167*'Peak Hours'!$Y166)</f>
        <v>0</v>
      </c>
      <c r="T166" s="417" t="n">
        <f aca="false">IF($A$1="BL",0,'Peak Hours'!T166*Peak!Z167*'Peak Hours'!$Y166)</f>
        <v>0</v>
      </c>
      <c r="U166" s="417" t="n">
        <f aca="false">IF($A$1="BL",0,'Peak Hours'!U166*Peak!AA167*'Peak Hours'!$Y166)</f>
        <v>0</v>
      </c>
      <c r="V166" s="424"/>
      <c r="W166" s="422" t="n">
        <f aca="false">(IF($A$1="BL",0,Peak!C167*'Peak Hours'!V166*'Peak Hours'!$Y166))*-1</f>
        <v>-7164414.04632452</v>
      </c>
      <c r="X166" s="424"/>
      <c r="Y166" s="422" t="n">
        <f aca="false">(IF($A$1="bl",0,Peak!D167*'Peak Hours'!V166*'Peak Hours'!$Y166))*-1</f>
        <v>-112086.588089017</v>
      </c>
      <c r="Z166" s="424"/>
      <c r="AA166" s="422" t="n">
        <f aca="false">(Peak!E167*'Peak Hours'!V166*'Peak Hours'!$Y166)*-1</f>
        <v>-0</v>
      </c>
      <c r="AB166" s="425"/>
      <c r="AC166" s="422" t="n">
        <f aca="false">(Peak!F167*'Peak Hours'!V166*'Peak Hours'!$Y166)*-1</f>
        <v>-0</v>
      </c>
      <c r="AD166" s="425"/>
    </row>
    <row r="167" customFormat="false" ht="12.75" hidden="false" customHeight="false" outlineLevel="0" collapsed="false">
      <c r="A167" s="400" t="n">
        <f aca="false">A166+30.417</f>
        <v>41315.469</v>
      </c>
      <c r="B167" s="417" t="n">
        <f aca="false">IF($A$1="BL",0,'Peak Hours'!B167*Peak!H168*'Peak Hours'!$Y167)</f>
        <v>494556.647285802</v>
      </c>
      <c r="C167" s="417" t="n">
        <f aca="false">IF($A$1="BL",0,'Peak Hours'!C167*Peak!I168*'Peak Hours'!$Y167)</f>
        <v>433971.707447072</v>
      </c>
      <c r="D167" s="417" t="n">
        <f aca="false">IF($A$1="BL",0,'Peak Hours'!D167*Peak!J168*'Peak Hours'!$Y167)</f>
        <v>626056.085022253</v>
      </c>
      <c r="E167" s="417" t="n">
        <f aca="false">IF($A$1="BL",0,'Peak Hours'!E167*Peak!K168*'Peak Hours'!$Y167)</f>
        <v>1051247.21753817</v>
      </c>
      <c r="F167" s="417" t="n">
        <f aca="false">IF($A$1="BL",0,'Peak Hours'!F167*Peak!L168*'Peak Hours'!$Y167)</f>
        <v>987290.079055921</v>
      </c>
      <c r="G167" s="417" t="n">
        <f aca="false">IF($A$1="BL",0,'Peak Hours'!G167*Peak!M168*'Peak Hours'!$Y167)</f>
        <v>1838741.93614627</v>
      </c>
      <c r="H167" s="417" t="n">
        <f aca="false">IF($A$1="BL",0,'Peak Hours'!H167*Peak!N168*'Peak Hours'!$Y167)</f>
        <v>1721690.24209911</v>
      </c>
      <c r="I167" s="417" t="n">
        <f aca="false">IF($A$1="BL",0,'Peak Hours'!I167*Peak!O168*'Peak Hours'!$Y167)</f>
        <v>1713051.52883471</v>
      </c>
      <c r="J167" s="417" t="n">
        <f aca="false">IF($A$1="BL",0,'Peak Hours'!J167*Peak!P168*'Peak Hours'!$Y167)</f>
        <v>1569661.22123237</v>
      </c>
      <c r="K167" s="417" t="n">
        <f aca="false">IF($A$1="BL",0,'Peak Hours'!K167*Peak!Q168*'Peak Hours'!$Y167)</f>
        <v>1220888.56922444</v>
      </c>
      <c r="L167" s="417" t="n">
        <f aca="false">IF($A$1="BL",0,'Peak Hours'!L167*Peak!R168*'Peak Hours'!$Y167)</f>
        <v>0</v>
      </c>
      <c r="M167" s="417" t="n">
        <f aca="false">IF($A$1="BL",0,'Peak Hours'!M167*Peak!S168*'Peak Hours'!$Y167)</f>
        <v>0</v>
      </c>
      <c r="N167" s="417" t="n">
        <f aca="false">IF($A$1="BL",0,'Peak Hours'!N167*Peak!T168*'Peak Hours'!$Y167)</f>
        <v>0</v>
      </c>
      <c r="O167" s="417" t="n">
        <f aca="false">IF($A$1="BL",0,'Peak Hours'!O167*Peak!U168*'Peak Hours'!$Y167)</f>
        <v>0</v>
      </c>
      <c r="P167" s="417" t="n">
        <f aca="false">IF($A$1="BL",0,'Peak Hours'!P167*Peak!V168*'Peak Hours'!$Y167)</f>
        <v>0</v>
      </c>
      <c r="Q167" s="417" t="n">
        <f aca="false">IF($A$1="BL",0,'Peak Hours'!Q167*Peak!W168*'Peak Hours'!$Y167)</f>
        <v>0</v>
      </c>
      <c r="R167" s="417" t="n">
        <f aca="false">IF($A$1="BL",0,'Peak Hours'!R167*Peak!X168*'Peak Hours'!$Y167)</f>
        <v>0</v>
      </c>
      <c r="S167" s="417" t="n">
        <f aca="false">IF($A$1="BL",0,'Peak Hours'!S167*Peak!Y168*'Peak Hours'!$Y167)</f>
        <v>0</v>
      </c>
      <c r="T167" s="417" t="n">
        <f aca="false">IF($A$1="BL",0,'Peak Hours'!T167*Peak!Z168*'Peak Hours'!$Y167)</f>
        <v>0</v>
      </c>
      <c r="U167" s="417" t="n">
        <f aca="false">IF($A$1="BL",0,'Peak Hours'!U167*Peak!AA168*'Peak Hours'!$Y167)</f>
        <v>0</v>
      </c>
      <c r="V167" s="424"/>
      <c r="W167" s="422" t="n">
        <f aca="false">(IF($A$1="BL",0,Peak!C168*'Peak Hours'!V167*'Peak Hours'!$Y167))*-1</f>
        <v>-7588805.11048059</v>
      </c>
      <c r="X167" s="424"/>
      <c r="Y167" s="422" t="n">
        <f aca="false">(IF($A$1="bl",0,Peak!D168*'Peak Hours'!V167*'Peak Hours'!$Y167))*-1</f>
        <v>-132686.744354468</v>
      </c>
      <c r="Z167" s="424"/>
      <c r="AA167" s="422" t="n">
        <f aca="false">(Peak!E168*'Peak Hours'!V167*'Peak Hours'!$Y167)*-1</f>
        <v>-0</v>
      </c>
      <c r="AB167" s="425"/>
      <c r="AC167" s="422" t="n">
        <f aca="false">(Peak!F168*'Peak Hours'!V167*'Peak Hours'!$Y167)*-1</f>
        <v>-0</v>
      </c>
      <c r="AD167" s="425"/>
    </row>
    <row r="168" customFormat="false" ht="12.75" hidden="false" customHeight="false" outlineLevel="0" collapsed="false">
      <c r="A168" s="400" t="n">
        <f aca="false">A167+30.417</f>
        <v>41345.886</v>
      </c>
      <c r="B168" s="417" t="n">
        <f aca="false">IF($A$1="BL",0,'Peak Hours'!B168*Peak!H169*'Peak Hours'!$Y168)</f>
        <v>438434.766085851</v>
      </c>
      <c r="C168" s="417" t="n">
        <f aca="false">IF($A$1="BL",0,'Peak Hours'!C168*Peak!I169*'Peak Hours'!$Y168)</f>
        <v>291344.665626731</v>
      </c>
      <c r="D168" s="417" t="n">
        <f aca="false">IF($A$1="BL",0,'Peak Hours'!D168*Peak!J169*'Peak Hours'!$Y168)</f>
        <v>531935.398566735</v>
      </c>
      <c r="E168" s="417" t="n">
        <f aca="false">IF($A$1="BL",0,'Peak Hours'!E168*Peak!K169*'Peak Hours'!$Y168)</f>
        <v>993425.382374413</v>
      </c>
      <c r="F168" s="417" t="n">
        <f aca="false">IF($A$1="BL",0,'Peak Hours'!F168*Peak!L169*'Peak Hours'!$Y168)</f>
        <v>922931.451282871</v>
      </c>
      <c r="G168" s="417" t="n">
        <f aca="false">IF($A$1="BL",0,'Peak Hours'!G168*Peak!M169*'Peak Hours'!$Y168)</f>
        <v>1832634.69197998</v>
      </c>
      <c r="H168" s="417" t="n">
        <f aca="false">IF($A$1="BL",0,'Peak Hours'!H168*Peak!N169*'Peak Hours'!$Y168)</f>
        <v>1742303.79228399</v>
      </c>
      <c r="I168" s="417" t="n">
        <f aca="false">IF($A$1="BL",0,'Peak Hours'!I168*Peak!O169*'Peak Hours'!$Y168)</f>
        <v>1410977.89216028</v>
      </c>
      <c r="J168" s="417" t="n">
        <f aca="false">IF($A$1="BL",0,'Peak Hours'!J168*Peak!P169*'Peak Hours'!$Y168)</f>
        <v>1282281.88267601</v>
      </c>
      <c r="K168" s="417" t="n">
        <f aca="false">IF($A$1="BL",0,'Peak Hours'!K168*Peak!Q169*'Peak Hours'!$Y168)</f>
        <v>1246438.6802799</v>
      </c>
      <c r="L168" s="417" t="n">
        <f aca="false">IF($A$1="BL",0,'Peak Hours'!L168*Peak!R169*'Peak Hours'!$Y168)</f>
        <v>0</v>
      </c>
      <c r="M168" s="417" t="n">
        <f aca="false">IF($A$1="BL",0,'Peak Hours'!M168*Peak!S169*'Peak Hours'!$Y168)</f>
        <v>0</v>
      </c>
      <c r="N168" s="417" t="n">
        <f aca="false">IF($A$1="BL",0,'Peak Hours'!N168*Peak!T169*'Peak Hours'!$Y168)</f>
        <v>0</v>
      </c>
      <c r="O168" s="417" t="n">
        <f aca="false">IF($A$1="BL",0,'Peak Hours'!O168*Peak!U169*'Peak Hours'!$Y168)</f>
        <v>0</v>
      </c>
      <c r="P168" s="417" t="n">
        <f aca="false">IF($A$1="BL",0,'Peak Hours'!P168*Peak!V169*'Peak Hours'!$Y168)</f>
        <v>0</v>
      </c>
      <c r="Q168" s="417" t="n">
        <f aca="false">IF($A$1="BL",0,'Peak Hours'!Q168*Peak!W169*'Peak Hours'!$Y168)</f>
        <v>0</v>
      </c>
      <c r="R168" s="417" t="n">
        <f aca="false">IF($A$1="BL",0,'Peak Hours'!R168*Peak!X169*'Peak Hours'!$Y168)</f>
        <v>0</v>
      </c>
      <c r="S168" s="417" t="n">
        <f aca="false">IF($A$1="BL",0,'Peak Hours'!S168*Peak!Y169*'Peak Hours'!$Y168)</f>
        <v>0</v>
      </c>
      <c r="T168" s="417" t="n">
        <f aca="false">IF($A$1="BL",0,'Peak Hours'!T168*Peak!Z169*'Peak Hours'!$Y168)</f>
        <v>0</v>
      </c>
      <c r="U168" s="417" t="n">
        <f aca="false">IF($A$1="BL",0,'Peak Hours'!U168*Peak!AA169*'Peak Hours'!$Y168)</f>
        <v>0</v>
      </c>
      <c r="V168" s="424"/>
      <c r="W168" s="422" t="n">
        <f aca="false">(IF($A$1="BL",0,Peak!C169*'Peak Hours'!V168*'Peak Hours'!$Y168))*-1</f>
        <v>-7668850.41909552</v>
      </c>
      <c r="X168" s="424"/>
      <c r="Y168" s="422" t="n">
        <f aca="false">(IF($A$1="bl",0,Peak!D169*'Peak Hours'!V168*'Peak Hours'!$Y168))*-1</f>
        <v>-136606.825181618</v>
      </c>
      <c r="Z168" s="424"/>
      <c r="AA168" s="422" t="n">
        <f aca="false">(Peak!E169*'Peak Hours'!V168*'Peak Hours'!$Y168)*-1</f>
        <v>-0</v>
      </c>
      <c r="AB168" s="425"/>
      <c r="AC168" s="422" t="n">
        <f aca="false">(Peak!F169*'Peak Hours'!V168*'Peak Hours'!$Y168)*-1</f>
        <v>-0</v>
      </c>
      <c r="AD168" s="425"/>
    </row>
    <row r="169" customFormat="false" ht="12.75" hidden="false" customHeight="false" outlineLevel="0" collapsed="false">
      <c r="A169" s="400" t="n">
        <f aca="false">A168+30.417</f>
        <v>41376.303</v>
      </c>
      <c r="B169" s="417" t="n">
        <f aca="false">IF($A$1="BL",0,'Peak Hours'!B169*Peak!H170*'Peak Hours'!$Y169)</f>
        <v>252133.723468753</v>
      </c>
      <c r="C169" s="417" t="n">
        <f aca="false">IF($A$1="BL",0,'Peak Hours'!C169*Peak!I170*'Peak Hours'!$Y169)</f>
        <v>236358.961412173</v>
      </c>
      <c r="D169" s="417" t="n">
        <f aca="false">IF($A$1="BL",0,'Peak Hours'!D169*Peak!J170*'Peak Hours'!$Y169)</f>
        <v>457514.668786372</v>
      </c>
      <c r="E169" s="417" t="n">
        <f aca="false">IF($A$1="BL",0,'Peak Hours'!E169*Peak!K170*'Peak Hours'!$Y169)</f>
        <v>873698.757462916</v>
      </c>
      <c r="F169" s="417" t="n">
        <f aca="false">IF($A$1="BL",0,'Peak Hours'!F169*Peak!L170*'Peak Hours'!$Y169)</f>
        <v>822518.807421654</v>
      </c>
      <c r="G169" s="417" t="n">
        <f aca="false">IF($A$1="BL",0,'Peak Hours'!G169*Peak!M170*'Peak Hours'!$Y169)</f>
        <v>1570439.38999595</v>
      </c>
      <c r="H169" s="417" t="n">
        <f aca="false">IF($A$1="BL",0,'Peak Hours'!H169*Peak!N170*'Peak Hours'!$Y169)</f>
        <v>1563504.88376621</v>
      </c>
      <c r="I169" s="417" t="n">
        <f aca="false">IF($A$1="BL",0,'Peak Hours'!I169*Peak!O170*'Peak Hours'!$Y169)</f>
        <v>1437883.88798786</v>
      </c>
      <c r="J169" s="417" t="n">
        <f aca="false">IF($A$1="BL",0,'Peak Hours'!J169*Peak!P170*'Peak Hours'!$Y169)</f>
        <v>1221842.28187536</v>
      </c>
      <c r="K169" s="417" t="n">
        <f aca="false">IF($A$1="BL",0,'Peak Hours'!K169*Peak!Q170*'Peak Hours'!$Y169)</f>
        <v>0</v>
      </c>
      <c r="L169" s="417" t="n">
        <f aca="false">IF($A$1="BL",0,'Peak Hours'!L169*Peak!R170*'Peak Hours'!$Y169)</f>
        <v>0</v>
      </c>
      <c r="M169" s="417" t="n">
        <f aca="false">IF($A$1="BL",0,'Peak Hours'!M169*Peak!S170*'Peak Hours'!$Y169)</f>
        <v>0</v>
      </c>
      <c r="N169" s="417" t="n">
        <f aca="false">IF($A$1="BL",0,'Peak Hours'!N169*Peak!T170*'Peak Hours'!$Y169)</f>
        <v>0</v>
      </c>
      <c r="O169" s="417" t="n">
        <f aca="false">IF($A$1="BL",0,'Peak Hours'!O169*Peak!U170*'Peak Hours'!$Y169)</f>
        <v>0</v>
      </c>
      <c r="P169" s="417" t="n">
        <f aca="false">IF($A$1="BL",0,'Peak Hours'!P169*Peak!V170*'Peak Hours'!$Y169)</f>
        <v>0</v>
      </c>
      <c r="Q169" s="417" t="n">
        <f aca="false">IF($A$1="BL",0,'Peak Hours'!Q169*Peak!W170*'Peak Hours'!$Y169)</f>
        <v>0</v>
      </c>
      <c r="R169" s="417" t="n">
        <f aca="false">IF($A$1="BL",0,'Peak Hours'!R169*Peak!X170*'Peak Hours'!$Y169)</f>
        <v>0</v>
      </c>
      <c r="S169" s="417" t="n">
        <f aca="false">IF($A$1="BL",0,'Peak Hours'!S169*Peak!Y170*'Peak Hours'!$Y169)</f>
        <v>0</v>
      </c>
      <c r="T169" s="417" t="n">
        <f aca="false">IF($A$1="BL",0,'Peak Hours'!T169*Peak!Z170*'Peak Hours'!$Y169)</f>
        <v>0</v>
      </c>
      <c r="U169" s="417" t="n">
        <f aca="false">IF($A$1="BL",0,'Peak Hours'!U169*Peak!AA170*'Peak Hours'!$Y169)</f>
        <v>0</v>
      </c>
      <c r="V169" s="424"/>
      <c r="W169" s="422" t="n">
        <f aca="false">(IF($A$1="BL",0,Peak!C170*'Peak Hours'!V169*'Peak Hours'!$Y169))*-1</f>
        <v>-6169145.6513309</v>
      </c>
      <c r="X169" s="424"/>
      <c r="Y169" s="422" t="n">
        <f aca="false">(IF($A$1="bl",0,Peak!D170*'Peak Hours'!V169*'Peak Hours'!$Y169))*-1</f>
        <v>-115783.041189189</v>
      </c>
      <c r="Z169" s="424"/>
      <c r="AA169" s="422" t="n">
        <f aca="false">(Peak!E170*'Peak Hours'!V169*'Peak Hours'!$Y169)*-1</f>
        <v>-0</v>
      </c>
      <c r="AB169" s="425"/>
      <c r="AC169" s="422" t="n">
        <f aca="false">(Peak!F170*'Peak Hours'!V169*'Peak Hours'!$Y169)*-1</f>
        <v>-0</v>
      </c>
      <c r="AD169" s="425"/>
    </row>
    <row r="170" customFormat="false" ht="12.75" hidden="false" customHeight="false" outlineLevel="0" collapsed="false">
      <c r="A170" s="400" t="n">
        <f aca="false">A169+30.417</f>
        <v>41406.72</v>
      </c>
      <c r="B170" s="417" t="n">
        <f aca="false">IF($A$1="BL",0,'Peak Hours'!B170*Peak!H171*'Peak Hours'!$Y170)</f>
        <v>442980.28752819</v>
      </c>
      <c r="C170" s="417" t="n">
        <f aca="false">IF($A$1="BL",0,'Peak Hours'!C170*Peak!I171*'Peak Hours'!$Y170)</f>
        <v>268533.756118395</v>
      </c>
      <c r="D170" s="417" t="n">
        <f aca="false">IF($A$1="BL",0,'Peak Hours'!D170*Peak!J171*'Peak Hours'!$Y170)</f>
        <v>446308.005779622</v>
      </c>
      <c r="E170" s="417" t="n">
        <f aca="false">IF($A$1="BL",0,'Peak Hours'!E170*Peak!K171*'Peak Hours'!$Y170)</f>
        <v>847630.431367058</v>
      </c>
      <c r="F170" s="417" t="n">
        <f aca="false">IF($A$1="BL",0,'Peak Hours'!F170*Peak!L171*'Peak Hours'!$Y170)</f>
        <v>746531.627709427</v>
      </c>
      <c r="G170" s="417" t="n">
        <f aca="false">IF($A$1="BL",0,'Peak Hours'!G170*Peak!M171*'Peak Hours'!$Y170)</f>
        <v>1393333.85857047</v>
      </c>
      <c r="H170" s="417" t="n">
        <f aca="false">IF($A$1="BL",0,'Peak Hours'!H170*Peak!N171*'Peak Hours'!$Y170)</f>
        <v>1319905.13752598</v>
      </c>
      <c r="I170" s="417" t="n">
        <f aca="false">IF($A$1="BL",0,'Peak Hours'!I170*Peak!O171*'Peak Hours'!$Y170)</f>
        <v>1298899.35860801</v>
      </c>
      <c r="J170" s="417" t="n">
        <f aca="false">IF($A$1="BL",0,'Peak Hours'!J170*Peak!P171*'Peak Hours'!$Y170)</f>
        <v>1220871.04771966</v>
      </c>
      <c r="K170" s="417" t="n">
        <f aca="false">IF($A$1="BL",0,'Peak Hours'!K170*Peak!Q171*'Peak Hours'!$Y170)</f>
        <v>0</v>
      </c>
      <c r="L170" s="417" t="n">
        <f aca="false">IF($A$1="BL",0,'Peak Hours'!L170*Peak!R171*'Peak Hours'!$Y170)</f>
        <v>0</v>
      </c>
      <c r="M170" s="417" t="n">
        <f aca="false">IF($A$1="BL",0,'Peak Hours'!M170*Peak!S171*'Peak Hours'!$Y170)</f>
        <v>0</v>
      </c>
      <c r="N170" s="417" t="n">
        <f aca="false">IF($A$1="BL",0,'Peak Hours'!N170*Peak!T171*'Peak Hours'!$Y170)</f>
        <v>0</v>
      </c>
      <c r="O170" s="417" t="n">
        <f aca="false">IF($A$1="BL",0,'Peak Hours'!O170*Peak!U171*'Peak Hours'!$Y170)</f>
        <v>0</v>
      </c>
      <c r="P170" s="417" t="n">
        <f aca="false">IF($A$1="BL",0,'Peak Hours'!P170*Peak!V171*'Peak Hours'!$Y170)</f>
        <v>0</v>
      </c>
      <c r="Q170" s="417" t="n">
        <f aca="false">IF($A$1="BL",0,'Peak Hours'!Q170*Peak!W171*'Peak Hours'!$Y170)</f>
        <v>0</v>
      </c>
      <c r="R170" s="417" t="n">
        <f aca="false">IF($A$1="BL",0,'Peak Hours'!R170*Peak!X171*'Peak Hours'!$Y170)</f>
        <v>0</v>
      </c>
      <c r="S170" s="417" t="n">
        <f aca="false">IF($A$1="BL",0,'Peak Hours'!S170*Peak!Y171*'Peak Hours'!$Y170)</f>
        <v>0</v>
      </c>
      <c r="T170" s="417" t="n">
        <f aca="false">IF($A$1="BL",0,'Peak Hours'!T170*Peak!Z171*'Peak Hours'!$Y170)</f>
        <v>0</v>
      </c>
      <c r="U170" s="417" t="n">
        <f aca="false">IF($A$1="BL",0,'Peak Hours'!U170*Peak!AA171*'Peak Hours'!$Y170)</f>
        <v>0</v>
      </c>
      <c r="V170" s="424"/>
      <c r="W170" s="422" t="n">
        <f aca="false">(IF($A$1="BL",0,Peak!C171*'Peak Hours'!V170*'Peak Hours'!$Y170))*-1</f>
        <v>-6495555.47415264</v>
      </c>
      <c r="X170" s="424"/>
      <c r="Y170" s="422" t="n">
        <f aca="false">(IF($A$1="bl",0,Peak!D171*'Peak Hours'!V170*'Peak Hours'!$Y170))*-1</f>
        <v>-115976.012924505</v>
      </c>
      <c r="Z170" s="424"/>
      <c r="AA170" s="422" t="n">
        <f aca="false">(Peak!E171*'Peak Hours'!V170*'Peak Hours'!$Y170)*-1</f>
        <v>-0</v>
      </c>
      <c r="AB170" s="425"/>
      <c r="AC170" s="422" t="n">
        <f aca="false">(Peak!F171*'Peak Hours'!V170*'Peak Hours'!$Y170)*-1</f>
        <v>-0</v>
      </c>
      <c r="AD170" s="425"/>
    </row>
    <row r="171" customFormat="false" ht="12.75" hidden="false" customHeight="false" outlineLevel="0" collapsed="false">
      <c r="A171" s="400" t="n">
        <f aca="false">A170+30.417</f>
        <v>41437.137</v>
      </c>
      <c r="B171" s="417" t="n">
        <f aca="false">IF($A$1="BL",0,'Peak Hours'!B171*Peak!H172*'Peak Hours'!$Y171)</f>
        <v>572464.22136743</v>
      </c>
      <c r="C171" s="417" t="n">
        <f aca="false">IF($A$1="BL",0,'Peak Hours'!C171*Peak!I172*'Peak Hours'!$Y171)</f>
        <v>525321.521655074</v>
      </c>
      <c r="D171" s="417" t="n">
        <f aca="false">IF($A$1="BL",0,'Peak Hours'!D171*Peak!J172*'Peak Hours'!$Y171)</f>
        <v>943653.432095661</v>
      </c>
      <c r="E171" s="417" t="n">
        <f aca="false">IF($A$1="BL",0,'Peak Hours'!E171*Peak!K172*'Peak Hours'!$Y171)</f>
        <v>1397151.65000412</v>
      </c>
      <c r="F171" s="417" t="n">
        <f aca="false">IF($A$1="BL",0,'Peak Hours'!F171*Peak!L172*'Peak Hours'!$Y171)</f>
        <v>1141458.91382444</v>
      </c>
      <c r="G171" s="417" t="n">
        <f aca="false">IF($A$1="BL",0,'Peak Hours'!G171*Peak!M172*'Peak Hours'!$Y171)</f>
        <v>2059397.30728949</v>
      </c>
      <c r="H171" s="417" t="n">
        <f aca="false">IF($A$1="BL",0,'Peak Hours'!H171*Peak!N172*'Peak Hours'!$Y171)</f>
        <v>1882178.6241907</v>
      </c>
      <c r="I171" s="417" t="n">
        <f aca="false">IF($A$1="BL",0,'Peak Hours'!I171*Peak!O172*'Peak Hours'!$Y171)</f>
        <v>1516455.11274644</v>
      </c>
      <c r="J171" s="417" t="n">
        <f aca="false">IF($A$1="BL",0,'Peak Hours'!J171*Peak!P172*'Peak Hours'!$Y171)</f>
        <v>1332678.69537013</v>
      </c>
      <c r="K171" s="417" t="n">
        <f aca="false">IF($A$1="BL",0,'Peak Hours'!K171*Peak!Q172*'Peak Hours'!$Y171)</f>
        <v>0</v>
      </c>
      <c r="L171" s="417" t="n">
        <f aca="false">IF($A$1="BL",0,'Peak Hours'!L171*Peak!R172*'Peak Hours'!$Y171)</f>
        <v>0</v>
      </c>
      <c r="M171" s="417" t="n">
        <f aca="false">IF($A$1="BL",0,'Peak Hours'!M171*Peak!S172*'Peak Hours'!$Y171)</f>
        <v>0</v>
      </c>
      <c r="N171" s="417" t="n">
        <f aca="false">IF($A$1="BL",0,'Peak Hours'!N171*Peak!T172*'Peak Hours'!$Y171)</f>
        <v>0</v>
      </c>
      <c r="O171" s="417" t="n">
        <f aca="false">IF($A$1="BL",0,'Peak Hours'!O171*Peak!U172*'Peak Hours'!$Y171)</f>
        <v>0</v>
      </c>
      <c r="P171" s="417" t="n">
        <f aca="false">IF($A$1="BL",0,'Peak Hours'!P171*Peak!V172*'Peak Hours'!$Y171)</f>
        <v>0</v>
      </c>
      <c r="Q171" s="417" t="n">
        <f aca="false">IF($A$1="BL",0,'Peak Hours'!Q171*Peak!W172*'Peak Hours'!$Y171)</f>
        <v>0</v>
      </c>
      <c r="R171" s="417" t="n">
        <f aca="false">IF($A$1="BL",0,'Peak Hours'!R171*Peak!X172*'Peak Hours'!$Y171)</f>
        <v>0</v>
      </c>
      <c r="S171" s="417" t="n">
        <f aca="false">IF($A$1="BL",0,'Peak Hours'!S171*Peak!Y172*'Peak Hours'!$Y171)</f>
        <v>0</v>
      </c>
      <c r="T171" s="417" t="n">
        <f aca="false">IF($A$1="BL",0,'Peak Hours'!T171*Peak!Z172*'Peak Hours'!$Y171)</f>
        <v>0</v>
      </c>
      <c r="U171" s="417" t="n">
        <f aca="false">IF($A$1="BL",0,'Peak Hours'!U171*Peak!AA172*'Peak Hours'!$Y171)</f>
        <v>0</v>
      </c>
      <c r="V171" s="424"/>
      <c r="W171" s="422" t="n">
        <f aca="false">(IF($A$1="BL",0,Peak!C172*'Peak Hours'!V171*'Peak Hours'!$Y171))*-1</f>
        <v>-6293752.07496972</v>
      </c>
      <c r="X171" s="424"/>
      <c r="Y171" s="422" t="n">
        <f aca="false">(IF($A$1="bl",0,Peak!D172*'Peak Hours'!V171*'Peak Hours'!$Y171))*-1</f>
        <v>-118140.682176658</v>
      </c>
      <c r="Z171" s="424"/>
      <c r="AA171" s="422" t="n">
        <f aca="false">(Peak!E172*'Peak Hours'!V171*'Peak Hours'!$Y171)*-1</f>
        <v>-0</v>
      </c>
      <c r="AB171" s="425"/>
      <c r="AC171" s="422" t="n">
        <f aca="false">(Peak!F172*'Peak Hours'!V171*'Peak Hours'!$Y171)*-1</f>
        <v>-0</v>
      </c>
      <c r="AD171" s="425"/>
    </row>
    <row r="172" customFormat="false" ht="12.75" hidden="false" customHeight="false" outlineLevel="0" collapsed="false">
      <c r="A172" s="400" t="n">
        <f aca="false">A171+30.417</f>
        <v>41467.554</v>
      </c>
      <c r="B172" s="417" t="n">
        <f aca="false">IF($A$1="BL",0,'Peak Hours'!B172*Peak!H173*'Peak Hours'!$Y172)</f>
        <v>1017030.22295707</v>
      </c>
      <c r="C172" s="417" t="n">
        <f aca="false">IF($A$1="BL",0,'Peak Hours'!C172*Peak!I173*'Peak Hours'!$Y172)</f>
        <v>808364.037622365</v>
      </c>
      <c r="D172" s="417" t="n">
        <f aca="false">IF($A$1="BL",0,'Peak Hours'!D172*Peak!J173*'Peak Hours'!$Y172)</f>
        <v>1474423.15479058</v>
      </c>
      <c r="E172" s="417" t="n">
        <f aca="false">IF($A$1="BL",0,'Peak Hours'!E172*Peak!K173*'Peak Hours'!$Y172)</f>
        <v>2628529.24386707</v>
      </c>
      <c r="F172" s="417" t="n">
        <f aca="false">IF($A$1="BL",0,'Peak Hours'!F172*Peak!L173*'Peak Hours'!$Y172)</f>
        <v>2363494.73139135</v>
      </c>
      <c r="G172" s="417" t="n">
        <f aca="false">IF($A$1="BL",0,'Peak Hours'!G172*Peak!M173*'Peak Hours'!$Y172)</f>
        <v>4249159.67877604</v>
      </c>
      <c r="H172" s="417" t="n">
        <f aca="false">IF($A$1="BL",0,'Peak Hours'!H172*Peak!N173*'Peak Hours'!$Y172)</f>
        <v>2885773.68006774</v>
      </c>
      <c r="I172" s="417" t="n">
        <f aca="false">IF($A$1="BL",0,'Peak Hours'!I172*Peak!O173*'Peak Hours'!$Y172)</f>
        <v>1627588.06179317</v>
      </c>
      <c r="J172" s="417" t="n">
        <f aca="false">IF($A$1="BL",0,'Peak Hours'!J172*Peak!P173*'Peak Hours'!$Y172)</f>
        <v>1378614.9662371</v>
      </c>
      <c r="K172" s="417" t="n">
        <f aca="false">IF($A$1="BL",0,'Peak Hours'!K172*Peak!Q173*'Peak Hours'!$Y172)</f>
        <v>1290238.69010131</v>
      </c>
      <c r="L172" s="417" t="n">
        <f aca="false">IF($A$1="BL",0,'Peak Hours'!L172*Peak!R173*'Peak Hours'!$Y172)</f>
        <v>1196106.2345284</v>
      </c>
      <c r="M172" s="417" t="n">
        <f aca="false">IF($A$1="BL",0,'Peak Hours'!M172*Peak!S173*'Peak Hours'!$Y172)</f>
        <v>0</v>
      </c>
      <c r="N172" s="417" t="n">
        <f aca="false">IF($A$1="BL",0,'Peak Hours'!N172*Peak!T173*'Peak Hours'!$Y172)</f>
        <v>0</v>
      </c>
      <c r="O172" s="417" t="n">
        <f aca="false">IF($A$1="BL",0,'Peak Hours'!O172*Peak!U173*'Peak Hours'!$Y172)</f>
        <v>0</v>
      </c>
      <c r="P172" s="417" t="n">
        <f aca="false">IF($A$1="BL",0,'Peak Hours'!P172*Peak!V173*'Peak Hours'!$Y172)</f>
        <v>0</v>
      </c>
      <c r="Q172" s="417" t="n">
        <f aca="false">IF($A$1="BL",0,'Peak Hours'!Q172*Peak!W173*'Peak Hours'!$Y172)</f>
        <v>0</v>
      </c>
      <c r="R172" s="417" t="n">
        <f aca="false">IF($A$1="BL",0,'Peak Hours'!R172*Peak!X173*'Peak Hours'!$Y172)</f>
        <v>0</v>
      </c>
      <c r="S172" s="417" t="n">
        <f aca="false">IF($A$1="BL",0,'Peak Hours'!S172*Peak!Y173*'Peak Hours'!$Y172)</f>
        <v>0</v>
      </c>
      <c r="T172" s="417" t="n">
        <f aca="false">IF($A$1="BL",0,'Peak Hours'!T172*Peak!Z173*'Peak Hours'!$Y172)</f>
        <v>0</v>
      </c>
      <c r="U172" s="417" t="n">
        <f aca="false">IF($A$1="BL",0,'Peak Hours'!U172*Peak!AA173*'Peak Hours'!$Y172)</f>
        <v>0</v>
      </c>
      <c r="V172" s="424"/>
      <c r="W172" s="422" t="n">
        <f aca="false">(IF($A$1="BL",0,Peak!C173*'Peak Hours'!V172*'Peak Hours'!$Y172))*-1</f>
        <v>-8555229.73366856</v>
      </c>
      <c r="X172" s="424"/>
      <c r="Y172" s="422" t="n">
        <f aca="false">(IF($A$1="bl",0,Peak!D173*'Peak Hours'!V172*'Peak Hours'!$Y172))*-1</f>
        <v>-161369.431791298</v>
      </c>
      <c r="Z172" s="424"/>
      <c r="AA172" s="422" t="n">
        <f aca="false">(Peak!E173*'Peak Hours'!V172*'Peak Hours'!$Y172)*-1</f>
        <v>-0</v>
      </c>
      <c r="AB172" s="425"/>
      <c r="AC172" s="422" t="n">
        <f aca="false">(Peak!F173*'Peak Hours'!V172*'Peak Hours'!$Y172)*-1</f>
        <v>-0</v>
      </c>
      <c r="AD172" s="425"/>
    </row>
    <row r="173" customFormat="false" ht="12.75" hidden="false" customHeight="false" outlineLevel="0" collapsed="false">
      <c r="A173" s="400" t="n">
        <f aca="false">A172+30.417</f>
        <v>41497.971</v>
      </c>
      <c r="B173" s="417" t="n">
        <f aca="false">IF($A$1="BL",0,'Peak Hours'!B173*Peak!H174*'Peak Hours'!$Y173)</f>
        <v>1162259.46753585</v>
      </c>
      <c r="C173" s="417" t="n">
        <f aca="false">IF($A$1="BL",0,'Peak Hours'!C173*Peak!I174*'Peak Hours'!$Y173)</f>
        <v>821798.33431613</v>
      </c>
      <c r="D173" s="417" t="n">
        <f aca="false">IF($A$1="BL",0,'Peak Hours'!D173*Peak!J174*'Peak Hours'!$Y173)</f>
        <v>1469783.14495067</v>
      </c>
      <c r="E173" s="417" t="n">
        <f aca="false">IF($A$1="BL",0,'Peak Hours'!E173*Peak!K174*'Peak Hours'!$Y173)</f>
        <v>2559599.46132704</v>
      </c>
      <c r="F173" s="417" t="n">
        <f aca="false">IF($A$1="BL",0,'Peak Hours'!F173*Peak!L174*'Peak Hours'!$Y173)</f>
        <v>2253674.73013828</v>
      </c>
      <c r="G173" s="417" t="n">
        <f aca="false">IF($A$1="BL",0,'Peak Hours'!G173*Peak!M174*'Peak Hours'!$Y173)</f>
        <v>3831989.7011884</v>
      </c>
      <c r="H173" s="417" t="n">
        <f aca="false">IF($A$1="BL",0,'Peak Hours'!H173*Peak!N174*'Peak Hours'!$Y173)</f>
        <v>2466925.7356604</v>
      </c>
      <c r="I173" s="417" t="n">
        <f aca="false">IF($A$1="BL",0,'Peak Hours'!I173*Peak!O174*'Peak Hours'!$Y173)</f>
        <v>2027135.10490861</v>
      </c>
      <c r="J173" s="417" t="n">
        <f aca="false">IF($A$1="BL",0,'Peak Hours'!J173*Peak!P174*'Peak Hours'!$Y173)</f>
        <v>1849647.92017553</v>
      </c>
      <c r="K173" s="417" t="n">
        <f aca="false">IF($A$1="BL",0,'Peak Hours'!K173*Peak!Q174*'Peak Hours'!$Y173)</f>
        <v>1440513.17272857</v>
      </c>
      <c r="L173" s="417" t="n">
        <f aca="false">IF($A$1="BL",0,'Peak Hours'!L173*Peak!R174*'Peak Hours'!$Y173)</f>
        <v>1232846.95961443</v>
      </c>
      <c r="M173" s="417" t="n">
        <f aca="false">IF($A$1="BL",0,'Peak Hours'!M173*Peak!S174*'Peak Hours'!$Y173)</f>
        <v>0</v>
      </c>
      <c r="N173" s="417" t="n">
        <f aca="false">IF($A$1="BL",0,'Peak Hours'!N173*Peak!T174*'Peak Hours'!$Y173)</f>
        <v>0</v>
      </c>
      <c r="O173" s="417" t="n">
        <f aca="false">IF($A$1="BL",0,'Peak Hours'!O173*Peak!U174*'Peak Hours'!$Y173)</f>
        <v>0</v>
      </c>
      <c r="P173" s="417" t="n">
        <f aca="false">IF($A$1="BL",0,'Peak Hours'!P173*Peak!V174*'Peak Hours'!$Y173)</f>
        <v>0</v>
      </c>
      <c r="Q173" s="417" t="n">
        <f aca="false">IF($A$1="BL",0,'Peak Hours'!Q173*Peak!W174*'Peak Hours'!$Y173)</f>
        <v>0</v>
      </c>
      <c r="R173" s="417" t="n">
        <f aca="false">IF($A$1="BL",0,'Peak Hours'!R173*Peak!X174*'Peak Hours'!$Y173)</f>
        <v>0</v>
      </c>
      <c r="S173" s="417" t="n">
        <f aca="false">IF($A$1="BL",0,'Peak Hours'!S173*Peak!Y174*'Peak Hours'!$Y173)</f>
        <v>0</v>
      </c>
      <c r="T173" s="417" t="n">
        <f aca="false">IF($A$1="BL",0,'Peak Hours'!T173*Peak!Z174*'Peak Hours'!$Y173)</f>
        <v>0</v>
      </c>
      <c r="U173" s="417" t="n">
        <f aca="false">IF($A$1="BL",0,'Peak Hours'!U173*Peak!AA174*'Peak Hours'!$Y173)</f>
        <v>0</v>
      </c>
      <c r="V173" s="424"/>
      <c r="W173" s="422" t="n">
        <f aca="false">(IF($A$1="BL",0,Peak!C174*'Peak Hours'!V173*'Peak Hours'!$Y173))*-1</f>
        <v>-8111625.22895982</v>
      </c>
      <c r="X173" s="424"/>
      <c r="Y173" s="422" t="n">
        <f aca="false">(IF($A$1="bl",0,Peak!D174*'Peak Hours'!V173*'Peak Hours'!$Y173))*-1</f>
        <v>-161638.380844284</v>
      </c>
      <c r="Z173" s="424"/>
      <c r="AA173" s="422" t="n">
        <f aca="false">(Peak!E174*'Peak Hours'!V173*'Peak Hours'!$Y173)*-1</f>
        <v>-0</v>
      </c>
      <c r="AB173" s="425"/>
      <c r="AC173" s="422" t="n">
        <f aca="false">(Peak!F174*'Peak Hours'!V173*'Peak Hours'!$Y173)*-1</f>
        <v>-0</v>
      </c>
      <c r="AD173" s="425"/>
    </row>
    <row r="174" customFormat="false" ht="12.75" hidden="false" customHeight="false" outlineLevel="0" collapsed="false">
      <c r="A174" s="400" t="n">
        <f aca="false">A173+30.417</f>
        <v>41528.388</v>
      </c>
      <c r="B174" s="417" t="n">
        <f aca="false">IF($A$1="BL",0,'Peak Hours'!B174*Peak!H175*'Peak Hours'!$Y174)</f>
        <v>553521.330064199</v>
      </c>
      <c r="C174" s="417" t="n">
        <f aca="false">IF($A$1="BL",0,'Peak Hours'!C174*Peak!I175*'Peak Hours'!$Y174)</f>
        <v>511104.919548112</v>
      </c>
      <c r="D174" s="417" t="n">
        <f aca="false">IF($A$1="BL",0,'Peak Hours'!D174*Peak!J175*'Peak Hours'!$Y174)</f>
        <v>852404.798811365</v>
      </c>
      <c r="E174" s="417" t="n">
        <f aca="false">IF($A$1="BL",0,'Peak Hours'!E174*Peak!K175*'Peak Hours'!$Y174)</f>
        <v>1237350.00862259</v>
      </c>
      <c r="F174" s="417" t="n">
        <f aca="false">IF($A$1="BL",0,'Peak Hours'!F174*Peak!L175*'Peak Hours'!$Y174)</f>
        <v>1068103.23560169</v>
      </c>
      <c r="G174" s="417" t="n">
        <f aca="false">IF($A$1="BL",0,'Peak Hours'!G174*Peak!M175*'Peak Hours'!$Y174)</f>
        <v>1979687.53587089</v>
      </c>
      <c r="H174" s="417" t="n">
        <f aca="false">IF($A$1="BL",0,'Peak Hours'!H174*Peak!N175*'Peak Hours'!$Y174)</f>
        <v>1903506.38523857</v>
      </c>
      <c r="I174" s="417" t="n">
        <f aca="false">IF($A$1="BL",0,'Peak Hours'!I174*Peak!O175*'Peak Hours'!$Y174)</f>
        <v>1370264.54320385</v>
      </c>
      <c r="J174" s="417" t="n">
        <f aca="false">IF($A$1="BL",0,'Peak Hours'!J174*Peak!P175*'Peak Hours'!$Y174)</f>
        <v>1273789.06841738</v>
      </c>
      <c r="K174" s="417" t="n">
        <f aca="false">IF($A$1="BL",0,'Peak Hours'!K174*Peak!Q175*'Peak Hours'!$Y174)</f>
        <v>1142405.60850977</v>
      </c>
      <c r="L174" s="417" t="n">
        <f aca="false">IF($A$1="BL",0,'Peak Hours'!L174*Peak!R175*'Peak Hours'!$Y174)</f>
        <v>0</v>
      </c>
      <c r="M174" s="417" t="n">
        <f aca="false">IF($A$1="BL",0,'Peak Hours'!M174*Peak!S175*'Peak Hours'!$Y174)</f>
        <v>0</v>
      </c>
      <c r="N174" s="417" t="n">
        <f aca="false">IF($A$1="BL",0,'Peak Hours'!N174*Peak!T175*'Peak Hours'!$Y174)</f>
        <v>0</v>
      </c>
      <c r="O174" s="417" t="n">
        <f aca="false">IF($A$1="BL",0,'Peak Hours'!O174*Peak!U175*'Peak Hours'!$Y174)</f>
        <v>0</v>
      </c>
      <c r="P174" s="417" t="n">
        <f aca="false">IF($A$1="BL",0,'Peak Hours'!P174*Peak!V175*'Peak Hours'!$Y174)</f>
        <v>0</v>
      </c>
      <c r="Q174" s="417" t="n">
        <f aca="false">IF($A$1="BL",0,'Peak Hours'!Q174*Peak!W175*'Peak Hours'!$Y174)</f>
        <v>0</v>
      </c>
      <c r="R174" s="417" t="n">
        <f aca="false">IF($A$1="BL",0,'Peak Hours'!R174*Peak!X175*'Peak Hours'!$Y174)</f>
        <v>0</v>
      </c>
      <c r="S174" s="417" t="n">
        <f aca="false">IF($A$1="BL",0,'Peak Hours'!S174*Peak!Y175*'Peak Hours'!$Y174)</f>
        <v>0</v>
      </c>
      <c r="T174" s="417" t="n">
        <f aca="false">IF($A$1="BL",0,'Peak Hours'!T174*Peak!Z175*'Peak Hours'!$Y174)</f>
        <v>0</v>
      </c>
      <c r="U174" s="417" t="n">
        <f aca="false">IF($A$1="BL",0,'Peak Hours'!U174*Peak!AA175*'Peak Hours'!$Y174)</f>
        <v>0</v>
      </c>
      <c r="V174" s="424"/>
      <c r="W174" s="422" t="n">
        <f aca="false">(IF($A$1="BL",0,Peak!C175*'Peak Hours'!V174*'Peak Hours'!$Y174))*-1</f>
        <v>-6889621.15115925</v>
      </c>
      <c r="X174" s="424"/>
      <c r="Y174" s="422" t="n">
        <f aca="false">(IF($A$1="bl",0,Peak!D175*'Peak Hours'!V174*'Peak Hours'!$Y174))*-1</f>
        <v>-137978.598049085</v>
      </c>
      <c r="Z174" s="424"/>
      <c r="AA174" s="422" t="n">
        <f aca="false">(Peak!E175*'Peak Hours'!V174*'Peak Hours'!$Y174)*-1</f>
        <v>-0</v>
      </c>
      <c r="AB174" s="425"/>
      <c r="AC174" s="422" t="n">
        <f aca="false">(Peak!F175*'Peak Hours'!V174*'Peak Hours'!$Y174)*-1</f>
        <v>-0</v>
      </c>
      <c r="AD174" s="425"/>
    </row>
    <row r="175" customFormat="false" ht="12.75" hidden="false" customHeight="false" outlineLevel="0" collapsed="false">
      <c r="A175" s="400" t="n">
        <f aca="false">A174+30.417</f>
        <v>41558.805</v>
      </c>
      <c r="B175" s="417" t="n">
        <f aca="false">IF($A$1="BL",0,'Peak Hours'!B175*Peak!H176*'Peak Hours'!$Y175)</f>
        <v>233433.847672139</v>
      </c>
      <c r="C175" s="417" t="n">
        <f aca="false">IF($A$1="BL",0,'Peak Hours'!C175*Peak!I176*'Peak Hours'!$Y175)</f>
        <v>225637.025935185</v>
      </c>
      <c r="D175" s="417" t="n">
        <f aca="false">IF($A$1="BL",0,'Peak Hours'!D175*Peak!J176*'Peak Hours'!$Y175)</f>
        <v>450082.748831299</v>
      </c>
      <c r="E175" s="417" t="n">
        <f aca="false">IF($A$1="BL",0,'Peak Hours'!E175*Peak!K176*'Peak Hours'!$Y175)</f>
        <v>897697.682136525</v>
      </c>
      <c r="F175" s="417" t="n">
        <f aca="false">IF($A$1="BL",0,'Peak Hours'!F175*Peak!L176*'Peak Hours'!$Y175)</f>
        <v>801029.914621025</v>
      </c>
      <c r="G175" s="417" t="n">
        <f aca="false">IF($A$1="BL",0,'Peak Hours'!G175*Peak!M176*'Peak Hours'!$Y175)</f>
        <v>1370487.44046817</v>
      </c>
      <c r="H175" s="417" t="n">
        <f aca="false">IF($A$1="BL",0,'Peak Hours'!H175*Peak!N176*'Peak Hours'!$Y175)</f>
        <v>1266320.1443978</v>
      </c>
      <c r="I175" s="417" t="n">
        <f aca="false">IF($A$1="BL",0,'Peak Hours'!I175*Peak!O176*'Peak Hours'!$Y175)</f>
        <v>1249305.35498631</v>
      </c>
      <c r="J175" s="417" t="n">
        <f aca="false">IF($A$1="BL",0,'Peak Hours'!J175*Peak!P176*'Peak Hours'!$Y175)</f>
        <v>1202652.66632052</v>
      </c>
      <c r="K175" s="417" t="n">
        <f aca="false">IF($A$1="BL",0,'Peak Hours'!K175*Peak!Q176*'Peak Hours'!$Y175)</f>
        <v>0</v>
      </c>
      <c r="L175" s="417" t="n">
        <f aca="false">IF($A$1="BL",0,'Peak Hours'!L175*Peak!R176*'Peak Hours'!$Y175)</f>
        <v>0</v>
      </c>
      <c r="M175" s="417" t="n">
        <f aca="false">IF($A$1="BL",0,'Peak Hours'!M175*Peak!S176*'Peak Hours'!$Y175)</f>
        <v>0</v>
      </c>
      <c r="N175" s="417" t="n">
        <f aca="false">IF($A$1="BL",0,'Peak Hours'!N175*Peak!T176*'Peak Hours'!$Y175)</f>
        <v>0</v>
      </c>
      <c r="O175" s="417" t="n">
        <f aca="false">IF($A$1="BL",0,'Peak Hours'!O175*Peak!U176*'Peak Hours'!$Y175)</f>
        <v>0</v>
      </c>
      <c r="P175" s="417" t="n">
        <f aca="false">IF($A$1="BL",0,'Peak Hours'!P175*Peak!V176*'Peak Hours'!$Y175)</f>
        <v>0</v>
      </c>
      <c r="Q175" s="417" t="n">
        <f aca="false">IF($A$1="BL",0,'Peak Hours'!Q175*Peak!W176*'Peak Hours'!$Y175)</f>
        <v>0</v>
      </c>
      <c r="R175" s="417" t="n">
        <f aca="false">IF($A$1="BL",0,'Peak Hours'!R175*Peak!X176*'Peak Hours'!$Y175)</f>
        <v>0</v>
      </c>
      <c r="S175" s="417" t="n">
        <f aca="false">IF($A$1="BL",0,'Peak Hours'!S175*Peak!Y176*'Peak Hours'!$Y175)</f>
        <v>0</v>
      </c>
      <c r="T175" s="417" t="n">
        <f aca="false">IF($A$1="BL",0,'Peak Hours'!T175*Peak!Z176*'Peak Hours'!$Y175)</f>
        <v>0</v>
      </c>
      <c r="U175" s="417" t="n">
        <f aca="false">IF($A$1="BL",0,'Peak Hours'!U175*Peak!AA176*'Peak Hours'!$Y175)</f>
        <v>0</v>
      </c>
      <c r="V175" s="424"/>
      <c r="W175" s="422" t="n">
        <f aca="false">(IF($A$1="BL",0,Peak!C176*'Peak Hours'!V175*'Peak Hours'!$Y175))*-1</f>
        <v>-6456386.29541403</v>
      </c>
      <c r="X175" s="424"/>
      <c r="Y175" s="422" t="n">
        <f aca="false">(IF($A$1="bl",0,Peak!D176*'Peak Hours'!V175*'Peak Hours'!$Y175))*-1</f>
        <v>-116945.706628526</v>
      </c>
      <c r="Z175" s="424"/>
      <c r="AA175" s="422" t="n">
        <f aca="false">(Peak!E176*'Peak Hours'!V175*'Peak Hours'!$Y175)*-1</f>
        <v>-0</v>
      </c>
      <c r="AB175" s="425"/>
      <c r="AC175" s="422" t="n">
        <f aca="false">(Peak!F176*'Peak Hours'!V175*'Peak Hours'!$Y175)*-1</f>
        <v>-0</v>
      </c>
      <c r="AD175" s="425"/>
    </row>
    <row r="176" customFormat="false" ht="12.75" hidden="false" customHeight="false" outlineLevel="0" collapsed="false">
      <c r="A176" s="400" t="n">
        <f aca="false">A175+30.417</f>
        <v>41589.222</v>
      </c>
      <c r="B176" s="417" t="n">
        <f aca="false">IF($A$1="BL",0,'Peak Hours'!B176*Peak!H177*'Peak Hours'!$Y176)</f>
        <v>550615.608501558</v>
      </c>
      <c r="C176" s="417" t="n">
        <f aca="false">IF($A$1="BL",0,'Peak Hours'!C176*Peak!I177*'Peak Hours'!$Y176)</f>
        <v>525101.755931204</v>
      </c>
      <c r="D176" s="417" t="n">
        <f aca="false">IF($A$1="BL",0,'Peak Hours'!D176*Peak!J177*'Peak Hours'!$Y176)</f>
        <v>1015413.76480175</v>
      </c>
      <c r="E176" s="417" t="n">
        <f aca="false">IF($A$1="BL",0,'Peak Hours'!E176*Peak!K177*'Peak Hours'!$Y176)</f>
        <v>1596043.12147996</v>
      </c>
      <c r="F176" s="417" t="n">
        <f aca="false">IF($A$1="BL",0,'Peak Hours'!F176*Peak!L177*'Peak Hours'!$Y176)</f>
        <v>1106810.34176633</v>
      </c>
      <c r="G176" s="417" t="n">
        <f aca="false">IF($A$1="BL",0,'Peak Hours'!G176*Peak!M177*'Peak Hours'!$Y176)</f>
        <v>1917071.25253061</v>
      </c>
      <c r="H176" s="417" t="n">
        <f aca="false">IF($A$1="BL",0,'Peak Hours'!H176*Peak!N177*'Peak Hours'!$Y176)</f>
        <v>1759560.20447972</v>
      </c>
      <c r="I176" s="417" t="n">
        <f aca="false">IF($A$1="BL",0,'Peak Hours'!I176*Peak!O177*'Peak Hours'!$Y176)</f>
        <v>1627892.83015688</v>
      </c>
      <c r="J176" s="417" t="n">
        <f aca="false">IF($A$1="BL",0,'Peak Hours'!J176*Peak!P177*'Peak Hours'!$Y176)</f>
        <v>1605220.96853589</v>
      </c>
      <c r="K176" s="417" t="n">
        <f aca="false">IF($A$1="BL",0,'Peak Hours'!K176*Peak!Q177*'Peak Hours'!$Y176)</f>
        <v>1536456.34216822</v>
      </c>
      <c r="L176" s="417" t="n">
        <f aca="false">IF($A$1="BL",0,'Peak Hours'!L176*Peak!R177*'Peak Hours'!$Y176)</f>
        <v>0</v>
      </c>
      <c r="M176" s="417" t="n">
        <f aca="false">IF($A$1="BL",0,'Peak Hours'!M176*Peak!S177*'Peak Hours'!$Y176)</f>
        <v>0</v>
      </c>
      <c r="N176" s="417" t="n">
        <f aca="false">IF($A$1="BL",0,'Peak Hours'!N176*Peak!T177*'Peak Hours'!$Y176)</f>
        <v>0</v>
      </c>
      <c r="O176" s="417" t="n">
        <f aca="false">IF($A$1="BL",0,'Peak Hours'!O176*Peak!U177*'Peak Hours'!$Y176)</f>
        <v>0</v>
      </c>
      <c r="P176" s="417" t="n">
        <f aca="false">IF($A$1="BL",0,'Peak Hours'!P176*Peak!V177*'Peak Hours'!$Y176)</f>
        <v>0</v>
      </c>
      <c r="Q176" s="417" t="n">
        <f aca="false">IF($A$1="BL",0,'Peak Hours'!Q176*Peak!W177*'Peak Hours'!$Y176)</f>
        <v>0</v>
      </c>
      <c r="R176" s="417" t="n">
        <f aca="false">IF($A$1="BL",0,'Peak Hours'!R176*Peak!X177*'Peak Hours'!$Y176)</f>
        <v>0</v>
      </c>
      <c r="S176" s="417" t="n">
        <f aca="false">IF($A$1="BL",0,'Peak Hours'!S176*Peak!Y177*'Peak Hours'!$Y176)</f>
        <v>0</v>
      </c>
      <c r="T176" s="417" t="n">
        <f aca="false">IF($A$1="BL",0,'Peak Hours'!T176*Peak!Z177*'Peak Hours'!$Y176)</f>
        <v>0</v>
      </c>
      <c r="U176" s="417" t="n">
        <f aca="false">IF($A$1="BL",0,'Peak Hours'!U176*Peak!AA177*'Peak Hours'!$Y176)</f>
        <v>0</v>
      </c>
      <c r="V176" s="424"/>
      <c r="W176" s="422" t="n">
        <f aca="false">(IF($A$1="BL",0,Peak!C177*'Peak Hours'!V176*'Peak Hours'!$Y176))*-1</f>
        <v>-8355497.99183143</v>
      </c>
      <c r="X176" s="424"/>
      <c r="Y176" s="422" t="n">
        <f aca="false">(IF($A$1="bl",0,Peak!D177*'Peak Hours'!V176*'Peak Hours'!$Y176))*-1</f>
        <v>-138438.909983132</v>
      </c>
      <c r="Z176" s="424"/>
      <c r="AA176" s="422" t="n">
        <f aca="false">(Peak!E177*'Peak Hours'!V176*'Peak Hours'!$Y176)*-1</f>
        <v>-0</v>
      </c>
      <c r="AB176" s="425"/>
      <c r="AC176" s="422" t="n">
        <f aca="false">(Peak!F177*'Peak Hours'!V176*'Peak Hours'!$Y176)*-1</f>
        <v>-0</v>
      </c>
      <c r="AD176" s="425"/>
    </row>
    <row r="177" customFormat="false" ht="12.75" hidden="false" customHeight="false" outlineLevel="0" collapsed="false">
      <c r="A177" s="400" t="n">
        <f aca="false">A176+30.417</f>
        <v>41619.639</v>
      </c>
      <c r="B177" s="417" t="n">
        <f aca="false">IF($A$1="BL",0,'Peak Hours'!B177*Peak!H178*'Peak Hours'!$Y177)</f>
        <v>536269.107520616</v>
      </c>
      <c r="C177" s="417" t="n">
        <f aca="false">IF($A$1="BL",0,'Peak Hours'!C177*Peak!I178*'Peak Hours'!$Y177)</f>
        <v>512953.727774997</v>
      </c>
      <c r="D177" s="417" t="n">
        <f aca="false">IF($A$1="BL",0,'Peak Hours'!D177*Peak!J178*'Peak Hours'!$Y177)</f>
        <v>993048.773094213</v>
      </c>
      <c r="E177" s="417" t="n">
        <f aca="false">IF($A$1="BL",0,'Peak Hours'!E177*Peak!K178*'Peak Hours'!$Y177)</f>
        <v>1724773.50751752</v>
      </c>
      <c r="F177" s="417" t="n">
        <f aca="false">IF($A$1="BL",0,'Peak Hours'!F177*Peak!L178*'Peak Hours'!$Y177)</f>
        <v>1211633.73734968</v>
      </c>
      <c r="G177" s="417" t="n">
        <f aca="false">IF($A$1="BL",0,'Peak Hours'!G177*Peak!M178*'Peak Hours'!$Y177)</f>
        <v>2088003.90118361</v>
      </c>
      <c r="H177" s="417" t="n">
        <f aca="false">IF($A$1="BL",0,'Peak Hours'!H177*Peak!N178*'Peak Hours'!$Y177)</f>
        <v>1941254.75899751</v>
      </c>
      <c r="I177" s="417" t="n">
        <f aca="false">IF($A$1="BL",0,'Peak Hours'!I177*Peak!O178*'Peak Hours'!$Y177)</f>
        <v>1799612.08197172</v>
      </c>
      <c r="J177" s="417" t="n">
        <f aca="false">IF($A$1="BL",0,'Peak Hours'!J177*Peak!P178*'Peak Hours'!$Y177)</f>
        <v>1752073.44660119</v>
      </c>
      <c r="K177" s="417" t="n">
        <f aca="false">IF($A$1="BL",0,'Peak Hours'!K177*Peak!Q178*'Peak Hours'!$Y177)</f>
        <v>1734373.48934849</v>
      </c>
      <c r="L177" s="417" t="n">
        <f aca="false">IF($A$1="BL",0,'Peak Hours'!L177*Peak!R178*'Peak Hours'!$Y177)</f>
        <v>1487553.1059357</v>
      </c>
      <c r="M177" s="417" t="n">
        <f aca="false">IF($A$1="BL",0,'Peak Hours'!M177*Peak!S178*'Peak Hours'!$Y177)</f>
        <v>0</v>
      </c>
      <c r="N177" s="417" t="n">
        <f aca="false">IF($A$1="BL",0,'Peak Hours'!N177*Peak!T178*'Peak Hours'!$Y177)</f>
        <v>0</v>
      </c>
      <c r="O177" s="417" t="n">
        <f aca="false">IF($A$1="BL",0,'Peak Hours'!O177*Peak!U178*'Peak Hours'!$Y177)</f>
        <v>0</v>
      </c>
      <c r="P177" s="417" t="n">
        <f aca="false">IF($A$1="BL",0,'Peak Hours'!P177*Peak!V178*'Peak Hours'!$Y177)</f>
        <v>0</v>
      </c>
      <c r="Q177" s="417" t="n">
        <f aca="false">IF($A$1="BL",0,'Peak Hours'!Q177*Peak!W178*'Peak Hours'!$Y177)</f>
        <v>0</v>
      </c>
      <c r="R177" s="417" t="n">
        <f aca="false">IF($A$1="BL",0,'Peak Hours'!R177*Peak!X178*'Peak Hours'!$Y177)</f>
        <v>0</v>
      </c>
      <c r="S177" s="417" t="n">
        <f aca="false">IF($A$1="BL",0,'Peak Hours'!S177*Peak!Y178*'Peak Hours'!$Y177)</f>
        <v>0</v>
      </c>
      <c r="T177" s="417" t="n">
        <f aca="false">IF($A$1="BL",0,'Peak Hours'!T177*Peak!Z178*'Peak Hours'!$Y177)</f>
        <v>0</v>
      </c>
      <c r="U177" s="417" t="n">
        <f aca="false">IF($A$1="BL",0,'Peak Hours'!U177*Peak!AA178*'Peak Hours'!$Y177)</f>
        <v>0</v>
      </c>
      <c r="V177" s="426" t="n">
        <f aca="false">SUM(B166:U177)</f>
        <v>151331084.278785</v>
      </c>
      <c r="W177" s="422" t="n">
        <f aca="false">(IF($A$1="BL",0,Peak!C178*'Peak Hours'!V177*'Peak Hours'!$Y177))*-1</f>
        <v>-10150741.3712432</v>
      </c>
      <c r="X177" s="426" t="n">
        <f aca="false">SUM(W166:W177)</f>
        <v>-89899624.5486301</v>
      </c>
      <c r="Y177" s="422" t="n">
        <f aca="false">(IF($A$1="bl",0,Peak!D178*'Peak Hours'!V177*'Peak Hours'!$Y177))*-1</f>
        <v>-155670.980615819</v>
      </c>
      <c r="Z177" s="426" t="n">
        <f aca="false">SUM(Y166:Y177)</f>
        <v>-1603321.9018276</v>
      </c>
      <c r="AA177" s="422" t="n">
        <f aca="false">(Peak!E178*'Peak Hours'!V177*'Peak Hours'!$Y177)*-1</f>
        <v>-0</v>
      </c>
      <c r="AB177" s="427" t="n">
        <f aca="false">SUM(AA166:AA177)</f>
        <v>0</v>
      </c>
      <c r="AC177" s="422" t="n">
        <f aca="false">(Peak!F178*'Peak Hours'!V177*'Peak Hours'!$Y177)*-1</f>
        <v>-0</v>
      </c>
      <c r="AD177" s="427" t="n">
        <f aca="false">SUM(AC166:AC177)</f>
        <v>0</v>
      </c>
    </row>
    <row r="178" customFormat="false" ht="12.75" hidden="false" customHeight="false" outlineLevel="0" collapsed="false">
      <c r="A178" s="400" t="n">
        <f aca="false">A177+30.417</f>
        <v>41650.056</v>
      </c>
      <c r="B178" s="417" t="n">
        <f aca="false">IF($A$1="BL",0,'Peak Hours'!B178*Peak!H179*'Peak Hours'!$Y178)</f>
        <v>357821.462007183</v>
      </c>
      <c r="C178" s="417" t="n">
        <f aca="false">IF($A$1="BL",0,'Peak Hours'!C178*Peak!I179*'Peak Hours'!$Y178)</f>
        <v>340650.811632052</v>
      </c>
      <c r="D178" s="417" t="n">
        <f aca="false">IF($A$1="BL",0,'Peak Hours'!D178*Peak!J179*'Peak Hours'!$Y178)</f>
        <v>648323.382800303</v>
      </c>
      <c r="E178" s="417" t="n">
        <f aca="false">IF($A$1="BL",0,'Peak Hours'!E178*Peak!K179*'Peak Hours'!$Y178)</f>
        <v>1212571.24504742</v>
      </c>
      <c r="F178" s="417" t="n">
        <f aca="false">IF($A$1="BL",0,'Peak Hours'!F178*Peak!L179*'Peak Hours'!$Y178)</f>
        <v>1181170.77613208</v>
      </c>
      <c r="G178" s="417" t="n">
        <f aca="false">IF($A$1="BL",0,'Peak Hours'!G178*Peak!M179*'Peak Hours'!$Y178)</f>
        <v>2314695.84269303</v>
      </c>
      <c r="H178" s="417" t="n">
        <f aca="false">IF($A$1="BL",0,'Peak Hours'!H178*Peak!N179*'Peak Hours'!$Y178)</f>
        <v>1844662.07431835</v>
      </c>
      <c r="I178" s="417" t="n">
        <f aca="false">IF($A$1="BL",0,'Peak Hours'!I178*Peak!O179*'Peak Hours'!$Y178)</f>
        <v>1568360.83222152</v>
      </c>
      <c r="J178" s="417" t="n">
        <f aca="false">IF($A$1="BL",0,'Peak Hours'!J178*Peak!P179*'Peak Hours'!$Y178)</f>
        <v>1338741.8078466</v>
      </c>
      <c r="K178" s="417" t="n">
        <f aca="false">IF($A$1="BL",0,'Peak Hours'!K178*Peak!Q179*'Peak Hours'!$Y178)</f>
        <v>0</v>
      </c>
      <c r="L178" s="417" t="n">
        <f aca="false">IF($A$1="BL",0,'Peak Hours'!L178*Peak!R179*'Peak Hours'!$Y178)</f>
        <v>0</v>
      </c>
      <c r="M178" s="417" t="n">
        <f aca="false">IF($A$1="BL",0,'Peak Hours'!M178*Peak!S179*'Peak Hours'!$Y178)</f>
        <v>0</v>
      </c>
      <c r="N178" s="417" t="n">
        <f aca="false">IF($A$1="BL",0,'Peak Hours'!N178*Peak!T179*'Peak Hours'!$Y178)</f>
        <v>0</v>
      </c>
      <c r="O178" s="417" t="n">
        <f aca="false">IF($A$1="BL",0,'Peak Hours'!O178*Peak!U179*'Peak Hours'!$Y178)</f>
        <v>0</v>
      </c>
      <c r="P178" s="417" t="n">
        <f aca="false">IF($A$1="BL",0,'Peak Hours'!P178*Peak!V179*'Peak Hours'!$Y178)</f>
        <v>0</v>
      </c>
      <c r="Q178" s="417" t="n">
        <f aca="false">IF($A$1="BL",0,'Peak Hours'!Q178*Peak!W179*'Peak Hours'!$Y178)</f>
        <v>0</v>
      </c>
      <c r="R178" s="417" t="n">
        <f aca="false">IF($A$1="BL",0,'Peak Hours'!R178*Peak!X179*'Peak Hours'!$Y178)</f>
        <v>0</v>
      </c>
      <c r="S178" s="417" t="n">
        <f aca="false">IF($A$1="BL",0,'Peak Hours'!S178*Peak!Y179*'Peak Hours'!$Y178)</f>
        <v>0</v>
      </c>
      <c r="T178" s="417" t="n">
        <f aca="false">IF($A$1="BL",0,'Peak Hours'!T178*Peak!Z179*'Peak Hours'!$Y178)</f>
        <v>0</v>
      </c>
      <c r="U178" s="417" t="n">
        <f aca="false">IF($A$1="BL",0,'Peak Hours'!U178*Peak!AA179*'Peak Hours'!$Y178)</f>
        <v>0</v>
      </c>
      <c r="V178" s="424"/>
      <c r="W178" s="422" t="n">
        <f aca="false">(IF($A$1="BL",0,Peak!C179*'Peak Hours'!V178*'Peak Hours'!$Y178))*-1</f>
        <v>-7205278.94311657</v>
      </c>
      <c r="X178" s="424"/>
      <c r="Y178" s="422" t="n">
        <f aca="false">(IF($A$1="bl",0,Peak!D179*'Peak Hours'!V178*'Peak Hours'!$Y178))*-1</f>
        <v>-114348.983650131</v>
      </c>
      <c r="Z178" s="424"/>
      <c r="AA178" s="422" t="n">
        <f aca="false">(Peak!E179*'Peak Hours'!V178*'Peak Hours'!$Y178)*-1</f>
        <v>-0</v>
      </c>
      <c r="AB178" s="425"/>
      <c r="AC178" s="422" t="n">
        <f aca="false">(Peak!F179*'Peak Hours'!V178*'Peak Hours'!$Y178)*-1</f>
        <v>-0</v>
      </c>
      <c r="AD178" s="425"/>
    </row>
    <row r="179" customFormat="false" ht="12.75" hidden="false" customHeight="false" outlineLevel="0" collapsed="false">
      <c r="A179" s="400" t="n">
        <f aca="false">A178+30.417</f>
        <v>41680.473</v>
      </c>
      <c r="B179" s="417" t="n">
        <f aca="false">IF($A$1="BL",0,'Peak Hours'!B179*Peak!H180*'Peak Hours'!$Y179)</f>
        <v>508181.235028633</v>
      </c>
      <c r="C179" s="417" t="n">
        <f aca="false">IF($A$1="BL",0,'Peak Hours'!C179*Peak!I180*'Peak Hours'!$Y179)</f>
        <v>490765.796751964</v>
      </c>
      <c r="D179" s="417" t="n">
        <f aca="false">IF($A$1="BL",0,'Peak Hours'!D179*Peak!J180*'Peak Hours'!$Y179)</f>
        <v>955327.08358086</v>
      </c>
      <c r="E179" s="417" t="n">
        <f aca="false">IF($A$1="BL",0,'Peak Hours'!E179*Peak!K180*'Peak Hours'!$Y179)</f>
        <v>1508998.52632451</v>
      </c>
      <c r="F179" s="417" t="n">
        <f aca="false">IF($A$1="BL",0,'Peak Hours'!F179*Peak!L180*'Peak Hours'!$Y179)</f>
        <v>1190061.22442528</v>
      </c>
      <c r="G179" s="417" t="n">
        <f aca="false">IF($A$1="BL",0,'Peak Hours'!G179*Peak!M180*'Peak Hours'!$Y179)</f>
        <v>2182744.30963499</v>
      </c>
      <c r="H179" s="417" t="n">
        <f aca="false">IF($A$1="BL",0,'Peak Hours'!H179*Peak!N180*'Peak Hours'!$Y179)</f>
        <v>2065644.92136789</v>
      </c>
      <c r="I179" s="417" t="n">
        <f aca="false">IF($A$1="BL",0,'Peak Hours'!I179*Peak!O180*'Peak Hours'!$Y179)</f>
        <v>2019742.56379286</v>
      </c>
      <c r="J179" s="417" t="n">
        <f aca="false">IF($A$1="BL",0,'Peak Hours'!J179*Peak!P180*'Peak Hours'!$Y179)</f>
        <v>1621684.43942649</v>
      </c>
      <c r="K179" s="417" t="n">
        <f aca="false">IF($A$1="BL",0,'Peak Hours'!K179*Peak!Q180*'Peak Hours'!$Y179)</f>
        <v>1399497.0367981</v>
      </c>
      <c r="L179" s="417" t="n">
        <f aca="false">IF($A$1="BL",0,'Peak Hours'!L179*Peak!R180*'Peak Hours'!$Y179)</f>
        <v>1195503.60300946</v>
      </c>
      <c r="M179" s="417" t="n">
        <f aca="false">IF($A$1="BL",0,'Peak Hours'!M179*Peak!S180*'Peak Hours'!$Y179)</f>
        <v>0</v>
      </c>
      <c r="N179" s="417" t="n">
        <f aca="false">IF($A$1="BL",0,'Peak Hours'!N179*Peak!T180*'Peak Hours'!$Y179)</f>
        <v>0</v>
      </c>
      <c r="O179" s="417" t="n">
        <f aca="false">IF($A$1="BL",0,'Peak Hours'!O179*Peak!U180*'Peak Hours'!$Y179)</f>
        <v>0</v>
      </c>
      <c r="P179" s="417" t="n">
        <f aca="false">IF($A$1="BL",0,'Peak Hours'!P179*Peak!V180*'Peak Hours'!$Y179)</f>
        <v>0</v>
      </c>
      <c r="Q179" s="417" t="n">
        <f aca="false">IF($A$1="BL",0,'Peak Hours'!Q179*Peak!W180*'Peak Hours'!$Y179)</f>
        <v>0</v>
      </c>
      <c r="R179" s="417" t="n">
        <f aca="false">IF($A$1="BL",0,'Peak Hours'!R179*Peak!X180*'Peak Hours'!$Y179)</f>
        <v>0</v>
      </c>
      <c r="S179" s="417" t="n">
        <f aca="false">IF($A$1="BL",0,'Peak Hours'!S179*Peak!Y180*'Peak Hours'!$Y179)</f>
        <v>0</v>
      </c>
      <c r="T179" s="417" t="n">
        <f aca="false">IF($A$1="BL",0,'Peak Hours'!T179*Peak!Z180*'Peak Hours'!$Y179)</f>
        <v>0</v>
      </c>
      <c r="U179" s="417" t="n">
        <f aca="false">IF($A$1="BL",0,'Peak Hours'!U179*Peak!AA180*'Peak Hours'!$Y179)</f>
        <v>0</v>
      </c>
      <c r="V179" s="424"/>
      <c r="W179" s="422" t="n">
        <f aca="false">(IF($A$1="BL",0,Peak!C180*'Peak Hours'!V179*'Peak Hours'!$Y179))*-1</f>
        <v>-8806258.47617367</v>
      </c>
      <c r="X179" s="424"/>
      <c r="Y179" s="422" t="n">
        <f aca="false">(IF($A$1="bl",0,Peak!D180*'Peak Hours'!V179*'Peak Hours'!$Y179))*-1</f>
        <v>-156190.316303929</v>
      </c>
      <c r="Z179" s="424"/>
      <c r="AA179" s="422" t="n">
        <f aca="false">(Peak!E180*'Peak Hours'!V179*'Peak Hours'!$Y179)*-1</f>
        <v>-0</v>
      </c>
      <c r="AB179" s="425"/>
      <c r="AC179" s="422" t="n">
        <f aca="false">(Peak!F180*'Peak Hours'!V179*'Peak Hours'!$Y179)*-1</f>
        <v>-0</v>
      </c>
      <c r="AD179" s="425"/>
    </row>
    <row r="180" customFormat="false" ht="12.75" hidden="false" customHeight="false" outlineLevel="0" collapsed="false">
      <c r="A180" s="400" t="n">
        <f aca="false">A179+30.417</f>
        <v>41710.89</v>
      </c>
      <c r="B180" s="417" t="n">
        <f aca="false">IF($A$1="BL",0,'Peak Hours'!B180*Peak!H181*'Peak Hours'!$Y180)</f>
        <v>337498.985741894</v>
      </c>
      <c r="C180" s="417" t="n">
        <f aca="false">IF($A$1="BL",0,'Peak Hours'!C180*Peak!I181*'Peak Hours'!$Y180)</f>
        <v>325145.13323106</v>
      </c>
      <c r="D180" s="417" t="n">
        <f aca="false">IF($A$1="BL",0,'Peak Hours'!D180*Peak!J181*'Peak Hours'!$Y180)</f>
        <v>601650.844574804</v>
      </c>
      <c r="E180" s="417" t="n">
        <f aca="false">IF($A$1="BL",0,'Peak Hours'!E180*Peak!K181*'Peak Hours'!$Y180)</f>
        <v>1076177.3722662</v>
      </c>
      <c r="F180" s="417" t="n">
        <f aca="false">IF($A$1="BL",0,'Peak Hours'!F180*Peak!L181*'Peak Hours'!$Y180)</f>
        <v>1029887.86668663</v>
      </c>
      <c r="G180" s="417" t="n">
        <f aca="false">IF($A$1="BL",0,'Peak Hours'!G180*Peak!M181*'Peak Hours'!$Y180)</f>
        <v>1939061.79032213</v>
      </c>
      <c r="H180" s="417" t="n">
        <f aca="false">IF($A$1="BL",0,'Peak Hours'!H180*Peak!N181*'Peak Hours'!$Y180)</f>
        <v>1893165.87203444</v>
      </c>
      <c r="I180" s="417" t="n">
        <f aca="false">IF($A$1="BL",0,'Peak Hours'!I180*Peak!O181*'Peak Hours'!$Y180)</f>
        <v>1865171.44768683</v>
      </c>
      <c r="J180" s="417" t="n">
        <f aca="false">IF($A$1="BL",0,'Peak Hours'!J180*Peak!P181*'Peak Hours'!$Y180)</f>
        <v>1424404.10865592</v>
      </c>
      <c r="K180" s="417" t="n">
        <f aca="false">IF($A$1="BL",0,'Peak Hours'!K180*Peak!Q181*'Peak Hours'!$Y180)</f>
        <v>1300983.49419218</v>
      </c>
      <c r="L180" s="417" t="n">
        <f aca="false">IF($A$1="BL",0,'Peak Hours'!L180*Peak!R181*'Peak Hours'!$Y180)</f>
        <v>1257369.72707665</v>
      </c>
      <c r="M180" s="417" t="n">
        <f aca="false">IF($A$1="BL",0,'Peak Hours'!M180*Peak!S181*'Peak Hours'!$Y180)</f>
        <v>0</v>
      </c>
      <c r="N180" s="417" t="n">
        <f aca="false">IF($A$1="BL",0,'Peak Hours'!N180*Peak!T181*'Peak Hours'!$Y180)</f>
        <v>0</v>
      </c>
      <c r="O180" s="417" t="n">
        <f aca="false">IF($A$1="BL",0,'Peak Hours'!O180*Peak!U181*'Peak Hours'!$Y180)</f>
        <v>0</v>
      </c>
      <c r="P180" s="417" t="n">
        <f aca="false">IF($A$1="BL",0,'Peak Hours'!P180*Peak!V181*'Peak Hours'!$Y180)</f>
        <v>0</v>
      </c>
      <c r="Q180" s="417" t="n">
        <f aca="false">IF($A$1="BL",0,'Peak Hours'!Q180*Peak!W181*'Peak Hours'!$Y180)</f>
        <v>0</v>
      </c>
      <c r="R180" s="417" t="n">
        <f aca="false">IF($A$1="BL",0,'Peak Hours'!R180*Peak!X181*'Peak Hours'!$Y180)</f>
        <v>0</v>
      </c>
      <c r="S180" s="417" t="n">
        <f aca="false">IF($A$1="BL",0,'Peak Hours'!S180*Peak!Y181*'Peak Hours'!$Y180)</f>
        <v>0</v>
      </c>
      <c r="T180" s="417" t="n">
        <f aca="false">IF($A$1="BL",0,'Peak Hours'!T180*Peak!Z181*'Peak Hours'!$Y180)</f>
        <v>0</v>
      </c>
      <c r="U180" s="417" t="n">
        <f aca="false">IF($A$1="BL",0,'Peak Hours'!U180*Peak!AA181*'Peak Hours'!$Y180)</f>
        <v>0</v>
      </c>
      <c r="V180" s="424"/>
      <c r="W180" s="422" t="n">
        <f aca="false">(IF($A$1="BL",0,Peak!C181*'Peak Hours'!V180*'Peak Hours'!$Y180))*-1</f>
        <v>-8899145.2570576</v>
      </c>
      <c r="X180" s="424"/>
      <c r="Y180" s="422" t="n">
        <f aca="false">(IF($A$1="bl",0,Peak!D181*'Peak Hours'!V180*'Peak Hours'!$Y180))*-1</f>
        <v>-160804.783764928</v>
      </c>
      <c r="Z180" s="424"/>
      <c r="AA180" s="422" t="n">
        <f aca="false">(Peak!E181*'Peak Hours'!V180*'Peak Hours'!$Y180)*-1</f>
        <v>-0</v>
      </c>
      <c r="AB180" s="425"/>
      <c r="AC180" s="422" t="n">
        <f aca="false">(Peak!F181*'Peak Hours'!V180*'Peak Hours'!$Y180)*-1</f>
        <v>-0</v>
      </c>
      <c r="AD180" s="425"/>
    </row>
    <row r="181" customFormat="false" ht="12.75" hidden="false" customHeight="false" outlineLevel="0" collapsed="false">
      <c r="A181" s="400" t="n">
        <f aca="false">A180+30.417</f>
        <v>41741.307</v>
      </c>
      <c r="B181" s="417" t="n">
        <f aca="false">IF($A$1="BL",0,'Peak Hours'!B181*Peak!H182*'Peak Hours'!$Y181)</f>
        <v>475769.057635161</v>
      </c>
      <c r="C181" s="417" t="n">
        <f aca="false">IF($A$1="BL",0,'Peak Hours'!C181*Peak!I182*'Peak Hours'!$Y181)</f>
        <v>329386.317414554</v>
      </c>
      <c r="D181" s="417" t="n">
        <f aca="false">IF($A$1="BL",0,'Peak Hours'!D181*Peak!J182*'Peak Hours'!$Y181)</f>
        <v>470966.708015452</v>
      </c>
      <c r="E181" s="417" t="n">
        <f aca="false">IF($A$1="BL",0,'Peak Hours'!E181*Peak!K182*'Peak Hours'!$Y181)</f>
        <v>872285.667750131</v>
      </c>
      <c r="F181" s="417" t="n">
        <f aca="false">IF($A$1="BL",0,'Peak Hours'!F181*Peak!L182*'Peak Hours'!$Y181)</f>
        <v>816230.122850691</v>
      </c>
      <c r="G181" s="417" t="n">
        <f aca="false">IF($A$1="BL",0,'Peak Hours'!G181*Peak!M182*'Peak Hours'!$Y181)</f>
        <v>1563571.64175901</v>
      </c>
      <c r="H181" s="417" t="n">
        <f aca="false">IF($A$1="BL",0,'Peak Hours'!H181*Peak!N182*'Peak Hours'!$Y181)</f>
        <v>1548640.1728417</v>
      </c>
      <c r="I181" s="417" t="n">
        <f aca="false">IF($A$1="BL",0,'Peak Hours'!I181*Peak!O182*'Peak Hours'!$Y181)</f>
        <v>1395805.89197328</v>
      </c>
      <c r="J181" s="417" t="n">
        <f aca="false">IF($A$1="BL",0,'Peak Hours'!J181*Peak!P182*'Peak Hours'!$Y181)</f>
        <v>1240551.28211621</v>
      </c>
      <c r="K181" s="417" t="n">
        <f aca="false">IF($A$1="BL",0,'Peak Hours'!K181*Peak!Q182*'Peak Hours'!$Y181)</f>
        <v>0</v>
      </c>
      <c r="L181" s="417" t="n">
        <f aca="false">IF($A$1="BL",0,'Peak Hours'!L181*Peak!R182*'Peak Hours'!$Y181)</f>
        <v>0</v>
      </c>
      <c r="M181" s="417" t="n">
        <f aca="false">IF($A$1="BL",0,'Peak Hours'!M181*Peak!S182*'Peak Hours'!$Y181)</f>
        <v>0</v>
      </c>
      <c r="N181" s="417" t="n">
        <f aca="false">IF($A$1="BL",0,'Peak Hours'!N181*Peak!T182*'Peak Hours'!$Y181)</f>
        <v>0</v>
      </c>
      <c r="O181" s="417" t="n">
        <f aca="false">IF($A$1="BL",0,'Peak Hours'!O181*Peak!U182*'Peak Hours'!$Y181)</f>
        <v>0</v>
      </c>
      <c r="P181" s="417" t="n">
        <f aca="false">IF($A$1="BL",0,'Peak Hours'!P181*Peak!V182*'Peak Hours'!$Y181)</f>
        <v>0</v>
      </c>
      <c r="Q181" s="417" t="n">
        <f aca="false">IF($A$1="BL",0,'Peak Hours'!Q181*Peak!W182*'Peak Hours'!$Y181)</f>
        <v>0</v>
      </c>
      <c r="R181" s="417" t="n">
        <f aca="false">IF($A$1="BL",0,'Peak Hours'!R181*Peak!X182*'Peak Hours'!$Y181)</f>
        <v>0</v>
      </c>
      <c r="S181" s="417" t="n">
        <f aca="false">IF($A$1="BL",0,'Peak Hours'!S181*Peak!Y182*'Peak Hours'!$Y181)</f>
        <v>0</v>
      </c>
      <c r="T181" s="417" t="n">
        <f aca="false">IF($A$1="BL",0,'Peak Hours'!T181*Peak!Z182*'Peak Hours'!$Y181)</f>
        <v>0</v>
      </c>
      <c r="U181" s="417" t="n">
        <f aca="false">IF($A$1="BL",0,'Peak Hours'!U181*Peak!AA182*'Peak Hours'!$Y181)</f>
        <v>0</v>
      </c>
      <c r="V181" s="424"/>
      <c r="W181" s="422" t="n">
        <f aca="false">(IF($A$1="BL",0,Peak!C182*'Peak Hours'!V181*'Peak Hours'!$Y181))*-1</f>
        <v>-6204333.66513171</v>
      </c>
      <c r="X181" s="424"/>
      <c r="Y181" s="422" t="n">
        <f aca="false">(IF($A$1="bl",0,Peak!D182*'Peak Hours'!V181*'Peak Hours'!$Y181))*-1</f>
        <v>-118120.047274438</v>
      </c>
      <c r="Z181" s="424"/>
      <c r="AA181" s="422" t="n">
        <f aca="false">(Peak!E182*'Peak Hours'!V181*'Peak Hours'!$Y181)*-1</f>
        <v>-0</v>
      </c>
      <c r="AB181" s="425"/>
      <c r="AC181" s="422" t="n">
        <f aca="false">(Peak!F182*'Peak Hours'!V181*'Peak Hours'!$Y181)*-1</f>
        <v>-0</v>
      </c>
      <c r="AD181" s="425"/>
    </row>
    <row r="182" customFormat="false" ht="12.75" hidden="false" customHeight="false" outlineLevel="0" collapsed="false">
      <c r="A182" s="400" t="n">
        <f aca="false">A181+30.417</f>
        <v>41771.724</v>
      </c>
      <c r="B182" s="417" t="n">
        <f aca="false">IF($A$1="BL",0,'Peak Hours'!B182*Peak!H183*'Peak Hours'!$Y182)</f>
        <v>389766.189222692</v>
      </c>
      <c r="C182" s="417" t="n">
        <f aca="false">IF($A$1="BL",0,'Peak Hours'!C182*Peak!I183*'Peak Hours'!$Y182)</f>
        <v>296655.014950933</v>
      </c>
      <c r="D182" s="417" t="n">
        <f aca="false">IF($A$1="BL",0,'Peak Hours'!D182*Peak!J183*'Peak Hours'!$Y182)</f>
        <v>483459.643911411</v>
      </c>
      <c r="E182" s="417" t="n">
        <f aca="false">IF($A$1="BL",0,'Peak Hours'!E182*Peak!K183*'Peak Hours'!$Y182)</f>
        <v>882886.864696496</v>
      </c>
      <c r="F182" s="417" t="n">
        <f aca="false">IF($A$1="BL",0,'Peak Hours'!F182*Peak!L183*'Peak Hours'!$Y182)</f>
        <v>810768.37563457</v>
      </c>
      <c r="G182" s="417" t="n">
        <f aca="false">IF($A$1="BL",0,'Peak Hours'!G182*Peak!M183*'Peak Hours'!$Y182)</f>
        <v>1595773.96880827</v>
      </c>
      <c r="H182" s="417" t="n">
        <f aca="false">IF($A$1="BL",0,'Peak Hours'!H182*Peak!N183*'Peak Hours'!$Y182)</f>
        <v>1407836.42904713</v>
      </c>
      <c r="I182" s="417" t="n">
        <f aca="false">IF($A$1="BL",0,'Peak Hours'!I182*Peak!O183*'Peak Hours'!$Y182)</f>
        <v>1246234.0681384</v>
      </c>
      <c r="J182" s="417" t="n">
        <f aca="false">IF($A$1="BL",0,'Peak Hours'!J182*Peak!P183*'Peak Hours'!$Y182)</f>
        <v>0</v>
      </c>
      <c r="K182" s="417" t="n">
        <f aca="false">IF($A$1="BL",0,'Peak Hours'!K182*Peak!Q183*'Peak Hours'!$Y182)</f>
        <v>0</v>
      </c>
      <c r="L182" s="417" t="n">
        <f aca="false">IF($A$1="BL",0,'Peak Hours'!L182*Peak!R183*'Peak Hours'!$Y182)</f>
        <v>0</v>
      </c>
      <c r="M182" s="417" t="n">
        <f aca="false">IF($A$1="BL",0,'Peak Hours'!M182*Peak!S183*'Peak Hours'!$Y182)</f>
        <v>0</v>
      </c>
      <c r="N182" s="417" t="n">
        <f aca="false">IF($A$1="BL",0,'Peak Hours'!N182*Peak!T183*'Peak Hours'!$Y182)</f>
        <v>0</v>
      </c>
      <c r="O182" s="417" t="n">
        <f aca="false">IF($A$1="BL",0,'Peak Hours'!O182*Peak!U183*'Peak Hours'!$Y182)</f>
        <v>0</v>
      </c>
      <c r="P182" s="417" t="n">
        <f aca="false">IF($A$1="BL",0,'Peak Hours'!P182*Peak!V183*'Peak Hours'!$Y182)</f>
        <v>0</v>
      </c>
      <c r="Q182" s="417" t="n">
        <f aca="false">IF($A$1="BL",0,'Peak Hours'!Q182*Peak!W183*'Peak Hours'!$Y182)</f>
        <v>0</v>
      </c>
      <c r="R182" s="417" t="n">
        <f aca="false">IF($A$1="BL",0,'Peak Hours'!R182*Peak!X183*'Peak Hours'!$Y182)</f>
        <v>0</v>
      </c>
      <c r="S182" s="417" t="n">
        <f aca="false">IF($A$1="BL",0,'Peak Hours'!S182*Peak!Y183*'Peak Hours'!$Y182)</f>
        <v>0</v>
      </c>
      <c r="T182" s="417" t="n">
        <f aca="false">IF($A$1="BL",0,'Peak Hours'!T182*Peak!Z183*'Peak Hours'!$Y182)</f>
        <v>0</v>
      </c>
      <c r="U182" s="417" t="n">
        <f aca="false">IF($A$1="BL",0,'Peak Hours'!U182*Peak!AA183*'Peak Hours'!$Y182)</f>
        <v>0</v>
      </c>
      <c r="V182" s="424"/>
      <c r="W182" s="422" t="n">
        <f aca="false">(IF($A$1="BL",0,Peak!C183*'Peak Hours'!V182*'Peak Hours'!$Y182))*-1</f>
        <v>-5344858.87169355</v>
      </c>
      <c r="X182" s="424"/>
      <c r="Y182" s="422" t="n">
        <f aca="false">(IF($A$1="bl",0,Peak!D183*'Peak Hours'!V182*'Peak Hours'!$Y182))*-1</f>
        <v>-96804.7478344598</v>
      </c>
      <c r="Z182" s="424"/>
      <c r="AA182" s="422" t="n">
        <f aca="false">(Peak!E183*'Peak Hours'!V182*'Peak Hours'!$Y182)*-1</f>
        <v>-0</v>
      </c>
      <c r="AB182" s="425"/>
      <c r="AC182" s="422" t="n">
        <f aca="false">(Peak!F183*'Peak Hours'!V182*'Peak Hours'!$Y182)*-1</f>
        <v>-0</v>
      </c>
      <c r="AD182" s="425"/>
    </row>
    <row r="183" customFormat="false" ht="12.75" hidden="false" customHeight="false" outlineLevel="0" collapsed="false">
      <c r="A183" s="400" t="n">
        <f aca="false">A182+30.417</f>
        <v>41802.141</v>
      </c>
      <c r="B183" s="417" t="n">
        <f aca="false">IF($A$1="BL",0,'Peak Hours'!B183*Peak!H184*'Peak Hours'!$Y183)</f>
        <v>702356.407364884</v>
      </c>
      <c r="C183" s="417" t="n">
        <f aca="false">IF($A$1="BL",0,'Peak Hours'!C183*Peak!I184*'Peak Hours'!$Y183)</f>
        <v>643172.973834542</v>
      </c>
      <c r="D183" s="417" t="n">
        <f aca="false">IF($A$1="BL",0,'Peak Hours'!D183*Peak!J184*'Peak Hours'!$Y183)</f>
        <v>1190867.06611383</v>
      </c>
      <c r="E183" s="417" t="n">
        <f aca="false">IF($A$1="BL",0,'Peak Hours'!E183*Peak!K184*'Peak Hours'!$Y183)</f>
        <v>2156601.48284977</v>
      </c>
      <c r="F183" s="417" t="n">
        <f aca="false">IF($A$1="BL",0,'Peak Hours'!F183*Peak!L184*'Peak Hours'!$Y183)</f>
        <v>1964138.27923055</v>
      </c>
      <c r="G183" s="417" t="n">
        <f aca="false">IF($A$1="BL",0,'Peak Hours'!G183*Peak!M184*'Peak Hours'!$Y183)</f>
        <v>2097927.87214015</v>
      </c>
      <c r="H183" s="417" t="n">
        <f aca="false">IF($A$1="BL",0,'Peak Hours'!H183*Peak!N184*'Peak Hours'!$Y183)</f>
        <v>1713092.61564714</v>
      </c>
      <c r="I183" s="417" t="n">
        <f aca="false">IF($A$1="BL",0,'Peak Hours'!I183*Peak!O184*'Peak Hours'!$Y183)</f>
        <v>1610994.35738166</v>
      </c>
      <c r="J183" s="417" t="n">
        <f aca="false">IF($A$1="BL",0,'Peak Hours'!J183*Peak!P184*'Peak Hours'!$Y183)</f>
        <v>1219827.46159825</v>
      </c>
      <c r="K183" s="417" t="n">
        <f aca="false">IF($A$1="BL",0,'Peak Hours'!K183*Peak!Q184*'Peak Hours'!$Y183)</f>
        <v>0</v>
      </c>
      <c r="L183" s="417" t="n">
        <f aca="false">IF($A$1="BL",0,'Peak Hours'!L183*Peak!R184*'Peak Hours'!$Y183)</f>
        <v>0</v>
      </c>
      <c r="M183" s="417" t="n">
        <f aca="false">IF($A$1="BL",0,'Peak Hours'!M183*Peak!S184*'Peak Hours'!$Y183)</f>
        <v>0</v>
      </c>
      <c r="N183" s="417" t="n">
        <f aca="false">IF($A$1="BL",0,'Peak Hours'!N183*Peak!T184*'Peak Hours'!$Y183)</f>
        <v>0</v>
      </c>
      <c r="O183" s="417" t="n">
        <f aca="false">IF($A$1="BL",0,'Peak Hours'!O183*Peak!U184*'Peak Hours'!$Y183)</f>
        <v>0</v>
      </c>
      <c r="P183" s="417" t="n">
        <f aca="false">IF($A$1="BL",0,'Peak Hours'!P183*Peak!V184*'Peak Hours'!$Y183)</f>
        <v>0</v>
      </c>
      <c r="Q183" s="417" t="n">
        <f aca="false">IF($A$1="BL",0,'Peak Hours'!Q183*Peak!W184*'Peak Hours'!$Y183)</f>
        <v>0</v>
      </c>
      <c r="R183" s="417" t="n">
        <f aca="false">IF($A$1="BL",0,'Peak Hours'!R183*Peak!X184*'Peak Hours'!$Y183)</f>
        <v>0</v>
      </c>
      <c r="S183" s="417" t="n">
        <f aca="false">IF($A$1="BL",0,'Peak Hours'!S183*Peak!Y184*'Peak Hours'!$Y183)</f>
        <v>0</v>
      </c>
      <c r="T183" s="417" t="n">
        <f aca="false">IF($A$1="BL",0,'Peak Hours'!T183*Peak!Z184*'Peak Hours'!$Y183)</f>
        <v>0</v>
      </c>
      <c r="U183" s="417" t="n">
        <f aca="false">IF($A$1="BL",0,'Peak Hours'!U183*Peak!AA184*'Peak Hours'!$Y183)</f>
        <v>0</v>
      </c>
      <c r="V183" s="424"/>
      <c r="W183" s="422" t="n">
        <f aca="false">(IF($A$1="BL",0,Peak!C184*'Peak Hours'!V183*'Peak Hours'!$Y183))*-1</f>
        <v>-6329650.8277938</v>
      </c>
      <c r="X183" s="424"/>
      <c r="Y183" s="422" t="n">
        <f aca="false">(IF($A$1="bl",0,Peak!D184*'Peak Hours'!V183*'Peak Hours'!$Y183))*-1</f>
        <v>-120525.275726167</v>
      </c>
      <c r="Z183" s="424"/>
      <c r="AA183" s="422" t="n">
        <f aca="false">(Peak!E184*'Peak Hours'!V183*'Peak Hours'!$Y183)*-1</f>
        <v>-0</v>
      </c>
      <c r="AB183" s="425"/>
      <c r="AC183" s="422" t="n">
        <f aca="false">(Peak!F184*'Peak Hours'!V183*'Peak Hours'!$Y183)*-1</f>
        <v>-0</v>
      </c>
      <c r="AD183" s="425"/>
    </row>
    <row r="184" customFormat="false" ht="12.75" hidden="false" customHeight="false" outlineLevel="0" collapsed="false">
      <c r="A184" s="400" t="n">
        <f aca="false">A183+30.417</f>
        <v>41832.558</v>
      </c>
      <c r="B184" s="417" t="n">
        <f aca="false">IF($A$1="BL",0,'Peak Hours'!B184*Peak!H185*'Peak Hours'!$Y184)</f>
        <v>1074502.11280945</v>
      </c>
      <c r="C184" s="417" t="n">
        <f aca="false">IF($A$1="BL",0,'Peak Hours'!C184*Peak!I185*'Peak Hours'!$Y184)</f>
        <v>802624.764598381</v>
      </c>
      <c r="D184" s="417" t="n">
        <f aca="false">IF($A$1="BL",0,'Peak Hours'!D184*Peak!J185*'Peak Hours'!$Y184)</f>
        <v>1474304.50889019</v>
      </c>
      <c r="E184" s="417" t="n">
        <f aca="false">IF($A$1="BL",0,'Peak Hours'!E184*Peak!K185*'Peak Hours'!$Y184)</f>
        <v>2656896.02908368</v>
      </c>
      <c r="F184" s="417" t="n">
        <f aca="false">IF($A$1="BL",0,'Peak Hours'!F184*Peak!L185*'Peak Hours'!$Y184)</f>
        <v>2429485.46106253</v>
      </c>
      <c r="G184" s="417" t="n">
        <f aca="false">IF($A$1="BL",0,'Peak Hours'!G184*Peak!M185*'Peak Hours'!$Y184)</f>
        <v>4397150.38952499</v>
      </c>
      <c r="H184" s="417" t="n">
        <f aca="false">IF($A$1="BL",0,'Peak Hours'!H184*Peak!N185*'Peak Hours'!$Y184)</f>
        <v>3805567.51069837</v>
      </c>
      <c r="I184" s="417" t="n">
        <f aca="false">IF($A$1="BL",0,'Peak Hours'!I184*Peak!O185*'Peak Hours'!$Y184)</f>
        <v>1434379.03683921</v>
      </c>
      <c r="J184" s="417" t="n">
        <f aca="false">IF($A$1="BL",0,'Peak Hours'!J184*Peak!P185*'Peak Hours'!$Y184)</f>
        <v>1288077.05005644</v>
      </c>
      <c r="K184" s="417" t="n">
        <f aca="false">IF($A$1="BL",0,'Peak Hours'!K184*Peak!Q185*'Peak Hours'!$Y184)</f>
        <v>1232886.90703071</v>
      </c>
      <c r="L184" s="417" t="n">
        <f aca="false">IF($A$1="BL",0,'Peak Hours'!L184*Peak!R185*'Peak Hours'!$Y184)</f>
        <v>0</v>
      </c>
      <c r="M184" s="417" t="n">
        <f aca="false">IF($A$1="BL",0,'Peak Hours'!M184*Peak!S185*'Peak Hours'!$Y184)</f>
        <v>0</v>
      </c>
      <c r="N184" s="417" t="n">
        <f aca="false">IF($A$1="BL",0,'Peak Hours'!N184*Peak!T185*'Peak Hours'!$Y184)</f>
        <v>0</v>
      </c>
      <c r="O184" s="417" t="n">
        <f aca="false">IF($A$1="BL",0,'Peak Hours'!O184*Peak!U185*'Peak Hours'!$Y184)</f>
        <v>0</v>
      </c>
      <c r="P184" s="417" t="n">
        <f aca="false">IF($A$1="BL",0,'Peak Hours'!P184*Peak!V185*'Peak Hours'!$Y184)</f>
        <v>0</v>
      </c>
      <c r="Q184" s="417" t="n">
        <f aca="false">IF($A$1="BL",0,'Peak Hours'!Q184*Peak!W185*'Peak Hours'!$Y184)</f>
        <v>0</v>
      </c>
      <c r="R184" s="417" t="n">
        <f aca="false">IF($A$1="BL",0,'Peak Hours'!R184*Peak!X185*'Peak Hours'!$Y184)</f>
        <v>0</v>
      </c>
      <c r="S184" s="417" t="n">
        <f aca="false">IF($A$1="BL",0,'Peak Hours'!S184*Peak!Y185*'Peak Hours'!$Y184)</f>
        <v>0</v>
      </c>
      <c r="T184" s="417" t="n">
        <f aca="false">IF($A$1="BL",0,'Peak Hours'!T184*Peak!Z185*'Peak Hours'!$Y184)</f>
        <v>0</v>
      </c>
      <c r="U184" s="417" t="n">
        <f aca="false">IF($A$1="BL",0,'Peak Hours'!U184*Peak!AA185*'Peak Hours'!$Y184)</f>
        <v>0</v>
      </c>
      <c r="V184" s="424"/>
      <c r="W184" s="422" t="n">
        <f aca="false">(IF($A$1="BL",0,Peak!C185*'Peak Hours'!V184*'Peak Hours'!$Y184))*-1</f>
        <v>-7456823.97578125</v>
      </c>
      <c r="X184" s="424"/>
      <c r="Y184" s="422" t="n">
        <f aca="false">(IF($A$1="bl",0,Peak!D185*'Peak Hours'!V184*'Peak Hours'!$Y184))*-1</f>
        <v>-142676.360492203</v>
      </c>
      <c r="Z184" s="424"/>
      <c r="AA184" s="422" t="n">
        <f aca="false">(Peak!E185*'Peak Hours'!V184*'Peak Hours'!$Y184)*-1</f>
        <v>-0</v>
      </c>
      <c r="AB184" s="425"/>
      <c r="AC184" s="422" t="n">
        <f aca="false">(Peak!F185*'Peak Hours'!V184*'Peak Hours'!$Y184)*-1</f>
        <v>-0</v>
      </c>
      <c r="AD184" s="425"/>
    </row>
    <row r="185" customFormat="false" ht="12.75" hidden="false" customHeight="false" outlineLevel="0" collapsed="false">
      <c r="A185" s="400" t="n">
        <f aca="false">A184+30.417</f>
        <v>41862.975</v>
      </c>
      <c r="B185" s="417" t="n">
        <f aca="false">IF($A$1="BL",0,'Peak Hours'!B185*Peak!H186*'Peak Hours'!$Y185)</f>
        <v>1102593.99877313</v>
      </c>
      <c r="C185" s="417" t="n">
        <f aca="false">IF($A$1="BL",0,'Peak Hours'!C185*Peak!I186*'Peak Hours'!$Y185)</f>
        <v>786665.245685379</v>
      </c>
      <c r="D185" s="417" t="n">
        <f aca="false">IF($A$1="BL",0,'Peak Hours'!D185*Peak!J186*'Peak Hours'!$Y185)</f>
        <v>1419518.76347705</v>
      </c>
      <c r="E185" s="417" t="n">
        <f aca="false">IF($A$1="BL",0,'Peak Hours'!E185*Peak!K186*'Peak Hours'!$Y185)</f>
        <v>2499558.27301628</v>
      </c>
      <c r="F185" s="417" t="n">
        <f aca="false">IF($A$1="BL",0,'Peak Hours'!F185*Peak!L186*'Peak Hours'!$Y185)</f>
        <v>2223121.29791258</v>
      </c>
      <c r="G185" s="417" t="n">
        <f aca="false">IF($A$1="BL",0,'Peak Hours'!G185*Peak!M186*'Peak Hours'!$Y185)</f>
        <v>3930620.0792973</v>
      </c>
      <c r="H185" s="417" t="n">
        <f aca="false">IF($A$1="BL",0,'Peak Hours'!H185*Peak!N186*'Peak Hours'!$Y185)</f>
        <v>2810189.46610896</v>
      </c>
      <c r="I185" s="417" t="n">
        <f aca="false">IF($A$1="BL",0,'Peak Hours'!I185*Peak!O186*'Peak Hours'!$Y185)</f>
        <v>2517385.57893931</v>
      </c>
      <c r="J185" s="417" t="n">
        <f aca="false">IF($A$1="BL",0,'Peak Hours'!J185*Peak!P186*'Peak Hours'!$Y185)</f>
        <v>2091351.42943648</v>
      </c>
      <c r="K185" s="417" t="n">
        <f aca="false">IF($A$1="BL",0,'Peak Hours'!K185*Peak!Q186*'Peak Hours'!$Y185)</f>
        <v>1657694.65434613</v>
      </c>
      <c r="L185" s="417" t="n">
        <f aca="false">IF($A$1="BL",0,'Peak Hours'!L185*Peak!R186*'Peak Hours'!$Y185)</f>
        <v>1435683.38263329</v>
      </c>
      <c r="M185" s="417" t="n">
        <f aca="false">IF($A$1="BL",0,'Peak Hours'!M185*Peak!S186*'Peak Hours'!$Y185)</f>
        <v>1238532.81699101</v>
      </c>
      <c r="N185" s="417" t="n">
        <f aca="false">IF($A$1="BL",0,'Peak Hours'!N185*Peak!T186*'Peak Hours'!$Y185)</f>
        <v>1203297.26171888</v>
      </c>
      <c r="O185" s="417" t="n">
        <f aca="false">IF($A$1="BL",0,'Peak Hours'!O185*Peak!U186*'Peak Hours'!$Y185)</f>
        <v>1121658.69912976</v>
      </c>
      <c r="P185" s="417" t="n">
        <f aca="false">IF($A$1="BL",0,'Peak Hours'!P185*Peak!V186*'Peak Hours'!$Y185)</f>
        <v>0</v>
      </c>
      <c r="Q185" s="417" t="n">
        <f aca="false">IF($A$1="BL",0,'Peak Hours'!Q185*Peak!W186*'Peak Hours'!$Y185)</f>
        <v>0</v>
      </c>
      <c r="R185" s="417" t="n">
        <f aca="false">IF($A$1="BL",0,'Peak Hours'!R185*Peak!X186*'Peak Hours'!$Y185)</f>
        <v>0</v>
      </c>
      <c r="S185" s="417" t="n">
        <f aca="false">IF($A$1="BL",0,'Peak Hours'!S185*Peak!Y186*'Peak Hours'!$Y185)</f>
        <v>0</v>
      </c>
      <c r="T185" s="417" t="n">
        <f aca="false">IF($A$1="BL",0,'Peak Hours'!T185*Peak!Z186*'Peak Hours'!$Y185)</f>
        <v>0</v>
      </c>
      <c r="U185" s="417" t="n">
        <f aca="false">IF($A$1="BL",0,'Peak Hours'!U185*Peak!AA186*'Peak Hours'!$Y185)</f>
        <v>0</v>
      </c>
      <c r="V185" s="424"/>
      <c r="W185" s="422" t="n">
        <f aca="false">(IF($A$1="BL",0,Peak!C186*'Peak Hours'!V185*'Peak Hours'!$Y185))*-1</f>
        <v>-11421050.0552137</v>
      </c>
      <c r="X185" s="424"/>
      <c r="Y185" s="422" t="n">
        <f aca="false">(IF($A$1="bl",0,Peak!D186*'Peak Hours'!V185*'Peak Hours'!$Y185))*-1</f>
        <v>-230861.326381038</v>
      </c>
      <c r="Z185" s="424"/>
      <c r="AA185" s="422" t="n">
        <f aca="false">(Peak!E186*'Peak Hours'!V185*'Peak Hours'!$Y185)*-1</f>
        <v>-0</v>
      </c>
      <c r="AB185" s="425"/>
      <c r="AC185" s="422" t="n">
        <f aca="false">(Peak!F186*'Peak Hours'!V185*'Peak Hours'!$Y185)*-1</f>
        <v>-0</v>
      </c>
      <c r="AD185" s="425"/>
    </row>
    <row r="186" customFormat="false" ht="12.75" hidden="false" customHeight="false" outlineLevel="0" collapsed="false">
      <c r="A186" s="400" t="n">
        <f aca="false">A185+30.417</f>
        <v>41893.392</v>
      </c>
      <c r="B186" s="417" t="n">
        <f aca="false">IF($A$1="BL",0,'Peak Hours'!B186*Peak!H187*'Peak Hours'!$Y186)</f>
        <v>668386.468542801</v>
      </c>
      <c r="C186" s="417" t="n">
        <f aca="false">IF($A$1="BL",0,'Peak Hours'!C186*Peak!I187*'Peak Hours'!$Y186)</f>
        <v>613855.121532665</v>
      </c>
      <c r="D186" s="417" t="n">
        <f aca="false">IF($A$1="BL",0,'Peak Hours'!D186*Peak!J187*'Peak Hours'!$Y186)</f>
        <v>1140547.96427565</v>
      </c>
      <c r="E186" s="417" t="n">
        <f aca="false">IF($A$1="BL",0,'Peak Hours'!E186*Peak!K187*'Peak Hours'!$Y186)</f>
        <v>2084225.32947338</v>
      </c>
      <c r="F186" s="417" t="n">
        <f aca="false">IF($A$1="BL",0,'Peak Hours'!F186*Peak!L187*'Peak Hours'!$Y186)</f>
        <v>1649222.17648463</v>
      </c>
      <c r="G186" s="417" t="n">
        <f aca="false">IF($A$1="BL",0,'Peak Hours'!G186*Peak!M187*'Peak Hours'!$Y186)</f>
        <v>1561536.18406146</v>
      </c>
      <c r="H186" s="417" t="n">
        <f aca="false">IF($A$1="BL",0,'Peak Hours'!H186*Peak!N187*'Peak Hours'!$Y186)</f>
        <v>1368942.56654582</v>
      </c>
      <c r="I186" s="417" t="n">
        <f aca="false">IF($A$1="BL",0,'Peak Hours'!I186*Peak!O187*'Peak Hours'!$Y186)</f>
        <v>1269220.53034298</v>
      </c>
      <c r="J186" s="417" t="n">
        <f aca="false">IF($A$1="BL",0,'Peak Hours'!J186*Peak!P187*'Peak Hours'!$Y186)</f>
        <v>1241180.60665303</v>
      </c>
      <c r="K186" s="417" t="n">
        <f aca="false">IF($A$1="BL",0,'Peak Hours'!K186*Peak!Q187*'Peak Hours'!$Y186)</f>
        <v>1127876.35032839</v>
      </c>
      <c r="L186" s="417" t="n">
        <f aca="false">IF($A$1="BL",0,'Peak Hours'!L186*Peak!R187*'Peak Hours'!$Y186)</f>
        <v>0</v>
      </c>
      <c r="M186" s="417" t="n">
        <f aca="false">IF($A$1="BL",0,'Peak Hours'!M186*Peak!S187*'Peak Hours'!$Y186)</f>
        <v>0</v>
      </c>
      <c r="N186" s="417" t="n">
        <f aca="false">IF($A$1="BL",0,'Peak Hours'!N186*Peak!T187*'Peak Hours'!$Y186)</f>
        <v>0</v>
      </c>
      <c r="O186" s="417" t="n">
        <f aca="false">IF($A$1="BL",0,'Peak Hours'!O186*Peak!U187*'Peak Hours'!$Y186)</f>
        <v>0</v>
      </c>
      <c r="P186" s="417" t="n">
        <f aca="false">IF($A$1="BL",0,'Peak Hours'!P186*Peak!V187*'Peak Hours'!$Y186)</f>
        <v>0</v>
      </c>
      <c r="Q186" s="417" t="n">
        <f aca="false">IF($A$1="BL",0,'Peak Hours'!Q186*Peak!W187*'Peak Hours'!$Y186)</f>
        <v>0</v>
      </c>
      <c r="R186" s="417" t="n">
        <f aca="false">IF($A$1="BL",0,'Peak Hours'!R186*Peak!X187*'Peak Hours'!$Y186)</f>
        <v>0</v>
      </c>
      <c r="S186" s="417" t="n">
        <f aca="false">IF($A$1="BL",0,'Peak Hours'!S186*Peak!Y187*'Peak Hours'!$Y186)</f>
        <v>0</v>
      </c>
      <c r="T186" s="417" t="n">
        <f aca="false">IF($A$1="BL",0,'Peak Hours'!T186*Peak!Z187*'Peak Hours'!$Y186)</f>
        <v>0</v>
      </c>
      <c r="U186" s="417" t="n">
        <f aca="false">IF($A$1="BL",0,'Peak Hours'!U186*Peak!AA187*'Peak Hours'!$Y186)</f>
        <v>0</v>
      </c>
      <c r="V186" s="424"/>
      <c r="W186" s="422" t="n">
        <f aca="false">(IF($A$1="BL",0,Peak!C187*'Peak Hours'!V186*'Peak Hours'!$Y186))*-1</f>
        <v>-6928918.66459971</v>
      </c>
      <c r="X186" s="424"/>
      <c r="Y186" s="422" t="n">
        <f aca="false">(IF($A$1="bl",0,Peak!D187*'Peak Hours'!V186*'Peak Hours'!$Y186))*-1</f>
        <v>-140763.607148543</v>
      </c>
      <c r="Z186" s="424"/>
      <c r="AA186" s="422" t="n">
        <f aca="false">(Peak!E187*'Peak Hours'!V186*'Peak Hours'!$Y186)*-1</f>
        <v>-0</v>
      </c>
      <c r="AB186" s="425"/>
      <c r="AC186" s="422" t="n">
        <f aca="false">(Peak!F187*'Peak Hours'!V186*'Peak Hours'!$Y186)*-1</f>
        <v>-0</v>
      </c>
      <c r="AD186" s="425"/>
    </row>
    <row r="187" customFormat="false" ht="12.75" hidden="false" customHeight="false" outlineLevel="0" collapsed="false">
      <c r="A187" s="400" t="n">
        <f aca="false">A186+30.417</f>
        <v>41923.809</v>
      </c>
      <c r="B187" s="417" t="n">
        <f aca="false">IF($A$1="BL",0,'Peak Hours'!B187*Peak!H188*'Peak Hours'!$Y187)</f>
        <v>221345.54201258</v>
      </c>
      <c r="C187" s="417" t="n">
        <f aca="false">IF($A$1="BL",0,'Peak Hours'!C187*Peak!I188*'Peak Hours'!$Y187)</f>
        <v>215999.479344451</v>
      </c>
      <c r="D187" s="417" t="n">
        <f aca="false">IF($A$1="BL",0,'Peak Hours'!D187*Peak!J188*'Peak Hours'!$Y187)</f>
        <v>389961.474654945</v>
      </c>
      <c r="E187" s="417" t="n">
        <f aca="false">IF($A$1="BL",0,'Peak Hours'!E187*Peak!K188*'Peak Hours'!$Y187)</f>
        <v>697891.109950404</v>
      </c>
      <c r="F187" s="417" t="n">
        <f aca="false">IF($A$1="BL",0,'Peak Hours'!F187*Peak!L188*'Peak Hours'!$Y187)</f>
        <v>681721.027786951</v>
      </c>
      <c r="G187" s="417" t="n">
        <f aca="false">IF($A$1="BL",0,'Peak Hours'!G187*Peak!M188*'Peak Hours'!$Y187)</f>
        <v>1347477.78849805</v>
      </c>
      <c r="H187" s="417" t="n">
        <f aca="false">IF($A$1="BL",0,'Peak Hours'!H187*Peak!N188*'Peak Hours'!$Y187)</f>
        <v>1327133.32000701</v>
      </c>
      <c r="I187" s="417" t="n">
        <f aca="false">IF($A$1="BL",0,'Peak Hours'!I187*Peak!O188*'Peak Hours'!$Y187)</f>
        <v>1313494.38405871</v>
      </c>
      <c r="J187" s="417" t="n">
        <f aca="false">IF($A$1="BL",0,'Peak Hours'!J187*Peak!P188*'Peak Hours'!$Y187)</f>
        <v>1305686.45637293</v>
      </c>
      <c r="K187" s="417" t="n">
        <f aca="false">IF($A$1="BL",0,'Peak Hours'!K187*Peak!Q188*'Peak Hours'!$Y187)</f>
        <v>1294954.4845892</v>
      </c>
      <c r="L187" s="417" t="n">
        <f aca="false">IF($A$1="BL",0,'Peak Hours'!L187*Peak!R188*'Peak Hours'!$Y187)</f>
        <v>1281419.67502766</v>
      </c>
      <c r="M187" s="417" t="n">
        <f aca="false">IF($A$1="BL",0,'Peak Hours'!M187*Peak!S188*'Peak Hours'!$Y187)</f>
        <v>1261602.05247775</v>
      </c>
      <c r="N187" s="417" t="n">
        <f aca="false">IF($A$1="BL",0,'Peak Hours'!N187*Peak!T188*'Peak Hours'!$Y187)</f>
        <v>1242545.45861803</v>
      </c>
      <c r="O187" s="417" t="n">
        <f aca="false">IF($A$1="BL",0,'Peak Hours'!O187*Peak!U188*'Peak Hours'!$Y187)</f>
        <v>1237472.47666983</v>
      </c>
      <c r="P187" s="417" t="n">
        <f aca="false">IF($A$1="BL",0,'Peak Hours'!P187*Peak!V188*'Peak Hours'!$Y187)</f>
        <v>1217081.07713557</v>
      </c>
      <c r="Q187" s="417" t="n">
        <f aca="false">IF($A$1="BL",0,'Peak Hours'!Q187*Peak!W188*'Peak Hours'!$Y187)</f>
        <v>0</v>
      </c>
      <c r="R187" s="417" t="n">
        <f aca="false">IF($A$1="BL",0,'Peak Hours'!R187*Peak!X188*'Peak Hours'!$Y187)</f>
        <v>0</v>
      </c>
      <c r="S187" s="417" t="n">
        <f aca="false">IF($A$1="BL",0,'Peak Hours'!S187*Peak!Y188*'Peak Hours'!$Y187)</f>
        <v>0</v>
      </c>
      <c r="T187" s="417" t="n">
        <f aca="false">IF($A$1="BL",0,'Peak Hours'!T187*Peak!Z188*'Peak Hours'!$Y187)</f>
        <v>0</v>
      </c>
      <c r="U187" s="417" t="n">
        <f aca="false">IF($A$1="BL",0,'Peak Hours'!U187*Peak!AA188*'Peak Hours'!$Y187)</f>
        <v>0</v>
      </c>
      <c r="V187" s="424"/>
      <c r="W187" s="422" t="n">
        <f aca="false">(IF($A$1="BL",0,Peak!C188*'Peak Hours'!V187*'Peak Hours'!$Y187))*-1</f>
        <v>-13576717.4488457</v>
      </c>
      <c r="X187" s="424"/>
      <c r="Y187" s="422" t="n">
        <f aca="false">(IF($A$1="bl",0,Peak!D188*'Peak Hours'!V187*'Peak Hours'!$Y187))*-1</f>
        <v>-249458.377130039</v>
      </c>
      <c r="Z187" s="424"/>
      <c r="AA187" s="422" t="n">
        <f aca="false">(Peak!E188*'Peak Hours'!V187*'Peak Hours'!$Y187)*-1</f>
        <v>-0</v>
      </c>
      <c r="AB187" s="425"/>
      <c r="AC187" s="422" t="n">
        <f aca="false">(Peak!F188*'Peak Hours'!V187*'Peak Hours'!$Y187)*-1</f>
        <v>-0</v>
      </c>
      <c r="AD187" s="425"/>
    </row>
    <row r="188" customFormat="false" ht="12.75" hidden="false" customHeight="false" outlineLevel="0" collapsed="false">
      <c r="A188" s="400" t="n">
        <f aca="false">A187+30.417</f>
        <v>41954.226</v>
      </c>
      <c r="B188" s="417" t="n">
        <f aca="false">IF($A$1="BL",0,'Peak Hours'!B188*Peak!H189*'Peak Hours'!$Y188)</f>
        <v>498511.086696368</v>
      </c>
      <c r="C188" s="417" t="n">
        <f aca="false">IF($A$1="BL",0,'Peak Hours'!C188*Peak!I189*'Peak Hours'!$Y188)</f>
        <v>359690.296865031</v>
      </c>
      <c r="D188" s="417" t="n">
        <f aca="false">IF($A$1="BL",0,'Peak Hours'!D188*Peak!J189*'Peak Hours'!$Y188)</f>
        <v>596330.65591403</v>
      </c>
      <c r="E188" s="417" t="n">
        <f aca="false">IF($A$1="BL",0,'Peak Hours'!E188*Peak!K189*'Peak Hours'!$Y188)</f>
        <v>1118781.49345335</v>
      </c>
      <c r="F188" s="417" t="n">
        <f aca="false">IF($A$1="BL",0,'Peak Hours'!F188*Peak!L189*'Peak Hours'!$Y188)</f>
        <v>1040562.06735006</v>
      </c>
      <c r="G188" s="417" t="n">
        <f aca="false">IF($A$1="BL",0,'Peak Hours'!G188*Peak!M189*'Peak Hours'!$Y188)</f>
        <v>2062136.794602</v>
      </c>
      <c r="H188" s="417" t="n">
        <f aca="false">IF($A$1="BL",0,'Peak Hours'!H188*Peak!N189*'Peak Hours'!$Y188)</f>
        <v>1977178.63968566</v>
      </c>
      <c r="I188" s="417" t="n">
        <f aca="false">IF($A$1="BL",0,'Peak Hours'!I188*Peak!O189*'Peak Hours'!$Y188)</f>
        <v>1528892.39079728</v>
      </c>
      <c r="J188" s="417" t="n">
        <f aca="false">IF($A$1="BL",0,'Peak Hours'!J188*Peak!P189*'Peak Hours'!$Y188)</f>
        <v>1382759.5581188</v>
      </c>
      <c r="K188" s="417" t="n">
        <f aca="false">IF($A$1="BL",0,'Peak Hours'!K188*Peak!Q189*'Peak Hours'!$Y188)</f>
        <v>0</v>
      </c>
      <c r="L188" s="417" t="n">
        <f aca="false">IF($A$1="BL",0,'Peak Hours'!L188*Peak!R189*'Peak Hours'!$Y188)</f>
        <v>0</v>
      </c>
      <c r="M188" s="417" t="n">
        <f aca="false">IF($A$1="BL",0,'Peak Hours'!M188*Peak!S189*'Peak Hours'!$Y188)</f>
        <v>0</v>
      </c>
      <c r="N188" s="417" t="n">
        <f aca="false">IF($A$1="BL",0,'Peak Hours'!N188*Peak!T189*'Peak Hours'!$Y188)</f>
        <v>0</v>
      </c>
      <c r="O188" s="417" t="n">
        <f aca="false">IF($A$1="BL",0,'Peak Hours'!O188*Peak!U189*'Peak Hours'!$Y188)</f>
        <v>0</v>
      </c>
      <c r="P188" s="417" t="n">
        <f aca="false">IF($A$1="BL",0,'Peak Hours'!P188*Peak!V189*'Peak Hours'!$Y188)</f>
        <v>0</v>
      </c>
      <c r="Q188" s="417" t="n">
        <f aca="false">IF($A$1="BL",0,'Peak Hours'!Q188*Peak!W189*'Peak Hours'!$Y188)</f>
        <v>0</v>
      </c>
      <c r="R188" s="417" t="n">
        <f aca="false">IF($A$1="BL",0,'Peak Hours'!R188*Peak!X189*'Peak Hours'!$Y188)</f>
        <v>0</v>
      </c>
      <c r="S188" s="417" t="n">
        <f aca="false">IF($A$1="BL",0,'Peak Hours'!S188*Peak!Y189*'Peak Hours'!$Y188)</f>
        <v>0</v>
      </c>
      <c r="T188" s="417" t="n">
        <f aca="false">IF($A$1="BL",0,'Peak Hours'!T188*Peak!Z189*'Peak Hours'!$Y188)</f>
        <v>0</v>
      </c>
      <c r="U188" s="417" t="n">
        <f aca="false">IF($A$1="BL",0,'Peak Hours'!U188*Peak!AA189*'Peak Hours'!$Y188)</f>
        <v>0</v>
      </c>
      <c r="V188" s="424"/>
      <c r="W188" s="422" t="n">
        <f aca="false">(IF($A$1="BL",0,Peak!C189*'Peak Hours'!V188*'Peak Hours'!$Y188))*-1</f>
        <v>-7110363.34321443</v>
      </c>
      <c r="X188" s="424"/>
      <c r="Y188" s="422" t="n">
        <f aca="false">(IF($A$1="bl",0,Peak!D189*'Peak Hours'!V188*'Peak Hours'!$Y188))*-1</f>
        <v>-119505.024000485</v>
      </c>
      <c r="Z188" s="424"/>
      <c r="AA188" s="422" t="n">
        <f aca="false">(Peak!E189*'Peak Hours'!V188*'Peak Hours'!$Y188)*-1</f>
        <v>-0</v>
      </c>
      <c r="AB188" s="425"/>
      <c r="AC188" s="422" t="n">
        <f aca="false">(Peak!F189*'Peak Hours'!V188*'Peak Hours'!$Y188)*-1</f>
        <v>-0</v>
      </c>
      <c r="AD188" s="425"/>
    </row>
    <row r="189" customFormat="false" ht="12.75" hidden="false" customHeight="false" outlineLevel="0" collapsed="false">
      <c r="A189" s="400" t="n">
        <f aca="false">A188+30.417</f>
        <v>41984.643</v>
      </c>
      <c r="B189" s="417" t="n">
        <f aca="false">IF($A$1="BL",0,'Peak Hours'!B189*Peak!H190*'Peak Hours'!$Y189)</f>
        <v>497256.894940556</v>
      </c>
      <c r="C189" s="417" t="n">
        <f aca="false">IF($A$1="BL",0,'Peak Hours'!C189*Peak!I190*'Peak Hours'!$Y189)</f>
        <v>486164.737567881</v>
      </c>
      <c r="D189" s="417" t="n">
        <f aca="false">IF($A$1="BL",0,'Peak Hours'!D189*Peak!J190*'Peak Hours'!$Y189)</f>
        <v>875920.833927611</v>
      </c>
      <c r="E189" s="417" t="n">
        <f aca="false">IF($A$1="BL",0,'Peak Hours'!E189*Peak!K190*'Peak Hours'!$Y189)</f>
        <v>1326275.92308324</v>
      </c>
      <c r="F189" s="417" t="n">
        <f aca="false">IF($A$1="BL",0,'Peak Hours'!F189*Peak!L190*'Peak Hours'!$Y189)</f>
        <v>1241212.72368321</v>
      </c>
      <c r="G189" s="417" t="n">
        <f aca="false">IF($A$1="BL",0,'Peak Hours'!G189*Peak!M190*'Peak Hours'!$Y189)</f>
        <v>2300518.07366618</v>
      </c>
      <c r="H189" s="417" t="n">
        <f aca="false">IF($A$1="BL",0,'Peak Hours'!H189*Peak!N190*'Peak Hours'!$Y189)</f>
        <v>2251246.66166541</v>
      </c>
      <c r="I189" s="417" t="n">
        <f aca="false">IF($A$1="BL",0,'Peak Hours'!I189*Peak!O190*'Peak Hours'!$Y189)</f>
        <v>2082122.69461476</v>
      </c>
      <c r="J189" s="417" t="n">
        <f aca="false">IF($A$1="BL",0,'Peak Hours'!J189*Peak!P190*'Peak Hours'!$Y189)</f>
        <v>1576294.92738215</v>
      </c>
      <c r="K189" s="417" t="n">
        <f aca="false">IF($A$1="BL",0,'Peak Hours'!K189*Peak!Q190*'Peak Hours'!$Y189)</f>
        <v>0</v>
      </c>
      <c r="L189" s="417" t="n">
        <f aca="false">IF($A$1="BL",0,'Peak Hours'!L189*Peak!R190*'Peak Hours'!$Y189)</f>
        <v>0</v>
      </c>
      <c r="M189" s="417" t="n">
        <f aca="false">IF($A$1="BL",0,'Peak Hours'!M189*Peak!S190*'Peak Hours'!$Y189)</f>
        <v>0</v>
      </c>
      <c r="N189" s="417" t="n">
        <f aca="false">IF($A$1="BL",0,'Peak Hours'!N189*Peak!T190*'Peak Hours'!$Y189)</f>
        <v>0</v>
      </c>
      <c r="O189" s="417" t="n">
        <f aca="false">IF($A$1="BL",0,'Peak Hours'!O189*Peak!U190*'Peak Hours'!$Y189)</f>
        <v>0</v>
      </c>
      <c r="P189" s="417" t="n">
        <f aca="false">IF($A$1="BL",0,'Peak Hours'!P189*Peak!V190*'Peak Hours'!$Y189)</f>
        <v>0</v>
      </c>
      <c r="Q189" s="417" t="n">
        <f aca="false">IF($A$1="BL",0,'Peak Hours'!Q189*Peak!W190*'Peak Hours'!$Y189)</f>
        <v>0</v>
      </c>
      <c r="R189" s="417" t="n">
        <f aca="false">IF($A$1="BL",0,'Peak Hours'!R189*Peak!X190*'Peak Hours'!$Y189)</f>
        <v>0</v>
      </c>
      <c r="S189" s="417" t="n">
        <f aca="false">IF($A$1="BL",0,'Peak Hours'!S189*Peak!Y190*'Peak Hours'!$Y189)</f>
        <v>0</v>
      </c>
      <c r="T189" s="417" t="n">
        <f aca="false">IF($A$1="BL",0,'Peak Hours'!T189*Peak!Z190*'Peak Hours'!$Y189)</f>
        <v>0</v>
      </c>
      <c r="U189" s="417" t="n">
        <f aca="false">IF($A$1="BL",0,'Peak Hours'!U189*Peak!AA190*'Peak Hours'!$Y189)</f>
        <v>0</v>
      </c>
      <c r="V189" s="426" t="n">
        <f aca="false">SUM(B178:U189)</f>
        <v>165717611.827753</v>
      </c>
      <c r="W189" s="422" t="n">
        <f aca="false">(IF($A$1="BL",0,Peak!C190*'Peak Hours'!V189*'Peak Hours'!$Y189))*-1</f>
        <v>-7486335.92316722</v>
      </c>
      <c r="X189" s="426" t="n">
        <f aca="false">SUM(W178:W189)</f>
        <v>-96769735.4517889</v>
      </c>
      <c r="Y189" s="422" t="n">
        <f aca="false">(IF($A$1="bl",0,Peak!D190*'Peak Hours'!V189*'Peak Hours'!$Y189))*-1</f>
        <v>-116462.939309095</v>
      </c>
      <c r="Z189" s="426" t="n">
        <f aca="false">SUM(Y178:Y189)</f>
        <v>-1766521.78901546</v>
      </c>
      <c r="AA189" s="422" t="n">
        <f aca="false">(Peak!E190*'Peak Hours'!V189*'Peak Hours'!$Y189)*-1</f>
        <v>-0</v>
      </c>
      <c r="AB189" s="427" t="n">
        <f aca="false">SUM(AA178:AA189)</f>
        <v>0</v>
      </c>
      <c r="AC189" s="422" t="n">
        <f aca="false">(Peak!F190*'Peak Hours'!V189*'Peak Hours'!$Y189)*-1</f>
        <v>-0</v>
      </c>
      <c r="AD189" s="427" t="n">
        <f aca="false">SUM(AC178:AC189)</f>
        <v>0</v>
      </c>
    </row>
    <row r="190" customFormat="false" ht="12.75" hidden="false" customHeight="false" outlineLevel="0" collapsed="false">
      <c r="A190" s="400" t="n">
        <f aca="false">A189+30.417</f>
        <v>42015.06</v>
      </c>
      <c r="B190" s="417" t="n">
        <f aca="false">IF($A$1="BL",0,'Peak Hours'!B190*Peak!H191*'Peak Hours'!$Y190)</f>
        <v>364683.713062902</v>
      </c>
      <c r="C190" s="417" t="n">
        <f aca="false">IF($A$1="BL",0,'Peak Hours'!C190*Peak!I191*'Peak Hours'!$Y190)</f>
        <v>336292.962516048</v>
      </c>
      <c r="D190" s="417" t="n">
        <f aca="false">IF($A$1="BL",0,'Peak Hours'!D190*Peak!J191*'Peak Hours'!$Y190)</f>
        <v>642906.842042708</v>
      </c>
      <c r="E190" s="417" t="n">
        <f aca="false">IF($A$1="BL",0,'Peak Hours'!E190*Peak!K191*'Peak Hours'!$Y190)</f>
        <v>1191453.60776258</v>
      </c>
      <c r="F190" s="417" t="n">
        <f aca="false">IF($A$1="BL",0,'Peak Hours'!F190*Peak!L191*'Peak Hours'!$Y190)</f>
        <v>1184793.55443141</v>
      </c>
      <c r="G190" s="417" t="n">
        <f aca="false">IF($A$1="BL",0,'Peak Hours'!G190*Peak!M191*'Peak Hours'!$Y190)</f>
        <v>2165841.84861444</v>
      </c>
      <c r="H190" s="417" t="n">
        <f aca="false">IF($A$1="BL",0,'Peak Hours'!H190*Peak!N191*'Peak Hours'!$Y190)</f>
        <v>1733513.73519089</v>
      </c>
      <c r="I190" s="417" t="n">
        <f aca="false">IF($A$1="BL",0,'Peak Hours'!I190*Peak!O191*'Peak Hours'!$Y190)</f>
        <v>1716104.88256634</v>
      </c>
      <c r="J190" s="417" t="n">
        <f aca="false">IF($A$1="BL",0,'Peak Hours'!J190*Peak!P191*'Peak Hours'!$Y190)</f>
        <v>1696364.22223427</v>
      </c>
      <c r="K190" s="417" t="n">
        <f aca="false">IF($A$1="BL",0,'Peak Hours'!K190*Peak!Q191*'Peak Hours'!$Y190)</f>
        <v>1681426.66450326</v>
      </c>
      <c r="L190" s="417" t="n">
        <f aca="false">IF($A$1="BL",0,'Peak Hours'!L190*Peak!R191*'Peak Hours'!$Y190)</f>
        <v>1631540.95821024</v>
      </c>
      <c r="M190" s="417" t="n">
        <f aca="false">IF($A$1="BL",0,'Peak Hours'!M190*Peak!S191*'Peak Hours'!$Y190)</f>
        <v>0</v>
      </c>
      <c r="N190" s="417" t="n">
        <f aca="false">IF($A$1="BL",0,'Peak Hours'!N190*Peak!T191*'Peak Hours'!$Y190)</f>
        <v>0</v>
      </c>
      <c r="O190" s="417" t="n">
        <f aca="false">IF($A$1="BL",0,'Peak Hours'!O190*Peak!U191*'Peak Hours'!$Y190)</f>
        <v>0</v>
      </c>
      <c r="P190" s="417" t="n">
        <f aca="false">IF($A$1="BL",0,'Peak Hours'!P190*Peak!V191*'Peak Hours'!$Y190)</f>
        <v>0</v>
      </c>
      <c r="Q190" s="417" t="n">
        <f aca="false">IF($A$1="BL",0,'Peak Hours'!Q190*Peak!W191*'Peak Hours'!$Y190)</f>
        <v>0</v>
      </c>
      <c r="R190" s="417" t="n">
        <f aca="false">IF($A$1="BL",0,'Peak Hours'!R190*Peak!X191*'Peak Hours'!$Y190)</f>
        <v>0</v>
      </c>
      <c r="S190" s="417" t="n">
        <f aca="false">IF($A$1="BL",0,'Peak Hours'!S190*Peak!Y191*'Peak Hours'!$Y190)</f>
        <v>0</v>
      </c>
      <c r="T190" s="417" t="n">
        <f aca="false">IF($A$1="BL",0,'Peak Hours'!T190*Peak!Z191*'Peak Hours'!$Y190)</f>
        <v>0</v>
      </c>
      <c r="U190" s="417" t="n">
        <f aca="false">IF($A$1="BL",0,'Peak Hours'!U190*Peak!AA191*'Peak Hours'!$Y190)</f>
        <v>0</v>
      </c>
      <c r="V190" s="424"/>
      <c r="W190" s="422" t="n">
        <f aca="false">(IF($A$1="BL",0,Peak!C191*'Peak Hours'!V190*'Peak Hours'!$Y190))*-1</f>
        <v>-10733241.9129954</v>
      </c>
      <c r="X190" s="424"/>
      <c r="Y190" s="422" t="n">
        <f aca="false">(IF($A$1="bl",0,Peak!D191*'Peak Hours'!V190*'Peak Hours'!$Y190))*-1</f>
        <v>-159077.787556287</v>
      </c>
      <c r="Z190" s="424"/>
      <c r="AA190" s="422" t="n">
        <f aca="false">(Peak!E191*'Peak Hours'!V190*'Peak Hours'!$Y190)*-1</f>
        <v>-0</v>
      </c>
      <c r="AB190" s="425"/>
      <c r="AC190" s="422" t="n">
        <f aca="false">(Peak!F191*'Peak Hours'!V190*'Peak Hours'!$Y190)*-1</f>
        <v>-0</v>
      </c>
      <c r="AD190" s="425"/>
    </row>
    <row r="191" customFormat="false" ht="12.75" hidden="false" customHeight="false" outlineLevel="0" collapsed="false">
      <c r="A191" s="400" t="n">
        <f aca="false">A190+30.417</f>
        <v>42045.477</v>
      </c>
      <c r="B191" s="417" t="n">
        <f aca="false">IF($A$1="BL",0,'Peak Hours'!B191*Peak!H192*'Peak Hours'!$Y191)</f>
        <v>489930.965933083</v>
      </c>
      <c r="C191" s="417" t="n">
        <f aca="false">IF($A$1="BL",0,'Peak Hours'!C191*Peak!I192*'Peak Hours'!$Y191)</f>
        <v>474170.21620496</v>
      </c>
      <c r="D191" s="417" t="n">
        <f aca="false">IF($A$1="BL",0,'Peak Hours'!D191*Peak!J192*'Peak Hours'!$Y191)</f>
        <v>833908.245420537</v>
      </c>
      <c r="E191" s="417" t="n">
        <f aca="false">IF($A$1="BL",0,'Peak Hours'!E191*Peak!K192*'Peak Hours'!$Y191)</f>
        <v>1353197.13435827</v>
      </c>
      <c r="F191" s="417" t="n">
        <f aca="false">IF($A$1="BL",0,'Peak Hours'!F191*Peak!L192*'Peak Hours'!$Y191)</f>
        <v>1248983.990605</v>
      </c>
      <c r="G191" s="417" t="n">
        <f aca="false">IF($A$1="BL",0,'Peak Hours'!G191*Peak!M192*'Peak Hours'!$Y191)</f>
        <v>2336049.31864727</v>
      </c>
      <c r="H191" s="417" t="n">
        <f aca="false">IF($A$1="BL",0,'Peak Hours'!H191*Peak!N192*'Peak Hours'!$Y191)</f>
        <v>2202349.12010752</v>
      </c>
      <c r="I191" s="417" t="n">
        <f aca="false">IF($A$1="BL",0,'Peak Hours'!I191*Peak!O192*'Peak Hours'!$Y191)</f>
        <v>1640800.71087128</v>
      </c>
      <c r="J191" s="417" t="n">
        <f aca="false">IF($A$1="BL",0,'Peak Hours'!J191*Peak!P192*'Peak Hours'!$Y191)</f>
        <v>1362353.21001865</v>
      </c>
      <c r="K191" s="417" t="n">
        <f aca="false">IF($A$1="BL",0,'Peak Hours'!K191*Peak!Q192*'Peak Hours'!$Y191)</f>
        <v>0</v>
      </c>
      <c r="L191" s="417" t="n">
        <f aca="false">IF($A$1="BL",0,'Peak Hours'!L191*Peak!R192*'Peak Hours'!$Y191)</f>
        <v>0</v>
      </c>
      <c r="M191" s="417" t="n">
        <f aca="false">IF($A$1="BL",0,'Peak Hours'!M191*Peak!S192*'Peak Hours'!$Y191)</f>
        <v>0</v>
      </c>
      <c r="N191" s="417" t="n">
        <f aca="false">IF($A$1="BL",0,'Peak Hours'!N191*Peak!T192*'Peak Hours'!$Y191)</f>
        <v>0</v>
      </c>
      <c r="O191" s="417" t="n">
        <f aca="false">IF($A$1="BL",0,'Peak Hours'!O191*Peak!U192*'Peak Hours'!$Y191)</f>
        <v>0</v>
      </c>
      <c r="P191" s="417" t="n">
        <f aca="false">IF($A$1="BL",0,'Peak Hours'!P191*Peak!V192*'Peak Hours'!$Y191)</f>
        <v>0</v>
      </c>
      <c r="Q191" s="417" t="n">
        <f aca="false">IF($A$1="BL",0,'Peak Hours'!Q191*Peak!W192*'Peak Hours'!$Y191)</f>
        <v>0</v>
      </c>
      <c r="R191" s="417" t="n">
        <f aca="false">IF($A$1="BL",0,'Peak Hours'!R191*Peak!X192*'Peak Hours'!$Y191)</f>
        <v>0</v>
      </c>
      <c r="S191" s="417" t="n">
        <f aca="false">IF($A$1="BL",0,'Peak Hours'!S191*Peak!Y192*'Peak Hours'!$Y191)</f>
        <v>0</v>
      </c>
      <c r="T191" s="417" t="n">
        <f aca="false">IF($A$1="BL",0,'Peak Hours'!T191*Peak!Z192*'Peak Hours'!$Y191)</f>
        <v>0</v>
      </c>
      <c r="U191" s="417" t="n">
        <f aca="false">IF($A$1="BL",0,'Peak Hours'!U191*Peak!AA192*'Peak Hours'!$Y191)</f>
        <v>0</v>
      </c>
      <c r="V191" s="424"/>
      <c r="W191" s="422" t="n">
        <f aca="false">(IF($A$1="BL",0,Peak!C192*'Peak Hours'!V191*'Peak Hours'!$Y191))*-1</f>
        <v>-7054632.58359469</v>
      </c>
      <c r="X191" s="424"/>
      <c r="Y191" s="422" t="n">
        <f aca="false">(IF($A$1="bl",0,Peak!D192*'Peak Hours'!V191*'Peak Hours'!$Y191))*-1</f>
        <v>-116851.472614957</v>
      </c>
      <c r="Z191" s="424"/>
      <c r="AA191" s="422" t="n">
        <f aca="false">(Peak!E192*'Peak Hours'!V191*'Peak Hours'!$Y191)*-1</f>
        <v>-0</v>
      </c>
      <c r="AB191" s="425"/>
      <c r="AC191" s="422" t="n">
        <f aca="false">(Peak!F192*'Peak Hours'!V191*'Peak Hours'!$Y191)*-1</f>
        <v>-0</v>
      </c>
      <c r="AD191" s="425"/>
    </row>
    <row r="192" customFormat="false" ht="12.75" hidden="false" customHeight="false" outlineLevel="0" collapsed="false">
      <c r="A192" s="400" t="n">
        <f aca="false">A191+30.417</f>
        <v>42075.894</v>
      </c>
      <c r="B192" s="417" t="n">
        <f aca="false">IF($A$1="BL",0,'Peak Hours'!B192*Peak!H193*'Peak Hours'!$Y192)</f>
        <v>335320.799883817</v>
      </c>
      <c r="C192" s="417" t="n">
        <f aca="false">IF($A$1="BL",0,'Peak Hours'!C192*Peak!I193*'Peak Hours'!$Y192)</f>
        <v>322807.694778658</v>
      </c>
      <c r="D192" s="417" t="n">
        <f aca="false">IF($A$1="BL",0,'Peak Hours'!D192*Peak!J193*'Peak Hours'!$Y192)</f>
        <v>644507.510879566</v>
      </c>
      <c r="E192" s="417" t="n">
        <f aca="false">IF($A$1="BL",0,'Peak Hours'!E192*Peak!K193*'Peak Hours'!$Y192)</f>
        <v>1267453.11315113</v>
      </c>
      <c r="F192" s="417" t="n">
        <f aca="false">IF($A$1="BL",0,'Peak Hours'!F192*Peak!L193*'Peak Hours'!$Y192)</f>
        <v>1109359.99068139</v>
      </c>
      <c r="G192" s="417" t="n">
        <f aca="false">IF($A$1="BL",0,'Peak Hours'!G192*Peak!M193*'Peak Hours'!$Y192)</f>
        <v>1760935.56752194</v>
      </c>
      <c r="H192" s="417" t="n">
        <f aca="false">IF($A$1="BL",0,'Peak Hours'!H192*Peak!N193*'Peak Hours'!$Y192)</f>
        <v>1531022.86257269</v>
      </c>
      <c r="I192" s="417" t="n">
        <f aca="false">IF($A$1="BL",0,'Peak Hours'!I192*Peak!O193*'Peak Hours'!$Y192)</f>
        <v>1437459.35654307</v>
      </c>
      <c r="J192" s="417" t="n">
        <f aca="false">IF($A$1="BL",0,'Peak Hours'!J192*Peak!P193*'Peak Hours'!$Y192)</f>
        <v>1420106.14756885</v>
      </c>
      <c r="K192" s="417" t="n">
        <f aca="false">IF($A$1="BL",0,'Peak Hours'!K192*Peak!Q193*'Peak Hours'!$Y192)</f>
        <v>1318525.85005012</v>
      </c>
      <c r="L192" s="417" t="n">
        <f aca="false">IF($A$1="BL",0,'Peak Hours'!L192*Peak!R193*'Peak Hours'!$Y192)</f>
        <v>0</v>
      </c>
      <c r="M192" s="417" t="n">
        <f aca="false">IF($A$1="BL",0,'Peak Hours'!M192*Peak!S193*'Peak Hours'!$Y192)</f>
        <v>0</v>
      </c>
      <c r="N192" s="417" t="n">
        <f aca="false">IF($A$1="BL",0,'Peak Hours'!N192*Peak!T193*'Peak Hours'!$Y192)</f>
        <v>0</v>
      </c>
      <c r="O192" s="417" t="n">
        <f aca="false">IF($A$1="BL",0,'Peak Hours'!O192*Peak!U193*'Peak Hours'!$Y192)</f>
        <v>0</v>
      </c>
      <c r="P192" s="417" t="n">
        <f aca="false">IF($A$1="BL",0,'Peak Hours'!P192*Peak!V193*'Peak Hours'!$Y192)</f>
        <v>0</v>
      </c>
      <c r="Q192" s="417" t="n">
        <f aca="false">IF($A$1="BL",0,'Peak Hours'!Q192*Peak!W193*'Peak Hours'!$Y192)</f>
        <v>0</v>
      </c>
      <c r="R192" s="417" t="n">
        <f aca="false">IF($A$1="BL",0,'Peak Hours'!R192*Peak!X193*'Peak Hours'!$Y192)</f>
        <v>0</v>
      </c>
      <c r="S192" s="417" t="n">
        <f aca="false">IF($A$1="BL",0,'Peak Hours'!S192*Peak!Y193*'Peak Hours'!$Y192)</f>
        <v>0</v>
      </c>
      <c r="T192" s="417" t="n">
        <f aca="false">IF($A$1="BL",0,'Peak Hours'!T192*Peak!Z193*'Peak Hours'!$Y192)</f>
        <v>0</v>
      </c>
      <c r="U192" s="417" t="n">
        <f aca="false">IF($A$1="BL",0,'Peak Hours'!U192*Peak!AA193*'Peak Hours'!$Y192)</f>
        <v>0</v>
      </c>
      <c r="V192" s="424"/>
      <c r="W192" s="422" t="n">
        <f aca="false">(IF($A$1="BL",0,Peak!C193*'Peak Hours'!V192*'Peak Hours'!$Y192))*-1</f>
        <v>-8425233.27393412</v>
      </c>
      <c r="X192" s="424"/>
      <c r="Y192" s="422" t="n">
        <f aca="false">(IF($A$1="bl",0,Peak!D193*'Peak Hours'!V192*'Peak Hours'!$Y192))*-1</f>
        <v>-142177.121420296</v>
      </c>
      <c r="Z192" s="424"/>
      <c r="AA192" s="422" t="n">
        <f aca="false">(Peak!E193*'Peak Hours'!V192*'Peak Hours'!$Y192)*-1</f>
        <v>-0</v>
      </c>
      <c r="AB192" s="425"/>
      <c r="AC192" s="422" t="n">
        <f aca="false">(Peak!F193*'Peak Hours'!V192*'Peak Hours'!$Y192)*-1</f>
        <v>-0</v>
      </c>
      <c r="AD192" s="425"/>
    </row>
    <row r="193" customFormat="false" ht="12.75" hidden="false" customHeight="false" outlineLevel="0" collapsed="false">
      <c r="A193" s="400" t="n">
        <f aca="false">A192+30.417</f>
        <v>42106.311</v>
      </c>
      <c r="B193" s="417" t="n">
        <f aca="false">IF($A$1="BL",0,'Peak Hours'!B193*Peak!H194*'Peak Hours'!$Y193)</f>
        <v>258799.237786787</v>
      </c>
      <c r="C193" s="417" t="n">
        <f aca="false">IF($A$1="BL",0,'Peak Hours'!C193*Peak!I194*'Peak Hours'!$Y193)</f>
        <v>249330.293710001</v>
      </c>
      <c r="D193" s="417" t="n">
        <f aca="false">IF($A$1="BL",0,'Peak Hours'!D193*Peak!J194*'Peak Hours'!$Y193)</f>
        <v>480015.20080599</v>
      </c>
      <c r="E193" s="417" t="n">
        <f aca="false">IF($A$1="BL",0,'Peak Hours'!E193*Peak!K194*'Peak Hours'!$Y193)</f>
        <v>915319.155558872</v>
      </c>
      <c r="F193" s="417" t="n">
        <f aca="false">IF($A$1="BL",0,'Peak Hours'!F193*Peak!L194*'Peak Hours'!$Y193)</f>
        <v>854613.461063379</v>
      </c>
      <c r="G193" s="417" t="n">
        <f aca="false">IF($A$1="BL",0,'Peak Hours'!G193*Peak!M194*'Peak Hours'!$Y193)</f>
        <v>1694643.58491572</v>
      </c>
      <c r="H193" s="417" t="n">
        <f aca="false">IF($A$1="BL",0,'Peak Hours'!H193*Peak!N194*'Peak Hours'!$Y193)</f>
        <v>1590541.70721114</v>
      </c>
      <c r="I193" s="417" t="n">
        <f aca="false">IF($A$1="BL",0,'Peak Hours'!I193*Peak!O194*'Peak Hours'!$Y193)</f>
        <v>1440635.74637375</v>
      </c>
      <c r="J193" s="417" t="n">
        <f aca="false">IF($A$1="BL",0,'Peak Hours'!J193*Peak!P194*'Peak Hours'!$Y193)</f>
        <v>1365768.21803093</v>
      </c>
      <c r="K193" s="417" t="n">
        <f aca="false">IF($A$1="BL",0,'Peak Hours'!K193*Peak!Q194*'Peak Hours'!$Y193)</f>
        <v>1324675.47613808</v>
      </c>
      <c r="L193" s="417" t="n">
        <f aca="false">IF($A$1="BL",0,'Peak Hours'!L193*Peak!R194*'Peak Hours'!$Y193)</f>
        <v>1288889.31424817</v>
      </c>
      <c r="M193" s="417" t="n">
        <f aca="false">IF($A$1="BL",0,'Peak Hours'!M193*Peak!S194*'Peak Hours'!$Y193)</f>
        <v>0</v>
      </c>
      <c r="N193" s="417" t="n">
        <f aca="false">IF($A$1="BL",0,'Peak Hours'!N193*Peak!T194*'Peak Hours'!$Y193)</f>
        <v>0</v>
      </c>
      <c r="O193" s="417" t="n">
        <f aca="false">IF($A$1="BL",0,'Peak Hours'!O193*Peak!U194*'Peak Hours'!$Y193)</f>
        <v>0</v>
      </c>
      <c r="P193" s="417" t="n">
        <f aca="false">IF($A$1="BL",0,'Peak Hours'!P193*Peak!V194*'Peak Hours'!$Y193)</f>
        <v>0</v>
      </c>
      <c r="Q193" s="417" t="n">
        <f aca="false">IF($A$1="BL",0,'Peak Hours'!Q193*Peak!W194*'Peak Hours'!$Y193)</f>
        <v>0</v>
      </c>
      <c r="R193" s="417" t="n">
        <f aca="false">IF($A$1="BL",0,'Peak Hours'!R193*Peak!X194*'Peak Hours'!$Y193)</f>
        <v>0</v>
      </c>
      <c r="S193" s="417" t="n">
        <f aca="false">IF($A$1="BL",0,'Peak Hours'!S193*Peak!Y194*'Peak Hours'!$Y193)</f>
        <v>0</v>
      </c>
      <c r="T193" s="417" t="n">
        <f aca="false">IF($A$1="BL",0,'Peak Hours'!T193*Peak!Z194*'Peak Hours'!$Y193)</f>
        <v>0</v>
      </c>
      <c r="U193" s="417" t="n">
        <f aca="false">IF($A$1="BL",0,'Peak Hours'!U193*Peak!AA194*'Peak Hours'!$Y193)</f>
        <v>0</v>
      </c>
      <c r="V193" s="424"/>
      <c r="W193" s="422" t="n">
        <f aca="false">(IF($A$1="BL",0,Peak!C194*'Peak Hours'!V193*'Peak Hours'!$Y193))*-1</f>
        <v>-9242197.93050736</v>
      </c>
      <c r="X193" s="424"/>
      <c r="Y193" s="422" t="n">
        <f aca="false">(IF($A$1="bl",0,Peak!D194*'Peak Hours'!V193*'Peak Hours'!$Y193))*-1</f>
        <v>-164323.94225692</v>
      </c>
      <c r="Z193" s="424"/>
      <c r="AA193" s="422" t="n">
        <f aca="false">(Peak!E194*'Peak Hours'!V193*'Peak Hours'!$Y193)*-1</f>
        <v>-0</v>
      </c>
      <c r="AB193" s="425"/>
      <c r="AC193" s="422" t="n">
        <f aca="false">(Peak!F194*'Peak Hours'!V193*'Peak Hours'!$Y193)*-1</f>
        <v>-0</v>
      </c>
      <c r="AD193" s="425"/>
    </row>
    <row r="194" customFormat="false" ht="12.75" hidden="false" customHeight="false" outlineLevel="0" collapsed="false">
      <c r="A194" s="400" t="n">
        <f aca="false">A193+30.417</f>
        <v>42136.728</v>
      </c>
      <c r="B194" s="417" t="n">
        <f aca="false">IF($A$1="BL",0,'Peak Hours'!B194*Peak!H195*'Peak Hours'!$Y194)</f>
        <v>556447.080842689</v>
      </c>
      <c r="C194" s="417" t="n">
        <f aca="false">IF($A$1="BL",0,'Peak Hours'!C194*Peak!I195*'Peak Hours'!$Y194)</f>
        <v>521379.483703529</v>
      </c>
      <c r="D194" s="417" t="n">
        <f aca="false">IF($A$1="BL",0,'Peak Hours'!D194*Peak!J195*'Peak Hours'!$Y194)</f>
        <v>1001630.05466214</v>
      </c>
      <c r="E194" s="417" t="n">
        <f aca="false">IF($A$1="BL",0,'Peak Hours'!E194*Peak!K195*'Peak Hours'!$Y194)</f>
        <v>1117681.71832221</v>
      </c>
      <c r="F194" s="417" t="n">
        <f aca="false">IF($A$1="BL",0,'Peak Hours'!F194*Peak!L195*'Peak Hours'!$Y194)</f>
        <v>919742.609374543</v>
      </c>
      <c r="G194" s="417" t="n">
        <f aca="false">IF($A$1="BL",0,'Peak Hours'!G194*Peak!M195*'Peak Hours'!$Y194)</f>
        <v>1691125.85137643</v>
      </c>
      <c r="H194" s="417" t="n">
        <f aca="false">IF($A$1="BL",0,'Peak Hours'!H194*Peak!N195*'Peak Hours'!$Y194)</f>
        <v>1664890.03292907</v>
      </c>
      <c r="I194" s="417" t="n">
        <f aca="false">IF($A$1="BL",0,'Peak Hours'!I194*Peak!O195*'Peak Hours'!$Y194)</f>
        <v>1438239.15391217</v>
      </c>
      <c r="J194" s="417" t="n">
        <f aca="false">IF($A$1="BL",0,'Peak Hours'!J194*Peak!P195*'Peak Hours'!$Y194)</f>
        <v>0</v>
      </c>
      <c r="K194" s="417" t="n">
        <f aca="false">IF($A$1="BL",0,'Peak Hours'!K194*Peak!Q195*'Peak Hours'!$Y194)</f>
        <v>0</v>
      </c>
      <c r="L194" s="417" t="n">
        <f aca="false">IF($A$1="BL",0,'Peak Hours'!L194*Peak!R195*'Peak Hours'!$Y194)</f>
        <v>0</v>
      </c>
      <c r="M194" s="417" t="n">
        <f aca="false">IF($A$1="BL",0,'Peak Hours'!M194*Peak!S195*'Peak Hours'!$Y194)</f>
        <v>0</v>
      </c>
      <c r="N194" s="417" t="n">
        <f aca="false">IF($A$1="BL",0,'Peak Hours'!N194*Peak!T195*'Peak Hours'!$Y194)</f>
        <v>0</v>
      </c>
      <c r="O194" s="417" t="n">
        <f aca="false">IF($A$1="BL",0,'Peak Hours'!O194*Peak!U195*'Peak Hours'!$Y194)</f>
        <v>0</v>
      </c>
      <c r="P194" s="417" t="n">
        <f aca="false">IF($A$1="BL",0,'Peak Hours'!P194*Peak!V195*'Peak Hours'!$Y194)</f>
        <v>0</v>
      </c>
      <c r="Q194" s="417" t="n">
        <f aca="false">IF($A$1="BL",0,'Peak Hours'!Q194*Peak!W195*'Peak Hours'!$Y194)</f>
        <v>0</v>
      </c>
      <c r="R194" s="417" t="n">
        <f aca="false">IF($A$1="BL",0,'Peak Hours'!R194*Peak!X195*'Peak Hours'!$Y194)</f>
        <v>0</v>
      </c>
      <c r="S194" s="417" t="n">
        <f aca="false">IF($A$1="BL",0,'Peak Hours'!S194*Peak!Y195*'Peak Hours'!$Y194)</f>
        <v>0</v>
      </c>
      <c r="T194" s="417" t="n">
        <f aca="false">IF($A$1="BL",0,'Peak Hours'!T194*Peak!Z195*'Peak Hours'!$Y194)</f>
        <v>0</v>
      </c>
      <c r="U194" s="417" t="n">
        <f aca="false">IF($A$1="BL",0,'Peak Hours'!U194*Peak!AA195*'Peak Hours'!$Y194)</f>
        <v>0</v>
      </c>
      <c r="V194" s="424"/>
      <c r="W194" s="422" t="n">
        <f aca="false">(IF($A$1="BL",0,Peak!C195*'Peak Hours'!V194*'Peak Hours'!$Y194))*-1</f>
        <v>-5838721.86720941</v>
      </c>
      <c r="X194" s="424"/>
      <c r="Y194" s="422" t="n">
        <f aca="false">(IF($A$1="bl",0,Peak!D195*'Peak Hours'!V194*'Peak Hours'!$Y194))*-1</f>
        <v>-98758.6892964086</v>
      </c>
      <c r="Z194" s="424"/>
      <c r="AA194" s="422" t="n">
        <f aca="false">(Peak!E195*'Peak Hours'!V194*'Peak Hours'!$Y194)*-1</f>
        <v>-0</v>
      </c>
      <c r="AB194" s="425"/>
      <c r="AC194" s="422" t="n">
        <f aca="false">(Peak!F195*'Peak Hours'!V194*'Peak Hours'!$Y194)*-1</f>
        <v>-0</v>
      </c>
      <c r="AD194" s="425"/>
    </row>
    <row r="195" customFormat="false" ht="12.75" hidden="false" customHeight="false" outlineLevel="0" collapsed="false">
      <c r="A195" s="400" t="n">
        <f aca="false">A194+30.417</f>
        <v>42167.145</v>
      </c>
      <c r="B195" s="417" t="n">
        <f aca="false">IF($A$1="BL",0,'Peak Hours'!B195*Peak!H196*'Peak Hours'!$Y195)</f>
        <v>657379.034427578</v>
      </c>
      <c r="C195" s="417" t="n">
        <f aca="false">IF($A$1="BL",0,'Peak Hours'!C195*Peak!I196*'Peak Hours'!$Y195)</f>
        <v>606438.974824217</v>
      </c>
      <c r="D195" s="417" t="n">
        <f aca="false">IF($A$1="BL",0,'Peak Hours'!D195*Peak!J196*'Peak Hours'!$Y195)</f>
        <v>1126805.1998948</v>
      </c>
      <c r="E195" s="417" t="n">
        <f aca="false">IF($A$1="BL",0,'Peak Hours'!E195*Peak!K196*'Peak Hours'!$Y195)</f>
        <v>2074313.75226602</v>
      </c>
      <c r="F195" s="417" t="n">
        <f aca="false">IF($A$1="BL",0,'Peak Hours'!F195*Peak!L196*'Peak Hours'!$Y195)</f>
        <v>1666344.97304286</v>
      </c>
      <c r="G195" s="417" t="n">
        <f aca="false">IF($A$1="BL",0,'Peak Hours'!G195*Peak!M196*'Peak Hours'!$Y195)</f>
        <v>2426948.74731336</v>
      </c>
      <c r="H195" s="417" t="n">
        <f aca="false">IF($A$1="BL",0,'Peak Hours'!H195*Peak!N196*'Peak Hours'!$Y195)</f>
        <v>1864925.32024191</v>
      </c>
      <c r="I195" s="417" t="n">
        <f aca="false">IF($A$1="BL",0,'Peak Hours'!I195*Peak!O196*'Peak Hours'!$Y195)</f>
        <v>1682437.2906898</v>
      </c>
      <c r="J195" s="417" t="n">
        <f aca="false">IF($A$1="BL",0,'Peak Hours'!J195*Peak!P196*'Peak Hours'!$Y195)</f>
        <v>1631797.47964054</v>
      </c>
      <c r="K195" s="417" t="n">
        <f aca="false">IF($A$1="BL",0,'Peak Hours'!K195*Peak!Q196*'Peak Hours'!$Y195)</f>
        <v>1411873.90774614</v>
      </c>
      <c r="L195" s="417" t="n">
        <f aca="false">IF($A$1="BL",0,'Peak Hours'!L195*Peak!R196*'Peak Hours'!$Y195)</f>
        <v>1285544.17510044</v>
      </c>
      <c r="M195" s="417" t="n">
        <f aca="false">IF($A$1="BL",0,'Peak Hours'!M195*Peak!S196*'Peak Hours'!$Y195)</f>
        <v>0</v>
      </c>
      <c r="N195" s="417" t="n">
        <f aca="false">IF($A$1="BL",0,'Peak Hours'!N195*Peak!T196*'Peak Hours'!$Y195)</f>
        <v>0</v>
      </c>
      <c r="O195" s="417" t="n">
        <f aca="false">IF($A$1="BL",0,'Peak Hours'!O195*Peak!U196*'Peak Hours'!$Y195)</f>
        <v>0</v>
      </c>
      <c r="P195" s="417" t="n">
        <f aca="false">IF($A$1="BL",0,'Peak Hours'!P195*Peak!V196*'Peak Hours'!$Y195)</f>
        <v>0</v>
      </c>
      <c r="Q195" s="417" t="n">
        <f aca="false">IF($A$1="BL",0,'Peak Hours'!Q195*Peak!W196*'Peak Hours'!$Y195)</f>
        <v>0</v>
      </c>
      <c r="R195" s="417" t="n">
        <f aca="false">IF($A$1="BL",0,'Peak Hours'!R195*Peak!X196*'Peak Hours'!$Y195)</f>
        <v>0</v>
      </c>
      <c r="S195" s="417" t="n">
        <f aca="false">IF($A$1="BL",0,'Peak Hours'!S195*Peak!Y196*'Peak Hours'!$Y195)</f>
        <v>0</v>
      </c>
      <c r="T195" s="417" t="n">
        <f aca="false">IF($A$1="BL",0,'Peak Hours'!T195*Peak!Z196*'Peak Hours'!$Y195)</f>
        <v>0</v>
      </c>
      <c r="U195" s="417" t="n">
        <f aca="false">IF($A$1="BL",0,'Peak Hours'!U195*Peak!AA196*'Peak Hours'!$Y195)</f>
        <v>0</v>
      </c>
      <c r="V195" s="424"/>
      <c r="W195" s="422" t="n">
        <f aca="false">(IF($A$1="BL",0,Peak!C196*'Peak Hours'!V195*'Peak Hours'!$Y195))*-1</f>
        <v>-9428874.87019578</v>
      </c>
      <c r="X195" s="424"/>
      <c r="Y195" s="422" t="n">
        <f aca="false">(IF($A$1="bl",0,Peak!D196*'Peak Hours'!V195*'Peak Hours'!$Y195))*-1</f>
        <v>-167670.001036411</v>
      </c>
      <c r="Z195" s="424"/>
      <c r="AA195" s="422" t="n">
        <f aca="false">(Peak!E196*'Peak Hours'!V195*'Peak Hours'!$Y195)*-1</f>
        <v>-0</v>
      </c>
      <c r="AB195" s="425"/>
      <c r="AC195" s="422" t="n">
        <f aca="false">(Peak!F196*'Peak Hours'!V195*'Peak Hours'!$Y195)*-1</f>
        <v>-0</v>
      </c>
      <c r="AD195" s="425"/>
    </row>
    <row r="196" customFormat="false" ht="12.75" hidden="false" customHeight="false" outlineLevel="0" collapsed="false">
      <c r="A196" s="400" t="n">
        <f aca="false">A195+30.417</f>
        <v>42197.562</v>
      </c>
      <c r="B196" s="417" t="n">
        <f aca="false">IF($A$1="BL",0,'Peak Hours'!B196*Peak!H197*'Peak Hours'!$Y196)</f>
        <v>1102377.69269632</v>
      </c>
      <c r="C196" s="417" t="n">
        <f aca="false">IF($A$1="BL",0,'Peak Hours'!C196*Peak!I197*'Peak Hours'!$Y196)</f>
        <v>808369.773231269</v>
      </c>
      <c r="D196" s="417" t="n">
        <f aca="false">IF($A$1="BL",0,'Peak Hours'!D196*Peak!J197*'Peak Hours'!$Y196)</f>
        <v>1462459.79264306</v>
      </c>
      <c r="E196" s="417" t="n">
        <f aca="false">IF($A$1="BL",0,'Peak Hours'!E196*Peak!K197*'Peak Hours'!$Y196)</f>
        <v>2656584.49320021</v>
      </c>
      <c r="F196" s="417" t="n">
        <f aca="false">IF($A$1="BL",0,'Peak Hours'!F196*Peak!L197*'Peak Hours'!$Y196)</f>
        <v>2430769.84594794</v>
      </c>
      <c r="G196" s="417" t="n">
        <f aca="false">IF($A$1="BL",0,'Peak Hours'!G196*Peak!M197*'Peak Hours'!$Y196)</f>
        <v>4411259.17684197</v>
      </c>
      <c r="H196" s="417" t="n">
        <f aca="false">IF($A$1="BL",0,'Peak Hours'!H196*Peak!N197*'Peak Hours'!$Y196)</f>
        <v>4040711.42019696</v>
      </c>
      <c r="I196" s="417" t="n">
        <f aca="false">IF($A$1="BL",0,'Peak Hours'!I196*Peak!O197*'Peak Hours'!$Y196)</f>
        <v>2075643.2892647</v>
      </c>
      <c r="J196" s="417" t="n">
        <f aca="false">IF($A$1="BL",0,'Peak Hours'!J196*Peak!P197*'Peak Hours'!$Y196)</f>
        <v>1617779.4928693</v>
      </c>
      <c r="K196" s="417" t="n">
        <f aca="false">IF($A$1="BL",0,'Peak Hours'!K196*Peak!Q197*'Peak Hours'!$Y196)</f>
        <v>1458496.0163666</v>
      </c>
      <c r="L196" s="417" t="n">
        <f aca="false">IF($A$1="BL",0,'Peak Hours'!L196*Peak!R197*'Peak Hours'!$Y196)</f>
        <v>1341733.75499375</v>
      </c>
      <c r="M196" s="417" t="n">
        <f aca="false">IF($A$1="BL",0,'Peak Hours'!M196*Peak!S197*'Peak Hours'!$Y196)</f>
        <v>0</v>
      </c>
      <c r="N196" s="417" t="n">
        <f aca="false">IF($A$1="BL",0,'Peak Hours'!N196*Peak!T197*'Peak Hours'!$Y196)</f>
        <v>0</v>
      </c>
      <c r="O196" s="417" t="n">
        <f aca="false">IF($A$1="BL",0,'Peak Hours'!O196*Peak!U197*'Peak Hours'!$Y196)</f>
        <v>0</v>
      </c>
      <c r="P196" s="417" t="n">
        <f aca="false">IF($A$1="BL",0,'Peak Hours'!P196*Peak!V197*'Peak Hours'!$Y196)</f>
        <v>0</v>
      </c>
      <c r="Q196" s="417" t="n">
        <f aca="false">IF($A$1="BL",0,'Peak Hours'!Q196*Peak!W197*'Peak Hours'!$Y196)</f>
        <v>0</v>
      </c>
      <c r="R196" s="417" t="n">
        <f aca="false">IF($A$1="BL",0,'Peak Hours'!R196*Peak!X197*'Peak Hours'!$Y196)</f>
        <v>0</v>
      </c>
      <c r="S196" s="417" t="n">
        <f aca="false">IF($A$1="BL",0,'Peak Hours'!S196*Peak!Y197*'Peak Hours'!$Y196)</f>
        <v>0</v>
      </c>
      <c r="T196" s="417" t="n">
        <f aca="false">IF($A$1="BL",0,'Peak Hours'!T196*Peak!Z197*'Peak Hours'!$Y196)</f>
        <v>0</v>
      </c>
      <c r="U196" s="417" t="n">
        <f aca="false">IF($A$1="BL",0,'Peak Hours'!U196*Peak!AA197*'Peak Hours'!$Y196)</f>
        <v>0</v>
      </c>
      <c r="V196" s="424"/>
      <c r="W196" s="422" t="n">
        <f aca="false">(IF($A$1="BL",0,Peak!C197*'Peak Hours'!V196*'Peak Hours'!$Y196))*-1</f>
        <v>-9399036.65858124</v>
      </c>
      <c r="X196" s="424"/>
      <c r="Y196" s="422" t="n">
        <f aca="false">(IF($A$1="bl",0,Peak!D197*'Peak Hours'!V196*'Peak Hours'!$Y196))*-1</f>
        <v>-167949.451038138</v>
      </c>
      <c r="Z196" s="424"/>
      <c r="AA196" s="422" t="n">
        <f aca="false">(Peak!E197*'Peak Hours'!V196*'Peak Hours'!$Y196)*-1</f>
        <v>-0</v>
      </c>
      <c r="AB196" s="425"/>
      <c r="AC196" s="422" t="n">
        <f aca="false">(Peak!F197*'Peak Hours'!V196*'Peak Hours'!$Y196)*-1</f>
        <v>-0</v>
      </c>
      <c r="AD196" s="425"/>
    </row>
    <row r="197" customFormat="false" ht="12.75" hidden="false" customHeight="false" outlineLevel="0" collapsed="false">
      <c r="A197" s="400" t="n">
        <f aca="false">A196+30.417</f>
        <v>42227.979</v>
      </c>
      <c r="B197" s="417" t="n">
        <f aca="false">IF($A$1="BL",0,'Peak Hours'!B197*Peak!H198*'Peak Hours'!$Y197)</f>
        <v>1121887.94833488</v>
      </c>
      <c r="C197" s="417" t="n">
        <f aca="false">IF($A$1="BL",0,'Peak Hours'!C197*Peak!I198*'Peak Hours'!$Y197)</f>
        <v>792707.29855555</v>
      </c>
      <c r="D197" s="417" t="n">
        <f aca="false">IF($A$1="BL",0,'Peak Hours'!D197*Peak!J198*'Peak Hours'!$Y197)</f>
        <v>1430711.76880719</v>
      </c>
      <c r="E197" s="417" t="n">
        <f aca="false">IF($A$1="BL",0,'Peak Hours'!E197*Peak!K198*'Peak Hours'!$Y197)</f>
        <v>2554755.90060167</v>
      </c>
      <c r="F197" s="417" t="n">
        <f aca="false">IF($A$1="BL",0,'Peak Hours'!F197*Peak!L198*'Peak Hours'!$Y197)</f>
        <v>2305421.49730739</v>
      </c>
      <c r="G197" s="417" t="n">
        <f aca="false">IF($A$1="BL",0,'Peak Hours'!G197*Peak!M198*'Peak Hours'!$Y197)</f>
        <v>4161416.14214171</v>
      </c>
      <c r="H197" s="417" t="n">
        <f aca="false">IF($A$1="BL",0,'Peak Hours'!H197*Peak!N198*'Peak Hours'!$Y197)</f>
        <v>2732373.47506216</v>
      </c>
      <c r="I197" s="417" t="n">
        <f aca="false">IF($A$1="BL",0,'Peak Hours'!I197*Peak!O198*'Peak Hours'!$Y197)</f>
        <v>2299872.34909659</v>
      </c>
      <c r="J197" s="417" t="n">
        <f aca="false">IF($A$1="BL",0,'Peak Hours'!J197*Peak!P198*'Peak Hours'!$Y197)</f>
        <v>1574029.78309417</v>
      </c>
      <c r="K197" s="417" t="n">
        <f aca="false">IF($A$1="BL",0,'Peak Hours'!K197*Peak!Q198*'Peak Hours'!$Y197)</f>
        <v>1343633.8533745</v>
      </c>
      <c r="L197" s="417" t="n">
        <f aca="false">IF($A$1="BL",0,'Peak Hours'!L197*Peak!R198*'Peak Hours'!$Y197)</f>
        <v>1268519.96501296</v>
      </c>
      <c r="M197" s="417" t="n">
        <f aca="false">IF($A$1="BL",0,'Peak Hours'!M197*Peak!S198*'Peak Hours'!$Y197)</f>
        <v>0</v>
      </c>
      <c r="N197" s="417" t="n">
        <f aca="false">IF($A$1="BL",0,'Peak Hours'!N197*Peak!T198*'Peak Hours'!$Y197)</f>
        <v>0</v>
      </c>
      <c r="O197" s="417" t="n">
        <f aca="false">IF($A$1="BL",0,'Peak Hours'!O197*Peak!U198*'Peak Hours'!$Y197)</f>
        <v>0</v>
      </c>
      <c r="P197" s="417" t="n">
        <f aca="false">IF($A$1="BL",0,'Peak Hours'!P197*Peak!V198*'Peak Hours'!$Y197)</f>
        <v>0</v>
      </c>
      <c r="Q197" s="417" t="n">
        <f aca="false">IF($A$1="BL",0,'Peak Hours'!Q197*Peak!W198*'Peak Hours'!$Y197)</f>
        <v>0</v>
      </c>
      <c r="R197" s="417" t="n">
        <f aca="false">IF($A$1="BL",0,'Peak Hours'!R197*Peak!X198*'Peak Hours'!$Y197)</f>
        <v>0</v>
      </c>
      <c r="S197" s="417" t="n">
        <f aca="false">IF($A$1="BL",0,'Peak Hours'!S197*Peak!Y198*'Peak Hours'!$Y197)</f>
        <v>0</v>
      </c>
      <c r="T197" s="417" t="n">
        <f aca="false">IF($A$1="BL",0,'Peak Hours'!T197*Peak!Z198*'Peak Hours'!$Y197)</f>
        <v>0</v>
      </c>
      <c r="U197" s="417" t="n">
        <f aca="false">IF($A$1="BL",0,'Peak Hours'!U197*Peak!AA198*'Peak Hours'!$Y197)</f>
        <v>0</v>
      </c>
      <c r="V197" s="424"/>
      <c r="W197" s="422" t="n">
        <f aca="false">(IF($A$1="BL",0,Peak!C198*'Peak Hours'!V197*'Peak Hours'!$Y197))*-1</f>
        <v>-8911679.20221036</v>
      </c>
      <c r="X197" s="424"/>
      <c r="Y197" s="422" t="n">
        <f aca="false">(IF($A$1="bl",0,Peak!D198*'Peak Hours'!V197*'Peak Hours'!$Y197))*-1</f>
        <v>-168229.366789869</v>
      </c>
      <c r="Z197" s="424"/>
      <c r="AA197" s="422" t="n">
        <f aca="false">(Peak!E198*'Peak Hours'!V197*'Peak Hours'!$Y197)*-1</f>
        <v>-0</v>
      </c>
      <c r="AB197" s="425"/>
      <c r="AC197" s="422" t="n">
        <f aca="false">(Peak!F198*'Peak Hours'!V197*'Peak Hours'!$Y197)*-1</f>
        <v>-0</v>
      </c>
      <c r="AD197" s="425"/>
    </row>
    <row r="198" customFormat="false" ht="12.75" hidden="false" customHeight="false" outlineLevel="0" collapsed="false">
      <c r="A198" s="400" t="n">
        <f aca="false">A197+30.417</f>
        <v>42258.396</v>
      </c>
      <c r="B198" s="417" t="n">
        <f aca="false">IF($A$1="BL",0,'Peak Hours'!B198*Peak!H199*'Peak Hours'!$Y198)</f>
        <v>511935.788498319</v>
      </c>
      <c r="C198" s="417" t="n">
        <f aca="false">IF($A$1="BL",0,'Peak Hours'!C198*Peak!I199*'Peak Hours'!$Y198)</f>
        <v>450109.902690262</v>
      </c>
      <c r="D198" s="417" t="n">
        <f aca="false">IF($A$1="BL",0,'Peak Hours'!D198*Peak!J199*'Peak Hours'!$Y198)</f>
        <v>693294.165759998</v>
      </c>
      <c r="E198" s="417" t="n">
        <f aca="false">IF($A$1="BL",0,'Peak Hours'!E198*Peak!K199*'Peak Hours'!$Y198)</f>
        <v>1262706.3693502</v>
      </c>
      <c r="F198" s="417" t="n">
        <f aca="false">IF($A$1="BL",0,'Peak Hours'!F198*Peak!L199*'Peak Hours'!$Y198)</f>
        <v>1111495.14492659</v>
      </c>
      <c r="G198" s="417" t="n">
        <f aca="false">IF($A$1="BL",0,'Peak Hours'!G198*Peak!M199*'Peak Hours'!$Y198)</f>
        <v>1587747.57016458</v>
      </c>
      <c r="H198" s="417" t="n">
        <f aca="false">IF($A$1="BL",0,'Peak Hours'!H198*Peak!N199*'Peak Hours'!$Y198)</f>
        <v>1395866.66141712</v>
      </c>
      <c r="I198" s="417" t="n">
        <f aca="false">IF($A$1="BL",0,'Peak Hours'!I198*Peak!O199*'Peak Hours'!$Y198)</f>
        <v>1295282.7826142</v>
      </c>
      <c r="J198" s="417" t="n">
        <f aca="false">IF($A$1="BL",0,'Peak Hours'!J198*Peak!P199*'Peak Hours'!$Y198)</f>
        <v>1236295.88545161</v>
      </c>
      <c r="K198" s="417" t="n">
        <f aca="false">IF($A$1="BL",0,'Peak Hours'!K198*Peak!Q199*'Peak Hours'!$Y198)</f>
        <v>1226898.99099467</v>
      </c>
      <c r="L198" s="417" t="n">
        <f aca="false">IF($A$1="BL",0,'Peak Hours'!L198*Peak!R199*'Peak Hours'!$Y198)</f>
        <v>1217280.26343322</v>
      </c>
      <c r="M198" s="417" t="n">
        <f aca="false">IF($A$1="BL",0,'Peak Hours'!M198*Peak!S199*'Peak Hours'!$Y198)</f>
        <v>1217280.26343322</v>
      </c>
      <c r="N198" s="417" t="n">
        <f aca="false">IF($A$1="BL",0,'Peak Hours'!N198*Peak!T199*'Peak Hours'!$Y198)</f>
        <v>1217280.26343322</v>
      </c>
      <c r="O198" s="417" t="n">
        <f aca="false">IF($A$1="BL",0,'Peak Hours'!O198*Peak!U199*'Peak Hours'!$Y198)</f>
        <v>1216258.76770605</v>
      </c>
      <c r="P198" s="417" t="n">
        <f aca="false">IF($A$1="BL",0,'Peak Hours'!P198*Peak!V199*'Peak Hours'!$Y198)</f>
        <v>1201312.37217266</v>
      </c>
      <c r="Q198" s="417" t="n">
        <f aca="false">IF($A$1="BL",0,'Peak Hours'!Q198*Peak!W199*'Peak Hours'!$Y198)</f>
        <v>1196902.63491493</v>
      </c>
      <c r="R198" s="417" t="n">
        <f aca="false">IF($A$1="BL",0,'Peak Hours'!R198*Peak!X199*'Peak Hours'!$Y198)</f>
        <v>1196902.48896086</v>
      </c>
      <c r="S198" s="417" t="n">
        <f aca="false">IF($A$1="BL",0,'Peak Hours'!S198*Peak!Y199*'Peak Hours'!$Y198)</f>
        <v>1196898.78073383</v>
      </c>
      <c r="T198" s="417" t="n">
        <f aca="false">IF($A$1="BL",0,'Peak Hours'!T198*Peak!Z199*'Peak Hours'!$Y198)</f>
        <v>1196898.59087903</v>
      </c>
      <c r="U198" s="417" t="n">
        <f aca="false">IF($A$1="BL",0,'Peak Hours'!U198*Peak!AA199*'Peak Hours'!$Y198)</f>
        <v>0</v>
      </c>
      <c r="V198" s="424"/>
      <c r="W198" s="422" t="n">
        <f aca="false">(IF($A$1="BL",0,Peak!C199*'Peak Hours'!V198*'Peak Hours'!$Y198))*-1</f>
        <v>-18049507.2529266</v>
      </c>
      <c r="X198" s="424"/>
      <c r="Y198" s="422" t="n">
        <f aca="false">(IF($A$1="bl",0,Peak!D199*'Peak Hours'!V198*'Peak Hours'!$Y198))*-1</f>
        <v>-342442.286594573</v>
      </c>
      <c r="Z198" s="424"/>
      <c r="AA198" s="422" t="n">
        <f aca="false">(Peak!E199*'Peak Hours'!V198*'Peak Hours'!$Y198)*-1</f>
        <v>-0</v>
      </c>
      <c r="AB198" s="425"/>
      <c r="AC198" s="422" t="n">
        <f aca="false">(Peak!F199*'Peak Hours'!V198*'Peak Hours'!$Y198)*-1</f>
        <v>-0</v>
      </c>
      <c r="AD198" s="425"/>
    </row>
    <row r="199" customFormat="false" ht="12.75" hidden="false" customHeight="false" outlineLevel="0" collapsed="false">
      <c r="A199" s="400" t="n">
        <f aca="false">A198+30.417</f>
        <v>42288.813</v>
      </c>
      <c r="B199" s="417" t="n">
        <f aca="false">IF($A$1="BL",0,'Peak Hours'!B199*Peak!H200*'Peak Hours'!$Y199)</f>
        <v>499899.824447982</v>
      </c>
      <c r="C199" s="417" t="n">
        <f aca="false">IF($A$1="BL",0,'Peak Hours'!C199*Peak!I200*'Peak Hours'!$Y199)</f>
        <v>479854.936981816</v>
      </c>
      <c r="D199" s="417" t="n">
        <f aca="false">IF($A$1="BL",0,'Peak Hours'!D199*Peak!J200*'Peak Hours'!$Y199)</f>
        <v>709658.953694189</v>
      </c>
      <c r="E199" s="417" t="n">
        <f aca="false">IF($A$1="BL",0,'Peak Hours'!E199*Peak!K200*'Peak Hours'!$Y199)</f>
        <v>1200719.07560784</v>
      </c>
      <c r="F199" s="417" t="n">
        <f aca="false">IF($A$1="BL",0,'Peak Hours'!F199*Peak!L200*'Peak Hours'!$Y199)</f>
        <v>1105906.72355383</v>
      </c>
      <c r="G199" s="417" t="n">
        <f aca="false">IF($A$1="BL",0,'Peak Hours'!G199*Peak!M200*'Peak Hours'!$Y199)</f>
        <v>2195955.47687631</v>
      </c>
      <c r="H199" s="417" t="n">
        <f aca="false">IF($A$1="BL",0,'Peak Hours'!H199*Peak!N200*'Peak Hours'!$Y199)</f>
        <v>1872988.59004753</v>
      </c>
      <c r="I199" s="417" t="n">
        <f aca="false">IF($A$1="BL",0,'Peak Hours'!I199*Peak!O200*'Peak Hours'!$Y199)</f>
        <v>1501951.75251345</v>
      </c>
      <c r="J199" s="417" t="n">
        <f aca="false">IF($A$1="BL",0,'Peak Hours'!J199*Peak!P200*'Peak Hours'!$Y199)</f>
        <v>0</v>
      </c>
      <c r="K199" s="417" t="n">
        <f aca="false">IF($A$1="BL",0,'Peak Hours'!K199*Peak!Q200*'Peak Hours'!$Y199)</f>
        <v>0</v>
      </c>
      <c r="L199" s="417" t="n">
        <f aca="false">IF($A$1="BL",0,'Peak Hours'!L199*Peak!R200*'Peak Hours'!$Y199)</f>
        <v>0</v>
      </c>
      <c r="M199" s="417" t="n">
        <f aca="false">IF($A$1="BL",0,'Peak Hours'!M199*Peak!S200*'Peak Hours'!$Y199)</f>
        <v>0</v>
      </c>
      <c r="N199" s="417" t="n">
        <f aca="false">IF($A$1="BL",0,'Peak Hours'!N199*Peak!T200*'Peak Hours'!$Y199)</f>
        <v>0</v>
      </c>
      <c r="O199" s="417" t="n">
        <f aca="false">IF($A$1="BL",0,'Peak Hours'!O199*Peak!U200*'Peak Hours'!$Y199)</f>
        <v>0</v>
      </c>
      <c r="P199" s="417" t="n">
        <f aca="false">IF($A$1="BL",0,'Peak Hours'!P199*Peak!V200*'Peak Hours'!$Y199)</f>
        <v>0</v>
      </c>
      <c r="Q199" s="417" t="n">
        <f aca="false">IF($A$1="BL",0,'Peak Hours'!Q199*Peak!W200*'Peak Hours'!$Y199)</f>
        <v>0</v>
      </c>
      <c r="R199" s="417" t="n">
        <f aca="false">IF($A$1="BL",0,'Peak Hours'!R199*Peak!X200*'Peak Hours'!$Y199)</f>
        <v>0</v>
      </c>
      <c r="S199" s="417" t="n">
        <f aca="false">IF($A$1="BL",0,'Peak Hours'!S199*Peak!Y200*'Peak Hours'!$Y199)</f>
        <v>0</v>
      </c>
      <c r="T199" s="417" t="n">
        <f aca="false">IF($A$1="BL",0,'Peak Hours'!T199*Peak!Z200*'Peak Hours'!$Y199)</f>
        <v>0</v>
      </c>
      <c r="U199" s="417" t="n">
        <f aca="false">IF($A$1="BL",0,'Peak Hours'!U199*Peak!AA200*'Peak Hours'!$Y199)</f>
        <v>0</v>
      </c>
      <c r="V199" s="424"/>
      <c r="W199" s="422" t="n">
        <f aca="false">(IF($A$1="BL",0,Peak!C200*'Peak Hours'!V199*'Peak Hours'!$Y199))*-1</f>
        <v>-5803513.49414081</v>
      </c>
      <c r="X199" s="424"/>
      <c r="Y199" s="422" t="n">
        <f aca="false">(IF($A$1="bl",0,Peak!D200*'Peak Hours'!V199*'Peak Hours'!$Y199))*-1</f>
        <v>-99584.4262467766</v>
      </c>
      <c r="Z199" s="424"/>
      <c r="AA199" s="422" t="n">
        <f aca="false">(Peak!E200*'Peak Hours'!V199*'Peak Hours'!$Y199)*-1</f>
        <v>-0</v>
      </c>
      <c r="AB199" s="425"/>
      <c r="AC199" s="422" t="n">
        <f aca="false">(Peak!F200*'Peak Hours'!V199*'Peak Hours'!$Y199)*-1</f>
        <v>-0</v>
      </c>
      <c r="AD199" s="425"/>
    </row>
    <row r="200" customFormat="false" ht="12.75" hidden="false" customHeight="false" outlineLevel="0" collapsed="false">
      <c r="A200" s="400" t="n">
        <f aca="false">A199+30.417</f>
        <v>42319.23</v>
      </c>
      <c r="B200" s="417" t="n">
        <f aca="false">IF($A$1="BL",0,'Peak Hours'!B200*Peak!H201*'Peak Hours'!$Y200)</f>
        <v>354875.078831031</v>
      </c>
      <c r="C200" s="417" t="n">
        <f aca="false">IF($A$1="BL",0,'Peak Hours'!C200*Peak!I201*'Peak Hours'!$Y200)</f>
        <v>339457.482575731</v>
      </c>
      <c r="D200" s="417" t="n">
        <f aca="false">IF($A$1="BL",0,'Peak Hours'!D200*Peak!J201*'Peak Hours'!$Y200)</f>
        <v>656064.033140812</v>
      </c>
      <c r="E200" s="417" t="n">
        <f aca="false">IF($A$1="BL",0,'Peak Hours'!E200*Peak!K201*'Peak Hours'!$Y200)</f>
        <v>1241411.8325968</v>
      </c>
      <c r="F200" s="417" t="n">
        <f aca="false">IF($A$1="BL",0,'Peak Hours'!F200*Peak!L201*'Peak Hours'!$Y200)</f>
        <v>1229397.03296041</v>
      </c>
      <c r="G200" s="417" t="n">
        <f aca="false">IF($A$1="BL",0,'Peak Hours'!G200*Peak!M201*'Peak Hours'!$Y200)</f>
        <v>2395427.4929242</v>
      </c>
      <c r="H200" s="417" t="n">
        <f aca="false">IF($A$1="BL",0,'Peak Hours'!H200*Peak!N201*'Peak Hours'!$Y200)</f>
        <v>1837803.06819639</v>
      </c>
      <c r="I200" s="417" t="n">
        <f aca="false">IF($A$1="BL",0,'Peak Hours'!I200*Peak!O201*'Peak Hours'!$Y200)</f>
        <v>1654047.33141171</v>
      </c>
      <c r="J200" s="417" t="n">
        <f aca="false">IF($A$1="BL",0,'Peak Hours'!J200*Peak!P201*'Peak Hours'!$Y200)</f>
        <v>1521534.55868217</v>
      </c>
      <c r="K200" s="417" t="n">
        <f aca="false">IF($A$1="BL",0,'Peak Hours'!K200*Peak!Q201*'Peak Hours'!$Y200)</f>
        <v>1507567.37840982</v>
      </c>
      <c r="L200" s="417" t="n">
        <f aca="false">IF($A$1="BL",0,'Peak Hours'!L200*Peak!R201*'Peak Hours'!$Y200)</f>
        <v>0</v>
      </c>
      <c r="M200" s="417" t="n">
        <f aca="false">IF($A$1="BL",0,'Peak Hours'!M200*Peak!S201*'Peak Hours'!$Y200)</f>
        <v>0</v>
      </c>
      <c r="N200" s="417" t="n">
        <f aca="false">IF($A$1="BL",0,'Peak Hours'!N200*Peak!T201*'Peak Hours'!$Y200)</f>
        <v>0</v>
      </c>
      <c r="O200" s="417" t="n">
        <f aca="false">IF($A$1="BL",0,'Peak Hours'!O200*Peak!U201*'Peak Hours'!$Y200)</f>
        <v>0</v>
      </c>
      <c r="P200" s="417" t="n">
        <f aca="false">IF($A$1="BL",0,'Peak Hours'!P200*Peak!V201*'Peak Hours'!$Y200)</f>
        <v>0</v>
      </c>
      <c r="Q200" s="417" t="n">
        <f aca="false">IF($A$1="BL",0,'Peak Hours'!Q200*Peak!W201*'Peak Hours'!$Y200)</f>
        <v>0</v>
      </c>
      <c r="R200" s="417" t="n">
        <f aca="false">IF($A$1="BL",0,'Peak Hours'!R200*Peak!X201*'Peak Hours'!$Y200)</f>
        <v>0</v>
      </c>
      <c r="S200" s="417" t="n">
        <f aca="false">IF($A$1="BL",0,'Peak Hours'!S200*Peak!Y201*'Peak Hours'!$Y200)</f>
        <v>0</v>
      </c>
      <c r="T200" s="417" t="n">
        <f aca="false">IF($A$1="BL",0,'Peak Hours'!T200*Peak!Z201*'Peak Hours'!$Y200)</f>
        <v>0</v>
      </c>
      <c r="U200" s="417" t="n">
        <f aca="false">IF($A$1="BL",0,'Peak Hours'!U200*Peak!AA201*'Peak Hours'!$Y200)</f>
        <v>0</v>
      </c>
      <c r="V200" s="424"/>
      <c r="W200" s="422" t="n">
        <f aca="false">(IF($A$1="BL",0,Peak!C201*'Peak Hours'!V200*'Peak Hours'!$Y200))*-1</f>
        <v>-9179605.26727429</v>
      </c>
      <c r="X200" s="424"/>
      <c r="Y200" s="422" t="n">
        <f aca="false">(IF($A$1="bl",0,Peak!D201*'Peak Hours'!V200*'Peak Hours'!$Y200))*-1</f>
        <v>-144083.911530753</v>
      </c>
      <c r="Z200" s="424"/>
      <c r="AA200" s="422" t="n">
        <f aca="false">(Peak!E201*'Peak Hours'!V200*'Peak Hours'!$Y200)*-1</f>
        <v>-0</v>
      </c>
      <c r="AB200" s="425"/>
      <c r="AC200" s="422" t="n">
        <f aca="false">(Peak!F201*'Peak Hours'!V200*'Peak Hours'!$Y200)*-1</f>
        <v>-0</v>
      </c>
      <c r="AD200" s="425"/>
    </row>
    <row r="201" customFormat="false" ht="12.75" hidden="false" customHeight="false" outlineLevel="0" collapsed="false">
      <c r="A201" s="400" t="n">
        <f aca="false">A200+30.417</f>
        <v>42349.647</v>
      </c>
      <c r="B201" s="417" t="n">
        <f aca="false">IF($A$1="BL",0,'Peak Hours'!B201*Peak!H202*'Peak Hours'!$Y201)</f>
        <v>366606.580855722</v>
      </c>
      <c r="C201" s="417" t="n">
        <f aca="false">IF($A$1="BL",0,'Peak Hours'!C201*Peak!I202*'Peak Hours'!$Y201)</f>
        <v>344840.404788111</v>
      </c>
      <c r="D201" s="417" t="n">
        <f aca="false">IF($A$1="BL",0,'Peak Hours'!D201*Peak!J202*'Peak Hours'!$Y201)</f>
        <v>676010.518503886</v>
      </c>
      <c r="E201" s="417" t="n">
        <f aca="false">IF($A$1="BL",0,'Peak Hours'!E201*Peak!K202*'Peak Hours'!$Y201)</f>
        <v>1272904.86691881</v>
      </c>
      <c r="F201" s="417" t="n">
        <f aca="false">IF($A$1="BL",0,'Peak Hours'!F201*Peak!L202*'Peak Hours'!$Y201)</f>
        <v>1247043.35418479</v>
      </c>
      <c r="G201" s="417" t="n">
        <f aca="false">IF($A$1="BL",0,'Peak Hours'!G201*Peak!M202*'Peak Hours'!$Y201)</f>
        <v>2477742.18541128</v>
      </c>
      <c r="H201" s="417" t="n">
        <f aca="false">IF($A$1="BL",0,'Peak Hours'!H201*Peak!N202*'Peak Hours'!$Y201)</f>
        <v>2057504.09274152</v>
      </c>
      <c r="I201" s="417" t="n">
        <f aca="false">IF($A$1="BL",0,'Peak Hours'!I201*Peak!O202*'Peak Hours'!$Y201)</f>
        <v>1701798.41509918</v>
      </c>
      <c r="J201" s="417" t="n">
        <f aca="false">IF($A$1="BL",0,'Peak Hours'!J201*Peak!P202*'Peak Hours'!$Y201)</f>
        <v>1600270.40252323</v>
      </c>
      <c r="K201" s="417" t="n">
        <f aca="false">IF($A$1="BL",0,'Peak Hours'!K201*Peak!Q202*'Peak Hours'!$Y201)</f>
        <v>1576751.4601716</v>
      </c>
      <c r="L201" s="417" t="n">
        <f aca="false">IF($A$1="BL",0,'Peak Hours'!L201*Peak!R202*'Peak Hours'!$Y201)</f>
        <v>0</v>
      </c>
      <c r="M201" s="417" t="n">
        <f aca="false">IF($A$1="BL",0,'Peak Hours'!M201*Peak!S202*'Peak Hours'!$Y201)</f>
        <v>0</v>
      </c>
      <c r="N201" s="417" t="n">
        <f aca="false">IF($A$1="BL",0,'Peak Hours'!N201*Peak!T202*'Peak Hours'!$Y201)</f>
        <v>0</v>
      </c>
      <c r="O201" s="417" t="n">
        <f aca="false">IF($A$1="BL",0,'Peak Hours'!O201*Peak!U202*'Peak Hours'!$Y201)</f>
        <v>0</v>
      </c>
      <c r="P201" s="417" t="n">
        <f aca="false">IF($A$1="BL",0,'Peak Hours'!P201*Peak!V202*'Peak Hours'!$Y201)</f>
        <v>0</v>
      </c>
      <c r="Q201" s="417" t="n">
        <f aca="false">IF($A$1="BL",0,'Peak Hours'!Q201*Peak!W202*'Peak Hours'!$Y201)</f>
        <v>0</v>
      </c>
      <c r="R201" s="417" t="n">
        <f aca="false">IF($A$1="BL",0,'Peak Hours'!R201*Peak!X202*'Peak Hours'!$Y201)</f>
        <v>0</v>
      </c>
      <c r="S201" s="417" t="n">
        <f aca="false">IF($A$1="BL",0,'Peak Hours'!S201*Peak!Y202*'Peak Hours'!$Y201)</f>
        <v>0</v>
      </c>
      <c r="T201" s="417" t="n">
        <f aca="false">IF($A$1="BL",0,'Peak Hours'!T201*Peak!Z202*'Peak Hours'!$Y201)</f>
        <v>0</v>
      </c>
      <c r="U201" s="417" t="n">
        <f aca="false">IF($A$1="BL",0,'Peak Hours'!U201*Peak!AA202*'Peak Hours'!$Y201)</f>
        <v>0</v>
      </c>
      <c r="V201" s="426" t="n">
        <f aca="false">SUM(B190:U201)</f>
        <v>176489496.354912</v>
      </c>
      <c r="W201" s="422" t="n">
        <f aca="false">(IF($A$1="BL",0,Peak!C202*'Peak Hours'!V201*'Peak Hours'!$Y201))*-1</f>
        <v>-9664992.54056728</v>
      </c>
      <c r="X201" s="426" t="n">
        <f aca="false">SUM(W190:W201)</f>
        <v>-111731236.854137</v>
      </c>
      <c r="Y201" s="422" t="n">
        <f aca="false">(IF($A$1="bl",0,Peak!D202*'Peak Hours'!V201*'Peak Hours'!$Y201))*-1</f>
        <v>-140416.153917973</v>
      </c>
      <c r="Z201" s="426" t="n">
        <f aca="false">SUM(Y190:Y201)</f>
        <v>-1911564.61029936</v>
      </c>
      <c r="AA201" s="422" t="n">
        <f aca="false">(Peak!E202*'Peak Hours'!V201*'Peak Hours'!$Y201)*-1</f>
        <v>-0</v>
      </c>
      <c r="AB201" s="427" t="n">
        <f aca="false">SUM(AA190:AA201)</f>
        <v>0</v>
      </c>
      <c r="AC201" s="422" t="n">
        <f aca="false">(Peak!F202*'Peak Hours'!V201*'Peak Hours'!$Y201)*-1</f>
        <v>-0</v>
      </c>
      <c r="AD201" s="427" t="n">
        <f aca="false">SUM(AC190:AC201)</f>
        <v>0</v>
      </c>
    </row>
    <row r="202" customFormat="false" ht="12.75" hidden="false" customHeight="false" outlineLevel="0" collapsed="false">
      <c r="A202" s="400" t="n">
        <f aca="false">A201+30.417</f>
        <v>42380.064</v>
      </c>
      <c r="B202" s="417" t="n">
        <f aca="false">IF($A$1="BL",0,'Peak Hours'!B202*Peak!H203*'Peak Hours'!$Y202)</f>
        <v>370444.669674842</v>
      </c>
      <c r="C202" s="417" t="n">
        <f aca="false">IF($A$1="BL",0,'Peak Hours'!C202*Peak!I203*'Peak Hours'!$Y202)</f>
        <v>343394.671375211</v>
      </c>
      <c r="D202" s="417" t="n">
        <f aca="false">IF($A$1="BL",0,'Peak Hours'!D202*Peak!J203*'Peak Hours'!$Y202)</f>
        <v>643212.801589145</v>
      </c>
      <c r="E202" s="417" t="n">
        <f aca="false">IF($A$1="BL",0,'Peak Hours'!E202*Peak!K203*'Peak Hours'!$Y202)</f>
        <v>1216681.3026047</v>
      </c>
      <c r="F202" s="417" t="n">
        <f aca="false">IF($A$1="BL",0,'Peak Hours'!F202*Peak!L203*'Peak Hours'!$Y202)</f>
        <v>1160180.22746185</v>
      </c>
      <c r="G202" s="417" t="n">
        <f aca="false">IF($A$1="BL",0,'Peak Hours'!G202*Peak!M203*'Peak Hours'!$Y202)</f>
        <v>2288269.10684718</v>
      </c>
      <c r="H202" s="417" t="n">
        <f aca="false">IF($A$1="BL",0,'Peak Hours'!H202*Peak!N203*'Peak Hours'!$Y202)</f>
        <v>1896668.18217572</v>
      </c>
      <c r="I202" s="417" t="n">
        <f aca="false">IF($A$1="BL",0,'Peak Hours'!I202*Peak!O203*'Peak Hours'!$Y202)</f>
        <v>1589183.94441701</v>
      </c>
      <c r="J202" s="417" t="n">
        <f aca="false">IF($A$1="BL",0,'Peak Hours'!J202*Peak!P203*'Peak Hours'!$Y202)</f>
        <v>0</v>
      </c>
      <c r="K202" s="417" t="n">
        <f aca="false">IF($A$1="BL",0,'Peak Hours'!K202*Peak!Q203*'Peak Hours'!$Y202)</f>
        <v>0</v>
      </c>
      <c r="L202" s="417" t="n">
        <f aca="false">IF($A$1="BL",0,'Peak Hours'!L202*Peak!R203*'Peak Hours'!$Y202)</f>
        <v>0</v>
      </c>
      <c r="M202" s="417" t="n">
        <f aca="false">IF($A$1="BL",0,'Peak Hours'!M202*Peak!S203*'Peak Hours'!$Y202)</f>
        <v>0</v>
      </c>
      <c r="N202" s="417" t="n">
        <f aca="false">IF($A$1="BL",0,'Peak Hours'!N202*Peak!T203*'Peak Hours'!$Y202)</f>
        <v>0</v>
      </c>
      <c r="O202" s="417" t="n">
        <f aca="false">IF($A$1="BL",0,'Peak Hours'!O202*Peak!U203*'Peak Hours'!$Y202)</f>
        <v>0</v>
      </c>
      <c r="P202" s="417" t="n">
        <f aca="false">IF($A$1="BL",0,'Peak Hours'!P202*Peak!V203*'Peak Hours'!$Y202)</f>
        <v>0</v>
      </c>
      <c r="Q202" s="417" t="n">
        <f aca="false">IF($A$1="BL",0,'Peak Hours'!Q202*Peak!W203*'Peak Hours'!$Y202)</f>
        <v>0</v>
      </c>
      <c r="R202" s="417" t="n">
        <f aca="false">IF($A$1="BL",0,'Peak Hours'!R202*Peak!X203*'Peak Hours'!$Y202)</f>
        <v>0</v>
      </c>
      <c r="S202" s="417" t="n">
        <f aca="false">IF($A$1="BL",0,'Peak Hours'!S202*Peak!Y203*'Peak Hours'!$Y202)</f>
        <v>0</v>
      </c>
      <c r="T202" s="417" t="n">
        <f aca="false">IF($A$1="BL",0,'Peak Hours'!T202*Peak!Z203*'Peak Hours'!$Y202)</f>
        <v>0</v>
      </c>
      <c r="U202" s="417" t="n">
        <f aca="false">IF($A$1="BL",0,'Peak Hours'!U202*Peak!AA203*'Peak Hours'!$Y202)</f>
        <v>0</v>
      </c>
      <c r="V202" s="424"/>
      <c r="W202" s="422" t="n">
        <f aca="false">(IF($A$1="BL",0,Peak!C203*'Peak Hours'!V202*'Peak Hours'!$Y202))*-1</f>
        <v>-6729877.27370235</v>
      </c>
      <c r="X202" s="424"/>
      <c r="Y202" s="422" t="n">
        <f aca="false">(IF($A$1="bl",0,Peak!D203*'Peak Hours'!V202*'Peak Hours'!$Y202))*-1</f>
        <v>-97373.2021208096</v>
      </c>
      <c r="Z202" s="424"/>
      <c r="AA202" s="422" t="n">
        <f aca="false">(Peak!E203*'Peak Hours'!V202*'Peak Hours'!$Y202)*-1</f>
        <v>-0</v>
      </c>
      <c r="AB202" s="425"/>
      <c r="AC202" s="422" t="n">
        <f aca="false">(Peak!F203*'Peak Hours'!V202*'Peak Hours'!$Y202)*-1</f>
        <v>-0</v>
      </c>
      <c r="AD202" s="425"/>
    </row>
    <row r="203" customFormat="false" ht="12.75" hidden="false" customHeight="false" outlineLevel="0" collapsed="false">
      <c r="A203" s="400" t="n">
        <f aca="false">A202+30.417</f>
        <v>42410.481</v>
      </c>
      <c r="B203" s="417" t="n">
        <f aca="false">IF($A$1="BL",0,'Peak Hours'!B203*Peak!H204*'Peak Hours'!$Y203)</f>
        <v>496154.485016822</v>
      </c>
      <c r="C203" s="417" t="n">
        <f aca="false">IF($A$1="BL",0,'Peak Hours'!C203*Peak!I204*'Peak Hours'!$Y203)</f>
        <v>482191.969620268</v>
      </c>
      <c r="D203" s="417" t="n">
        <f aca="false">IF($A$1="BL",0,'Peak Hours'!D203*Peak!J204*'Peak Hours'!$Y203)</f>
        <v>865842.145483185</v>
      </c>
      <c r="E203" s="417" t="n">
        <f aca="false">IF($A$1="BL",0,'Peak Hours'!E203*Peak!K204*'Peak Hours'!$Y203)</f>
        <v>1371108.28645081</v>
      </c>
      <c r="F203" s="417" t="n">
        <f aca="false">IF($A$1="BL",0,'Peak Hours'!F203*Peak!L204*'Peak Hours'!$Y203)</f>
        <v>1260747.04151509</v>
      </c>
      <c r="G203" s="417" t="n">
        <f aca="false">IF($A$1="BL",0,'Peak Hours'!G203*Peak!M204*'Peak Hours'!$Y203)</f>
        <v>2332782.21290388</v>
      </c>
      <c r="H203" s="417" t="n">
        <f aca="false">IF($A$1="BL",0,'Peak Hours'!H203*Peak!N204*'Peak Hours'!$Y203)</f>
        <v>2251771.8473141</v>
      </c>
      <c r="I203" s="417" t="n">
        <f aca="false">IF($A$1="BL",0,'Peak Hours'!I203*Peak!O204*'Peak Hours'!$Y203)</f>
        <v>2162635.55292946</v>
      </c>
      <c r="J203" s="417" t="n">
        <f aca="false">IF($A$1="BL",0,'Peak Hours'!J203*Peak!P204*'Peak Hours'!$Y203)</f>
        <v>1685934.27585486</v>
      </c>
      <c r="K203" s="417" t="n">
        <f aca="false">IF($A$1="BL",0,'Peak Hours'!K203*Peak!Q204*'Peak Hours'!$Y203)</f>
        <v>1455818.33598972</v>
      </c>
      <c r="L203" s="417" t="n">
        <f aca="false">IF($A$1="BL",0,'Peak Hours'!L203*Peak!R204*'Peak Hours'!$Y203)</f>
        <v>0</v>
      </c>
      <c r="M203" s="417" t="n">
        <f aca="false">IF($A$1="BL",0,'Peak Hours'!M203*Peak!S204*'Peak Hours'!$Y203)</f>
        <v>0</v>
      </c>
      <c r="N203" s="417" t="n">
        <f aca="false">IF($A$1="BL",0,'Peak Hours'!N203*Peak!T204*'Peak Hours'!$Y203)</f>
        <v>0</v>
      </c>
      <c r="O203" s="417" t="n">
        <f aca="false">IF($A$1="BL",0,'Peak Hours'!O203*Peak!U204*'Peak Hours'!$Y203)</f>
        <v>0</v>
      </c>
      <c r="P203" s="417" t="n">
        <f aca="false">IF($A$1="BL",0,'Peak Hours'!P203*Peak!V204*'Peak Hours'!$Y203)</f>
        <v>0</v>
      </c>
      <c r="Q203" s="417" t="n">
        <f aca="false">IF($A$1="BL",0,'Peak Hours'!Q203*Peak!W204*'Peak Hours'!$Y203)</f>
        <v>0</v>
      </c>
      <c r="R203" s="417" t="n">
        <f aca="false">IF($A$1="BL",0,'Peak Hours'!R203*Peak!X204*'Peak Hours'!$Y203)</f>
        <v>0</v>
      </c>
      <c r="S203" s="417" t="n">
        <f aca="false">IF($A$1="BL",0,'Peak Hours'!S203*Peak!Y204*'Peak Hours'!$Y203)</f>
        <v>0</v>
      </c>
      <c r="T203" s="417" t="n">
        <f aca="false">IF($A$1="BL",0,'Peak Hours'!T203*Peak!Z204*'Peak Hours'!$Y203)</f>
        <v>0</v>
      </c>
      <c r="U203" s="417" t="n">
        <f aca="false">IF($A$1="BL",0,'Peak Hours'!U203*Peak!AA204*'Peak Hours'!$Y203)</f>
        <v>0</v>
      </c>
      <c r="V203" s="424"/>
      <c r="W203" s="422" t="n">
        <f aca="false">(IF($A$1="BL",0,Peak!C204*'Peak Hours'!V203*'Peak Hours'!$Y203))*-1</f>
        <v>-8712645.48938829</v>
      </c>
      <c r="X203" s="424"/>
      <c r="Y203" s="422" t="n">
        <f aca="false">(IF($A$1="bl",0,Peak!D204*'Peak Hours'!V203*'Peak Hours'!$Y203))*-1</f>
        <v>-140884.597809238</v>
      </c>
      <c r="Z203" s="424"/>
      <c r="AA203" s="422" t="n">
        <f aca="false">(Peak!E204*'Peak Hours'!V203*'Peak Hours'!$Y203)*-1</f>
        <v>-0</v>
      </c>
      <c r="AB203" s="425"/>
      <c r="AC203" s="422" t="n">
        <f aca="false">(Peak!F204*'Peak Hours'!V203*'Peak Hours'!$Y203)*-1</f>
        <v>-0</v>
      </c>
      <c r="AD203" s="425"/>
    </row>
    <row r="204" customFormat="false" ht="12.75" hidden="false" customHeight="false" outlineLevel="0" collapsed="false">
      <c r="A204" s="400" t="n">
        <f aca="false">A203+30.417</f>
        <v>42440.898</v>
      </c>
      <c r="B204" s="417" t="n">
        <f aca="false">IF($A$1="BL",0,'Peak Hours'!B204*Peak!H205*'Peak Hours'!$Y204)</f>
        <v>316282.811152061</v>
      </c>
      <c r="C204" s="417" t="n">
        <f aca="false">IF($A$1="BL",0,'Peak Hours'!C204*Peak!I205*'Peak Hours'!$Y204)</f>
        <v>309269.936640301</v>
      </c>
      <c r="D204" s="417" t="n">
        <f aca="false">IF($A$1="BL",0,'Peak Hours'!D204*Peak!J205*'Peak Hours'!$Y204)</f>
        <v>589710.739906074</v>
      </c>
      <c r="E204" s="417" t="n">
        <f aca="false">IF($A$1="BL",0,'Peak Hours'!E204*Peak!K205*'Peak Hours'!$Y204)</f>
        <v>1124434.3197832</v>
      </c>
      <c r="F204" s="417" t="n">
        <f aca="false">IF($A$1="BL",0,'Peak Hours'!F204*Peak!L205*'Peak Hours'!$Y204)</f>
        <v>1117740.45377788</v>
      </c>
      <c r="G204" s="417" t="n">
        <f aca="false">IF($A$1="BL",0,'Peak Hours'!G204*Peak!M205*'Peak Hours'!$Y204)</f>
        <v>2160269.00142046</v>
      </c>
      <c r="H204" s="417" t="n">
        <f aca="false">IF($A$1="BL",0,'Peak Hours'!H204*Peak!N205*'Peak Hours'!$Y204)</f>
        <v>1807635.24252066</v>
      </c>
      <c r="I204" s="417" t="n">
        <f aca="false">IF($A$1="BL",0,'Peak Hours'!I204*Peak!O205*'Peak Hours'!$Y204)</f>
        <v>1544742.30932501</v>
      </c>
      <c r="J204" s="417" t="n">
        <f aca="false">IF($A$1="BL",0,'Peak Hours'!J204*Peak!P205*'Peak Hours'!$Y204)</f>
        <v>1500271.77869138</v>
      </c>
      <c r="K204" s="417" t="n">
        <f aca="false">IF($A$1="BL",0,'Peak Hours'!K204*Peak!Q205*'Peak Hours'!$Y204)</f>
        <v>1413787.60197676</v>
      </c>
      <c r="L204" s="417" t="n">
        <f aca="false">IF($A$1="BL",0,'Peak Hours'!L204*Peak!R205*'Peak Hours'!$Y204)</f>
        <v>0</v>
      </c>
      <c r="M204" s="417" t="n">
        <f aca="false">IF($A$1="BL",0,'Peak Hours'!M204*Peak!S205*'Peak Hours'!$Y204)</f>
        <v>0</v>
      </c>
      <c r="N204" s="417" t="n">
        <f aca="false">IF($A$1="BL",0,'Peak Hours'!N204*Peak!T205*'Peak Hours'!$Y204)</f>
        <v>0</v>
      </c>
      <c r="O204" s="417" t="n">
        <f aca="false">IF($A$1="BL",0,'Peak Hours'!O204*Peak!U205*'Peak Hours'!$Y204)</f>
        <v>0</v>
      </c>
      <c r="P204" s="417" t="n">
        <f aca="false">IF($A$1="BL",0,'Peak Hours'!P204*Peak!V205*'Peak Hours'!$Y204)</f>
        <v>0</v>
      </c>
      <c r="Q204" s="417" t="n">
        <f aca="false">IF($A$1="BL",0,'Peak Hours'!Q204*Peak!W205*'Peak Hours'!$Y204)</f>
        <v>0</v>
      </c>
      <c r="R204" s="417" t="n">
        <f aca="false">IF($A$1="BL",0,'Peak Hours'!R204*Peak!X205*'Peak Hours'!$Y204)</f>
        <v>0</v>
      </c>
      <c r="S204" s="417" t="n">
        <f aca="false">IF($A$1="BL",0,'Peak Hours'!S204*Peak!Y205*'Peak Hours'!$Y204)</f>
        <v>0</v>
      </c>
      <c r="T204" s="417" t="n">
        <f aca="false">IF($A$1="BL",0,'Peak Hours'!T204*Peak!Z205*'Peak Hours'!$Y204)</f>
        <v>0</v>
      </c>
      <c r="U204" s="417" t="n">
        <f aca="false">IF($A$1="BL",0,'Peak Hours'!U204*Peak!AA205*'Peak Hours'!$Y204)</f>
        <v>0</v>
      </c>
      <c r="V204" s="424"/>
      <c r="W204" s="422" t="n">
        <f aca="false">(IF($A$1="BL",0,Peak!C205*'Peak Hours'!V204*'Peak Hours'!$Y204))*-1</f>
        <v>-8804544.85785242</v>
      </c>
      <c r="X204" s="424"/>
      <c r="Y204" s="422" t="n">
        <f aca="false">(IF($A$1="bl",0,Peak!D205*'Peak Hours'!V204*'Peak Hours'!$Y204))*-1</f>
        <v>-145046.875008816</v>
      </c>
      <c r="Z204" s="424"/>
      <c r="AA204" s="422" t="n">
        <f aca="false">(Peak!E205*'Peak Hours'!V204*'Peak Hours'!$Y204)*-1</f>
        <v>-0</v>
      </c>
      <c r="AB204" s="425"/>
      <c r="AC204" s="422" t="n">
        <f aca="false">(Peak!F205*'Peak Hours'!V204*'Peak Hours'!$Y204)*-1</f>
        <v>-0</v>
      </c>
      <c r="AD204" s="425"/>
    </row>
    <row r="205" customFormat="false" ht="12.75" hidden="false" customHeight="false" outlineLevel="0" collapsed="false">
      <c r="A205" s="400" t="n">
        <f aca="false">A204+30.417</f>
        <v>42471.315</v>
      </c>
      <c r="B205" s="417" t="n">
        <f aca="false">IF($A$1="BL",0,'Peak Hours'!B205*Peak!H206*'Peak Hours'!$Y205)</f>
        <v>413378.856584496</v>
      </c>
      <c r="C205" s="417" t="n">
        <f aca="false">IF($A$1="BL",0,'Peak Hours'!C205*Peak!I206*'Peak Hours'!$Y205)</f>
        <v>321594.529790383</v>
      </c>
      <c r="D205" s="417" t="n">
        <f aca="false">IF($A$1="BL",0,'Peak Hours'!D205*Peak!J206*'Peak Hours'!$Y205)</f>
        <v>598699.752261777</v>
      </c>
      <c r="E205" s="417" t="n">
        <f aca="false">IF($A$1="BL",0,'Peak Hours'!E205*Peak!K206*'Peak Hours'!$Y205)</f>
        <v>1134705.66199012</v>
      </c>
      <c r="F205" s="417" t="n">
        <f aca="false">IF($A$1="BL",0,'Peak Hours'!F205*Peak!L206*'Peak Hours'!$Y205)</f>
        <v>1130724.38763962</v>
      </c>
      <c r="G205" s="417" t="n">
        <f aca="false">IF($A$1="BL",0,'Peak Hours'!G205*Peak!M206*'Peak Hours'!$Y205)</f>
        <v>1791983.76795354</v>
      </c>
      <c r="H205" s="417" t="n">
        <f aca="false">IF($A$1="BL",0,'Peak Hours'!H205*Peak!N206*'Peak Hours'!$Y205)</f>
        <v>1435494.28574057</v>
      </c>
      <c r="I205" s="417" t="n">
        <f aca="false">IF($A$1="BL",0,'Peak Hours'!I205*Peak!O206*'Peak Hours'!$Y205)</f>
        <v>0</v>
      </c>
      <c r="J205" s="417" t="n">
        <f aca="false">IF($A$1="BL",0,'Peak Hours'!J205*Peak!P206*'Peak Hours'!$Y205)</f>
        <v>0</v>
      </c>
      <c r="K205" s="417" t="n">
        <f aca="false">IF($A$1="BL",0,'Peak Hours'!K205*Peak!Q206*'Peak Hours'!$Y205)</f>
        <v>0</v>
      </c>
      <c r="L205" s="417" t="n">
        <f aca="false">IF($A$1="BL",0,'Peak Hours'!L205*Peak!R206*'Peak Hours'!$Y205)</f>
        <v>0</v>
      </c>
      <c r="M205" s="417" t="n">
        <f aca="false">IF($A$1="BL",0,'Peak Hours'!M205*Peak!S206*'Peak Hours'!$Y205)</f>
        <v>0</v>
      </c>
      <c r="N205" s="417" t="n">
        <f aca="false">IF($A$1="BL",0,'Peak Hours'!N205*Peak!T206*'Peak Hours'!$Y205)</f>
        <v>0</v>
      </c>
      <c r="O205" s="417" t="n">
        <f aca="false">IF($A$1="BL",0,'Peak Hours'!O205*Peak!U206*'Peak Hours'!$Y205)</f>
        <v>0</v>
      </c>
      <c r="P205" s="417" t="n">
        <f aca="false">IF($A$1="BL",0,'Peak Hours'!P205*Peak!V206*'Peak Hours'!$Y205)</f>
        <v>0</v>
      </c>
      <c r="Q205" s="417" t="n">
        <f aca="false">IF($A$1="BL",0,'Peak Hours'!Q205*Peak!W206*'Peak Hours'!$Y205)</f>
        <v>0</v>
      </c>
      <c r="R205" s="417" t="n">
        <f aca="false">IF($A$1="BL",0,'Peak Hours'!R205*Peak!X206*'Peak Hours'!$Y205)</f>
        <v>0</v>
      </c>
      <c r="S205" s="417" t="n">
        <f aca="false">IF($A$1="BL",0,'Peak Hours'!S205*Peak!Y206*'Peak Hours'!$Y205)</f>
        <v>0</v>
      </c>
      <c r="T205" s="417" t="n">
        <f aca="false">IF($A$1="BL",0,'Peak Hours'!T205*Peak!Z206*'Peak Hours'!$Y205)</f>
        <v>0</v>
      </c>
      <c r="U205" s="417" t="n">
        <f aca="false">IF($A$1="BL",0,'Peak Hours'!U205*Peak!AA206*'Peak Hours'!$Y205)</f>
        <v>0</v>
      </c>
      <c r="V205" s="424"/>
      <c r="W205" s="422" t="n">
        <f aca="false">(IF($A$1="BL",0,Peak!C206*'Peak Hours'!V205*'Peak Hours'!$Y205))*-1</f>
        <v>-4507201.99927982</v>
      </c>
      <c r="X205" s="424"/>
      <c r="Y205" s="422" t="n">
        <f aca="false">(IF($A$1="bl",0,Peak!D206*'Peak Hours'!V205*'Peak Hours'!$Y205))*-1</f>
        <v>-78232.3337387292</v>
      </c>
      <c r="Z205" s="424"/>
      <c r="AA205" s="422" t="n">
        <f aca="false">(Peak!E206*'Peak Hours'!V205*'Peak Hours'!$Y205)*-1</f>
        <v>-0</v>
      </c>
      <c r="AB205" s="425"/>
      <c r="AC205" s="422" t="n">
        <f aca="false">(Peak!F206*'Peak Hours'!V205*'Peak Hours'!$Y205)*-1</f>
        <v>-0</v>
      </c>
      <c r="AD205" s="425"/>
    </row>
    <row r="206" customFormat="false" ht="12.75" hidden="false" customHeight="false" outlineLevel="0" collapsed="false">
      <c r="A206" s="400" t="n">
        <f aca="false">A205+30.417</f>
        <v>42501.732</v>
      </c>
      <c r="B206" s="417" t="n">
        <f aca="false">IF($A$1="BL",0,'Peak Hours'!B206*Peak!H207*'Peak Hours'!$Y206)</f>
        <v>282859.184173639</v>
      </c>
      <c r="C206" s="417" t="n">
        <f aca="false">IF($A$1="BL",0,'Peak Hours'!C206*Peak!I207*'Peak Hours'!$Y206)</f>
        <v>226524.094464098</v>
      </c>
      <c r="D206" s="417" t="n">
        <f aca="false">IF($A$1="BL",0,'Peak Hours'!D206*Peak!J207*'Peak Hours'!$Y206)</f>
        <v>411959.725760713</v>
      </c>
      <c r="E206" s="417" t="n">
        <f aca="false">IF($A$1="BL",0,'Peak Hours'!E206*Peak!K207*'Peak Hours'!$Y206)</f>
        <v>791237.231987955</v>
      </c>
      <c r="F206" s="417" t="n">
        <f aca="false">IF($A$1="BL",0,'Peak Hours'!F206*Peak!L207*'Peak Hours'!$Y206)</f>
        <v>768455.239815785</v>
      </c>
      <c r="G206" s="417" t="n">
        <f aca="false">IF($A$1="BL",0,'Peak Hours'!G206*Peak!M207*'Peak Hours'!$Y206)</f>
        <v>1528661.29756312</v>
      </c>
      <c r="H206" s="417" t="n">
        <f aca="false">IF($A$1="BL",0,'Peak Hours'!H206*Peak!N207*'Peak Hours'!$Y206)</f>
        <v>1488704.99734897</v>
      </c>
      <c r="I206" s="417" t="n">
        <f aca="false">IF($A$1="BL",0,'Peak Hours'!I206*Peak!O207*'Peak Hours'!$Y206)</f>
        <v>1436789.66659993</v>
      </c>
      <c r="J206" s="417" t="n">
        <f aca="false">IF($A$1="BL",0,'Peak Hours'!J206*Peak!P207*'Peak Hours'!$Y206)</f>
        <v>1401675.87354277</v>
      </c>
      <c r="K206" s="417" t="n">
        <f aca="false">IF($A$1="BL",0,'Peak Hours'!K206*Peak!Q207*'Peak Hours'!$Y206)</f>
        <v>1391151.66726657</v>
      </c>
      <c r="L206" s="417" t="n">
        <f aca="false">IF($A$1="BL",0,'Peak Hours'!L206*Peak!R207*'Peak Hours'!$Y206)</f>
        <v>0</v>
      </c>
      <c r="M206" s="417" t="n">
        <f aca="false">IF($A$1="BL",0,'Peak Hours'!M206*Peak!S207*'Peak Hours'!$Y206)</f>
        <v>0</v>
      </c>
      <c r="N206" s="417" t="n">
        <f aca="false">IF($A$1="BL",0,'Peak Hours'!N206*Peak!T207*'Peak Hours'!$Y206)</f>
        <v>0</v>
      </c>
      <c r="O206" s="417" t="n">
        <f aca="false">IF($A$1="BL",0,'Peak Hours'!O206*Peak!U207*'Peak Hours'!$Y206)</f>
        <v>0</v>
      </c>
      <c r="P206" s="417" t="n">
        <f aca="false">IF($A$1="BL",0,'Peak Hours'!P206*Peak!V207*'Peak Hours'!$Y206)</f>
        <v>0</v>
      </c>
      <c r="Q206" s="417" t="n">
        <f aca="false">IF($A$1="BL",0,'Peak Hours'!Q206*Peak!W207*'Peak Hours'!$Y206)</f>
        <v>0</v>
      </c>
      <c r="R206" s="417" t="n">
        <f aca="false">IF($A$1="BL",0,'Peak Hours'!R206*Peak!X207*'Peak Hours'!$Y206)</f>
        <v>0</v>
      </c>
      <c r="S206" s="417" t="n">
        <f aca="false">IF($A$1="BL",0,'Peak Hours'!S206*Peak!Y207*'Peak Hours'!$Y206)</f>
        <v>0</v>
      </c>
      <c r="T206" s="417" t="n">
        <f aca="false">IF($A$1="BL",0,'Peak Hours'!T206*Peak!Z207*'Peak Hours'!$Y206)</f>
        <v>0</v>
      </c>
      <c r="U206" s="417" t="n">
        <f aca="false">IF($A$1="BL",0,'Peak Hours'!U206*Peak!AA207*'Peak Hours'!$Y206)</f>
        <v>0</v>
      </c>
      <c r="V206" s="424"/>
      <c r="W206" s="422" t="n">
        <f aca="false">(IF($A$1="BL",0,Peak!C207*'Peak Hours'!V206*'Peak Hours'!$Y206))*-1</f>
        <v>-8813402.5488563</v>
      </c>
      <c r="X206" s="424"/>
      <c r="Y206" s="422" t="n">
        <f aca="false">(IF($A$1="bl",0,Peak!D207*'Peak Hours'!V206*'Peak Hours'!$Y206))*-1</f>
        <v>-145530.767500165</v>
      </c>
      <c r="Z206" s="424"/>
      <c r="AA206" s="422" t="n">
        <f aca="false">(Peak!E207*'Peak Hours'!V206*'Peak Hours'!$Y206)*-1</f>
        <v>-0</v>
      </c>
      <c r="AB206" s="425"/>
      <c r="AC206" s="422" t="n">
        <f aca="false">(Peak!F207*'Peak Hours'!V206*'Peak Hours'!$Y206)*-1</f>
        <v>-0</v>
      </c>
      <c r="AD206" s="425"/>
    </row>
    <row r="207" customFormat="false" ht="12.75" hidden="false" customHeight="false" outlineLevel="0" collapsed="false">
      <c r="A207" s="400" t="n">
        <f aca="false">A206+30.417</f>
        <v>42532.149</v>
      </c>
      <c r="B207" s="417" t="n">
        <f aca="false">IF($A$1="BL",0,'Peak Hours'!B207*Peak!H208*'Peak Hours'!$Y207)</f>
        <v>658595.961093888</v>
      </c>
      <c r="C207" s="417" t="n">
        <f aca="false">IF($A$1="BL",0,'Peak Hours'!C207*Peak!I208*'Peak Hours'!$Y207)</f>
        <v>612940.6394994</v>
      </c>
      <c r="D207" s="417" t="n">
        <f aca="false">IF($A$1="BL",0,'Peak Hours'!D207*Peak!J208*'Peak Hours'!$Y207)</f>
        <v>1147383.63535603</v>
      </c>
      <c r="E207" s="417" t="n">
        <f aca="false">IF($A$1="BL",0,'Peak Hours'!E207*Peak!K208*'Peak Hours'!$Y207)</f>
        <v>2115287.85545813</v>
      </c>
      <c r="F207" s="417" t="n">
        <f aca="false">IF($A$1="BL",0,'Peak Hours'!F207*Peak!L208*'Peak Hours'!$Y207)</f>
        <v>1999521.31217433</v>
      </c>
      <c r="G207" s="417" t="n">
        <f aca="false">IF($A$1="BL",0,'Peak Hours'!G207*Peak!M208*'Peak Hours'!$Y207)</f>
        <v>2309372.41571588</v>
      </c>
      <c r="H207" s="417" t="n">
        <f aca="false">IF($A$1="BL",0,'Peak Hours'!H207*Peak!N208*'Peak Hours'!$Y207)</f>
        <v>2061836.15234175</v>
      </c>
      <c r="I207" s="417" t="n">
        <f aca="false">IF($A$1="BL",0,'Peak Hours'!I207*Peak!O208*'Peak Hours'!$Y207)</f>
        <v>1514371.43566232</v>
      </c>
      <c r="J207" s="417" t="n">
        <f aca="false">IF($A$1="BL",0,'Peak Hours'!J207*Peak!P208*'Peak Hours'!$Y207)</f>
        <v>0</v>
      </c>
      <c r="K207" s="417" t="n">
        <f aca="false">IF($A$1="BL",0,'Peak Hours'!K207*Peak!Q208*'Peak Hours'!$Y207)</f>
        <v>0</v>
      </c>
      <c r="L207" s="417" t="n">
        <f aca="false">IF($A$1="BL",0,'Peak Hours'!L207*Peak!R208*'Peak Hours'!$Y207)</f>
        <v>0</v>
      </c>
      <c r="M207" s="417" t="n">
        <f aca="false">IF($A$1="BL",0,'Peak Hours'!M207*Peak!S208*'Peak Hours'!$Y207)</f>
        <v>0</v>
      </c>
      <c r="N207" s="417" t="n">
        <f aca="false">IF($A$1="BL",0,'Peak Hours'!N207*Peak!T208*'Peak Hours'!$Y207)</f>
        <v>0</v>
      </c>
      <c r="O207" s="417" t="n">
        <f aca="false">IF($A$1="BL",0,'Peak Hours'!O207*Peak!U208*'Peak Hours'!$Y207)</f>
        <v>0</v>
      </c>
      <c r="P207" s="417" t="n">
        <f aca="false">IF($A$1="BL",0,'Peak Hours'!P207*Peak!V208*'Peak Hours'!$Y207)</f>
        <v>0</v>
      </c>
      <c r="Q207" s="417" t="n">
        <f aca="false">IF($A$1="BL",0,'Peak Hours'!Q207*Peak!W208*'Peak Hours'!$Y207)</f>
        <v>0</v>
      </c>
      <c r="R207" s="417" t="n">
        <f aca="false">IF($A$1="BL",0,'Peak Hours'!R207*Peak!X208*'Peak Hours'!$Y207)</f>
        <v>0</v>
      </c>
      <c r="S207" s="417" t="n">
        <f aca="false">IF($A$1="BL",0,'Peak Hours'!S207*Peak!Y208*'Peak Hours'!$Y207)</f>
        <v>0</v>
      </c>
      <c r="T207" s="417" t="n">
        <f aca="false">IF($A$1="BL",0,'Peak Hours'!T207*Peak!Z208*'Peak Hours'!$Y207)</f>
        <v>0</v>
      </c>
      <c r="U207" s="417" t="n">
        <f aca="false">IF($A$1="BL",0,'Peak Hours'!U207*Peak!AA208*'Peak Hours'!$Y207)</f>
        <v>0</v>
      </c>
      <c r="V207" s="424"/>
      <c r="W207" s="422" t="n">
        <f aca="false">(IF($A$1="BL",0,Peak!C208*'Peak Hours'!V207*'Peak Hours'!$Y207))*-1</f>
        <v>-5912022.78117709</v>
      </c>
      <c r="X207" s="424"/>
      <c r="Y207" s="422" t="n">
        <f aca="false">(IF($A$1="bl",0,Peak!D208*'Peak Hours'!V207*'Peak Hours'!$Y207))*-1</f>
        <v>-102632.587184669</v>
      </c>
      <c r="Z207" s="424"/>
      <c r="AA207" s="422" t="n">
        <f aca="false">(Peak!E208*'Peak Hours'!V207*'Peak Hours'!$Y207)*-1</f>
        <v>-0</v>
      </c>
      <c r="AB207" s="425"/>
      <c r="AC207" s="422" t="n">
        <f aca="false">(Peak!F208*'Peak Hours'!V207*'Peak Hours'!$Y207)*-1</f>
        <v>-0</v>
      </c>
      <c r="AD207" s="425"/>
    </row>
    <row r="208" customFormat="false" ht="12.75" hidden="false" customHeight="false" outlineLevel="0" collapsed="false">
      <c r="A208" s="400" t="n">
        <f aca="false">A207+30.417</f>
        <v>42562.566</v>
      </c>
      <c r="B208" s="417" t="n">
        <f aca="false">IF($A$1="BL",0,'Peak Hours'!B208*Peak!H209*'Peak Hours'!$Y208)</f>
        <v>691004.944415073</v>
      </c>
      <c r="C208" s="417" t="n">
        <f aca="false">IF($A$1="BL",0,'Peak Hours'!C208*Peak!I209*'Peak Hours'!$Y208)</f>
        <v>633105.869035636</v>
      </c>
      <c r="D208" s="417" t="n">
        <f aca="false">IF($A$1="BL",0,'Peak Hours'!D208*Peak!J209*'Peak Hours'!$Y208)</f>
        <v>1181552.5949988</v>
      </c>
      <c r="E208" s="417" t="n">
        <f aca="false">IF($A$1="BL",0,'Peak Hours'!E208*Peak!K209*'Peak Hours'!$Y208)</f>
        <v>2163056.87968383</v>
      </c>
      <c r="F208" s="417" t="n">
        <f aca="false">IF($A$1="BL",0,'Peak Hours'!F208*Peak!L209*'Peak Hours'!$Y208)</f>
        <v>2033429.90507706</v>
      </c>
      <c r="G208" s="417" t="n">
        <f aca="false">IF($A$1="BL",0,'Peak Hours'!G208*Peak!M209*'Peak Hours'!$Y208)</f>
        <v>2919960.81564994</v>
      </c>
      <c r="H208" s="417" t="n">
        <f aca="false">IF($A$1="BL",0,'Peak Hours'!H208*Peak!N209*'Peak Hours'!$Y208)</f>
        <v>2181346.17708532</v>
      </c>
      <c r="I208" s="417" t="n">
        <f aca="false">IF($A$1="BL",0,'Peak Hours'!I208*Peak!O209*'Peak Hours'!$Y208)</f>
        <v>2081176.34772549</v>
      </c>
      <c r="J208" s="417" t="n">
        <f aca="false">IF($A$1="BL",0,'Peak Hours'!J208*Peak!P209*'Peak Hours'!$Y208)</f>
        <v>1672105.87118137</v>
      </c>
      <c r="K208" s="417" t="n">
        <f aca="false">IF($A$1="BL",0,'Peak Hours'!K208*Peak!Q209*'Peak Hours'!$Y208)</f>
        <v>1571003.32556539</v>
      </c>
      <c r="L208" s="417" t="n">
        <f aca="false">IF($A$1="BL",0,'Peak Hours'!L208*Peak!R209*'Peak Hours'!$Y208)</f>
        <v>1529417.82106931</v>
      </c>
      <c r="M208" s="417" t="n">
        <f aca="false">IF($A$1="BL",0,'Peak Hours'!M208*Peak!S209*'Peak Hours'!$Y208)</f>
        <v>1516502.70138638</v>
      </c>
      <c r="N208" s="417" t="n">
        <f aca="false">IF($A$1="BL",0,'Peak Hours'!N208*Peak!T209*'Peak Hours'!$Y208)</f>
        <v>1495421.96312377</v>
      </c>
      <c r="O208" s="417" t="n">
        <f aca="false">IF($A$1="BL",0,'Peak Hours'!O208*Peak!U209*'Peak Hours'!$Y208)</f>
        <v>1479341.05528897</v>
      </c>
      <c r="P208" s="417" t="n">
        <f aca="false">IF($A$1="BL",0,'Peak Hours'!P208*Peak!V209*'Peak Hours'!$Y208)</f>
        <v>1465379.91556547</v>
      </c>
      <c r="Q208" s="417" t="n">
        <f aca="false">IF($A$1="BL",0,'Peak Hours'!Q208*Peak!W209*'Peak Hours'!$Y208)</f>
        <v>1401728.16889786</v>
      </c>
      <c r="R208" s="417" t="n">
        <f aca="false">IF($A$1="BL",0,'Peak Hours'!R208*Peak!X209*'Peak Hours'!$Y208)</f>
        <v>0</v>
      </c>
      <c r="S208" s="417" t="n">
        <f aca="false">IF($A$1="BL",0,'Peak Hours'!S208*Peak!Y209*'Peak Hours'!$Y208)</f>
        <v>0</v>
      </c>
      <c r="T208" s="417" t="n">
        <f aca="false">IF($A$1="BL",0,'Peak Hours'!T208*Peak!Z209*'Peak Hours'!$Y208)</f>
        <v>0</v>
      </c>
      <c r="U208" s="417" t="n">
        <f aca="false">IF($A$1="BL",0,'Peak Hours'!U208*Peak!AA209*'Peak Hours'!$Y208)</f>
        <v>0</v>
      </c>
      <c r="V208" s="424"/>
      <c r="W208" s="422" t="n">
        <f aca="false">(IF($A$1="BL",0,Peak!C209*'Peak Hours'!V208*'Peak Hours'!$Y208))*-1</f>
        <v>-16370316.245348</v>
      </c>
      <c r="X208" s="424"/>
      <c r="Y208" s="422" t="n">
        <f aca="false">(IF($A$1="bl",0,Peak!D209*'Peak Hours'!V208*'Peak Hours'!$Y208))*-1</f>
        <v>-285565.670824008</v>
      </c>
      <c r="Z208" s="424"/>
      <c r="AA208" s="422" t="n">
        <f aca="false">(Peak!E209*'Peak Hours'!V208*'Peak Hours'!$Y208)*-1</f>
        <v>-0</v>
      </c>
      <c r="AB208" s="425"/>
      <c r="AC208" s="422" t="n">
        <f aca="false">(Peak!F209*'Peak Hours'!V208*'Peak Hours'!$Y208)*-1</f>
        <v>-0</v>
      </c>
      <c r="AD208" s="425"/>
    </row>
    <row r="209" customFormat="false" ht="12.75" hidden="false" customHeight="false" outlineLevel="0" collapsed="false">
      <c r="A209" s="400" t="n">
        <f aca="false">A208+30.417</f>
        <v>42592.983</v>
      </c>
      <c r="B209" s="417" t="n">
        <f aca="false">IF($A$1="BL",0,'Peak Hours'!B209*Peak!H210*'Peak Hours'!$Y209)</f>
        <v>969422.942717799</v>
      </c>
      <c r="C209" s="417" t="n">
        <f aca="false">IF($A$1="BL",0,'Peak Hours'!C209*Peak!I210*'Peak Hours'!$Y209)</f>
        <v>729024.404205814</v>
      </c>
      <c r="D209" s="417" t="n">
        <f aca="false">IF($A$1="BL",0,'Peak Hours'!D209*Peak!J210*'Peak Hours'!$Y209)</f>
        <v>1338744.12931523</v>
      </c>
      <c r="E209" s="417" t="n">
        <f aca="false">IF($A$1="BL",0,'Peak Hours'!E209*Peak!K210*'Peak Hours'!$Y209)</f>
        <v>2414214.54360014</v>
      </c>
      <c r="F209" s="417" t="n">
        <f aca="false">IF($A$1="BL",0,'Peak Hours'!F209*Peak!L210*'Peak Hours'!$Y209)</f>
        <v>2203836.9728412</v>
      </c>
      <c r="G209" s="417" t="n">
        <f aca="false">IF($A$1="BL",0,'Peak Hours'!G209*Peak!M210*'Peak Hours'!$Y209)</f>
        <v>4026287.89161327</v>
      </c>
      <c r="H209" s="417" t="n">
        <f aca="false">IF($A$1="BL",0,'Peak Hours'!H209*Peak!N210*'Peak Hours'!$Y209)</f>
        <v>2889003.83996825</v>
      </c>
      <c r="I209" s="417" t="n">
        <f aca="false">IF($A$1="BL",0,'Peak Hours'!I209*Peak!O210*'Peak Hours'!$Y209)</f>
        <v>2441712.7993236</v>
      </c>
      <c r="J209" s="417" t="n">
        <f aca="false">IF($A$1="BL",0,'Peak Hours'!J209*Peak!P210*'Peak Hours'!$Y209)</f>
        <v>2037170.94952061</v>
      </c>
      <c r="K209" s="417" t="n">
        <f aca="false">IF($A$1="BL",0,'Peak Hours'!K209*Peak!Q210*'Peak Hours'!$Y209)</f>
        <v>1440107.10794821</v>
      </c>
      <c r="L209" s="417" t="n">
        <f aca="false">IF($A$1="BL",0,'Peak Hours'!L209*Peak!R210*'Peak Hours'!$Y209)</f>
        <v>0</v>
      </c>
      <c r="M209" s="417" t="n">
        <f aca="false">IF($A$1="BL",0,'Peak Hours'!M209*Peak!S210*'Peak Hours'!$Y209)</f>
        <v>0</v>
      </c>
      <c r="N209" s="417" t="n">
        <f aca="false">IF($A$1="BL",0,'Peak Hours'!N209*Peak!T210*'Peak Hours'!$Y209)</f>
        <v>0</v>
      </c>
      <c r="O209" s="417" t="n">
        <f aca="false">IF($A$1="BL",0,'Peak Hours'!O209*Peak!U210*'Peak Hours'!$Y209)</f>
        <v>0</v>
      </c>
      <c r="P209" s="417" t="n">
        <f aca="false">IF($A$1="BL",0,'Peak Hours'!P209*Peak!V210*'Peak Hours'!$Y209)</f>
        <v>0</v>
      </c>
      <c r="Q209" s="417" t="n">
        <f aca="false">IF($A$1="BL",0,'Peak Hours'!Q209*Peak!W210*'Peak Hours'!$Y209)</f>
        <v>0</v>
      </c>
      <c r="R209" s="417" t="n">
        <f aca="false">IF($A$1="BL",0,'Peak Hours'!R209*Peak!X210*'Peak Hours'!$Y209)</f>
        <v>0</v>
      </c>
      <c r="S209" s="417" t="n">
        <f aca="false">IF($A$1="BL",0,'Peak Hours'!S209*Peak!Y210*'Peak Hours'!$Y209)</f>
        <v>0</v>
      </c>
      <c r="T209" s="417" t="n">
        <f aca="false">IF($A$1="BL",0,'Peak Hours'!T209*Peak!Z210*'Peak Hours'!$Y209)</f>
        <v>0</v>
      </c>
      <c r="U209" s="417" t="n">
        <f aca="false">IF($A$1="BL",0,'Peak Hours'!U209*Peak!AA210*'Peak Hours'!$Y209)</f>
        <v>0</v>
      </c>
      <c r="V209" s="424"/>
      <c r="W209" s="422" t="n">
        <f aca="false">(IF($A$1="BL",0,Peak!C210*'Peak Hours'!V209*'Peak Hours'!$Y209))*-1</f>
        <v>-8071172.21696563</v>
      </c>
      <c r="X209" s="424"/>
      <c r="Y209" s="422" t="n">
        <f aca="false">(IF($A$1="bl",0,Peak!D210*'Peak Hours'!V209*'Peak Hours'!$Y209))*-1</f>
        <v>-148741.639076532</v>
      </c>
      <c r="Z209" s="424"/>
      <c r="AA209" s="422" t="n">
        <f aca="false">(Peak!E210*'Peak Hours'!V209*'Peak Hours'!$Y209)*-1</f>
        <v>-0</v>
      </c>
      <c r="AB209" s="425"/>
      <c r="AC209" s="422" t="n">
        <f aca="false">(Peak!F210*'Peak Hours'!V209*'Peak Hours'!$Y209)*-1</f>
        <v>-0</v>
      </c>
      <c r="AD209" s="425"/>
    </row>
    <row r="210" customFormat="false" ht="12.75" hidden="false" customHeight="false" outlineLevel="0" collapsed="false">
      <c r="A210" s="400" t="n">
        <f aca="false">A209+30.417</f>
        <v>42623.4</v>
      </c>
      <c r="B210" s="417" t="n">
        <f aca="false">IF($A$1="BL",0,'Peak Hours'!B210*Peak!H211*'Peak Hours'!$Y210)</f>
        <v>593211.620350921</v>
      </c>
      <c r="C210" s="417" t="n">
        <f aca="false">IF($A$1="BL",0,'Peak Hours'!C210*Peak!I211*'Peak Hours'!$Y210)</f>
        <v>552643.365306712</v>
      </c>
      <c r="D210" s="417" t="n">
        <f aca="false">IF($A$1="BL",0,'Peak Hours'!D210*Peak!J211*'Peak Hours'!$Y210)</f>
        <v>1041982.81119845</v>
      </c>
      <c r="E210" s="417" t="n">
        <f aca="false">IF($A$1="BL",0,'Peak Hours'!E210*Peak!K211*'Peak Hours'!$Y210)</f>
        <v>1973738.5006302</v>
      </c>
      <c r="F210" s="417" t="n">
        <f aca="false">IF($A$1="BL",0,'Peak Hours'!F210*Peak!L211*'Peak Hours'!$Y210)</f>
        <v>1420553.06844346</v>
      </c>
      <c r="G210" s="417" t="n">
        <f aca="false">IF($A$1="BL",0,'Peak Hours'!G210*Peak!M211*'Peak Hours'!$Y210)</f>
        <v>1884201.52465335</v>
      </c>
      <c r="H210" s="417" t="n">
        <f aca="false">IF($A$1="BL",0,'Peak Hours'!H210*Peak!N211*'Peak Hours'!$Y210)</f>
        <v>1662560.05104724</v>
      </c>
      <c r="I210" s="417" t="n">
        <f aca="false">IF($A$1="BL",0,'Peak Hours'!I210*Peak!O211*'Peak Hours'!$Y210)</f>
        <v>1618732.0366682</v>
      </c>
      <c r="J210" s="417" t="n">
        <f aca="false">IF($A$1="BL",0,'Peak Hours'!J210*Peak!P211*'Peak Hours'!$Y210)</f>
        <v>1380236.26647619</v>
      </c>
      <c r="K210" s="417" t="n">
        <f aca="false">IF($A$1="BL",0,'Peak Hours'!K210*Peak!Q211*'Peak Hours'!$Y210)</f>
        <v>0</v>
      </c>
      <c r="L210" s="417" t="n">
        <f aca="false">IF($A$1="BL",0,'Peak Hours'!L210*Peak!R211*'Peak Hours'!$Y210)</f>
        <v>0</v>
      </c>
      <c r="M210" s="417" t="n">
        <f aca="false">IF($A$1="BL",0,'Peak Hours'!M210*Peak!S211*'Peak Hours'!$Y210)</f>
        <v>0</v>
      </c>
      <c r="N210" s="417" t="n">
        <f aca="false">IF($A$1="BL",0,'Peak Hours'!N210*Peak!T211*'Peak Hours'!$Y210)</f>
        <v>0</v>
      </c>
      <c r="O210" s="417" t="n">
        <f aca="false">IF($A$1="BL",0,'Peak Hours'!O210*Peak!U211*'Peak Hours'!$Y210)</f>
        <v>0</v>
      </c>
      <c r="P210" s="417" t="n">
        <f aca="false">IF($A$1="BL",0,'Peak Hours'!P210*Peak!V211*'Peak Hours'!$Y210)</f>
        <v>0</v>
      </c>
      <c r="Q210" s="417" t="n">
        <f aca="false">IF($A$1="BL",0,'Peak Hours'!Q210*Peak!W211*'Peak Hours'!$Y210)</f>
        <v>0</v>
      </c>
      <c r="R210" s="417" t="n">
        <f aca="false">IF($A$1="BL",0,'Peak Hours'!R210*Peak!X211*'Peak Hours'!$Y210)</f>
        <v>0</v>
      </c>
      <c r="S210" s="417" t="n">
        <f aca="false">IF($A$1="BL",0,'Peak Hours'!S210*Peak!Y211*'Peak Hours'!$Y210)</f>
        <v>0</v>
      </c>
      <c r="T210" s="417" t="n">
        <f aca="false">IF($A$1="BL",0,'Peak Hours'!T210*Peak!Z211*'Peak Hours'!$Y210)</f>
        <v>0</v>
      </c>
      <c r="U210" s="417" t="n">
        <f aca="false">IF($A$1="BL",0,'Peak Hours'!U210*Peak!AA211*'Peak Hours'!$Y210)</f>
        <v>0</v>
      </c>
      <c r="V210" s="424"/>
      <c r="W210" s="422" t="n">
        <f aca="false">(IF($A$1="BL",0,Peak!C211*'Peak Hours'!V210*'Peak Hours'!$Y210))*-1</f>
        <v>-6693007.59469775</v>
      </c>
      <c r="X210" s="424"/>
      <c r="Y210" s="422" t="n">
        <f aca="false">(IF($A$1="bl",0,Peak!D211*'Peak Hours'!V210*'Peak Hours'!$Y210))*-1</f>
        <v>-123964.416083336</v>
      </c>
      <c r="Z210" s="424"/>
      <c r="AA210" s="422" t="n">
        <f aca="false">(Peak!E211*'Peak Hours'!V210*'Peak Hours'!$Y210)*-1</f>
        <v>-0</v>
      </c>
      <c r="AB210" s="425"/>
      <c r="AC210" s="422" t="n">
        <f aca="false">(Peak!F211*'Peak Hours'!V210*'Peak Hours'!$Y210)*-1</f>
        <v>-0</v>
      </c>
      <c r="AD210" s="425"/>
    </row>
    <row r="211" customFormat="false" ht="12.75" hidden="false" customHeight="false" outlineLevel="0" collapsed="false">
      <c r="A211" s="400" t="n">
        <f aca="false">A210+30.417</f>
        <v>42653.817</v>
      </c>
      <c r="B211" s="417" t="n">
        <f aca="false">IF($A$1="BL",0,'Peak Hours'!B211*Peak!H212*'Peak Hours'!$Y211)</f>
        <v>301698.23810226</v>
      </c>
      <c r="C211" s="417" t="n">
        <f aca="false">IF($A$1="BL",0,'Peak Hours'!C211*Peak!I212*'Peak Hours'!$Y211)</f>
        <v>283821.476848225</v>
      </c>
      <c r="D211" s="417" t="n">
        <f aca="false">IF($A$1="BL",0,'Peak Hours'!D211*Peak!J212*'Peak Hours'!$Y211)</f>
        <v>549348.109806735</v>
      </c>
      <c r="E211" s="417" t="n">
        <f aca="false">IF($A$1="BL",0,'Peak Hours'!E211*Peak!K212*'Peak Hours'!$Y211)</f>
        <v>1029458.19137738</v>
      </c>
      <c r="F211" s="417" t="n">
        <f aca="false">IF($A$1="BL",0,'Peak Hours'!F211*Peak!L212*'Peak Hours'!$Y211)</f>
        <v>997786.282016126</v>
      </c>
      <c r="G211" s="417" t="n">
        <f aca="false">IF($A$1="BL",0,'Peak Hours'!G211*Peak!M212*'Peak Hours'!$Y211)</f>
        <v>1984252.22587179</v>
      </c>
      <c r="H211" s="417" t="n">
        <f aca="false">IF($A$1="BL",0,'Peak Hours'!H211*Peak!N212*'Peak Hours'!$Y211)</f>
        <v>1738985.20828441</v>
      </c>
      <c r="I211" s="417" t="n">
        <f aca="false">IF($A$1="BL",0,'Peak Hours'!I211*Peak!O212*'Peak Hours'!$Y211)</f>
        <v>1408779.00401548</v>
      </c>
      <c r="J211" s="417" t="n">
        <f aca="false">IF($A$1="BL",0,'Peak Hours'!J211*Peak!P212*'Peak Hours'!$Y211)</f>
        <v>0</v>
      </c>
      <c r="K211" s="417" t="n">
        <f aca="false">IF($A$1="BL",0,'Peak Hours'!K211*Peak!Q212*'Peak Hours'!$Y211)</f>
        <v>0</v>
      </c>
      <c r="L211" s="417" t="n">
        <f aca="false">IF($A$1="BL",0,'Peak Hours'!L211*Peak!R212*'Peak Hours'!$Y211)</f>
        <v>0</v>
      </c>
      <c r="M211" s="417" t="n">
        <f aca="false">IF($A$1="BL",0,'Peak Hours'!M211*Peak!S212*'Peak Hours'!$Y211)</f>
        <v>0</v>
      </c>
      <c r="N211" s="417" t="n">
        <f aca="false">IF($A$1="BL",0,'Peak Hours'!N211*Peak!T212*'Peak Hours'!$Y211)</f>
        <v>0</v>
      </c>
      <c r="O211" s="417" t="n">
        <f aca="false">IF($A$1="BL",0,'Peak Hours'!O211*Peak!U212*'Peak Hours'!$Y211)</f>
        <v>0</v>
      </c>
      <c r="P211" s="417" t="n">
        <f aca="false">IF($A$1="BL",0,'Peak Hours'!P211*Peak!V212*'Peak Hours'!$Y211)</f>
        <v>0</v>
      </c>
      <c r="Q211" s="417" t="n">
        <f aca="false">IF($A$1="BL",0,'Peak Hours'!Q211*Peak!W212*'Peak Hours'!$Y211)</f>
        <v>0</v>
      </c>
      <c r="R211" s="417" t="n">
        <f aca="false">IF($A$1="BL",0,'Peak Hours'!R211*Peak!X212*'Peak Hours'!$Y211)</f>
        <v>0</v>
      </c>
      <c r="S211" s="417" t="n">
        <f aca="false">IF($A$1="BL",0,'Peak Hours'!S211*Peak!Y212*'Peak Hours'!$Y211)</f>
        <v>0</v>
      </c>
      <c r="T211" s="417" t="n">
        <f aca="false">IF($A$1="BL",0,'Peak Hours'!T211*Peak!Z212*'Peak Hours'!$Y211)</f>
        <v>0</v>
      </c>
      <c r="U211" s="417" t="n">
        <f aca="false">IF($A$1="BL",0,'Peak Hours'!U211*Peak!AA212*'Peak Hours'!$Y211)</f>
        <v>0</v>
      </c>
      <c r="V211" s="424"/>
      <c r="W211" s="422" t="n">
        <f aca="false">(IF($A$1="BL",0,Peak!C212*'Peak Hours'!V211*'Peak Hours'!$Y211))*-1</f>
        <v>-6064792.89426903</v>
      </c>
      <c r="X211" s="424"/>
      <c r="Y211" s="422" t="n">
        <f aca="false">(IF($A$1="bl",0,Peak!D212*'Peak Hours'!V211*'Peak Hours'!$Y211))*-1</f>
        <v>-101594.47372648</v>
      </c>
      <c r="Z211" s="424"/>
      <c r="AA211" s="422" t="n">
        <f aca="false">(Peak!E212*'Peak Hours'!V211*'Peak Hours'!$Y211)*-1</f>
        <v>-0</v>
      </c>
      <c r="AB211" s="425"/>
      <c r="AC211" s="422" t="n">
        <f aca="false">(Peak!F212*'Peak Hours'!V211*'Peak Hours'!$Y211)*-1</f>
        <v>-0</v>
      </c>
      <c r="AD211" s="425"/>
    </row>
    <row r="212" customFormat="false" ht="12.75" hidden="false" customHeight="false" outlineLevel="0" collapsed="false">
      <c r="A212" s="400" t="n">
        <f aca="false">A211+30.417</f>
        <v>42684.234</v>
      </c>
      <c r="B212" s="417" t="n">
        <f aca="false">IF($A$1="BL",0,'Peak Hours'!B212*Peak!H213*'Peak Hours'!$Y212)</f>
        <v>515988.651938113</v>
      </c>
      <c r="C212" s="417" t="n">
        <f aca="false">IF($A$1="BL",0,'Peak Hours'!C212*Peak!I213*'Peak Hours'!$Y212)</f>
        <v>503282.155473309</v>
      </c>
      <c r="D212" s="417" t="n">
        <f aca="false">IF($A$1="BL",0,'Peak Hours'!D212*Peak!J213*'Peak Hours'!$Y212)</f>
        <v>971936.353116517</v>
      </c>
      <c r="E212" s="417" t="n">
        <f aca="false">IF($A$1="BL",0,'Peak Hours'!E212*Peak!K213*'Peak Hours'!$Y212)</f>
        <v>1345492.26789328</v>
      </c>
      <c r="F212" s="417" t="n">
        <f aca="false">IF($A$1="BL",0,'Peak Hours'!F212*Peak!L213*'Peak Hours'!$Y212)</f>
        <v>1215139.14560534</v>
      </c>
      <c r="G212" s="417" t="n">
        <f aca="false">IF($A$1="BL",0,'Peak Hours'!G212*Peak!M213*'Peak Hours'!$Y212)</f>
        <v>2379700.07628812</v>
      </c>
      <c r="H212" s="417" t="n">
        <f aca="false">IF($A$1="BL",0,'Peak Hours'!H212*Peak!N213*'Peak Hours'!$Y212)</f>
        <v>2058993.4431746</v>
      </c>
      <c r="I212" s="417" t="n">
        <f aca="false">IF($A$1="BL",0,'Peak Hours'!I212*Peak!O213*'Peak Hours'!$Y212)</f>
        <v>1605737.59393456</v>
      </c>
      <c r="J212" s="417" t="n">
        <f aca="false">IF($A$1="BL",0,'Peak Hours'!J212*Peak!P213*'Peak Hours'!$Y212)</f>
        <v>0</v>
      </c>
      <c r="K212" s="417" t="n">
        <f aca="false">IF($A$1="BL",0,'Peak Hours'!K212*Peak!Q213*'Peak Hours'!$Y212)</f>
        <v>0</v>
      </c>
      <c r="L212" s="417" t="n">
        <f aca="false">IF($A$1="BL",0,'Peak Hours'!L212*Peak!R213*'Peak Hours'!$Y212)</f>
        <v>0</v>
      </c>
      <c r="M212" s="417" t="n">
        <f aca="false">IF($A$1="BL",0,'Peak Hours'!M212*Peak!S213*'Peak Hours'!$Y212)</f>
        <v>0</v>
      </c>
      <c r="N212" s="417" t="n">
        <f aca="false">IF($A$1="BL",0,'Peak Hours'!N212*Peak!T213*'Peak Hours'!$Y212)</f>
        <v>0</v>
      </c>
      <c r="O212" s="417" t="n">
        <f aca="false">IF($A$1="BL",0,'Peak Hours'!O212*Peak!U213*'Peak Hours'!$Y212)</f>
        <v>0</v>
      </c>
      <c r="P212" s="417" t="n">
        <f aca="false">IF($A$1="BL",0,'Peak Hours'!P212*Peak!V213*'Peak Hours'!$Y212)</f>
        <v>0</v>
      </c>
      <c r="Q212" s="417" t="n">
        <f aca="false">IF($A$1="BL",0,'Peak Hours'!Q212*Peak!W213*'Peak Hours'!$Y212)</f>
        <v>0</v>
      </c>
      <c r="R212" s="417" t="n">
        <f aca="false">IF($A$1="BL",0,'Peak Hours'!R212*Peak!X213*'Peak Hours'!$Y212)</f>
        <v>0</v>
      </c>
      <c r="S212" s="417" t="n">
        <f aca="false">IF($A$1="BL",0,'Peak Hours'!S212*Peak!Y213*'Peak Hours'!$Y212)</f>
        <v>0</v>
      </c>
      <c r="T212" s="417" t="n">
        <f aca="false">IF($A$1="BL",0,'Peak Hours'!T212*Peak!Z213*'Peak Hours'!$Y212)</f>
        <v>0</v>
      </c>
      <c r="U212" s="417" t="n">
        <f aca="false">IF($A$1="BL",0,'Peak Hours'!U212*Peak!AA213*'Peak Hours'!$Y212)</f>
        <v>0</v>
      </c>
      <c r="V212" s="424"/>
      <c r="W212" s="422" t="n">
        <f aca="false">(IF($A$1="BL",0,Peak!C213*'Peak Hours'!V212*'Peak Hours'!$Y212))*-1</f>
        <v>-6641224.1703674</v>
      </c>
      <c r="X212" s="424"/>
      <c r="Y212" s="422" t="n">
        <f aca="false">(IF($A$1="bl",0,Peak!D213*'Peak Hours'!V212*'Peak Hours'!$Y212))*-1</f>
        <v>-101763.797849357</v>
      </c>
      <c r="Z212" s="424"/>
      <c r="AA212" s="422" t="n">
        <f aca="false">(Peak!E213*'Peak Hours'!V212*'Peak Hours'!$Y212)*-1</f>
        <v>-0</v>
      </c>
      <c r="AB212" s="425"/>
      <c r="AC212" s="422" t="n">
        <f aca="false">(Peak!F213*'Peak Hours'!V212*'Peak Hours'!$Y212)*-1</f>
        <v>-0</v>
      </c>
      <c r="AD212" s="425"/>
    </row>
    <row r="213" customFormat="false" ht="12.75" hidden="false" customHeight="false" outlineLevel="0" collapsed="false">
      <c r="A213" s="400" t="n">
        <f aca="false">A212+30.417</f>
        <v>42714.651</v>
      </c>
      <c r="B213" s="417" t="n">
        <f aca="false">IF($A$1="BL",0,'Peak Hours'!B213*Peak!H214*'Peak Hours'!$Y213)</f>
        <v>403733.87516045</v>
      </c>
      <c r="C213" s="417" t="n">
        <f aca="false">IF($A$1="BL",0,'Peak Hours'!C213*Peak!I214*'Peak Hours'!$Y213)</f>
        <v>389301.204401063</v>
      </c>
      <c r="D213" s="417" t="n">
        <f aca="false">IF($A$1="BL",0,'Peak Hours'!D213*Peak!J214*'Peak Hours'!$Y213)</f>
        <v>731899.796396751</v>
      </c>
      <c r="E213" s="417" t="n">
        <f aca="false">IF($A$1="BL",0,'Peak Hours'!E213*Peak!K214*'Peak Hours'!$Y213)</f>
        <v>1444048.62026195</v>
      </c>
      <c r="F213" s="417" t="n">
        <f aca="false">IF($A$1="BL",0,'Peak Hours'!F213*Peak!L214*'Peak Hours'!$Y213)</f>
        <v>1424956.74419041</v>
      </c>
      <c r="G213" s="417" t="n">
        <f aca="false">IF($A$1="BL",0,'Peak Hours'!G213*Peak!M214*'Peak Hours'!$Y213)</f>
        <v>2428988.13882058</v>
      </c>
      <c r="H213" s="417" t="n">
        <f aca="false">IF($A$1="BL",0,'Peak Hours'!H213*Peak!N214*'Peak Hours'!$Y213)</f>
        <v>1915581.08422154</v>
      </c>
      <c r="I213" s="417" t="n">
        <f aca="false">IF($A$1="BL",0,'Peak Hours'!I213*Peak!O214*'Peak Hours'!$Y213)</f>
        <v>1602388.5990443</v>
      </c>
      <c r="J213" s="417" t="n">
        <f aca="false">IF($A$1="BL",0,'Peak Hours'!J213*Peak!P214*'Peak Hours'!$Y213)</f>
        <v>1576728.05516283</v>
      </c>
      <c r="K213" s="417" t="n">
        <f aca="false">IF($A$1="BL",0,'Peak Hours'!K213*Peak!Q214*'Peak Hours'!$Y213)</f>
        <v>0</v>
      </c>
      <c r="L213" s="417" t="n">
        <f aca="false">IF($A$1="BL",0,'Peak Hours'!L213*Peak!R214*'Peak Hours'!$Y213)</f>
        <v>0</v>
      </c>
      <c r="M213" s="417" t="n">
        <f aca="false">IF($A$1="BL",0,'Peak Hours'!M213*Peak!S214*'Peak Hours'!$Y213)</f>
        <v>0</v>
      </c>
      <c r="N213" s="417" t="n">
        <f aca="false">IF($A$1="BL",0,'Peak Hours'!N213*Peak!T214*'Peak Hours'!$Y213)</f>
        <v>0</v>
      </c>
      <c r="O213" s="417" t="n">
        <f aca="false">IF($A$1="BL",0,'Peak Hours'!O213*Peak!U214*'Peak Hours'!$Y213)</f>
        <v>0</v>
      </c>
      <c r="P213" s="417" t="n">
        <f aca="false">IF($A$1="BL",0,'Peak Hours'!P213*Peak!V214*'Peak Hours'!$Y213)</f>
        <v>0</v>
      </c>
      <c r="Q213" s="417" t="n">
        <f aca="false">IF($A$1="BL",0,'Peak Hours'!Q213*Peak!W214*'Peak Hours'!$Y213)</f>
        <v>0</v>
      </c>
      <c r="R213" s="417" t="n">
        <f aca="false">IF($A$1="BL",0,'Peak Hours'!R213*Peak!X214*'Peak Hours'!$Y213)</f>
        <v>0</v>
      </c>
      <c r="S213" s="417" t="n">
        <f aca="false">IF($A$1="BL",0,'Peak Hours'!S213*Peak!Y214*'Peak Hours'!$Y213)</f>
        <v>0</v>
      </c>
      <c r="T213" s="417" t="n">
        <f aca="false">IF($A$1="BL",0,'Peak Hours'!T213*Peak!Z214*'Peak Hours'!$Y213)</f>
        <v>0</v>
      </c>
      <c r="U213" s="417" t="n">
        <f aca="false">IF($A$1="BL",0,'Peak Hours'!U213*Peak!AA214*'Peak Hours'!$Y213)</f>
        <v>0</v>
      </c>
      <c r="V213" s="426" t="n">
        <f aca="false">SUM(B202:U213)</f>
        <v>154172018.605188</v>
      </c>
      <c r="W213" s="422" t="n">
        <f aca="false">(IF($A$1="BL",0,Peak!C214*'Peak Hours'!V213*'Peak Hours'!$Y213))*-1</f>
        <v>-8546254.70967008</v>
      </c>
      <c r="X213" s="426" t="n">
        <f aca="false">SUM(W202:W213)</f>
        <v>-95866462.7815741</v>
      </c>
      <c r="Y213" s="422" t="n">
        <f aca="false">(IF($A$1="bl",0,Peak!D214*'Peak Hours'!V213*'Peak Hours'!$Y213))*-1</f>
        <v>-121211.846048685</v>
      </c>
      <c r="Z213" s="426" t="n">
        <f aca="false">SUM(Y202:Y213)</f>
        <v>-1592542.20697082</v>
      </c>
      <c r="AA213" s="422" t="n">
        <f aca="false">(Peak!E214*'Peak Hours'!V213*'Peak Hours'!$Y213)*-1</f>
        <v>-0</v>
      </c>
      <c r="AB213" s="427" t="n">
        <f aca="false">SUM(AA202:AA213)</f>
        <v>0</v>
      </c>
      <c r="AC213" s="422" t="n">
        <f aca="false">(Peak!F214*'Peak Hours'!V213*'Peak Hours'!$Y213)*-1</f>
        <v>-0</v>
      </c>
      <c r="AD213" s="427" t="n">
        <f aca="false">SUM(AC202:AC213)</f>
        <v>0</v>
      </c>
    </row>
    <row r="214" customFormat="false" ht="12.75" hidden="false" customHeight="false" outlineLevel="0" collapsed="false">
      <c r="A214" s="400" t="n">
        <f aca="false">A213+30.417</f>
        <v>42745.068</v>
      </c>
      <c r="B214" s="417" t="n">
        <f aca="false">IF($A$1="BL",0,'Peak Hours'!B214*Peak!H215*'Peak Hours'!$Y214)</f>
        <v>398801.720717443</v>
      </c>
      <c r="C214" s="417" t="n">
        <f aca="false">IF($A$1="BL",0,'Peak Hours'!C214*Peak!I215*'Peak Hours'!$Y214)</f>
        <v>377698.3902674</v>
      </c>
      <c r="D214" s="417" t="n">
        <f aca="false">IF($A$1="BL",0,'Peak Hours'!D214*Peak!J215*'Peak Hours'!$Y214)</f>
        <v>727779.298246154</v>
      </c>
      <c r="E214" s="417" t="n">
        <f aca="false">IF($A$1="BL",0,'Peak Hours'!E214*Peak!K215*'Peak Hours'!$Y214)</f>
        <v>1360679.22058952</v>
      </c>
      <c r="F214" s="417" t="n">
        <f aca="false">IF($A$1="BL",0,'Peak Hours'!F214*Peak!L215*'Peak Hours'!$Y214)</f>
        <v>1354010.2856834</v>
      </c>
      <c r="G214" s="417" t="n">
        <f aca="false">IF($A$1="BL",0,'Peak Hours'!G214*Peak!M215*'Peak Hours'!$Y214)</f>
        <v>2502058.00070628</v>
      </c>
      <c r="H214" s="417" t="n">
        <f aca="false">IF($A$1="BL",0,'Peak Hours'!H214*Peak!N215*'Peak Hours'!$Y214)</f>
        <v>1850655.25828167</v>
      </c>
      <c r="I214" s="417" t="n">
        <f aca="false">IF($A$1="BL",0,'Peak Hours'!I214*Peak!O215*'Peak Hours'!$Y214)</f>
        <v>0</v>
      </c>
      <c r="J214" s="417" t="n">
        <f aca="false">IF($A$1="BL",0,'Peak Hours'!J214*Peak!P215*'Peak Hours'!$Y214)</f>
        <v>0</v>
      </c>
      <c r="K214" s="417" t="n">
        <f aca="false">IF($A$1="BL",0,'Peak Hours'!K214*Peak!Q215*'Peak Hours'!$Y214)</f>
        <v>0</v>
      </c>
      <c r="L214" s="417" t="n">
        <f aca="false">IF($A$1="BL",0,'Peak Hours'!L214*Peak!R215*'Peak Hours'!$Y214)</f>
        <v>0</v>
      </c>
      <c r="M214" s="417" t="n">
        <f aca="false">IF($A$1="BL",0,'Peak Hours'!M214*Peak!S215*'Peak Hours'!$Y214)</f>
        <v>0</v>
      </c>
      <c r="N214" s="417" t="n">
        <f aca="false">IF($A$1="BL",0,'Peak Hours'!N214*Peak!T215*'Peak Hours'!$Y214)</f>
        <v>0</v>
      </c>
      <c r="O214" s="417" t="n">
        <f aca="false">IF($A$1="BL",0,'Peak Hours'!O214*Peak!U215*'Peak Hours'!$Y214)</f>
        <v>0</v>
      </c>
      <c r="P214" s="417" t="n">
        <f aca="false">IF($A$1="BL",0,'Peak Hours'!P214*Peak!V215*'Peak Hours'!$Y214)</f>
        <v>0</v>
      </c>
      <c r="Q214" s="417" t="n">
        <f aca="false">IF($A$1="BL",0,'Peak Hours'!Q214*Peak!W215*'Peak Hours'!$Y214)</f>
        <v>0</v>
      </c>
      <c r="R214" s="417" t="n">
        <f aca="false">IF($A$1="BL",0,'Peak Hours'!R214*Peak!X215*'Peak Hours'!$Y214)</f>
        <v>0</v>
      </c>
      <c r="S214" s="417" t="n">
        <f aca="false">IF($A$1="BL",0,'Peak Hours'!S214*Peak!Y215*'Peak Hours'!$Y214)</f>
        <v>0</v>
      </c>
      <c r="T214" s="417" t="n">
        <f aca="false">IF($A$1="BL",0,'Peak Hours'!T214*Peak!Z215*'Peak Hours'!$Y214)</f>
        <v>0</v>
      </c>
      <c r="U214" s="417" t="n">
        <f aca="false">IF($A$1="BL",0,'Peak Hours'!U214*Peak!AA215*'Peak Hours'!$Y214)</f>
        <v>0</v>
      </c>
      <c r="V214" s="424"/>
      <c r="W214" s="422" t="n">
        <f aca="false">(IF($A$1="BL",0,Peak!C215*'Peak Hours'!V214*'Peak Hours'!$Y214))*-1</f>
        <v>-5406788.76904943</v>
      </c>
      <c r="X214" s="424"/>
      <c r="Y214" s="422" t="n">
        <f aca="false">(IF($A$1="bl",0,Peak!D215*'Peak Hours'!V214*'Peak Hours'!$Y214))*-1</f>
        <v>-77263.3691404266</v>
      </c>
      <c r="Z214" s="424"/>
      <c r="AA214" s="422" t="n">
        <f aca="false">(Peak!E215*'Peak Hours'!V214*'Peak Hours'!$Y214)*-1</f>
        <v>-0</v>
      </c>
      <c r="AB214" s="425"/>
      <c r="AC214" s="422" t="n">
        <f aca="false">(Peak!F215*'Peak Hours'!V214*'Peak Hours'!$Y214)*-1</f>
        <v>-0</v>
      </c>
      <c r="AD214" s="425"/>
    </row>
    <row r="215" customFormat="false" ht="12.75" hidden="false" customHeight="false" outlineLevel="0" collapsed="false">
      <c r="A215" s="400" t="n">
        <f aca="false">A214+30.417</f>
        <v>42775.485</v>
      </c>
      <c r="B215" s="417" t="n">
        <f aca="false">IF($A$1="BL",0,'Peak Hours'!B215*Peak!H216*'Peak Hours'!$Y215)</f>
        <v>478431.840450837</v>
      </c>
      <c r="C215" s="417" t="n">
        <f aca="false">IF($A$1="BL",0,'Peak Hours'!C215*Peak!I216*'Peak Hours'!$Y215)</f>
        <v>446732.933248015</v>
      </c>
      <c r="D215" s="417" t="n">
        <f aca="false">IF($A$1="BL",0,'Peak Hours'!D215*Peak!J216*'Peak Hours'!$Y215)</f>
        <v>781419.485296294</v>
      </c>
      <c r="E215" s="417" t="n">
        <f aca="false">IF($A$1="BL",0,'Peak Hours'!E215*Peak!K216*'Peak Hours'!$Y215)</f>
        <v>1402107.63928777</v>
      </c>
      <c r="F215" s="417" t="n">
        <f aca="false">IF($A$1="BL",0,'Peak Hours'!F215*Peak!L216*'Peak Hours'!$Y215)</f>
        <v>1308385.83259278</v>
      </c>
      <c r="G215" s="417" t="n">
        <f aca="false">IF($A$1="BL",0,'Peak Hours'!G215*Peak!M216*'Peak Hours'!$Y215)</f>
        <v>2591922.70847946</v>
      </c>
      <c r="H215" s="417" t="n">
        <f aca="false">IF($A$1="BL",0,'Peak Hours'!H215*Peak!N216*'Peak Hours'!$Y215)</f>
        <v>2228486.16743351</v>
      </c>
      <c r="I215" s="417" t="n">
        <f aca="false">IF($A$1="BL",0,'Peak Hours'!I215*Peak!O216*'Peak Hours'!$Y215)</f>
        <v>2027371.85235656</v>
      </c>
      <c r="J215" s="417" t="n">
        <f aca="false">IF($A$1="BL",0,'Peak Hours'!J215*Peak!P216*'Peak Hours'!$Y215)</f>
        <v>1738631.94034354</v>
      </c>
      <c r="K215" s="417" t="n">
        <f aca="false">IF($A$1="BL",0,'Peak Hours'!K215*Peak!Q216*'Peak Hours'!$Y215)</f>
        <v>0</v>
      </c>
      <c r="L215" s="417" t="n">
        <f aca="false">IF($A$1="BL",0,'Peak Hours'!L215*Peak!R216*'Peak Hours'!$Y215)</f>
        <v>0</v>
      </c>
      <c r="M215" s="417" t="n">
        <f aca="false">IF($A$1="BL",0,'Peak Hours'!M215*Peak!S216*'Peak Hours'!$Y215)</f>
        <v>0</v>
      </c>
      <c r="N215" s="417" t="n">
        <f aca="false">IF($A$1="BL",0,'Peak Hours'!N215*Peak!T216*'Peak Hours'!$Y215)</f>
        <v>0</v>
      </c>
      <c r="O215" s="417" t="n">
        <f aca="false">IF($A$1="BL",0,'Peak Hours'!O215*Peak!U216*'Peak Hours'!$Y215)</f>
        <v>0</v>
      </c>
      <c r="P215" s="417" t="n">
        <f aca="false">IF($A$1="BL",0,'Peak Hours'!P215*Peak!V216*'Peak Hours'!$Y215)</f>
        <v>0</v>
      </c>
      <c r="Q215" s="417" t="n">
        <f aca="false">IF($A$1="BL",0,'Peak Hours'!Q215*Peak!W216*'Peak Hours'!$Y215)</f>
        <v>0</v>
      </c>
      <c r="R215" s="417" t="n">
        <f aca="false">IF($A$1="BL",0,'Peak Hours'!R215*Peak!X216*'Peak Hours'!$Y215)</f>
        <v>0</v>
      </c>
      <c r="S215" s="417" t="n">
        <f aca="false">IF($A$1="BL",0,'Peak Hours'!S215*Peak!Y216*'Peak Hours'!$Y215)</f>
        <v>0</v>
      </c>
      <c r="T215" s="417" t="n">
        <f aca="false">IF($A$1="BL",0,'Peak Hours'!T215*Peak!Z216*'Peak Hours'!$Y215)</f>
        <v>0</v>
      </c>
      <c r="U215" s="417" t="n">
        <f aca="false">IF($A$1="BL",0,'Peak Hours'!U215*Peak!AA216*'Peak Hours'!$Y215)</f>
        <v>0</v>
      </c>
      <c r="V215" s="424"/>
      <c r="W215" s="422" t="n">
        <f aca="false">(IF($A$1="BL",0,Peak!C216*'Peak Hours'!V215*'Peak Hours'!$Y215))*-1</f>
        <v>-7615108.65002517</v>
      </c>
      <c r="X215" s="424"/>
      <c r="Y215" s="422" t="n">
        <f aca="false">(IF($A$1="bl",0,Peak!D216*'Peak Hours'!V215*'Peak Hours'!$Y215))*-1</f>
        <v>-121616.222235086</v>
      </c>
      <c r="Z215" s="424"/>
      <c r="AA215" s="422" t="n">
        <f aca="false">(Peak!E216*'Peak Hours'!V215*'Peak Hours'!$Y215)*-1</f>
        <v>-0</v>
      </c>
      <c r="AB215" s="425"/>
      <c r="AC215" s="422" t="n">
        <f aca="false">(Peak!F216*'Peak Hours'!V215*'Peak Hours'!$Y215)*-1</f>
        <v>-0</v>
      </c>
      <c r="AD215" s="425"/>
    </row>
    <row r="216" customFormat="false" ht="12.75" hidden="false" customHeight="false" outlineLevel="0" collapsed="false">
      <c r="A216" s="400" t="n">
        <f aca="false">A215+30.417</f>
        <v>42805.902</v>
      </c>
      <c r="B216" s="417" t="n">
        <f aca="false">IF($A$1="BL",0,'Peak Hours'!B216*Peak!H217*'Peak Hours'!$Y216)</f>
        <v>356801.468667655</v>
      </c>
      <c r="C216" s="417" t="n">
        <f aca="false">IF($A$1="BL",0,'Peak Hours'!C216*Peak!I217*'Peak Hours'!$Y216)</f>
        <v>331199.630055691</v>
      </c>
      <c r="D216" s="417" t="n">
        <f aca="false">IF($A$1="BL",0,'Peak Hours'!D216*Peak!J217*'Peak Hours'!$Y216)</f>
        <v>632958.160307637</v>
      </c>
      <c r="E216" s="417" t="n">
        <f aca="false">IF($A$1="BL",0,'Peak Hours'!E216*Peak!K217*'Peak Hours'!$Y216)</f>
        <v>1188469.49671251</v>
      </c>
      <c r="F216" s="417" t="n">
        <f aca="false">IF($A$1="BL",0,'Peak Hours'!F216*Peak!L217*'Peak Hours'!$Y216)</f>
        <v>1183583.8285786</v>
      </c>
      <c r="G216" s="417" t="n">
        <f aca="false">IF($A$1="BL",0,'Peak Hours'!G216*Peak!M217*'Peak Hours'!$Y216)</f>
        <v>2180027.66198761</v>
      </c>
      <c r="H216" s="417" t="n">
        <f aca="false">IF($A$1="BL",0,'Peak Hours'!H216*Peak!N217*'Peak Hours'!$Y216)</f>
        <v>1660628.13779918</v>
      </c>
      <c r="I216" s="417" t="n">
        <f aca="false">IF($A$1="BL",0,'Peak Hours'!I216*Peak!O217*'Peak Hours'!$Y216)</f>
        <v>1536541.4421054</v>
      </c>
      <c r="J216" s="417" t="n">
        <f aca="false">IF($A$1="BL",0,'Peak Hours'!J216*Peak!P217*'Peak Hours'!$Y216)</f>
        <v>0</v>
      </c>
      <c r="K216" s="417" t="n">
        <f aca="false">IF($A$1="BL",0,'Peak Hours'!K216*Peak!Q217*'Peak Hours'!$Y216)</f>
        <v>0</v>
      </c>
      <c r="L216" s="417" t="n">
        <f aca="false">IF($A$1="BL",0,'Peak Hours'!L216*Peak!R217*'Peak Hours'!$Y216)</f>
        <v>0</v>
      </c>
      <c r="M216" s="417" t="n">
        <f aca="false">IF($A$1="BL",0,'Peak Hours'!M216*Peak!S217*'Peak Hours'!$Y216)</f>
        <v>0</v>
      </c>
      <c r="N216" s="417" t="n">
        <f aca="false">IF($A$1="BL",0,'Peak Hours'!N216*Peak!T217*'Peak Hours'!$Y216)</f>
        <v>0</v>
      </c>
      <c r="O216" s="417" t="n">
        <f aca="false">IF($A$1="BL",0,'Peak Hours'!O216*Peak!U217*'Peak Hours'!$Y216)</f>
        <v>0</v>
      </c>
      <c r="P216" s="417" t="n">
        <f aca="false">IF($A$1="BL",0,'Peak Hours'!P216*Peak!V217*'Peak Hours'!$Y216)</f>
        <v>0</v>
      </c>
      <c r="Q216" s="417" t="n">
        <f aca="false">IF($A$1="BL",0,'Peak Hours'!Q216*Peak!W217*'Peak Hours'!$Y216)</f>
        <v>0</v>
      </c>
      <c r="R216" s="417" t="n">
        <f aca="false">IF($A$1="BL",0,'Peak Hours'!R216*Peak!X217*'Peak Hours'!$Y216)</f>
        <v>0</v>
      </c>
      <c r="S216" s="417" t="n">
        <f aca="false">IF($A$1="BL",0,'Peak Hours'!S216*Peak!Y217*'Peak Hours'!$Y216)</f>
        <v>0</v>
      </c>
      <c r="T216" s="417" t="n">
        <f aca="false">IF($A$1="BL",0,'Peak Hours'!T216*Peak!Z217*'Peak Hours'!$Y216)</f>
        <v>0</v>
      </c>
      <c r="U216" s="417" t="n">
        <f aca="false">IF($A$1="BL",0,'Peak Hours'!U216*Peak!AA217*'Peak Hours'!$Y216)</f>
        <v>0</v>
      </c>
      <c r="V216" s="424"/>
      <c r="W216" s="422" t="n">
        <f aca="false">(IF($A$1="BL",0,Peak!C217*'Peak Hours'!V216*'Peak Hours'!$Y216))*-1</f>
        <v>-6296262.05740583</v>
      </c>
      <c r="X216" s="424"/>
      <c r="Y216" s="422" t="n">
        <f aca="false">(IF($A$1="bl",0,Peak!D217*'Peak Hours'!V216*'Peak Hours'!$Y216))*-1</f>
        <v>-102443.92111695</v>
      </c>
      <c r="Z216" s="424"/>
      <c r="AA216" s="422" t="n">
        <f aca="false">(Peak!E217*'Peak Hours'!V216*'Peak Hours'!$Y216)*-1</f>
        <v>-0</v>
      </c>
      <c r="AB216" s="425"/>
      <c r="AC216" s="422" t="n">
        <f aca="false">(Peak!F217*'Peak Hours'!V216*'Peak Hours'!$Y216)*-1</f>
        <v>-0</v>
      </c>
      <c r="AD216" s="425"/>
    </row>
    <row r="217" customFormat="false" ht="12.75" hidden="false" customHeight="false" outlineLevel="0" collapsed="false">
      <c r="A217" s="400" t="n">
        <f aca="false">A216+30.417</f>
        <v>42836.319</v>
      </c>
      <c r="B217" s="417" t="n">
        <f aca="false">IF($A$1="BL",0,'Peak Hours'!B217*Peak!H218*'Peak Hours'!$Y217)</f>
        <v>357764.125755357</v>
      </c>
      <c r="C217" s="417" t="n">
        <f aca="false">IF($A$1="BL",0,'Peak Hours'!C217*Peak!I218*'Peak Hours'!$Y217)</f>
        <v>311653.766432007</v>
      </c>
      <c r="D217" s="417" t="n">
        <f aca="false">IF($A$1="BL",0,'Peak Hours'!D217*Peak!J218*'Peak Hours'!$Y217)</f>
        <v>582253.676957996</v>
      </c>
      <c r="E217" s="417" t="n">
        <f aca="false">IF($A$1="BL",0,'Peak Hours'!E217*Peak!K218*'Peak Hours'!$Y217)</f>
        <v>1129640.50424767</v>
      </c>
      <c r="F217" s="417" t="n">
        <f aca="false">IF($A$1="BL",0,'Peak Hours'!F217*Peak!L218*'Peak Hours'!$Y217)</f>
        <v>1121700.88711031</v>
      </c>
      <c r="G217" s="417" t="n">
        <f aca="false">IF($A$1="BL",0,'Peak Hours'!G217*Peak!M218*'Peak Hours'!$Y217)</f>
        <v>1672358.4499377</v>
      </c>
      <c r="H217" s="417" t="n">
        <f aca="false">IF($A$1="BL",0,'Peak Hours'!H217*Peak!N218*'Peak Hours'!$Y217)</f>
        <v>1354564.79217226</v>
      </c>
      <c r="I217" s="417" t="n">
        <f aca="false">IF($A$1="BL",0,'Peak Hours'!I217*Peak!O218*'Peak Hours'!$Y217)</f>
        <v>0</v>
      </c>
      <c r="J217" s="417" t="n">
        <f aca="false">IF($A$1="BL",0,'Peak Hours'!J217*Peak!P218*'Peak Hours'!$Y217)</f>
        <v>0</v>
      </c>
      <c r="K217" s="417" t="n">
        <f aca="false">IF($A$1="BL",0,'Peak Hours'!K217*Peak!Q218*'Peak Hours'!$Y217)</f>
        <v>0</v>
      </c>
      <c r="L217" s="417" t="n">
        <f aca="false">IF($A$1="BL",0,'Peak Hours'!L217*Peak!R218*'Peak Hours'!$Y217)</f>
        <v>0</v>
      </c>
      <c r="M217" s="417" t="n">
        <f aca="false">IF($A$1="BL",0,'Peak Hours'!M217*Peak!S218*'Peak Hours'!$Y217)</f>
        <v>0</v>
      </c>
      <c r="N217" s="417" t="n">
        <f aca="false">IF($A$1="BL",0,'Peak Hours'!N217*Peak!T218*'Peak Hours'!$Y217)</f>
        <v>0</v>
      </c>
      <c r="O217" s="417" t="n">
        <f aca="false">IF($A$1="BL",0,'Peak Hours'!O217*Peak!U218*'Peak Hours'!$Y217)</f>
        <v>0</v>
      </c>
      <c r="P217" s="417" t="n">
        <f aca="false">IF($A$1="BL",0,'Peak Hours'!P217*Peak!V218*'Peak Hours'!$Y217)</f>
        <v>0</v>
      </c>
      <c r="Q217" s="417" t="n">
        <f aca="false">IF($A$1="BL",0,'Peak Hours'!Q217*Peak!W218*'Peak Hours'!$Y217)</f>
        <v>0</v>
      </c>
      <c r="R217" s="417" t="n">
        <f aca="false">IF($A$1="BL",0,'Peak Hours'!R217*Peak!X218*'Peak Hours'!$Y217)</f>
        <v>0</v>
      </c>
      <c r="S217" s="417" t="n">
        <f aca="false">IF($A$1="BL",0,'Peak Hours'!S217*Peak!Y218*'Peak Hours'!$Y217)</f>
        <v>0</v>
      </c>
      <c r="T217" s="417" t="n">
        <f aca="false">IF($A$1="BL",0,'Peak Hours'!T217*Peak!Z218*'Peak Hours'!$Y217)</f>
        <v>0</v>
      </c>
      <c r="U217" s="417" t="n">
        <f aca="false">IF($A$1="BL",0,'Peak Hours'!U217*Peak!AA218*'Peak Hours'!$Y217)</f>
        <v>0</v>
      </c>
      <c r="V217" s="424"/>
      <c r="W217" s="422" t="n">
        <f aca="false">(IF($A$1="BL",0,Peak!C218*'Peak Hours'!V217*'Peak Hours'!$Y217))*-1</f>
        <v>-4655686.73258882</v>
      </c>
      <c r="X217" s="424"/>
      <c r="Y217" s="422" t="n">
        <f aca="false">(IF($A$1="bl",0,Peak!D218*'Peak Hours'!V217*'Peak Hours'!$Y217))*-1</f>
        <v>-79811.4029887057</v>
      </c>
      <c r="Z217" s="424"/>
      <c r="AA217" s="422" t="n">
        <f aca="false">(Peak!E218*'Peak Hours'!V217*'Peak Hours'!$Y217)*-1</f>
        <v>-0</v>
      </c>
      <c r="AB217" s="425"/>
      <c r="AC217" s="422" t="n">
        <f aca="false">(Peak!F218*'Peak Hours'!V217*'Peak Hours'!$Y217)*-1</f>
        <v>-0</v>
      </c>
      <c r="AD217" s="425"/>
    </row>
    <row r="218" customFormat="false" ht="12.75" hidden="false" customHeight="false" outlineLevel="0" collapsed="false">
      <c r="A218" s="400" t="n">
        <f aca="false">A217+30.417</f>
        <v>42866.736</v>
      </c>
      <c r="B218" s="417" t="n">
        <f aca="false">IF($A$1="BL",0,'Peak Hours'!B218*Peak!H219*'Peak Hours'!$Y218)</f>
        <v>480921.103292614</v>
      </c>
      <c r="C218" s="417" t="n">
        <f aca="false">IF($A$1="BL",0,'Peak Hours'!C218*Peak!I219*'Peak Hours'!$Y218)</f>
        <v>375445.614491172</v>
      </c>
      <c r="D218" s="417" t="n">
        <f aca="false">IF($A$1="BL",0,'Peak Hours'!D218*Peak!J219*'Peak Hours'!$Y218)</f>
        <v>630457.77220648</v>
      </c>
      <c r="E218" s="417" t="n">
        <f aca="false">IF($A$1="BL",0,'Peak Hours'!E218*Peak!K219*'Peak Hours'!$Y218)</f>
        <v>1118216.19406137</v>
      </c>
      <c r="F218" s="417" t="n">
        <f aca="false">IF($A$1="BL",0,'Peak Hours'!F218*Peak!L219*'Peak Hours'!$Y218)</f>
        <v>1017781.44610418</v>
      </c>
      <c r="G218" s="417" t="n">
        <f aca="false">IF($A$1="BL",0,'Peak Hours'!G218*Peak!M219*'Peak Hours'!$Y218)</f>
        <v>1968372.13607063</v>
      </c>
      <c r="H218" s="417" t="n">
        <f aca="false">IF($A$1="BL",0,'Peak Hours'!H218*Peak!N219*'Peak Hours'!$Y218)</f>
        <v>1515828.95997728</v>
      </c>
      <c r="I218" s="417" t="n">
        <f aca="false">IF($A$1="BL",0,'Peak Hours'!I218*Peak!O219*'Peak Hours'!$Y218)</f>
        <v>0</v>
      </c>
      <c r="J218" s="417" t="n">
        <f aca="false">IF($A$1="BL",0,'Peak Hours'!J218*Peak!P219*'Peak Hours'!$Y218)</f>
        <v>0</v>
      </c>
      <c r="K218" s="417" t="n">
        <f aca="false">IF($A$1="BL",0,'Peak Hours'!K218*Peak!Q219*'Peak Hours'!$Y218)</f>
        <v>0</v>
      </c>
      <c r="L218" s="417" t="n">
        <f aca="false">IF($A$1="BL",0,'Peak Hours'!L218*Peak!R219*'Peak Hours'!$Y218)</f>
        <v>0</v>
      </c>
      <c r="M218" s="417" t="n">
        <f aca="false">IF($A$1="BL",0,'Peak Hours'!M218*Peak!S219*'Peak Hours'!$Y218)</f>
        <v>0</v>
      </c>
      <c r="N218" s="417" t="n">
        <f aca="false">IF($A$1="BL",0,'Peak Hours'!N218*Peak!T219*'Peak Hours'!$Y218)</f>
        <v>0</v>
      </c>
      <c r="O218" s="417" t="n">
        <f aca="false">IF($A$1="BL",0,'Peak Hours'!O218*Peak!U219*'Peak Hours'!$Y218)</f>
        <v>0</v>
      </c>
      <c r="P218" s="417" t="n">
        <f aca="false">IF($A$1="BL",0,'Peak Hours'!P218*Peak!V219*'Peak Hours'!$Y218)</f>
        <v>0</v>
      </c>
      <c r="Q218" s="417" t="n">
        <f aca="false">IF($A$1="BL",0,'Peak Hours'!Q218*Peak!W219*'Peak Hours'!$Y218)</f>
        <v>0</v>
      </c>
      <c r="R218" s="417" t="n">
        <f aca="false">IF($A$1="BL",0,'Peak Hours'!R218*Peak!X219*'Peak Hours'!$Y218)</f>
        <v>0</v>
      </c>
      <c r="S218" s="417" t="n">
        <f aca="false">IF($A$1="BL",0,'Peak Hours'!S218*Peak!Y219*'Peak Hours'!$Y218)</f>
        <v>0</v>
      </c>
      <c r="T218" s="417" t="n">
        <f aca="false">IF($A$1="BL",0,'Peak Hours'!T218*Peak!Z219*'Peak Hours'!$Y218)</f>
        <v>0</v>
      </c>
      <c r="U218" s="417" t="n">
        <f aca="false">IF($A$1="BL",0,'Peak Hours'!U218*Peak!AA219*'Peak Hours'!$Y218)</f>
        <v>0</v>
      </c>
      <c r="V218" s="424"/>
      <c r="W218" s="422" t="n">
        <f aca="false">(IF($A$1="BL",0,Peak!C219*'Peak Hours'!V218*'Peak Hours'!$Y218))*-1</f>
        <v>-4902019.36394272</v>
      </c>
      <c r="X218" s="424"/>
      <c r="Y218" s="422" t="n">
        <f aca="false">(IF($A$1="bl",0,Peak!D219*'Peak Hours'!V218*'Peak Hours'!$Y218))*-1</f>
        <v>-79944.4219936869</v>
      </c>
      <c r="Z218" s="424"/>
      <c r="AA218" s="422" t="n">
        <f aca="false">(Peak!E219*'Peak Hours'!V218*'Peak Hours'!$Y218)*-1</f>
        <v>-0</v>
      </c>
      <c r="AB218" s="425"/>
      <c r="AC218" s="422" t="n">
        <f aca="false">(Peak!F219*'Peak Hours'!V218*'Peak Hours'!$Y218)*-1</f>
        <v>-0</v>
      </c>
      <c r="AD218" s="425"/>
    </row>
    <row r="219" customFormat="false" ht="12.75" hidden="false" customHeight="false" outlineLevel="0" collapsed="false">
      <c r="A219" s="400" t="n">
        <f aca="false">A218+30.417</f>
        <v>42897.153</v>
      </c>
      <c r="B219" s="417" t="n">
        <f aca="false">IF($A$1="BL",0,'Peak Hours'!B219*Peak!H220*'Peak Hours'!$Y219)</f>
        <v>525263.968007432</v>
      </c>
      <c r="C219" s="417" t="n">
        <f aca="false">IF($A$1="BL",0,'Peak Hours'!C219*Peak!I220*'Peak Hours'!$Y219)</f>
        <v>505772.650768825</v>
      </c>
      <c r="D219" s="417" t="n">
        <f aca="false">IF($A$1="BL",0,'Peak Hours'!D219*Peak!J220*'Peak Hours'!$Y219)</f>
        <v>691121.813760928</v>
      </c>
      <c r="E219" s="417" t="n">
        <f aca="false">IF($A$1="BL",0,'Peak Hours'!E219*Peak!K220*'Peak Hours'!$Y219)</f>
        <v>1090806.73388784</v>
      </c>
      <c r="F219" s="417" t="n">
        <f aca="false">IF($A$1="BL",0,'Peak Hours'!F219*Peak!L220*'Peak Hours'!$Y219)</f>
        <v>1056833.86663008</v>
      </c>
      <c r="G219" s="417" t="n">
        <f aca="false">IF($A$1="BL",0,'Peak Hours'!G219*Peak!M220*'Peak Hours'!$Y219)</f>
        <v>1980652.41180107</v>
      </c>
      <c r="H219" s="417" t="n">
        <f aca="false">IF($A$1="BL",0,'Peak Hours'!H219*Peak!N220*'Peak Hours'!$Y219)</f>
        <v>1910494.16675927</v>
      </c>
      <c r="I219" s="417" t="n">
        <f aca="false">IF($A$1="BL",0,'Peak Hours'!I219*Peak!O220*'Peak Hours'!$Y219)</f>
        <v>1760318.50509889</v>
      </c>
      <c r="J219" s="417" t="n">
        <f aca="false">IF($A$1="BL",0,'Peak Hours'!J219*Peak!P220*'Peak Hours'!$Y219)</f>
        <v>1609163.73323897</v>
      </c>
      <c r="K219" s="417" t="n">
        <f aca="false">IF($A$1="BL",0,'Peak Hours'!K219*Peak!Q220*'Peak Hours'!$Y219)</f>
        <v>1506858.05052076</v>
      </c>
      <c r="L219" s="417" t="n">
        <f aca="false">IF($A$1="BL",0,'Peak Hours'!L219*Peak!R220*'Peak Hours'!$Y219)</f>
        <v>1391965.97593247</v>
      </c>
      <c r="M219" s="417" t="n">
        <f aca="false">IF($A$1="BL",0,'Peak Hours'!M219*Peak!S220*'Peak Hours'!$Y219)</f>
        <v>0</v>
      </c>
      <c r="N219" s="417" t="n">
        <f aca="false">IF($A$1="BL",0,'Peak Hours'!N219*Peak!T220*'Peak Hours'!$Y219)</f>
        <v>0</v>
      </c>
      <c r="O219" s="417" t="n">
        <f aca="false">IF($A$1="BL",0,'Peak Hours'!O219*Peak!U220*'Peak Hours'!$Y219)</f>
        <v>0</v>
      </c>
      <c r="P219" s="417" t="n">
        <f aca="false">IF($A$1="BL",0,'Peak Hours'!P219*Peak!V220*'Peak Hours'!$Y219)</f>
        <v>0</v>
      </c>
      <c r="Q219" s="417" t="n">
        <f aca="false">IF($A$1="BL",0,'Peak Hours'!Q219*Peak!W220*'Peak Hours'!$Y219)</f>
        <v>0</v>
      </c>
      <c r="R219" s="417" t="n">
        <f aca="false">IF($A$1="BL",0,'Peak Hours'!R219*Peak!X220*'Peak Hours'!$Y219)</f>
        <v>0</v>
      </c>
      <c r="S219" s="417" t="n">
        <f aca="false">IF($A$1="BL",0,'Peak Hours'!S219*Peak!Y220*'Peak Hours'!$Y219)</f>
        <v>0</v>
      </c>
      <c r="T219" s="417" t="n">
        <f aca="false">IF($A$1="BL",0,'Peak Hours'!T219*Peak!Z220*'Peak Hours'!$Y219)</f>
        <v>0</v>
      </c>
      <c r="U219" s="417" t="n">
        <f aca="false">IF($A$1="BL",0,'Peak Hours'!U219*Peak!AA220*'Peak Hours'!$Y219)</f>
        <v>0</v>
      </c>
      <c r="V219" s="424"/>
      <c r="W219" s="422" t="n">
        <f aca="false">(IF($A$1="BL",0,Peak!C220*'Peak Hours'!V219*'Peak Hours'!$Y219))*-1</f>
        <v>-10177979.6088893</v>
      </c>
      <c r="X219" s="424"/>
      <c r="Y219" s="422" t="n">
        <f aca="false">(IF($A$1="bl",0,Peak!D220*'Peak Hours'!V219*'Peak Hours'!$Y219))*-1</f>
        <v>-174506.933048194</v>
      </c>
      <c r="Z219" s="424"/>
      <c r="AA219" s="422" t="n">
        <f aca="false">(Peak!E220*'Peak Hours'!V219*'Peak Hours'!$Y219)*-1</f>
        <v>-0</v>
      </c>
      <c r="AB219" s="425"/>
      <c r="AC219" s="422" t="n">
        <f aca="false">(Peak!F220*'Peak Hours'!V219*'Peak Hours'!$Y219)*-1</f>
        <v>-0</v>
      </c>
      <c r="AD219" s="425"/>
    </row>
    <row r="220" customFormat="false" ht="12.75" hidden="false" customHeight="false" outlineLevel="0" collapsed="false">
      <c r="A220" s="400" t="n">
        <f aca="false">A219+30.417</f>
        <v>42927.57</v>
      </c>
      <c r="B220" s="417" t="n">
        <f aca="false">IF($A$1="BL",0,'Peak Hours'!B220*Peak!H221*'Peak Hours'!$Y220)</f>
        <v>1032590.04439851</v>
      </c>
      <c r="C220" s="417" t="n">
        <f aca="false">IF($A$1="BL",0,'Peak Hours'!C220*Peak!I221*'Peak Hours'!$Y220)</f>
        <v>776985.507895136</v>
      </c>
      <c r="D220" s="417" t="n">
        <f aca="false">IF($A$1="BL",0,'Peak Hours'!D220*Peak!J221*'Peak Hours'!$Y220)</f>
        <v>1398191.92222906</v>
      </c>
      <c r="E220" s="417" t="n">
        <f aca="false">IF($A$1="BL",0,'Peak Hours'!E220*Peak!K221*'Peak Hours'!$Y220)</f>
        <v>2572875.72549662</v>
      </c>
      <c r="F220" s="417" t="n">
        <f aca="false">IF($A$1="BL",0,'Peak Hours'!F220*Peak!L221*'Peak Hours'!$Y220)</f>
        <v>2381906.08277556</v>
      </c>
      <c r="G220" s="417" t="n">
        <f aca="false">IF($A$1="BL",0,'Peak Hours'!G220*Peak!M221*'Peak Hours'!$Y220)</f>
        <v>4386583.25152134</v>
      </c>
      <c r="H220" s="417" t="n">
        <f aca="false">IF($A$1="BL",0,'Peak Hours'!H220*Peak!N221*'Peak Hours'!$Y220)</f>
        <v>4073514.42394212</v>
      </c>
      <c r="I220" s="417" t="n">
        <f aca="false">IF($A$1="BL",0,'Peak Hours'!I220*Peak!O221*'Peak Hours'!$Y220)</f>
        <v>2073823.66614723</v>
      </c>
      <c r="J220" s="417" t="n">
        <f aca="false">IF($A$1="BL",0,'Peak Hours'!J220*Peak!P221*'Peak Hours'!$Y220)</f>
        <v>0</v>
      </c>
      <c r="K220" s="417" t="n">
        <f aca="false">IF($A$1="BL",0,'Peak Hours'!K220*Peak!Q221*'Peak Hours'!$Y220)</f>
        <v>0</v>
      </c>
      <c r="L220" s="417" t="n">
        <f aca="false">IF($A$1="BL",0,'Peak Hours'!L220*Peak!R221*'Peak Hours'!$Y220)</f>
        <v>0</v>
      </c>
      <c r="M220" s="417" t="n">
        <f aca="false">IF($A$1="BL",0,'Peak Hours'!M220*Peak!S221*'Peak Hours'!$Y220)</f>
        <v>0</v>
      </c>
      <c r="N220" s="417" t="n">
        <f aca="false">IF($A$1="BL",0,'Peak Hours'!N220*Peak!T221*'Peak Hours'!$Y220)</f>
        <v>0</v>
      </c>
      <c r="O220" s="417" t="n">
        <f aca="false">IF($A$1="BL",0,'Peak Hours'!O220*Peak!U221*'Peak Hours'!$Y220)</f>
        <v>0</v>
      </c>
      <c r="P220" s="417" t="n">
        <f aca="false">IF($A$1="BL",0,'Peak Hours'!P220*Peak!V221*'Peak Hours'!$Y220)</f>
        <v>0</v>
      </c>
      <c r="Q220" s="417" t="n">
        <f aca="false">IF($A$1="BL",0,'Peak Hours'!Q220*Peak!W221*'Peak Hours'!$Y220)</f>
        <v>0</v>
      </c>
      <c r="R220" s="417" t="n">
        <f aca="false">IF($A$1="BL",0,'Peak Hours'!R220*Peak!X221*'Peak Hours'!$Y220)</f>
        <v>0</v>
      </c>
      <c r="S220" s="417" t="n">
        <f aca="false">IF($A$1="BL",0,'Peak Hours'!S220*Peak!Y221*'Peak Hours'!$Y220)</f>
        <v>0</v>
      </c>
      <c r="T220" s="417" t="n">
        <f aca="false">IF($A$1="BL",0,'Peak Hours'!T220*Peak!Z221*'Peak Hours'!$Y220)</f>
        <v>0</v>
      </c>
      <c r="U220" s="417" t="n">
        <f aca="false">IF($A$1="BL",0,'Peak Hours'!U220*Peak!AA221*'Peak Hours'!$Y220)</f>
        <v>0</v>
      </c>
      <c r="V220" s="424"/>
      <c r="W220" s="422" t="n">
        <f aca="false">(IF($A$1="BL",0,Peak!C221*'Peak Hours'!V220*'Peak Hours'!$Y220))*-1</f>
        <v>-6087462.48759518</v>
      </c>
      <c r="X220" s="424"/>
      <c r="Y220" s="422" t="n">
        <f aca="false">(IF($A$1="bl",0,Peak!D221*'Peak Hours'!V220*'Peak Hours'!$Y220))*-1</f>
        <v>-104878.666761965</v>
      </c>
      <c r="Z220" s="424"/>
      <c r="AA220" s="422" t="n">
        <f aca="false">(Peak!E221*'Peak Hours'!V220*'Peak Hours'!$Y220)*-1</f>
        <v>-0</v>
      </c>
      <c r="AB220" s="425"/>
      <c r="AC220" s="422" t="n">
        <f aca="false">(Peak!F221*'Peak Hours'!V220*'Peak Hours'!$Y220)*-1</f>
        <v>-0</v>
      </c>
      <c r="AD220" s="425"/>
    </row>
    <row r="221" customFormat="false" ht="12.75" hidden="false" customHeight="false" outlineLevel="0" collapsed="false">
      <c r="A221" s="400" t="n">
        <f aca="false">A220+30.417</f>
        <v>42957.987</v>
      </c>
      <c r="B221" s="417" t="n">
        <f aca="false">IF($A$1="BL",0,'Peak Hours'!B221*Peak!H222*'Peak Hours'!$Y221)</f>
        <v>1277728.83654446</v>
      </c>
      <c r="C221" s="417" t="n">
        <f aca="false">IF($A$1="BL",0,'Peak Hours'!C221*Peak!I222*'Peak Hours'!$Y221)</f>
        <v>906799.771489618</v>
      </c>
      <c r="D221" s="417" t="n">
        <f aca="false">IF($A$1="BL",0,'Peak Hours'!D221*Peak!J222*'Peak Hours'!$Y221)</f>
        <v>1448241.66306488</v>
      </c>
      <c r="E221" s="417" t="n">
        <f aca="false">IF($A$1="BL",0,'Peak Hours'!E221*Peak!K222*'Peak Hours'!$Y221)</f>
        <v>2619375.71574576</v>
      </c>
      <c r="F221" s="417" t="n">
        <f aca="false">IF($A$1="BL",0,'Peak Hours'!F221*Peak!L222*'Peak Hours'!$Y221)</f>
        <v>2390592.10214691</v>
      </c>
      <c r="G221" s="417" t="n">
        <f aca="false">IF($A$1="BL",0,'Peak Hours'!G221*Peak!M222*'Peak Hours'!$Y221)</f>
        <v>4322092.91200007</v>
      </c>
      <c r="H221" s="417" t="n">
        <f aca="false">IF($A$1="BL",0,'Peak Hours'!H221*Peak!N222*'Peak Hours'!$Y221)</f>
        <v>3500740.43077795</v>
      </c>
      <c r="I221" s="417" t="n">
        <f aca="false">IF($A$1="BL",0,'Peak Hours'!I221*Peak!O222*'Peak Hours'!$Y221)</f>
        <v>2132258.22627903</v>
      </c>
      <c r="J221" s="417" t="n">
        <f aca="false">IF($A$1="BL",0,'Peak Hours'!J221*Peak!P222*'Peak Hours'!$Y221)</f>
        <v>1977766.15284468</v>
      </c>
      <c r="K221" s="417" t="n">
        <f aca="false">IF($A$1="BL",0,'Peak Hours'!K221*Peak!Q222*'Peak Hours'!$Y221)</f>
        <v>1483874.50728712</v>
      </c>
      <c r="L221" s="417" t="n">
        <f aca="false">IF($A$1="BL",0,'Peak Hours'!L221*Peak!R222*'Peak Hours'!$Y221)</f>
        <v>0</v>
      </c>
      <c r="M221" s="417" t="n">
        <f aca="false">IF($A$1="BL",0,'Peak Hours'!M221*Peak!S222*'Peak Hours'!$Y221)</f>
        <v>0</v>
      </c>
      <c r="N221" s="417" t="n">
        <f aca="false">IF($A$1="BL",0,'Peak Hours'!N221*Peak!T222*'Peak Hours'!$Y221)</f>
        <v>0</v>
      </c>
      <c r="O221" s="417" t="n">
        <f aca="false">IF($A$1="BL",0,'Peak Hours'!O221*Peak!U222*'Peak Hours'!$Y221)</f>
        <v>0</v>
      </c>
      <c r="P221" s="417" t="n">
        <f aca="false">IF($A$1="BL",0,'Peak Hours'!P221*Peak!V222*'Peak Hours'!$Y221)</f>
        <v>0</v>
      </c>
      <c r="Q221" s="417" t="n">
        <f aca="false">IF($A$1="BL",0,'Peak Hours'!Q221*Peak!W222*'Peak Hours'!$Y221)</f>
        <v>0</v>
      </c>
      <c r="R221" s="417" t="n">
        <f aca="false">IF($A$1="BL",0,'Peak Hours'!R221*Peak!X222*'Peak Hours'!$Y221)</f>
        <v>0</v>
      </c>
      <c r="S221" s="417" t="n">
        <f aca="false">IF($A$1="BL",0,'Peak Hours'!S221*Peak!Y222*'Peak Hours'!$Y221)</f>
        <v>0</v>
      </c>
      <c r="T221" s="417" t="n">
        <f aca="false">IF($A$1="BL",0,'Peak Hours'!T221*Peak!Z222*'Peak Hours'!$Y221)</f>
        <v>0</v>
      </c>
      <c r="U221" s="417" t="n">
        <f aca="false">IF($A$1="BL",0,'Peak Hours'!U221*Peak!AA222*'Peak Hours'!$Y221)</f>
        <v>0</v>
      </c>
      <c r="V221" s="424"/>
      <c r="W221" s="422" t="n">
        <f aca="false">(IF($A$1="BL",0,Peak!C222*'Peak Hours'!V221*'Peak Hours'!$Y221))*-1</f>
        <v>-8337067.96655011</v>
      </c>
      <c r="X221" s="424"/>
      <c r="Y221" s="422" t="n">
        <f aca="false">(IF($A$1="bl",0,Peak!D222*'Peak Hours'!V221*'Peak Hours'!$Y221))*-1</f>
        <v>-151743.893224302</v>
      </c>
      <c r="Z221" s="424"/>
      <c r="AA221" s="422" t="n">
        <f aca="false">(Peak!E222*'Peak Hours'!V221*'Peak Hours'!$Y221)*-1</f>
        <v>-0</v>
      </c>
      <c r="AB221" s="425"/>
      <c r="AC221" s="422" t="n">
        <f aca="false">(Peak!F222*'Peak Hours'!V221*'Peak Hours'!$Y221)*-1</f>
        <v>-0</v>
      </c>
      <c r="AD221" s="425"/>
    </row>
    <row r="222" customFormat="false" ht="12.75" hidden="false" customHeight="false" outlineLevel="0" collapsed="false">
      <c r="A222" s="400" t="n">
        <f aca="false">A221+30.417</f>
        <v>42988.404</v>
      </c>
      <c r="B222" s="417" t="n">
        <f aca="false">IF($A$1="BL",0,'Peak Hours'!B222*Peak!H223*'Peak Hours'!$Y222)</f>
        <v>607536.292690302</v>
      </c>
      <c r="C222" s="417" t="n">
        <f aca="false">IF($A$1="BL",0,'Peak Hours'!C222*Peak!I223*'Peak Hours'!$Y222)</f>
        <v>570714.801051684</v>
      </c>
      <c r="D222" s="417" t="n">
        <f aca="false">IF($A$1="BL",0,'Peak Hours'!D222*Peak!J223*'Peak Hours'!$Y222)</f>
        <v>1076256.95084658</v>
      </c>
      <c r="E222" s="417" t="n">
        <f aca="false">IF($A$1="BL",0,'Peak Hours'!E222*Peak!K223*'Peak Hours'!$Y222)</f>
        <v>2018048.33476281</v>
      </c>
      <c r="F222" s="417" t="n">
        <f aca="false">IF($A$1="BL",0,'Peak Hours'!F222*Peak!L223*'Peak Hours'!$Y222)</f>
        <v>1512665.65259773</v>
      </c>
      <c r="G222" s="417" t="n">
        <f aca="false">IF($A$1="BL",0,'Peak Hours'!G222*Peak!M223*'Peak Hours'!$Y222)</f>
        <v>2178615.36003668</v>
      </c>
      <c r="H222" s="417" t="n">
        <f aca="false">IF($A$1="BL",0,'Peak Hours'!H222*Peak!N223*'Peak Hours'!$Y222)</f>
        <v>2043689.84139166</v>
      </c>
      <c r="I222" s="417" t="n">
        <f aca="false">IF($A$1="BL",0,'Peak Hours'!I222*Peak!O223*'Peak Hours'!$Y222)</f>
        <v>1461948.17053436</v>
      </c>
      <c r="J222" s="417" t="n">
        <f aca="false">IF($A$1="BL",0,'Peak Hours'!J222*Peak!P223*'Peak Hours'!$Y222)</f>
        <v>0</v>
      </c>
      <c r="K222" s="417" t="n">
        <f aca="false">IF($A$1="BL",0,'Peak Hours'!K222*Peak!Q223*'Peak Hours'!$Y222)</f>
        <v>0</v>
      </c>
      <c r="L222" s="417" t="n">
        <f aca="false">IF($A$1="BL",0,'Peak Hours'!L222*Peak!R223*'Peak Hours'!$Y222)</f>
        <v>0</v>
      </c>
      <c r="M222" s="417" t="n">
        <f aca="false">IF($A$1="BL",0,'Peak Hours'!M222*Peak!S223*'Peak Hours'!$Y222)</f>
        <v>0</v>
      </c>
      <c r="N222" s="417" t="n">
        <f aca="false">IF($A$1="BL",0,'Peak Hours'!N222*Peak!T223*'Peak Hours'!$Y222)</f>
        <v>0</v>
      </c>
      <c r="O222" s="417" t="n">
        <f aca="false">IF($A$1="BL",0,'Peak Hours'!O222*Peak!U223*'Peak Hours'!$Y222)</f>
        <v>0</v>
      </c>
      <c r="P222" s="417" t="n">
        <f aca="false">IF($A$1="BL",0,'Peak Hours'!P222*Peak!V223*'Peak Hours'!$Y222)</f>
        <v>0</v>
      </c>
      <c r="Q222" s="417" t="n">
        <f aca="false">IF($A$1="BL",0,'Peak Hours'!Q222*Peak!W223*'Peak Hours'!$Y222)</f>
        <v>0</v>
      </c>
      <c r="R222" s="417" t="n">
        <f aca="false">IF($A$1="BL",0,'Peak Hours'!R222*Peak!X223*'Peak Hours'!$Y222)</f>
        <v>0</v>
      </c>
      <c r="S222" s="417" t="n">
        <f aca="false">IF($A$1="BL",0,'Peak Hours'!S222*Peak!Y223*'Peak Hours'!$Y222)</f>
        <v>0</v>
      </c>
      <c r="T222" s="417" t="n">
        <f aca="false">IF($A$1="BL",0,'Peak Hours'!T222*Peak!Z223*'Peak Hours'!$Y222)</f>
        <v>0</v>
      </c>
      <c r="U222" s="417" t="n">
        <f aca="false">IF($A$1="BL",0,'Peak Hours'!U222*Peak!AA223*'Peak Hours'!$Y222)</f>
        <v>0</v>
      </c>
      <c r="V222" s="424"/>
      <c r="W222" s="422" t="n">
        <f aca="false">(IF($A$1="BL",0,Peak!C223*'Peak Hours'!V222*'Peak Hours'!$Y222))*-1</f>
        <v>-5656501.02340383</v>
      </c>
      <c r="X222" s="424"/>
      <c r="Y222" s="422" t="n">
        <f aca="false">(IF($A$1="bl",0,Peak!D223*'Peak Hours'!V222*'Peak Hours'!$Y222))*-1</f>
        <v>-103472.638322246</v>
      </c>
      <c r="Z222" s="424"/>
      <c r="AA222" s="422" t="n">
        <f aca="false">(Peak!E223*'Peak Hours'!V222*'Peak Hours'!$Y222)*-1</f>
        <v>-0</v>
      </c>
      <c r="AB222" s="425"/>
      <c r="AC222" s="422" t="n">
        <f aca="false">(Peak!F223*'Peak Hours'!V222*'Peak Hours'!$Y222)*-1</f>
        <v>-0</v>
      </c>
      <c r="AD222" s="425"/>
    </row>
    <row r="223" customFormat="false" ht="12.75" hidden="false" customHeight="false" outlineLevel="0" collapsed="false">
      <c r="A223" s="400" t="n">
        <f aca="false">A222+30.417</f>
        <v>43018.821</v>
      </c>
      <c r="B223" s="417" t="n">
        <f aca="false">IF($A$1="BL",0,'Peak Hours'!B223*Peak!H224*'Peak Hours'!$Y223)</f>
        <v>363172.366446486</v>
      </c>
      <c r="C223" s="417" t="n">
        <f aca="false">IF($A$1="BL",0,'Peak Hours'!C223*Peak!I224*'Peak Hours'!$Y223)</f>
        <v>290106.072776642</v>
      </c>
      <c r="D223" s="417" t="n">
        <f aca="false">IF($A$1="BL",0,'Peak Hours'!D223*Peak!J224*'Peak Hours'!$Y223)</f>
        <v>540232.254232099</v>
      </c>
      <c r="E223" s="417" t="n">
        <f aca="false">IF($A$1="BL",0,'Peak Hours'!E223*Peak!K224*'Peak Hours'!$Y223)</f>
        <v>1010479.58463781</v>
      </c>
      <c r="F223" s="417" t="n">
        <f aca="false">IF($A$1="BL",0,'Peak Hours'!F223*Peak!L224*'Peak Hours'!$Y223)</f>
        <v>950258.423833077</v>
      </c>
      <c r="G223" s="417" t="n">
        <f aca="false">IF($A$1="BL",0,'Peak Hours'!G223*Peak!M224*'Peak Hours'!$Y223)</f>
        <v>1807450.36401651</v>
      </c>
      <c r="H223" s="417" t="n">
        <f aca="false">IF($A$1="BL",0,'Peak Hours'!H223*Peak!N224*'Peak Hours'!$Y223)</f>
        <v>1794834.97074634</v>
      </c>
      <c r="I223" s="417" t="n">
        <f aca="false">IF($A$1="BL",0,'Peak Hours'!I223*Peak!O224*'Peak Hours'!$Y223)</f>
        <v>1644183.62780168</v>
      </c>
      <c r="J223" s="417" t="n">
        <f aca="false">IF($A$1="BL",0,'Peak Hours'!J223*Peak!P224*'Peak Hours'!$Y223)</f>
        <v>1457793.306665</v>
      </c>
      <c r="K223" s="417" t="n">
        <f aca="false">IF($A$1="BL",0,'Peak Hours'!K223*Peak!Q224*'Peak Hours'!$Y223)</f>
        <v>0</v>
      </c>
      <c r="L223" s="417" t="n">
        <f aca="false">IF($A$1="BL",0,'Peak Hours'!L223*Peak!R224*'Peak Hours'!$Y223)</f>
        <v>0</v>
      </c>
      <c r="M223" s="417" t="n">
        <f aca="false">IF($A$1="BL",0,'Peak Hours'!M223*Peak!S224*'Peak Hours'!$Y223)</f>
        <v>0</v>
      </c>
      <c r="N223" s="417" t="n">
        <f aca="false">IF($A$1="BL",0,'Peak Hours'!N223*Peak!T224*'Peak Hours'!$Y223)</f>
        <v>0</v>
      </c>
      <c r="O223" s="417" t="n">
        <f aca="false">IF($A$1="BL",0,'Peak Hours'!O223*Peak!U224*'Peak Hours'!$Y223)</f>
        <v>0</v>
      </c>
      <c r="P223" s="417" t="n">
        <f aca="false">IF($A$1="BL",0,'Peak Hours'!P223*Peak!V224*'Peak Hours'!$Y223)</f>
        <v>0</v>
      </c>
      <c r="Q223" s="417" t="n">
        <f aca="false">IF($A$1="BL",0,'Peak Hours'!Q223*Peak!W224*'Peak Hours'!$Y223)</f>
        <v>0</v>
      </c>
      <c r="R223" s="417" t="n">
        <f aca="false">IF($A$1="BL",0,'Peak Hours'!R223*Peak!X224*'Peak Hours'!$Y223)</f>
        <v>0</v>
      </c>
      <c r="S223" s="417" t="n">
        <f aca="false">IF($A$1="BL",0,'Peak Hours'!S223*Peak!Y224*'Peak Hours'!$Y223)</f>
        <v>0</v>
      </c>
      <c r="T223" s="417" t="n">
        <f aca="false">IF($A$1="BL",0,'Peak Hours'!T223*Peak!Z224*'Peak Hours'!$Y223)</f>
        <v>0</v>
      </c>
      <c r="U223" s="417" t="n">
        <f aca="false">IF($A$1="BL",0,'Peak Hours'!U223*Peak!AA224*'Peak Hours'!$Y223)</f>
        <v>0</v>
      </c>
      <c r="V223" s="424"/>
      <c r="W223" s="422" t="n">
        <f aca="false">(IF($A$1="BL",0,Peak!C224*'Peak Hours'!V223*'Peak Hours'!$Y223))*-1</f>
        <v>-7656721.98999754</v>
      </c>
      <c r="X223" s="424"/>
      <c r="Y223" s="422" t="n">
        <f aca="false">(IF($A$1="bl",0,Peak!D224*'Peak Hours'!V223*'Peak Hours'!$Y223))*-1</f>
        <v>-126677.335545994</v>
      </c>
      <c r="Z223" s="424"/>
      <c r="AA223" s="422" t="n">
        <f aca="false">(Peak!E224*'Peak Hours'!V223*'Peak Hours'!$Y223)*-1</f>
        <v>-0</v>
      </c>
      <c r="AB223" s="425"/>
      <c r="AC223" s="422" t="n">
        <f aca="false">(Peak!F224*'Peak Hours'!V223*'Peak Hours'!$Y223)*-1</f>
        <v>-0</v>
      </c>
      <c r="AD223" s="425"/>
    </row>
    <row r="224" customFormat="false" ht="12.75" hidden="false" customHeight="false" outlineLevel="0" collapsed="false">
      <c r="A224" s="400" t="n">
        <f aca="false">A223+30.417</f>
        <v>43049.238</v>
      </c>
      <c r="B224" s="417" t="n">
        <f aca="false">IF($A$1="BL",0,'Peak Hours'!B224*Peak!H225*'Peak Hours'!$Y224)</f>
        <v>512640.464985468</v>
      </c>
      <c r="C224" s="417" t="n">
        <f aca="false">IF($A$1="BL",0,'Peak Hours'!C224*Peak!I225*'Peak Hours'!$Y224)</f>
        <v>501260.931453315</v>
      </c>
      <c r="D224" s="417" t="n">
        <f aca="false">IF($A$1="BL",0,'Peak Hours'!D224*Peak!J225*'Peak Hours'!$Y224)</f>
        <v>945037.432073943</v>
      </c>
      <c r="E224" s="417" t="n">
        <f aca="false">IF($A$1="BL",0,'Peak Hours'!E224*Peak!K225*'Peak Hours'!$Y224)</f>
        <v>1276394.41830176</v>
      </c>
      <c r="F224" s="417" t="n">
        <f aca="false">IF($A$1="BL",0,'Peak Hours'!F224*Peak!L225*'Peak Hours'!$Y224)</f>
        <v>1161055.62520645</v>
      </c>
      <c r="G224" s="417" t="n">
        <f aca="false">IF($A$1="BL",0,'Peak Hours'!G224*Peak!M225*'Peak Hours'!$Y224)</f>
        <v>2218134.14981875</v>
      </c>
      <c r="H224" s="417" t="n">
        <f aca="false">IF($A$1="BL",0,'Peak Hours'!H224*Peak!N225*'Peak Hours'!$Y224)</f>
        <v>2098643.18715868</v>
      </c>
      <c r="I224" s="417" t="n">
        <f aca="false">IF($A$1="BL",0,'Peak Hours'!I224*Peak!O225*'Peak Hours'!$Y224)</f>
        <v>1611047.4824771</v>
      </c>
      <c r="J224" s="417" t="n">
        <f aca="false">IF($A$1="BL",0,'Peak Hours'!J224*Peak!P225*'Peak Hours'!$Y224)</f>
        <v>0</v>
      </c>
      <c r="K224" s="417" t="n">
        <f aca="false">IF($A$1="BL",0,'Peak Hours'!K224*Peak!Q225*'Peak Hours'!$Y224)</f>
        <v>0</v>
      </c>
      <c r="L224" s="417" t="n">
        <f aca="false">IF($A$1="BL",0,'Peak Hours'!L224*Peak!R225*'Peak Hours'!$Y224)</f>
        <v>0</v>
      </c>
      <c r="M224" s="417" t="n">
        <f aca="false">IF($A$1="BL",0,'Peak Hours'!M224*Peak!S225*'Peak Hours'!$Y224)</f>
        <v>0</v>
      </c>
      <c r="N224" s="417" t="n">
        <f aca="false">IF($A$1="BL",0,'Peak Hours'!N224*Peak!T225*'Peak Hours'!$Y224)</f>
        <v>0</v>
      </c>
      <c r="O224" s="417" t="n">
        <f aca="false">IF($A$1="BL",0,'Peak Hours'!O224*Peak!U225*'Peak Hours'!$Y224)</f>
        <v>0</v>
      </c>
      <c r="P224" s="417" t="n">
        <f aca="false">IF($A$1="BL",0,'Peak Hours'!P224*Peak!V225*'Peak Hours'!$Y224)</f>
        <v>0</v>
      </c>
      <c r="Q224" s="417" t="n">
        <f aca="false">IF($A$1="BL",0,'Peak Hours'!Q224*Peak!W225*'Peak Hours'!$Y224)</f>
        <v>0</v>
      </c>
      <c r="R224" s="417" t="n">
        <f aca="false">IF($A$1="BL",0,'Peak Hours'!R224*Peak!X225*'Peak Hours'!$Y224)</f>
        <v>0</v>
      </c>
      <c r="S224" s="417" t="n">
        <f aca="false">IF($A$1="BL",0,'Peak Hours'!S224*Peak!Y225*'Peak Hours'!$Y224)</f>
        <v>0</v>
      </c>
      <c r="T224" s="417" t="n">
        <f aca="false">IF($A$1="BL",0,'Peak Hours'!T224*Peak!Z225*'Peak Hours'!$Y224)</f>
        <v>0</v>
      </c>
      <c r="U224" s="417" t="n">
        <f aca="false">IF($A$1="BL",0,'Peak Hours'!U224*Peak!AA225*'Peak Hours'!$Y224)</f>
        <v>0</v>
      </c>
      <c r="V224" s="424"/>
      <c r="W224" s="422" t="n">
        <f aca="false">(IF($A$1="BL",0,Peak!C225*'Peak Hours'!V224*'Peak Hours'!$Y224))*-1</f>
        <v>-6860011.8794472</v>
      </c>
      <c r="X224" s="424"/>
      <c r="Y224" s="422" t="n">
        <f aca="false">(IF($A$1="bl",0,Peak!D225*'Peak Hours'!V224*'Peak Hours'!$Y224))*-1</f>
        <v>-103817.834540649</v>
      </c>
      <c r="Z224" s="424"/>
      <c r="AA224" s="422" t="n">
        <f aca="false">(Peak!E225*'Peak Hours'!V224*'Peak Hours'!$Y224)*-1</f>
        <v>-0</v>
      </c>
      <c r="AB224" s="425"/>
      <c r="AC224" s="422" t="n">
        <f aca="false">(Peak!F225*'Peak Hours'!V224*'Peak Hours'!$Y224)*-1</f>
        <v>-0</v>
      </c>
      <c r="AD224" s="425"/>
    </row>
    <row r="225" customFormat="false" ht="12.75" hidden="false" customHeight="false" outlineLevel="0" collapsed="false">
      <c r="A225" s="400" t="n">
        <f aca="false">A224+30.417</f>
        <v>43079.655</v>
      </c>
      <c r="B225" s="417" t="n">
        <f aca="false">IF($A$1="BL",0,'Peak Hours'!B225*Peak!H226*'Peak Hours'!$Y225)</f>
        <v>335612.362915228</v>
      </c>
      <c r="C225" s="417" t="n">
        <f aca="false">IF($A$1="BL",0,'Peak Hours'!C225*Peak!I226*'Peak Hours'!$Y225)</f>
        <v>335000.558470745</v>
      </c>
      <c r="D225" s="417" t="n">
        <f aca="false">IF($A$1="BL",0,'Peak Hours'!D225*Peak!J226*'Peak Hours'!$Y225)</f>
        <v>604625.304068228</v>
      </c>
      <c r="E225" s="417" t="n">
        <f aca="false">IF($A$1="BL",0,'Peak Hours'!E225*Peak!K226*'Peak Hours'!$Y225)</f>
        <v>1041131.66733355</v>
      </c>
      <c r="F225" s="417" t="n">
        <f aca="false">IF($A$1="BL",0,'Peak Hours'!F225*Peak!L226*'Peak Hours'!$Y225)</f>
        <v>1010895.08890311</v>
      </c>
      <c r="G225" s="417" t="n">
        <f aca="false">IF($A$1="BL",0,'Peak Hours'!G225*Peak!M226*'Peak Hours'!$Y225)</f>
        <v>1969022.53490835</v>
      </c>
      <c r="H225" s="417" t="n">
        <f aca="false">IF($A$1="BL",0,'Peak Hours'!H225*Peak!N226*'Peak Hours'!$Y225)</f>
        <v>1938433.72640269</v>
      </c>
      <c r="I225" s="417" t="n">
        <f aca="false">IF($A$1="BL",0,'Peak Hours'!I225*Peak!O226*'Peak Hours'!$Y225)</f>
        <v>1918197.95862984</v>
      </c>
      <c r="J225" s="417" t="n">
        <f aca="false">IF($A$1="BL",0,'Peak Hours'!J225*Peak!P226*'Peak Hours'!$Y225)</f>
        <v>1908314.26306598</v>
      </c>
      <c r="K225" s="417" t="n">
        <f aca="false">IF($A$1="BL",0,'Peak Hours'!K225*Peak!Q226*'Peak Hours'!$Y225)</f>
        <v>1888900.37354672</v>
      </c>
      <c r="L225" s="417" t="n">
        <f aca="false">IF($A$1="BL",0,'Peak Hours'!L225*Peak!R226*'Peak Hours'!$Y225)</f>
        <v>1844741.26215077</v>
      </c>
      <c r="M225" s="417" t="n">
        <f aca="false">IF($A$1="BL",0,'Peak Hours'!M225*Peak!S226*'Peak Hours'!$Y225)</f>
        <v>1838124.32816215</v>
      </c>
      <c r="N225" s="417" t="n">
        <f aca="false">IF($A$1="BL",0,'Peak Hours'!N225*Peak!T226*'Peak Hours'!$Y225)</f>
        <v>1826208.99805873</v>
      </c>
      <c r="O225" s="417" t="n">
        <f aca="false">IF($A$1="BL",0,'Peak Hours'!O225*Peak!U226*'Peak Hours'!$Y225)</f>
        <v>1661955.66936664</v>
      </c>
      <c r="P225" s="417" t="n">
        <f aca="false">IF($A$1="BL",0,'Peak Hours'!P225*Peak!V226*'Peak Hours'!$Y225)</f>
        <v>0</v>
      </c>
      <c r="Q225" s="417" t="n">
        <f aca="false">IF($A$1="BL",0,'Peak Hours'!Q225*Peak!W226*'Peak Hours'!$Y225)</f>
        <v>0</v>
      </c>
      <c r="R225" s="417" t="n">
        <f aca="false">IF($A$1="BL",0,'Peak Hours'!R225*Peak!X226*'Peak Hours'!$Y225)</f>
        <v>0</v>
      </c>
      <c r="S225" s="417" t="n">
        <f aca="false">IF($A$1="BL",0,'Peak Hours'!S225*Peak!Y226*'Peak Hours'!$Y225)</f>
        <v>0</v>
      </c>
      <c r="T225" s="417" t="n">
        <f aca="false">IF($A$1="BL",0,'Peak Hours'!T225*Peak!Z226*'Peak Hours'!$Y225)</f>
        <v>0</v>
      </c>
      <c r="U225" s="417" t="n">
        <f aca="false">IF($A$1="BL",0,'Peak Hours'!U225*Peak!AA226*'Peak Hours'!$Y225)</f>
        <v>0</v>
      </c>
      <c r="V225" s="426" t="n">
        <f aca="false">SUM(B214:U225)</f>
        <v>150840898.81053</v>
      </c>
      <c r="W225" s="422" t="n">
        <f aca="false">(IF($A$1="BL",0,Peak!C226*'Peak Hours'!V225*'Peak Hours'!$Y225))*-1</f>
        <v>-16853075.631186</v>
      </c>
      <c r="X225" s="426" t="n">
        <f aca="false">SUM(W214:W225)</f>
        <v>-90504686.1600811</v>
      </c>
      <c r="Y225" s="422" t="n">
        <f aca="false">(IF($A$1="bl",0,Peak!D226*'Peak Hours'!V225*'Peak Hours'!$Y225))*-1</f>
        <v>-236075.182755</v>
      </c>
      <c r="Z225" s="426" t="n">
        <f aca="false">SUM(Y214:Y225)</f>
        <v>-1462251.82167321</v>
      </c>
      <c r="AA225" s="422" t="n">
        <f aca="false">(Peak!E226*'Peak Hours'!V225*'Peak Hours'!$Y225)*-1</f>
        <v>-0</v>
      </c>
      <c r="AB225" s="427" t="n">
        <f aca="false">SUM(AA214:AA225)</f>
        <v>0</v>
      </c>
      <c r="AC225" s="422" t="n">
        <f aca="false">(Peak!F226*'Peak Hours'!V225*'Peak Hours'!$Y225)*-1</f>
        <v>-0</v>
      </c>
      <c r="AD225" s="427" t="n">
        <f aca="false">SUM(AC214:AC225)</f>
        <v>0</v>
      </c>
    </row>
    <row r="226" customFormat="false" ht="12.75" hidden="false" customHeight="false" outlineLevel="0" collapsed="false">
      <c r="A226" s="400" t="n">
        <f aca="false">A225+30.417</f>
        <v>43110.072</v>
      </c>
      <c r="B226" s="417" t="n">
        <f aca="false">IF($A$1="BL",0,'Peak Hours'!B226*Peak!H227*'Peak Hours'!$Y226)</f>
        <v>424711.463528204</v>
      </c>
      <c r="C226" s="417" t="n">
        <f aca="false">IF($A$1="BL",0,'Peak Hours'!C226*Peak!I227*'Peak Hours'!$Y226)</f>
        <v>396028.909198564</v>
      </c>
      <c r="D226" s="417" t="n">
        <f aca="false">IF($A$1="BL",0,'Peak Hours'!D226*Peak!J227*'Peak Hours'!$Y226)</f>
        <v>760208.519999801</v>
      </c>
      <c r="E226" s="417" t="n">
        <f aca="false">IF($A$1="BL",0,'Peak Hours'!E226*Peak!K227*'Peak Hours'!$Y226)</f>
        <v>1420944.43787477</v>
      </c>
      <c r="F226" s="417" t="n">
        <f aca="false">IF($A$1="BL",0,'Peak Hours'!F226*Peak!L227*'Peak Hours'!$Y226)</f>
        <v>1408888.61472494</v>
      </c>
      <c r="G226" s="417" t="n">
        <f aca="false">IF($A$1="BL",0,'Peak Hours'!G226*Peak!M227*'Peak Hours'!$Y226)</f>
        <v>2611969.51218342</v>
      </c>
      <c r="H226" s="417" t="n">
        <f aca="false">IF($A$1="BL",0,'Peak Hours'!H226*Peak!N227*'Peak Hours'!$Y226)</f>
        <v>1928659.75266588</v>
      </c>
      <c r="I226" s="417" t="n">
        <f aca="false">IF($A$1="BL",0,'Peak Hours'!I226*Peak!O227*'Peak Hours'!$Y226)</f>
        <v>0</v>
      </c>
      <c r="J226" s="417" t="n">
        <f aca="false">IF($A$1="BL",0,'Peak Hours'!J226*Peak!P227*'Peak Hours'!$Y226)</f>
        <v>0</v>
      </c>
      <c r="K226" s="417" t="n">
        <f aca="false">IF($A$1="BL",0,'Peak Hours'!K226*Peak!Q227*'Peak Hours'!$Y226)</f>
        <v>0</v>
      </c>
      <c r="L226" s="417" t="n">
        <f aca="false">IF($A$1="BL",0,'Peak Hours'!L226*Peak!R227*'Peak Hours'!$Y226)</f>
        <v>0</v>
      </c>
      <c r="M226" s="417" t="n">
        <f aca="false">IF($A$1="BL",0,'Peak Hours'!M226*Peak!S227*'Peak Hours'!$Y226)</f>
        <v>0</v>
      </c>
      <c r="N226" s="417" t="n">
        <f aca="false">IF($A$1="BL",0,'Peak Hours'!N226*Peak!T227*'Peak Hours'!$Y226)</f>
        <v>0</v>
      </c>
      <c r="O226" s="417" t="n">
        <f aca="false">IF($A$1="BL",0,'Peak Hours'!O226*Peak!U227*'Peak Hours'!$Y226)</f>
        <v>0</v>
      </c>
      <c r="P226" s="417" t="n">
        <f aca="false">IF($A$1="BL",0,'Peak Hours'!P226*Peak!V227*'Peak Hours'!$Y226)</f>
        <v>0</v>
      </c>
      <c r="Q226" s="417" t="n">
        <f aca="false">IF($A$1="BL",0,'Peak Hours'!Q226*Peak!W227*'Peak Hours'!$Y226)</f>
        <v>0</v>
      </c>
      <c r="R226" s="417" t="n">
        <f aca="false">IF($A$1="BL",0,'Peak Hours'!R226*Peak!X227*'Peak Hours'!$Y226)</f>
        <v>0</v>
      </c>
      <c r="S226" s="417" t="n">
        <f aca="false">IF($A$1="BL",0,'Peak Hours'!S226*Peak!Y227*'Peak Hours'!$Y226)</f>
        <v>0</v>
      </c>
      <c r="T226" s="417" t="n">
        <f aca="false">IF($A$1="BL",0,'Peak Hours'!T226*Peak!Z227*'Peak Hours'!$Y226)</f>
        <v>0</v>
      </c>
      <c r="U226" s="417" t="n">
        <f aca="false">IF($A$1="BL",0,'Peak Hours'!U226*Peak!AA227*'Peak Hours'!$Y226)</f>
        <v>0</v>
      </c>
      <c r="V226" s="424"/>
      <c r="W226" s="422" t="n">
        <f aca="false">(IF($A$1="BL",0,Peak!C227*'Peak Hours'!V226*'Peak Hours'!$Y226))*-1</f>
        <v>-5710626.67715385</v>
      </c>
      <c r="X226" s="424"/>
      <c r="Y226" s="422" t="n">
        <f aca="false">(IF($A$1="bl",0,Peak!D227*'Peak Hours'!V226*'Peak Hours'!$Y226))*-1</f>
        <v>-78822.8804643082</v>
      </c>
      <c r="Z226" s="424"/>
      <c r="AA226" s="422" t="n">
        <f aca="false">(Peak!E227*'Peak Hours'!V226*'Peak Hours'!$Y226)*-1</f>
        <v>-0</v>
      </c>
      <c r="AB226" s="425"/>
      <c r="AC226" s="422" t="n">
        <f aca="false">(Peak!F227*'Peak Hours'!V226*'Peak Hours'!$Y226)*-1</f>
        <v>-0</v>
      </c>
      <c r="AD226" s="425"/>
    </row>
    <row r="227" customFormat="false" ht="12.75" hidden="false" customHeight="false" outlineLevel="0" collapsed="false">
      <c r="A227" s="400" t="n">
        <f aca="false">A226+30.417</f>
        <v>43140.489</v>
      </c>
      <c r="B227" s="417" t="n">
        <f aca="false">IF($A$1="BL",0,'Peak Hours'!B227*Peak!H228*'Peak Hours'!$Y227)</f>
        <v>470805.935369667</v>
      </c>
      <c r="C227" s="417" t="n">
        <f aca="false">IF($A$1="BL",0,'Peak Hours'!C227*Peak!I228*'Peak Hours'!$Y227)</f>
        <v>409205.815853319</v>
      </c>
      <c r="D227" s="417" t="n">
        <f aca="false">IF($A$1="BL",0,'Peak Hours'!D227*Peak!J228*'Peak Hours'!$Y227)</f>
        <v>786775.267491333</v>
      </c>
      <c r="E227" s="417" t="n">
        <f aca="false">IF($A$1="BL",0,'Peak Hours'!E227*Peak!K228*'Peak Hours'!$Y227)</f>
        <v>1473715.42013737</v>
      </c>
      <c r="F227" s="417" t="n">
        <f aca="false">IF($A$1="BL",0,'Peak Hours'!F227*Peak!L228*'Peak Hours'!$Y227)</f>
        <v>1458674.69905622</v>
      </c>
      <c r="G227" s="417" t="n">
        <f aca="false">IF($A$1="BL",0,'Peak Hours'!G227*Peak!M228*'Peak Hours'!$Y227)</f>
        <v>2350450.08085771</v>
      </c>
      <c r="H227" s="417" t="n">
        <f aca="false">IF($A$1="BL",0,'Peak Hours'!H227*Peak!N228*'Peak Hours'!$Y227)</f>
        <v>2060152.51778219</v>
      </c>
      <c r="I227" s="417" t="n">
        <f aca="false">IF($A$1="BL",0,'Peak Hours'!I227*Peak!O228*'Peak Hours'!$Y227)</f>
        <v>1892293.03951939</v>
      </c>
      <c r="J227" s="417" t="n">
        <f aca="false">IF($A$1="BL",0,'Peak Hours'!J227*Peak!P228*'Peak Hours'!$Y227)</f>
        <v>1650010.37117393</v>
      </c>
      <c r="K227" s="417" t="n">
        <f aca="false">IF($A$1="BL",0,'Peak Hours'!K227*Peak!Q228*'Peak Hours'!$Y227)</f>
        <v>1539514.66821332</v>
      </c>
      <c r="L227" s="417" t="n">
        <f aca="false">IF($A$1="BL",0,'Peak Hours'!L227*Peak!R228*'Peak Hours'!$Y227)</f>
        <v>0</v>
      </c>
      <c r="M227" s="417" t="n">
        <f aca="false">IF($A$1="BL",0,'Peak Hours'!M227*Peak!S228*'Peak Hours'!$Y227)</f>
        <v>0</v>
      </c>
      <c r="N227" s="417" t="n">
        <f aca="false">IF($A$1="BL",0,'Peak Hours'!N227*Peak!T228*'Peak Hours'!$Y227)</f>
        <v>0</v>
      </c>
      <c r="O227" s="417" t="n">
        <f aca="false">IF($A$1="BL",0,'Peak Hours'!O227*Peak!U228*'Peak Hours'!$Y227)</f>
        <v>0</v>
      </c>
      <c r="P227" s="417" t="n">
        <f aca="false">IF($A$1="BL",0,'Peak Hours'!P227*Peak!V228*'Peak Hours'!$Y227)</f>
        <v>0</v>
      </c>
      <c r="Q227" s="417" t="n">
        <f aca="false">IF($A$1="BL",0,'Peak Hours'!Q227*Peak!W228*'Peak Hours'!$Y227)</f>
        <v>0</v>
      </c>
      <c r="R227" s="417" t="n">
        <f aca="false">IF($A$1="BL",0,'Peak Hours'!R227*Peak!X228*'Peak Hours'!$Y227)</f>
        <v>0</v>
      </c>
      <c r="S227" s="417" t="n">
        <f aca="false">IF($A$1="BL",0,'Peak Hours'!S227*Peak!Y228*'Peak Hours'!$Y227)</f>
        <v>0</v>
      </c>
      <c r="T227" s="417" t="n">
        <f aca="false">IF($A$1="BL",0,'Peak Hours'!T227*Peak!Z228*'Peak Hours'!$Y227)</f>
        <v>0</v>
      </c>
      <c r="U227" s="417" t="n">
        <f aca="false">IF($A$1="BL",0,'Peak Hours'!U227*Peak!AA228*'Peak Hours'!$Y227)</f>
        <v>0</v>
      </c>
      <c r="V227" s="424"/>
      <c r="W227" s="422" t="n">
        <f aca="false">(IF($A$1="BL",0,Peak!C228*'Peak Hours'!V227*'Peak Hours'!$Y227))*-1</f>
        <v>-9505416.21299811</v>
      </c>
      <c r="X227" s="424"/>
      <c r="Y227" s="422" t="n">
        <f aca="false">(IF($A$1="bl",0,Peak!D228*'Peak Hours'!V227*'Peak Hours'!$Y227))*-1</f>
        <v>-146629.325016105</v>
      </c>
      <c r="Z227" s="424"/>
      <c r="AA227" s="422" t="n">
        <f aca="false">(Peak!E228*'Peak Hours'!V227*'Peak Hours'!$Y227)*-1</f>
        <v>-0</v>
      </c>
      <c r="AB227" s="425"/>
      <c r="AC227" s="422" t="n">
        <f aca="false">(Peak!F228*'Peak Hours'!V227*'Peak Hours'!$Y227)*-1</f>
        <v>-0</v>
      </c>
      <c r="AD227" s="425"/>
    </row>
    <row r="228" customFormat="false" ht="12.75" hidden="false" customHeight="false" outlineLevel="0" collapsed="false">
      <c r="A228" s="400" t="n">
        <f aca="false">A227+30.417</f>
        <v>43170.906</v>
      </c>
      <c r="B228" s="417" t="n">
        <f aca="false">IF($A$1="BL",0,'Peak Hours'!B228*Peak!H229*'Peak Hours'!$Y228)</f>
        <v>430654.979535779</v>
      </c>
      <c r="C228" s="417" t="n">
        <f aca="false">IF($A$1="BL",0,'Peak Hours'!C228*Peak!I229*'Peak Hours'!$Y228)</f>
        <v>326932.666045195</v>
      </c>
      <c r="D228" s="417" t="n">
        <f aca="false">IF($A$1="BL",0,'Peak Hours'!D228*Peak!J229*'Peak Hours'!$Y228)</f>
        <v>623026.750978087</v>
      </c>
      <c r="E228" s="417" t="n">
        <f aca="false">IF($A$1="BL",0,'Peak Hours'!E228*Peak!K229*'Peak Hours'!$Y228)</f>
        <v>1169056.92592195</v>
      </c>
      <c r="F228" s="417" t="n">
        <f aca="false">IF($A$1="BL",0,'Peak Hours'!F228*Peak!L229*'Peak Hours'!$Y228)</f>
        <v>1094995.71108933</v>
      </c>
      <c r="G228" s="417" t="n">
        <f aca="false">IF($A$1="BL",0,'Peak Hours'!G228*Peak!M229*'Peak Hours'!$Y228)</f>
        <v>2173448.20695801</v>
      </c>
      <c r="H228" s="417" t="n">
        <f aca="false">IF($A$1="BL",0,'Peak Hours'!H228*Peak!N229*'Peak Hours'!$Y228)</f>
        <v>1976432.24279053</v>
      </c>
      <c r="I228" s="417" t="n">
        <f aca="false">IF($A$1="BL",0,'Peak Hours'!I228*Peak!O229*'Peak Hours'!$Y228)</f>
        <v>1622254.16803795</v>
      </c>
      <c r="J228" s="417" t="n">
        <f aca="false">IF($A$1="BL",0,'Peak Hours'!J228*Peak!P229*'Peak Hours'!$Y228)</f>
        <v>1513512.32310963</v>
      </c>
      <c r="K228" s="417" t="n">
        <f aca="false">IF($A$1="BL",0,'Peak Hours'!K228*Peak!Q229*'Peak Hours'!$Y228)</f>
        <v>0</v>
      </c>
      <c r="L228" s="417" t="n">
        <f aca="false">IF($A$1="BL",0,'Peak Hours'!L228*Peak!R229*'Peak Hours'!$Y228)</f>
        <v>0</v>
      </c>
      <c r="M228" s="417" t="n">
        <f aca="false">IF($A$1="BL",0,'Peak Hours'!M228*Peak!S229*'Peak Hours'!$Y228)</f>
        <v>0</v>
      </c>
      <c r="N228" s="417" t="n">
        <f aca="false">IF($A$1="BL",0,'Peak Hours'!N228*Peak!T229*'Peak Hours'!$Y228)</f>
        <v>0</v>
      </c>
      <c r="O228" s="417" t="n">
        <f aca="false">IF($A$1="BL",0,'Peak Hours'!O228*Peak!U229*'Peak Hours'!$Y228)</f>
        <v>0</v>
      </c>
      <c r="P228" s="417" t="n">
        <f aca="false">IF($A$1="BL",0,'Peak Hours'!P228*Peak!V229*'Peak Hours'!$Y228)</f>
        <v>0</v>
      </c>
      <c r="Q228" s="417" t="n">
        <f aca="false">IF($A$1="BL",0,'Peak Hours'!Q228*Peak!W229*'Peak Hours'!$Y228)</f>
        <v>0</v>
      </c>
      <c r="R228" s="417" t="n">
        <f aca="false">IF($A$1="BL",0,'Peak Hours'!R228*Peak!X229*'Peak Hours'!$Y228)</f>
        <v>0</v>
      </c>
      <c r="S228" s="417" t="n">
        <f aca="false">IF($A$1="BL",0,'Peak Hours'!S228*Peak!Y229*'Peak Hours'!$Y228)</f>
        <v>0</v>
      </c>
      <c r="T228" s="417" t="n">
        <f aca="false">IF($A$1="BL",0,'Peak Hours'!T228*Peak!Z229*'Peak Hours'!$Y228)</f>
        <v>0</v>
      </c>
      <c r="U228" s="417" t="n">
        <f aca="false">IF($A$1="BL",0,'Peak Hours'!U228*Peak!AA229*'Peak Hours'!$Y228)</f>
        <v>0</v>
      </c>
      <c r="V228" s="424"/>
      <c r="W228" s="422" t="n">
        <f aca="false">(IF($A$1="BL",0,Peak!C229*'Peak Hours'!V228*'Peak Hours'!$Y228))*-1</f>
        <v>-8127881.02923021</v>
      </c>
      <c r="X228" s="424"/>
      <c r="Y228" s="422" t="n">
        <f aca="false">(IF($A$1="bl",0,Peak!D229*'Peak Hours'!V228*'Peak Hours'!$Y228))*-1</f>
        <v>-127736.504693334</v>
      </c>
      <c r="Z228" s="424"/>
      <c r="AA228" s="422" t="n">
        <f aca="false">(Peak!E229*'Peak Hours'!V228*'Peak Hours'!$Y228)*-1</f>
        <v>-0</v>
      </c>
      <c r="AB228" s="425"/>
      <c r="AC228" s="422" t="n">
        <f aca="false">(Peak!F229*'Peak Hours'!V228*'Peak Hours'!$Y228)*-1</f>
        <v>-0</v>
      </c>
      <c r="AD228" s="425"/>
    </row>
    <row r="229" customFormat="false" ht="12.75" hidden="false" customHeight="false" outlineLevel="0" collapsed="false">
      <c r="A229" s="400" t="n">
        <f aca="false">A228+30.417</f>
        <v>43201.323</v>
      </c>
      <c r="B229" s="417" t="n">
        <f aca="false">IF($A$1="BL",0,'Peak Hours'!B229*Peak!H230*'Peak Hours'!$Y229)</f>
        <v>328044.332757839</v>
      </c>
      <c r="C229" s="417" t="n">
        <f aca="false">IF($A$1="BL",0,'Peak Hours'!C229*Peak!I230*'Peak Hours'!$Y229)</f>
        <v>303219.571783688</v>
      </c>
      <c r="D229" s="417" t="n">
        <f aca="false">IF($A$1="BL",0,'Peak Hours'!D229*Peak!J230*'Peak Hours'!$Y229)</f>
        <v>573410.456398407</v>
      </c>
      <c r="E229" s="417" t="n">
        <f aca="false">IF($A$1="BL",0,'Peak Hours'!E229*Peak!K230*'Peak Hours'!$Y229)</f>
        <v>1079633.26687537</v>
      </c>
      <c r="F229" s="417" t="n">
        <f aca="false">IF($A$1="BL",0,'Peak Hours'!F229*Peak!L230*'Peak Hours'!$Y229)</f>
        <v>1008996.20794681</v>
      </c>
      <c r="G229" s="417" t="n">
        <f aca="false">IF($A$1="BL",0,'Peak Hours'!G229*Peak!M230*'Peak Hours'!$Y229)</f>
        <v>2004868.20257594</v>
      </c>
      <c r="H229" s="417" t="n">
        <f aca="false">IF($A$1="BL",0,'Peak Hours'!H229*Peak!N230*'Peak Hours'!$Y229)</f>
        <v>1793250.14569795</v>
      </c>
      <c r="I229" s="417" t="n">
        <f aca="false">IF($A$1="BL",0,'Peak Hours'!I229*Peak!O230*'Peak Hours'!$Y229)</f>
        <v>0</v>
      </c>
      <c r="J229" s="417" t="n">
        <f aca="false">IF($A$1="BL",0,'Peak Hours'!J229*Peak!P230*'Peak Hours'!$Y229)</f>
        <v>0</v>
      </c>
      <c r="K229" s="417" t="n">
        <f aca="false">IF($A$1="BL",0,'Peak Hours'!K229*Peak!Q230*'Peak Hours'!$Y229)</f>
        <v>0</v>
      </c>
      <c r="L229" s="417" t="n">
        <f aca="false">IF($A$1="BL",0,'Peak Hours'!L229*Peak!R230*'Peak Hours'!$Y229)</f>
        <v>0</v>
      </c>
      <c r="M229" s="417" t="n">
        <f aca="false">IF($A$1="BL",0,'Peak Hours'!M229*Peak!S230*'Peak Hours'!$Y229)</f>
        <v>0</v>
      </c>
      <c r="N229" s="417" t="n">
        <f aca="false">IF($A$1="BL",0,'Peak Hours'!N229*Peak!T230*'Peak Hours'!$Y229)</f>
        <v>0</v>
      </c>
      <c r="O229" s="417" t="n">
        <f aca="false">IF($A$1="BL",0,'Peak Hours'!O229*Peak!U230*'Peak Hours'!$Y229)</f>
        <v>0</v>
      </c>
      <c r="P229" s="417" t="n">
        <f aca="false">IF($A$1="BL",0,'Peak Hours'!P229*Peak!V230*'Peak Hours'!$Y229)</f>
        <v>0</v>
      </c>
      <c r="Q229" s="417" t="n">
        <f aca="false">IF($A$1="BL",0,'Peak Hours'!Q229*Peak!W230*'Peak Hours'!$Y229)</f>
        <v>0</v>
      </c>
      <c r="R229" s="417" t="n">
        <f aca="false">IF($A$1="BL",0,'Peak Hours'!R229*Peak!X230*'Peak Hours'!$Y229)</f>
        <v>0</v>
      </c>
      <c r="S229" s="417" t="n">
        <f aca="false">IF($A$1="BL",0,'Peak Hours'!S229*Peak!Y230*'Peak Hours'!$Y229)</f>
        <v>0</v>
      </c>
      <c r="T229" s="417" t="n">
        <f aca="false">IF($A$1="BL",0,'Peak Hours'!T229*Peak!Z230*'Peak Hours'!$Y229)</f>
        <v>0</v>
      </c>
      <c r="U229" s="417" t="n">
        <f aca="false">IF($A$1="BL",0,'Peak Hours'!U229*Peak!AA230*'Peak Hours'!$Y229)</f>
        <v>0</v>
      </c>
      <c r="V229" s="424"/>
      <c r="W229" s="422" t="n">
        <f aca="false">(IF($A$1="BL",0,Peak!C230*'Peak Hours'!V229*'Peak Hours'!$Y229))*-1</f>
        <v>-4917315.98759446</v>
      </c>
      <c r="X229" s="424"/>
      <c r="Y229" s="422" t="n">
        <f aca="false">(IF($A$1="bl",0,Peak!D230*'Peak Hours'!V229*'Peak Hours'!$Y229))*-1</f>
        <v>-81422.3447340694</v>
      </c>
      <c r="Z229" s="424"/>
      <c r="AA229" s="422" t="n">
        <f aca="false">(Peak!E230*'Peak Hours'!V229*'Peak Hours'!$Y229)*-1</f>
        <v>-0</v>
      </c>
      <c r="AB229" s="425"/>
      <c r="AC229" s="422" t="n">
        <f aca="false">(Peak!F230*'Peak Hours'!V229*'Peak Hours'!$Y229)*-1</f>
        <v>-0</v>
      </c>
      <c r="AD229" s="425"/>
    </row>
    <row r="230" customFormat="false" ht="12.75" hidden="false" customHeight="false" outlineLevel="0" collapsed="false">
      <c r="A230" s="400" t="n">
        <f aca="false">A229+30.417</f>
        <v>43231.74</v>
      </c>
      <c r="B230" s="417" t="n">
        <f aca="false">IF($A$1="BL",0,'Peak Hours'!B230*Peak!H231*'Peak Hours'!$Y230)</f>
        <v>517585.928857197</v>
      </c>
      <c r="C230" s="417" t="n">
        <f aca="false">IF($A$1="BL",0,'Peak Hours'!C230*Peak!I231*'Peak Hours'!$Y230)</f>
        <v>499591.943890805</v>
      </c>
      <c r="D230" s="417" t="n">
        <f aca="false">IF($A$1="BL",0,'Peak Hours'!D230*Peak!J231*'Peak Hours'!$Y230)</f>
        <v>710174.941856831</v>
      </c>
      <c r="E230" s="417" t="n">
        <f aca="false">IF($A$1="BL",0,'Peak Hours'!E230*Peak!K231*'Peak Hours'!$Y230)</f>
        <v>1000551.62848775</v>
      </c>
      <c r="F230" s="417" t="n">
        <f aca="false">IF($A$1="BL",0,'Peak Hours'!F230*Peak!L231*'Peak Hours'!$Y230)</f>
        <v>926714.860390486</v>
      </c>
      <c r="G230" s="417" t="n">
        <f aca="false">IF($A$1="BL",0,'Peak Hours'!G230*Peak!M231*'Peak Hours'!$Y230)</f>
        <v>1774908.19349887</v>
      </c>
      <c r="H230" s="417" t="n">
        <f aca="false">IF($A$1="BL",0,'Peak Hours'!H230*Peak!N231*'Peak Hours'!$Y230)</f>
        <v>0</v>
      </c>
      <c r="I230" s="417" t="n">
        <f aca="false">IF($A$1="BL",0,'Peak Hours'!I230*Peak!O231*'Peak Hours'!$Y230)</f>
        <v>0</v>
      </c>
      <c r="J230" s="417" t="n">
        <f aca="false">IF($A$1="BL",0,'Peak Hours'!J230*Peak!P231*'Peak Hours'!$Y230)</f>
        <v>0</v>
      </c>
      <c r="K230" s="417" t="n">
        <f aca="false">IF($A$1="BL",0,'Peak Hours'!K230*Peak!Q231*'Peak Hours'!$Y230)</f>
        <v>0</v>
      </c>
      <c r="L230" s="417" t="n">
        <f aca="false">IF($A$1="BL",0,'Peak Hours'!L230*Peak!R231*'Peak Hours'!$Y230)</f>
        <v>0</v>
      </c>
      <c r="M230" s="417" t="n">
        <f aca="false">IF($A$1="BL",0,'Peak Hours'!M230*Peak!S231*'Peak Hours'!$Y230)</f>
        <v>0</v>
      </c>
      <c r="N230" s="417" t="n">
        <f aca="false">IF($A$1="BL",0,'Peak Hours'!N230*Peak!T231*'Peak Hours'!$Y230)</f>
        <v>0</v>
      </c>
      <c r="O230" s="417" t="n">
        <f aca="false">IF($A$1="BL",0,'Peak Hours'!O230*Peak!U231*'Peak Hours'!$Y230)</f>
        <v>0</v>
      </c>
      <c r="P230" s="417" t="n">
        <f aca="false">IF($A$1="BL",0,'Peak Hours'!P230*Peak!V231*'Peak Hours'!$Y230)</f>
        <v>0</v>
      </c>
      <c r="Q230" s="417" t="n">
        <f aca="false">IF($A$1="BL",0,'Peak Hours'!Q230*Peak!W231*'Peak Hours'!$Y230)</f>
        <v>0</v>
      </c>
      <c r="R230" s="417" t="n">
        <f aca="false">IF($A$1="BL",0,'Peak Hours'!R230*Peak!X231*'Peak Hours'!$Y230)</f>
        <v>0</v>
      </c>
      <c r="S230" s="417" t="n">
        <f aca="false">IF($A$1="BL",0,'Peak Hours'!S230*Peak!Y231*'Peak Hours'!$Y230)</f>
        <v>0</v>
      </c>
      <c r="T230" s="417" t="n">
        <f aca="false">IF($A$1="BL",0,'Peak Hours'!T230*Peak!Z231*'Peak Hours'!$Y230)</f>
        <v>0</v>
      </c>
      <c r="U230" s="417" t="n">
        <f aca="false">IF($A$1="BL",0,'Peak Hours'!U230*Peak!AA231*'Peak Hours'!$Y230)</f>
        <v>0</v>
      </c>
      <c r="V230" s="424"/>
      <c r="W230" s="422" t="n">
        <f aca="false">(IF($A$1="BL",0,Peak!C231*'Peak Hours'!V230*'Peak Hours'!$Y230))*-1</f>
        <v>-3698208.16905253</v>
      </c>
      <c r="X230" s="424"/>
      <c r="Y230" s="422" t="n">
        <f aca="false">(IF($A$1="bl",0,Peak!D231*'Peak Hours'!V230*'Peak Hours'!$Y230))*-1</f>
        <v>-58255.7490299711</v>
      </c>
      <c r="Z230" s="424"/>
      <c r="AA230" s="422" t="n">
        <f aca="false">(Peak!E231*'Peak Hours'!V230*'Peak Hours'!$Y230)*-1</f>
        <v>-0</v>
      </c>
      <c r="AB230" s="425"/>
      <c r="AC230" s="422" t="n">
        <f aca="false">(Peak!F231*'Peak Hours'!V230*'Peak Hours'!$Y230)*-1</f>
        <v>-0</v>
      </c>
      <c r="AD230" s="425"/>
    </row>
    <row r="231" customFormat="false" ht="12.75" hidden="false" customHeight="false" outlineLevel="0" collapsed="false">
      <c r="A231" s="400" t="n">
        <f aca="false">A230+30.417</f>
        <v>43262.157</v>
      </c>
      <c r="B231" s="417" t="n">
        <f aca="false">IF($A$1="BL",0,'Peak Hours'!B231*Peak!H232*'Peak Hours'!$Y231)</f>
        <v>648633.089198834</v>
      </c>
      <c r="C231" s="417" t="n">
        <f aca="false">IF($A$1="BL",0,'Peak Hours'!C231*Peak!I232*'Peak Hours'!$Y231)</f>
        <v>605637.710284887</v>
      </c>
      <c r="D231" s="417" t="n">
        <f aca="false">IF($A$1="BL",0,'Peak Hours'!D231*Peak!J232*'Peak Hours'!$Y231)</f>
        <v>1139120.84531498</v>
      </c>
      <c r="E231" s="417" t="n">
        <f aca="false">IF($A$1="BL",0,'Peak Hours'!E231*Peak!K232*'Peak Hours'!$Y231)</f>
        <v>2107412.05420772</v>
      </c>
      <c r="F231" s="417" t="n">
        <f aca="false">IF($A$1="BL",0,'Peak Hours'!F231*Peak!L232*'Peak Hours'!$Y231)</f>
        <v>1925801.8082887</v>
      </c>
      <c r="G231" s="417" t="n">
        <f aca="false">IF($A$1="BL",0,'Peak Hours'!G231*Peak!M232*'Peak Hours'!$Y231)</f>
        <v>2329319.73319528</v>
      </c>
      <c r="H231" s="417" t="n">
        <f aca="false">IF($A$1="BL",0,'Peak Hours'!H231*Peak!N232*'Peak Hours'!$Y231)</f>
        <v>1976280.63069403</v>
      </c>
      <c r="I231" s="417" t="n">
        <f aca="false">IF($A$1="BL",0,'Peak Hours'!I231*Peak!O232*'Peak Hours'!$Y231)</f>
        <v>1873945.95475506</v>
      </c>
      <c r="J231" s="417" t="n">
        <f aca="false">IF($A$1="BL",0,'Peak Hours'!J231*Peak!P232*'Peak Hours'!$Y231)</f>
        <v>1582760.08730551</v>
      </c>
      <c r="K231" s="417" t="n">
        <f aca="false">IF($A$1="BL",0,'Peak Hours'!K231*Peak!Q232*'Peak Hours'!$Y231)</f>
        <v>0</v>
      </c>
      <c r="L231" s="417" t="n">
        <f aca="false">IF($A$1="BL",0,'Peak Hours'!L231*Peak!R232*'Peak Hours'!$Y231)</f>
        <v>0</v>
      </c>
      <c r="M231" s="417" t="n">
        <f aca="false">IF($A$1="BL",0,'Peak Hours'!M231*Peak!S232*'Peak Hours'!$Y231)</f>
        <v>0</v>
      </c>
      <c r="N231" s="417" t="n">
        <f aca="false">IF($A$1="BL",0,'Peak Hours'!N231*Peak!T232*'Peak Hours'!$Y231)</f>
        <v>0</v>
      </c>
      <c r="O231" s="417" t="n">
        <f aca="false">IF($A$1="BL",0,'Peak Hours'!O231*Peak!U232*'Peak Hours'!$Y231)</f>
        <v>0</v>
      </c>
      <c r="P231" s="417" t="n">
        <f aca="false">IF($A$1="BL",0,'Peak Hours'!P231*Peak!V232*'Peak Hours'!$Y231)</f>
        <v>0</v>
      </c>
      <c r="Q231" s="417" t="n">
        <f aca="false">IF($A$1="BL",0,'Peak Hours'!Q231*Peak!W232*'Peak Hours'!$Y231)</f>
        <v>0</v>
      </c>
      <c r="R231" s="417" t="n">
        <f aca="false">IF($A$1="BL",0,'Peak Hours'!R231*Peak!X232*'Peak Hours'!$Y231)</f>
        <v>0</v>
      </c>
      <c r="S231" s="417" t="n">
        <f aca="false">IF($A$1="BL",0,'Peak Hours'!S231*Peak!Y232*'Peak Hours'!$Y231)</f>
        <v>0</v>
      </c>
      <c r="T231" s="417" t="n">
        <f aca="false">IF($A$1="BL",0,'Peak Hours'!T231*Peak!Z232*'Peak Hours'!$Y231)</f>
        <v>0</v>
      </c>
      <c r="U231" s="417" t="n">
        <f aca="false">IF($A$1="BL",0,'Peak Hours'!U231*Peak!AA232*'Peak Hours'!$Y231)</f>
        <v>0</v>
      </c>
      <c r="V231" s="424"/>
      <c r="W231" s="422" t="n">
        <f aca="false">(IF($A$1="BL",0,Peak!C232*'Peak Hours'!V231*'Peak Hours'!$Y231))*-1</f>
        <v>-7883287.57202977</v>
      </c>
      <c r="X231" s="424"/>
      <c r="Y231" s="422" t="n">
        <f aca="false">(IF($A$1="bl",0,Peak!D232*'Peak Hours'!V231*'Peak Hours'!$Y231))*-1</f>
        <v>-130554.7782394</v>
      </c>
      <c r="Z231" s="424"/>
      <c r="AA231" s="422" t="n">
        <f aca="false">(Peak!E232*'Peak Hours'!V231*'Peak Hours'!$Y231)*-1</f>
        <v>-0</v>
      </c>
      <c r="AB231" s="425"/>
      <c r="AC231" s="422" t="n">
        <f aca="false">(Peak!F232*'Peak Hours'!V231*'Peak Hours'!$Y231)*-1</f>
        <v>-0</v>
      </c>
      <c r="AD231" s="425"/>
    </row>
    <row r="232" customFormat="false" ht="12.75" hidden="false" customHeight="false" outlineLevel="0" collapsed="false">
      <c r="A232" s="400" t="n">
        <f aca="false">A231+30.417</f>
        <v>43292.574</v>
      </c>
      <c r="B232" s="417" t="n">
        <f aca="false">IF($A$1="BL",0,'Peak Hours'!B232*Peak!H233*'Peak Hours'!$Y232)</f>
        <v>855702.77644348</v>
      </c>
      <c r="C232" s="417" t="n">
        <f aca="false">IF($A$1="BL",0,'Peak Hours'!C232*Peak!I233*'Peak Hours'!$Y232)</f>
        <v>712803.63027443</v>
      </c>
      <c r="D232" s="417" t="n">
        <f aca="false">IF($A$1="BL",0,'Peak Hours'!D232*Peak!J233*'Peak Hours'!$Y232)</f>
        <v>1337317.93833322</v>
      </c>
      <c r="E232" s="417" t="n">
        <f aca="false">IF($A$1="BL",0,'Peak Hours'!E232*Peak!K233*'Peak Hours'!$Y232)</f>
        <v>2461345.61244899</v>
      </c>
      <c r="F232" s="417" t="n">
        <f aca="false">IF($A$1="BL",0,'Peak Hours'!F232*Peak!L233*'Peak Hours'!$Y232)</f>
        <v>2283565.3539321</v>
      </c>
      <c r="G232" s="417" t="n">
        <f aca="false">IF($A$1="BL",0,'Peak Hours'!G232*Peak!M233*'Peak Hours'!$Y232)</f>
        <v>4218227.42639742</v>
      </c>
      <c r="H232" s="417" t="n">
        <f aca="false">IF($A$1="BL",0,'Peak Hours'!H232*Peak!N233*'Peak Hours'!$Y232)</f>
        <v>3519783.99147954</v>
      </c>
      <c r="I232" s="417" t="n">
        <f aca="false">IF($A$1="BL",0,'Peak Hours'!I232*Peak!O233*'Peak Hours'!$Y232)</f>
        <v>2333500.18768074</v>
      </c>
      <c r="J232" s="417" t="n">
        <f aca="false">IF($A$1="BL",0,'Peak Hours'!J232*Peak!P233*'Peak Hours'!$Y232)</f>
        <v>2216266.90942825</v>
      </c>
      <c r="K232" s="417" t="n">
        <f aca="false">IF($A$1="BL",0,'Peak Hours'!K232*Peak!Q233*'Peak Hours'!$Y232)</f>
        <v>1592525.11922528</v>
      </c>
      <c r="L232" s="417" t="n">
        <f aca="false">IF($A$1="BL",0,'Peak Hours'!L232*Peak!R233*'Peak Hours'!$Y232)</f>
        <v>0</v>
      </c>
      <c r="M232" s="417" t="n">
        <f aca="false">IF($A$1="BL",0,'Peak Hours'!M232*Peak!S233*'Peak Hours'!$Y232)</f>
        <v>0</v>
      </c>
      <c r="N232" s="417" t="n">
        <f aca="false">IF($A$1="BL",0,'Peak Hours'!N232*Peak!T233*'Peak Hours'!$Y232)</f>
        <v>0</v>
      </c>
      <c r="O232" s="417" t="n">
        <f aca="false">IF($A$1="BL",0,'Peak Hours'!O232*Peak!U233*'Peak Hours'!$Y232)</f>
        <v>0</v>
      </c>
      <c r="P232" s="417" t="n">
        <f aca="false">IF($A$1="BL",0,'Peak Hours'!P232*Peak!V233*'Peak Hours'!$Y232)</f>
        <v>0</v>
      </c>
      <c r="Q232" s="417" t="n">
        <f aca="false">IF($A$1="BL",0,'Peak Hours'!Q232*Peak!W233*'Peak Hours'!$Y232)</f>
        <v>0</v>
      </c>
      <c r="R232" s="417" t="n">
        <f aca="false">IF($A$1="BL",0,'Peak Hours'!R232*Peak!X233*'Peak Hours'!$Y232)</f>
        <v>0</v>
      </c>
      <c r="S232" s="417" t="n">
        <f aca="false">IF($A$1="BL",0,'Peak Hours'!S232*Peak!Y233*'Peak Hours'!$Y232)</f>
        <v>0</v>
      </c>
      <c r="T232" s="417" t="n">
        <f aca="false">IF($A$1="BL",0,'Peak Hours'!T232*Peak!Z233*'Peak Hours'!$Y232)</f>
        <v>0</v>
      </c>
      <c r="U232" s="417" t="n">
        <f aca="false">IF($A$1="BL",0,'Peak Hours'!U232*Peak!AA233*'Peak Hours'!$Y232)</f>
        <v>0</v>
      </c>
      <c r="V232" s="424"/>
      <c r="W232" s="422" t="n">
        <f aca="false">(IF($A$1="BL",0,Peak!C233*'Peak Hours'!V232*'Peak Hours'!$Y232))*-1</f>
        <v>-9287129.63390734</v>
      </c>
      <c r="X232" s="424"/>
      <c r="Y232" s="422" t="n">
        <f aca="false">(IF($A$1="bl",0,Peak!D233*'Peak Hours'!V232*'Peak Hours'!$Y232))*-1</f>
        <v>-154549.163997641</v>
      </c>
      <c r="Z232" s="424"/>
      <c r="AA232" s="422" t="n">
        <f aca="false">(Peak!E233*'Peak Hours'!V232*'Peak Hours'!$Y232)*-1</f>
        <v>-0</v>
      </c>
      <c r="AB232" s="425"/>
      <c r="AC232" s="422" t="n">
        <f aca="false">(Peak!F233*'Peak Hours'!V232*'Peak Hours'!$Y232)*-1</f>
        <v>-0</v>
      </c>
      <c r="AD232" s="425"/>
    </row>
    <row r="233" customFormat="false" ht="12.75" hidden="false" customHeight="false" outlineLevel="0" collapsed="false">
      <c r="A233" s="400" t="n">
        <f aca="false">A232+30.417</f>
        <v>43322.991</v>
      </c>
      <c r="B233" s="417" t="n">
        <f aca="false">IF($A$1="BL",0,'Peak Hours'!B233*Peak!H234*'Peak Hours'!$Y233)</f>
        <v>1864058.50486338</v>
      </c>
      <c r="C233" s="417" t="n">
        <f aca="false">IF($A$1="BL",0,'Peak Hours'!C233*Peak!I234*'Peak Hours'!$Y233)</f>
        <v>1300854.78600594</v>
      </c>
      <c r="D233" s="417" t="n">
        <f aca="false">IF($A$1="BL",0,'Peak Hours'!D233*Peak!J234*'Peak Hours'!$Y233)</f>
        <v>1971632.75603714</v>
      </c>
      <c r="E233" s="417" t="n">
        <f aca="false">IF($A$1="BL",0,'Peak Hours'!E233*Peak!K234*'Peak Hours'!$Y233)</f>
        <v>2944513.83358388</v>
      </c>
      <c r="F233" s="417" t="n">
        <f aca="false">IF($A$1="BL",0,'Peak Hours'!F233*Peak!L234*'Peak Hours'!$Y233)</f>
        <v>2636870.95361318</v>
      </c>
      <c r="G233" s="417" t="n">
        <f aca="false">IF($A$1="BL",0,'Peak Hours'!G233*Peak!M234*'Peak Hours'!$Y233)</f>
        <v>4772235.35514688</v>
      </c>
      <c r="H233" s="417" t="n">
        <f aca="false">IF($A$1="BL",0,'Peak Hours'!H233*Peak!N234*'Peak Hours'!$Y233)</f>
        <v>4281697.62190458</v>
      </c>
      <c r="I233" s="417" t="n">
        <f aca="false">IF($A$1="BL",0,'Peak Hours'!I233*Peak!O234*'Peak Hours'!$Y233)</f>
        <v>3353127.0902639</v>
      </c>
      <c r="J233" s="417" t="n">
        <f aca="false">IF($A$1="BL",0,'Peak Hours'!J233*Peak!P234*'Peak Hours'!$Y233)</f>
        <v>0</v>
      </c>
      <c r="K233" s="417" t="n">
        <f aca="false">IF($A$1="BL",0,'Peak Hours'!K233*Peak!Q234*'Peak Hours'!$Y233)</f>
        <v>0</v>
      </c>
      <c r="L233" s="417" t="n">
        <f aca="false">IF($A$1="BL",0,'Peak Hours'!L233*Peak!R234*'Peak Hours'!$Y233)</f>
        <v>0</v>
      </c>
      <c r="M233" s="417" t="n">
        <f aca="false">IF($A$1="BL",0,'Peak Hours'!M233*Peak!S234*'Peak Hours'!$Y233)</f>
        <v>0</v>
      </c>
      <c r="N233" s="417" t="n">
        <f aca="false">IF($A$1="BL",0,'Peak Hours'!N233*Peak!T234*'Peak Hours'!$Y233)</f>
        <v>0</v>
      </c>
      <c r="O233" s="417" t="n">
        <f aca="false">IF($A$1="BL",0,'Peak Hours'!O233*Peak!U234*'Peak Hours'!$Y233)</f>
        <v>0</v>
      </c>
      <c r="P233" s="417" t="n">
        <f aca="false">IF($A$1="BL",0,'Peak Hours'!P233*Peak!V234*'Peak Hours'!$Y233)</f>
        <v>0</v>
      </c>
      <c r="Q233" s="417" t="n">
        <f aca="false">IF($A$1="BL",0,'Peak Hours'!Q233*Peak!W234*'Peak Hours'!$Y233)</f>
        <v>0</v>
      </c>
      <c r="R233" s="417" t="n">
        <f aca="false">IF($A$1="BL",0,'Peak Hours'!R233*Peak!X234*'Peak Hours'!$Y233)</f>
        <v>0</v>
      </c>
      <c r="S233" s="417" t="n">
        <f aca="false">IF($A$1="BL",0,'Peak Hours'!S233*Peak!Y234*'Peak Hours'!$Y233)</f>
        <v>0</v>
      </c>
      <c r="T233" s="417" t="n">
        <f aca="false">IF($A$1="BL",0,'Peak Hours'!T233*Peak!Z234*'Peak Hours'!$Y233)</f>
        <v>0</v>
      </c>
      <c r="U233" s="417" t="n">
        <f aca="false">IF($A$1="BL",0,'Peak Hours'!U233*Peak!AA234*'Peak Hours'!$Y233)</f>
        <v>0</v>
      </c>
      <c r="V233" s="424"/>
      <c r="W233" s="422" t="n">
        <f aca="false">(IF($A$1="BL",0,Peak!C234*'Peak Hours'!V233*'Peak Hours'!$Y233))*-1</f>
        <v>-6096167.14430841</v>
      </c>
      <c r="X233" s="424"/>
      <c r="Y233" s="422" t="n">
        <f aca="false">(IF($A$1="bl",0,Peak!D234*'Peak Hours'!V233*'Peak Hours'!$Y233))*-1</f>
        <v>-107173.901033749</v>
      </c>
      <c r="Z233" s="424"/>
      <c r="AA233" s="422" t="n">
        <f aca="false">(Peak!E234*'Peak Hours'!V233*'Peak Hours'!$Y233)*-1</f>
        <v>-0</v>
      </c>
      <c r="AB233" s="425"/>
      <c r="AC233" s="422" t="n">
        <f aca="false">(Peak!F234*'Peak Hours'!V233*'Peak Hours'!$Y233)*-1</f>
        <v>-0</v>
      </c>
      <c r="AD233" s="425"/>
    </row>
    <row r="234" customFormat="false" ht="12.75" hidden="false" customHeight="false" outlineLevel="0" collapsed="false">
      <c r="A234" s="400" t="n">
        <f aca="false">A233+30.417</f>
        <v>43353.408</v>
      </c>
      <c r="B234" s="417" t="n">
        <f aca="false">IF($A$1="BL",0,'Peak Hours'!B234*Peak!H235*'Peak Hours'!$Y234)</f>
        <v>513837.388669314</v>
      </c>
      <c r="C234" s="417" t="n">
        <f aca="false">IF($A$1="BL",0,'Peak Hours'!C234*Peak!I235*'Peak Hours'!$Y234)</f>
        <v>483527.842926225</v>
      </c>
      <c r="D234" s="417" t="n">
        <f aca="false">IF($A$1="BL",0,'Peak Hours'!D234*Peak!J235*'Peak Hours'!$Y234)</f>
        <v>764624.03289343</v>
      </c>
      <c r="E234" s="417" t="n">
        <f aca="false">IF($A$1="BL",0,'Peak Hours'!E234*Peak!K235*'Peak Hours'!$Y234)</f>
        <v>1379965.46608258</v>
      </c>
      <c r="F234" s="417" t="n">
        <f aca="false">IF($A$1="BL",0,'Peak Hours'!F234*Peak!L235*'Peak Hours'!$Y234)</f>
        <v>1193675.32513586</v>
      </c>
      <c r="G234" s="417" t="n">
        <f aca="false">IF($A$1="BL",0,'Peak Hours'!G234*Peak!M235*'Peak Hours'!$Y234)</f>
        <v>1690981.98436897</v>
      </c>
      <c r="H234" s="417" t="n">
        <f aca="false">IF($A$1="BL",0,'Peak Hours'!H234*Peak!N235*'Peak Hours'!$Y234)</f>
        <v>1439788.64138706</v>
      </c>
      <c r="I234" s="417" t="n">
        <f aca="false">IF($A$1="BL",0,'Peak Hours'!I234*Peak!O235*'Peak Hours'!$Y234)</f>
        <v>0</v>
      </c>
      <c r="J234" s="417" t="n">
        <f aca="false">IF($A$1="BL",0,'Peak Hours'!J234*Peak!P235*'Peak Hours'!$Y234)</f>
        <v>0</v>
      </c>
      <c r="K234" s="417" t="n">
        <f aca="false">IF($A$1="BL",0,'Peak Hours'!K234*Peak!Q235*'Peak Hours'!$Y234)</f>
        <v>0</v>
      </c>
      <c r="L234" s="417" t="n">
        <f aca="false">IF($A$1="BL",0,'Peak Hours'!L234*Peak!R235*'Peak Hours'!$Y234)</f>
        <v>0</v>
      </c>
      <c r="M234" s="417" t="n">
        <f aca="false">IF($A$1="BL",0,'Peak Hours'!M234*Peak!S235*'Peak Hours'!$Y234)</f>
        <v>0</v>
      </c>
      <c r="N234" s="417" t="n">
        <f aca="false">IF($A$1="BL",0,'Peak Hours'!N234*Peak!T235*'Peak Hours'!$Y234)</f>
        <v>0</v>
      </c>
      <c r="O234" s="417" t="n">
        <f aca="false">IF($A$1="BL",0,'Peak Hours'!O234*Peak!U235*'Peak Hours'!$Y234)</f>
        <v>0</v>
      </c>
      <c r="P234" s="417" t="n">
        <f aca="false">IF($A$1="BL",0,'Peak Hours'!P234*Peak!V235*'Peak Hours'!$Y234)</f>
        <v>0</v>
      </c>
      <c r="Q234" s="417" t="n">
        <f aca="false">IF($A$1="BL",0,'Peak Hours'!Q234*Peak!W235*'Peak Hours'!$Y234)</f>
        <v>0</v>
      </c>
      <c r="R234" s="417" t="n">
        <f aca="false">IF($A$1="BL",0,'Peak Hours'!R234*Peak!X235*'Peak Hours'!$Y234)</f>
        <v>0</v>
      </c>
      <c r="S234" s="417" t="n">
        <f aca="false">IF($A$1="BL",0,'Peak Hours'!S234*Peak!Y235*'Peak Hours'!$Y234)</f>
        <v>0</v>
      </c>
      <c r="T234" s="417" t="n">
        <f aca="false">IF($A$1="BL",0,'Peak Hours'!T234*Peak!Z235*'Peak Hours'!$Y234)</f>
        <v>0</v>
      </c>
      <c r="U234" s="417" t="n">
        <f aca="false">IF($A$1="BL",0,'Peak Hours'!U234*Peak!AA235*'Peak Hours'!$Y234)</f>
        <v>0</v>
      </c>
      <c r="V234" s="424"/>
      <c r="W234" s="422" t="n">
        <f aca="false">(IF($A$1="BL",0,Peak!C235*'Peak Hours'!V234*'Peak Hours'!$Y234))*-1</f>
        <v>-4646733.52055223</v>
      </c>
      <c r="X234" s="424"/>
      <c r="Y234" s="422" t="n">
        <f aca="false">(IF($A$1="bl",0,Peak!D235*'Peak Hours'!V234*'Peak Hours'!$Y234))*-1</f>
        <v>-82103.1297780135</v>
      </c>
      <c r="Z234" s="424"/>
      <c r="AA234" s="422" t="n">
        <f aca="false">(Peak!E235*'Peak Hours'!V234*'Peak Hours'!$Y234)*-1</f>
        <v>-0</v>
      </c>
      <c r="AB234" s="425"/>
      <c r="AC234" s="422" t="n">
        <f aca="false">(Peak!F235*'Peak Hours'!V234*'Peak Hours'!$Y234)*-1</f>
        <v>-0</v>
      </c>
      <c r="AD234" s="425"/>
    </row>
    <row r="235" customFormat="false" ht="12.75" hidden="false" customHeight="false" outlineLevel="0" collapsed="false">
      <c r="A235" s="400" t="n">
        <f aca="false">A234+30.417</f>
        <v>43383.825</v>
      </c>
      <c r="B235" s="417" t="n">
        <f aca="false">IF($A$1="BL",0,'Peak Hours'!B235*Peak!H236*'Peak Hours'!$Y235)</f>
        <v>319795.195649946</v>
      </c>
      <c r="C235" s="417" t="n">
        <f aca="false">IF($A$1="BL",0,'Peak Hours'!C235*Peak!I236*'Peak Hours'!$Y235)</f>
        <v>309857.540006666</v>
      </c>
      <c r="D235" s="417" t="n">
        <f aca="false">IF($A$1="BL",0,'Peak Hours'!D235*Peak!J236*'Peak Hours'!$Y235)</f>
        <v>593988.939595138</v>
      </c>
      <c r="E235" s="417" t="n">
        <f aca="false">IF($A$1="BL",0,'Peak Hours'!E235*Peak!K236*'Peak Hours'!$Y235)</f>
        <v>1114165.46120118</v>
      </c>
      <c r="F235" s="417" t="n">
        <f aca="false">IF($A$1="BL",0,'Peak Hours'!F235*Peak!L236*'Peak Hours'!$Y235)</f>
        <v>1061979.20109389</v>
      </c>
      <c r="G235" s="417" t="n">
        <f aca="false">IF($A$1="BL",0,'Peak Hours'!G235*Peak!M236*'Peak Hours'!$Y235)</f>
        <v>2108263.43222128</v>
      </c>
      <c r="H235" s="417" t="n">
        <f aca="false">IF($A$1="BL",0,'Peak Hours'!H235*Peak!N236*'Peak Hours'!$Y235)</f>
        <v>1810246.77295419</v>
      </c>
      <c r="I235" s="417" t="n">
        <f aca="false">IF($A$1="BL",0,'Peak Hours'!I235*Peak!O236*'Peak Hours'!$Y235)</f>
        <v>0</v>
      </c>
      <c r="J235" s="417" t="n">
        <f aca="false">IF($A$1="BL",0,'Peak Hours'!J235*Peak!P236*'Peak Hours'!$Y235)</f>
        <v>0</v>
      </c>
      <c r="K235" s="417" t="n">
        <f aca="false">IF($A$1="BL",0,'Peak Hours'!K235*Peak!Q236*'Peak Hours'!$Y235)</f>
        <v>0</v>
      </c>
      <c r="L235" s="417" t="n">
        <f aca="false">IF($A$1="BL",0,'Peak Hours'!L235*Peak!R236*'Peak Hours'!$Y235)</f>
        <v>0</v>
      </c>
      <c r="M235" s="417" t="n">
        <f aca="false">IF($A$1="BL",0,'Peak Hours'!M235*Peak!S236*'Peak Hours'!$Y235)</f>
        <v>0</v>
      </c>
      <c r="N235" s="417" t="n">
        <f aca="false">IF($A$1="BL",0,'Peak Hours'!N235*Peak!T236*'Peak Hours'!$Y235)</f>
        <v>0</v>
      </c>
      <c r="O235" s="417" t="n">
        <f aca="false">IF($A$1="BL",0,'Peak Hours'!O235*Peak!U236*'Peak Hours'!$Y235)</f>
        <v>0</v>
      </c>
      <c r="P235" s="417" t="n">
        <f aca="false">IF($A$1="BL",0,'Peak Hours'!P235*Peak!V236*'Peak Hours'!$Y235)</f>
        <v>0</v>
      </c>
      <c r="Q235" s="417" t="n">
        <f aca="false">IF($A$1="BL",0,'Peak Hours'!Q235*Peak!W236*'Peak Hours'!$Y235)</f>
        <v>0</v>
      </c>
      <c r="R235" s="417" t="n">
        <f aca="false">IF($A$1="BL",0,'Peak Hours'!R235*Peak!X236*'Peak Hours'!$Y235)</f>
        <v>0</v>
      </c>
      <c r="S235" s="417" t="n">
        <f aca="false">IF($A$1="BL",0,'Peak Hours'!S235*Peak!Y236*'Peak Hours'!$Y235)</f>
        <v>0</v>
      </c>
      <c r="T235" s="417" t="n">
        <f aca="false">IF($A$1="BL",0,'Peak Hours'!T235*Peak!Z236*'Peak Hours'!$Y235)</f>
        <v>0</v>
      </c>
      <c r="U235" s="417" t="n">
        <f aca="false">IF($A$1="BL",0,'Peak Hours'!U235*Peak!AA236*'Peak Hours'!$Y235)</f>
        <v>0</v>
      </c>
      <c r="V235" s="424"/>
      <c r="W235" s="422" t="n">
        <f aca="false">(IF($A$1="BL",0,Peak!C236*'Peak Hours'!V235*'Peak Hours'!$Y235))*-1</f>
        <v>-5146270.38278405</v>
      </c>
      <c r="X235" s="424"/>
      <c r="Y235" s="422" t="n">
        <f aca="false">(IF($A$1="bl",0,Peak!D236*'Peak Hours'!V235*'Peak Hours'!$Y235))*-1</f>
        <v>-82239.9683276435</v>
      </c>
      <c r="Z235" s="424"/>
      <c r="AA235" s="422" t="n">
        <f aca="false">(Peak!E236*'Peak Hours'!V235*'Peak Hours'!$Y235)*-1</f>
        <v>-0</v>
      </c>
      <c r="AB235" s="425"/>
      <c r="AC235" s="422" t="n">
        <f aca="false">(Peak!F236*'Peak Hours'!V235*'Peak Hours'!$Y235)*-1</f>
        <v>-0</v>
      </c>
      <c r="AD235" s="425"/>
    </row>
    <row r="236" customFormat="false" ht="12.75" hidden="false" customHeight="false" outlineLevel="0" collapsed="false">
      <c r="A236" s="400" t="n">
        <f aca="false">A235+30.417</f>
        <v>43414.242</v>
      </c>
      <c r="B236" s="417" t="n">
        <f aca="false">IF($A$1="BL",0,'Peak Hours'!B236*Peak!H237*'Peak Hours'!$Y236)</f>
        <v>556685.528732034</v>
      </c>
      <c r="C236" s="417" t="n">
        <f aca="false">IF($A$1="BL",0,'Peak Hours'!C236*Peak!I237*'Peak Hours'!$Y236)</f>
        <v>537673.467865053</v>
      </c>
      <c r="D236" s="417" t="n">
        <f aca="false">IF($A$1="BL",0,'Peak Hours'!D236*Peak!J237*'Peak Hours'!$Y236)</f>
        <v>1034639.93043255</v>
      </c>
      <c r="E236" s="417" t="n">
        <f aca="false">IF($A$1="BL",0,'Peak Hours'!E236*Peak!K237*'Peak Hours'!$Y236)</f>
        <v>2001234.06564002</v>
      </c>
      <c r="F236" s="417" t="n">
        <f aca="false">IF($A$1="BL",0,'Peak Hours'!F236*Peak!L237*'Peak Hours'!$Y236)</f>
        <v>1619339.0530629</v>
      </c>
      <c r="G236" s="417" t="n">
        <f aca="false">IF($A$1="BL",0,'Peak Hours'!G236*Peak!M237*'Peak Hours'!$Y236)</f>
        <v>2238155.51771484</v>
      </c>
      <c r="H236" s="417" t="n">
        <f aca="false">IF($A$1="BL",0,'Peak Hours'!H236*Peak!N237*'Peak Hours'!$Y236)</f>
        <v>2086644.08382026</v>
      </c>
      <c r="I236" s="417" t="n">
        <f aca="false">IF($A$1="BL",0,'Peak Hours'!I236*Peak!O237*'Peak Hours'!$Y236)</f>
        <v>1889646.83658348</v>
      </c>
      <c r="J236" s="417" t="n">
        <f aca="false">IF($A$1="BL",0,'Peak Hours'!J236*Peak!P237*'Peak Hours'!$Y236)</f>
        <v>1759816.07967845</v>
      </c>
      <c r="K236" s="417" t="n">
        <f aca="false">IF($A$1="BL",0,'Peak Hours'!K236*Peak!Q237*'Peak Hours'!$Y236)</f>
        <v>1715455.85633361</v>
      </c>
      <c r="L236" s="417" t="n">
        <f aca="false">IF($A$1="BL",0,'Peak Hours'!L236*Peak!R237*'Peak Hours'!$Y236)</f>
        <v>1672468.93469094</v>
      </c>
      <c r="M236" s="417" t="n">
        <f aca="false">IF($A$1="BL",0,'Peak Hours'!M236*Peak!S237*'Peak Hours'!$Y236)</f>
        <v>0</v>
      </c>
      <c r="N236" s="417" t="n">
        <f aca="false">IF($A$1="BL",0,'Peak Hours'!N236*Peak!T237*'Peak Hours'!$Y236)</f>
        <v>0</v>
      </c>
      <c r="O236" s="417" t="n">
        <f aca="false">IF($A$1="BL",0,'Peak Hours'!O236*Peak!U237*'Peak Hours'!$Y236)</f>
        <v>0</v>
      </c>
      <c r="P236" s="417" t="n">
        <f aca="false">IF($A$1="BL",0,'Peak Hours'!P236*Peak!V237*'Peak Hours'!$Y236)</f>
        <v>0</v>
      </c>
      <c r="Q236" s="417" t="n">
        <f aca="false">IF($A$1="BL",0,'Peak Hours'!Q236*Peak!W237*'Peak Hours'!$Y236)</f>
        <v>0</v>
      </c>
      <c r="R236" s="417" t="n">
        <f aca="false">IF($A$1="BL",0,'Peak Hours'!R236*Peak!X237*'Peak Hours'!$Y236)</f>
        <v>0</v>
      </c>
      <c r="S236" s="417" t="n">
        <f aca="false">IF($A$1="BL",0,'Peak Hours'!S236*Peak!Y237*'Peak Hours'!$Y236)</f>
        <v>0</v>
      </c>
      <c r="T236" s="417" t="n">
        <f aca="false">IF($A$1="BL",0,'Peak Hours'!T236*Peak!Z237*'Peak Hours'!$Y236)</f>
        <v>0</v>
      </c>
      <c r="U236" s="417" t="n">
        <f aca="false">IF($A$1="BL",0,'Peak Hours'!U236*Peak!AA237*'Peak Hours'!$Y236)</f>
        <v>0</v>
      </c>
      <c r="V236" s="424"/>
      <c r="W236" s="422" t="n">
        <f aca="false">(IF($A$1="BL",0,Peak!C237*'Peak Hours'!V236*'Peak Hours'!$Y236))*-1</f>
        <v>-12075857.6293986</v>
      </c>
      <c r="X236" s="424"/>
      <c r="Y236" s="422" t="n">
        <f aca="false">(IF($A$1="bl",0,Peak!D237*'Peak Hours'!V236*'Peak Hours'!$Y236))*-1</f>
        <v>-176522.217731835</v>
      </c>
      <c r="Z236" s="424"/>
      <c r="AA236" s="422" t="n">
        <f aca="false">(Peak!E237*'Peak Hours'!V236*'Peak Hours'!$Y236)*-1</f>
        <v>-0</v>
      </c>
      <c r="AB236" s="425"/>
      <c r="AC236" s="422" t="n">
        <f aca="false">(Peak!F237*'Peak Hours'!V236*'Peak Hours'!$Y236)*-1</f>
        <v>-0</v>
      </c>
      <c r="AD236" s="425"/>
    </row>
    <row r="237" customFormat="false" ht="12.75" hidden="false" customHeight="false" outlineLevel="0" collapsed="false">
      <c r="A237" s="400" t="n">
        <f aca="false">A236+30.417</f>
        <v>43444.659</v>
      </c>
      <c r="B237" s="417" t="n">
        <f aca="false">IF($A$1="BL",0,'Peak Hours'!B237*Peak!H238*'Peak Hours'!$Y237)</f>
        <v>492111.686868991</v>
      </c>
      <c r="C237" s="417" t="n">
        <f aca="false">IF($A$1="BL",0,'Peak Hours'!C237*Peak!I238*'Peak Hours'!$Y237)</f>
        <v>484089.023098498</v>
      </c>
      <c r="D237" s="417" t="n">
        <f aca="false">IF($A$1="BL",0,'Peak Hours'!D237*Peak!J238*'Peak Hours'!$Y237)</f>
        <v>940110.434172879</v>
      </c>
      <c r="E237" s="417" t="n">
        <f aca="false">IF($A$1="BL",0,'Peak Hours'!E237*Peak!K238*'Peak Hours'!$Y237)</f>
        <v>1575763.26748859</v>
      </c>
      <c r="F237" s="417" t="n">
        <f aca="false">IF($A$1="BL",0,'Peak Hours'!F237*Peak!L238*'Peak Hours'!$Y237)</f>
        <v>1448271.95365437</v>
      </c>
      <c r="G237" s="417" t="n">
        <f aca="false">IF($A$1="BL",0,'Peak Hours'!G237*Peak!M238*'Peak Hours'!$Y237)</f>
        <v>2665963.35915628</v>
      </c>
      <c r="H237" s="417" t="n">
        <f aca="false">IF($A$1="BL",0,'Peak Hours'!H237*Peak!N238*'Peak Hours'!$Y237)</f>
        <v>2619649.0319548</v>
      </c>
      <c r="I237" s="417" t="n">
        <f aca="false">IF($A$1="BL",0,'Peak Hours'!I237*Peak!O238*'Peak Hours'!$Y237)</f>
        <v>2407166.97520461</v>
      </c>
      <c r="J237" s="417" t="n">
        <f aca="false">IF($A$1="BL",0,'Peak Hours'!J237*Peak!P238*'Peak Hours'!$Y237)</f>
        <v>1816054.54937475</v>
      </c>
      <c r="K237" s="417" t="n">
        <f aca="false">IF($A$1="BL",0,'Peak Hours'!K237*Peak!Q238*'Peak Hours'!$Y237)</f>
        <v>0</v>
      </c>
      <c r="L237" s="417" t="n">
        <f aca="false">IF($A$1="BL",0,'Peak Hours'!L237*Peak!R238*'Peak Hours'!$Y237)</f>
        <v>0</v>
      </c>
      <c r="M237" s="417" t="n">
        <f aca="false">IF($A$1="BL",0,'Peak Hours'!M237*Peak!S238*'Peak Hours'!$Y237)</f>
        <v>0</v>
      </c>
      <c r="N237" s="417" t="n">
        <f aca="false">IF($A$1="BL",0,'Peak Hours'!N237*Peak!T238*'Peak Hours'!$Y237)</f>
        <v>0</v>
      </c>
      <c r="O237" s="417" t="n">
        <f aca="false">IF($A$1="BL",0,'Peak Hours'!O237*Peak!U238*'Peak Hours'!$Y237)</f>
        <v>0</v>
      </c>
      <c r="P237" s="417" t="n">
        <f aca="false">IF($A$1="BL",0,'Peak Hours'!P237*Peak!V238*'Peak Hours'!$Y237)</f>
        <v>0</v>
      </c>
      <c r="Q237" s="417" t="n">
        <f aca="false">IF($A$1="BL",0,'Peak Hours'!Q237*Peak!W238*'Peak Hours'!$Y237)</f>
        <v>0</v>
      </c>
      <c r="R237" s="417" t="n">
        <f aca="false">IF($A$1="BL",0,'Peak Hours'!R237*Peak!X238*'Peak Hours'!$Y237)</f>
        <v>0</v>
      </c>
      <c r="S237" s="417" t="n">
        <f aca="false">IF($A$1="BL",0,'Peak Hours'!S237*Peak!Y238*'Peak Hours'!$Y237)</f>
        <v>0</v>
      </c>
      <c r="T237" s="417" t="n">
        <f aca="false">IF($A$1="BL",0,'Peak Hours'!T237*Peak!Z238*'Peak Hours'!$Y237)</f>
        <v>0</v>
      </c>
      <c r="U237" s="417" t="n">
        <f aca="false">IF($A$1="BL",0,'Peak Hours'!U237*Peak!AA238*'Peak Hours'!$Y237)</f>
        <v>0</v>
      </c>
      <c r="V237" s="426" t="n">
        <f aca="false">SUM(B226:U237)</f>
        <v>151684851.301135</v>
      </c>
      <c r="W237" s="422" t="n">
        <f aca="false">(IF($A$1="BL",0,Peak!C238*'Peak Hours'!V237*'Peak Hours'!$Y237))*-1</f>
        <v>-9323885.40043914</v>
      </c>
      <c r="X237" s="426" t="n">
        <f aca="false">SUM(W226:W237)</f>
        <v>-86418779.3594488</v>
      </c>
      <c r="Y237" s="422" t="n">
        <f aca="false">(IF($A$1="bl",0,Peak!D238*'Peak Hours'!V237*'Peak Hours'!$Y237))*-1</f>
        <v>-126154.394777349</v>
      </c>
      <c r="Z237" s="426" t="n">
        <f aca="false">SUM(Y226:Y237)</f>
        <v>-1352164.35782342</v>
      </c>
      <c r="AA237" s="422" t="n">
        <f aca="false">(Peak!E238*'Peak Hours'!V237*'Peak Hours'!$Y237)*-1</f>
        <v>-0</v>
      </c>
      <c r="AB237" s="427" t="n">
        <f aca="false">SUM(AA226:AA237)</f>
        <v>0</v>
      </c>
      <c r="AC237" s="422" t="n">
        <f aca="false">(Peak!F238*'Peak Hours'!V237*'Peak Hours'!$Y237)*-1</f>
        <v>-0</v>
      </c>
      <c r="AD237" s="427" t="n">
        <f aca="false">SUM(AC226:AC237)</f>
        <v>0</v>
      </c>
    </row>
    <row r="238" customFormat="false" ht="12.75" hidden="false" customHeight="false" outlineLevel="0" collapsed="false">
      <c r="A238" s="400" t="n">
        <f aca="false">A237+30.417</f>
        <v>43475.076</v>
      </c>
      <c r="B238" s="417" t="n">
        <f aca="false">IF($A$1="BL",0,'Peak Hours'!B238*Peak!H239*'Peak Hours'!$Y238)</f>
        <v>447920.406585275</v>
      </c>
      <c r="C238" s="417" t="n">
        <f aca="false">IF($A$1="BL",0,'Peak Hours'!C238*Peak!I239*'Peak Hours'!$Y238)</f>
        <v>425674.782066108</v>
      </c>
      <c r="D238" s="417" t="n">
        <f aca="false">IF($A$1="BL",0,'Peak Hours'!D238*Peak!J239*'Peak Hours'!$Y238)</f>
        <v>811352.429024515</v>
      </c>
      <c r="E238" s="417" t="n">
        <f aca="false">IF($A$1="BL",0,'Peak Hours'!E238*Peak!K239*'Peak Hours'!$Y238)</f>
        <v>1513597.52356587</v>
      </c>
      <c r="F238" s="417" t="n">
        <f aca="false">IF($A$1="BL",0,'Peak Hours'!F238*Peak!L239*'Peak Hours'!$Y238)</f>
        <v>1497717.4982616</v>
      </c>
      <c r="G238" s="417" t="n">
        <f aca="false">IF($A$1="BL",0,'Peak Hours'!G238*Peak!M239*'Peak Hours'!$Y238)</f>
        <v>2737680.61688869</v>
      </c>
      <c r="H238" s="417" t="n">
        <f aca="false">IF($A$1="BL",0,'Peak Hours'!H238*Peak!N239*'Peak Hours'!$Y238)</f>
        <v>1994561.18562132</v>
      </c>
      <c r="I238" s="417" t="n">
        <f aca="false">IF($A$1="BL",0,'Peak Hours'!I238*Peak!O239*'Peak Hours'!$Y238)</f>
        <v>0</v>
      </c>
      <c r="J238" s="417" t="n">
        <f aca="false">IF($A$1="BL",0,'Peak Hours'!J238*Peak!P239*'Peak Hours'!$Y238)</f>
        <v>0</v>
      </c>
      <c r="K238" s="417" t="n">
        <f aca="false">IF($A$1="BL",0,'Peak Hours'!K238*Peak!Q239*'Peak Hours'!$Y238)</f>
        <v>0</v>
      </c>
      <c r="L238" s="417" t="n">
        <f aca="false">IF($A$1="BL",0,'Peak Hours'!L238*Peak!R239*'Peak Hours'!$Y238)</f>
        <v>0</v>
      </c>
      <c r="M238" s="417" t="n">
        <f aca="false">IF($A$1="BL",0,'Peak Hours'!M238*Peak!S239*'Peak Hours'!$Y238)</f>
        <v>0</v>
      </c>
      <c r="N238" s="417" t="n">
        <f aca="false">IF($A$1="BL",0,'Peak Hours'!N238*Peak!T239*'Peak Hours'!$Y238)</f>
        <v>0</v>
      </c>
      <c r="O238" s="417" t="n">
        <f aca="false">IF($A$1="BL",0,'Peak Hours'!O238*Peak!U239*'Peak Hours'!$Y238)</f>
        <v>0</v>
      </c>
      <c r="P238" s="417" t="n">
        <f aca="false">IF($A$1="BL",0,'Peak Hours'!P238*Peak!V239*'Peak Hours'!$Y238)</f>
        <v>0</v>
      </c>
      <c r="Q238" s="417" t="n">
        <f aca="false">IF($A$1="BL",0,'Peak Hours'!Q238*Peak!W239*'Peak Hours'!$Y238)</f>
        <v>0</v>
      </c>
      <c r="R238" s="417" t="n">
        <f aca="false">IF($A$1="BL",0,'Peak Hours'!R238*Peak!X239*'Peak Hours'!$Y238)</f>
        <v>0</v>
      </c>
      <c r="S238" s="417" t="n">
        <f aca="false">IF($A$1="BL",0,'Peak Hours'!S238*Peak!Y239*'Peak Hours'!$Y238)</f>
        <v>0</v>
      </c>
      <c r="T238" s="417" t="n">
        <f aca="false">IF($A$1="BL",0,'Peak Hours'!T238*Peak!Z239*'Peak Hours'!$Y238)</f>
        <v>0</v>
      </c>
      <c r="U238" s="417" t="n">
        <f aca="false">IF($A$1="BL",0,'Peak Hours'!U238*Peak!AA239*'Peak Hours'!$Y238)</f>
        <v>0</v>
      </c>
      <c r="V238" s="424"/>
      <c r="W238" s="422" t="n">
        <f aca="false">(IF($A$1="BL",0,Peak!C239*'Peak Hours'!V238*'Peak Hours'!$Y238))*-1</f>
        <v>-5762811.59383582</v>
      </c>
      <c r="X238" s="424"/>
      <c r="Y238" s="422" t="n">
        <f aca="false">(IF($A$1="bl",0,Peak!D239*'Peak Hours'!V238*'Peak Hours'!$Y238))*-1</f>
        <v>-80413.8695194403</v>
      </c>
      <c r="Z238" s="424"/>
      <c r="AA238" s="422" t="n">
        <f aca="false">(Peak!E239*'Peak Hours'!V238*'Peak Hours'!$Y238)*-1</f>
        <v>-0</v>
      </c>
      <c r="AB238" s="425"/>
      <c r="AC238" s="422" t="n">
        <f aca="false">(Peak!F239*'Peak Hours'!V238*'Peak Hours'!$Y238)*-1</f>
        <v>-0</v>
      </c>
      <c r="AD238" s="425"/>
    </row>
    <row r="239" customFormat="false" ht="12.75" hidden="false" customHeight="false" outlineLevel="0" collapsed="false">
      <c r="A239" s="400" t="n">
        <f aca="false">A238+30.417</f>
        <v>43505.493</v>
      </c>
      <c r="B239" s="417" t="n">
        <f aca="false">IF($A$1="BL",0,'Peak Hours'!B239*Peak!H240*'Peak Hours'!$Y239)</f>
        <v>508677.818861314</v>
      </c>
      <c r="C239" s="417" t="n">
        <f aca="false">IF($A$1="BL",0,'Peak Hours'!C239*Peak!I240*'Peak Hours'!$Y239)</f>
        <v>491813.15260916</v>
      </c>
      <c r="D239" s="417" t="n">
        <f aca="false">IF($A$1="BL",0,'Peak Hours'!D239*Peak!J240*'Peak Hours'!$Y239)</f>
        <v>961381.926408048</v>
      </c>
      <c r="E239" s="417" t="n">
        <f aca="false">IF($A$1="BL",0,'Peak Hours'!E239*Peak!K240*'Peak Hours'!$Y239)</f>
        <v>1595188.81529147</v>
      </c>
      <c r="F239" s="417" t="n">
        <f aca="false">IF($A$1="BL",0,'Peak Hours'!F239*Peak!L240*'Peak Hours'!$Y239)</f>
        <v>1462131.3954575</v>
      </c>
      <c r="G239" s="417" t="n">
        <f aca="false">IF($A$1="BL",0,'Peak Hours'!G239*Peak!M240*'Peak Hours'!$Y239)</f>
        <v>2748718.44980621</v>
      </c>
      <c r="H239" s="417" t="n">
        <f aca="false">IF($A$1="BL",0,'Peak Hours'!H239*Peak!N240*'Peak Hours'!$Y239)</f>
        <v>2647740.3199191</v>
      </c>
      <c r="I239" s="417" t="n">
        <f aca="false">IF($A$1="BL",0,'Peak Hours'!I239*Peak!O240*'Peak Hours'!$Y239)</f>
        <v>2044258.56999348</v>
      </c>
      <c r="J239" s="417" t="n">
        <f aca="false">IF($A$1="BL",0,'Peak Hours'!J239*Peak!P240*'Peak Hours'!$Y239)</f>
        <v>1705806.29996065</v>
      </c>
      <c r="K239" s="417" t="n">
        <f aca="false">IF($A$1="BL",0,'Peak Hours'!K239*Peak!Q240*'Peak Hours'!$Y239)</f>
        <v>1525600.74528878</v>
      </c>
      <c r="L239" s="417" t="n">
        <f aca="false">IF($A$1="BL",0,'Peak Hours'!L239*Peak!R240*'Peak Hours'!$Y239)</f>
        <v>0</v>
      </c>
      <c r="M239" s="417" t="n">
        <f aca="false">IF($A$1="BL",0,'Peak Hours'!M239*Peak!S240*'Peak Hours'!$Y239)</f>
        <v>0</v>
      </c>
      <c r="N239" s="417" t="n">
        <f aca="false">IF($A$1="BL",0,'Peak Hours'!N239*Peak!T240*'Peak Hours'!$Y239)</f>
        <v>0</v>
      </c>
      <c r="O239" s="417" t="n">
        <f aca="false">IF($A$1="BL",0,'Peak Hours'!O239*Peak!U240*'Peak Hours'!$Y239)</f>
        <v>0</v>
      </c>
      <c r="P239" s="417" t="n">
        <f aca="false">IF($A$1="BL",0,'Peak Hours'!P239*Peak!V240*'Peak Hours'!$Y239)</f>
        <v>0</v>
      </c>
      <c r="Q239" s="417" t="n">
        <f aca="false">IF($A$1="BL",0,'Peak Hours'!Q239*Peak!W240*'Peak Hours'!$Y239)</f>
        <v>0</v>
      </c>
      <c r="R239" s="417" t="n">
        <f aca="false">IF($A$1="BL",0,'Peak Hours'!R239*Peak!X240*'Peak Hours'!$Y239)</f>
        <v>0</v>
      </c>
      <c r="S239" s="417" t="n">
        <f aca="false">IF($A$1="BL",0,'Peak Hours'!S239*Peak!Y240*'Peak Hours'!$Y239)</f>
        <v>0</v>
      </c>
      <c r="T239" s="417" t="n">
        <f aca="false">IF($A$1="BL",0,'Peak Hours'!T239*Peak!Z240*'Peak Hours'!$Y239)</f>
        <v>0</v>
      </c>
      <c r="U239" s="417" t="n">
        <f aca="false">IF($A$1="BL",0,'Peak Hours'!U239*Peak!AA240*'Peak Hours'!$Y239)</f>
        <v>0</v>
      </c>
      <c r="V239" s="424"/>
      <c r="W239" s="422" t="n">
        <f aca="false">(IF($A$1="BL",0,Peak!C240*'Peak Hours'!V239*'Peak Hours'!$Y239))*-1</f>
        <v>-9592278.72059071</v>
      </c>
      <c r="X239" s="424"/>
      <c r="Y239" s="422" t="n">
        <f aca="false">(IF($A$1="bl",0,Peak!D240*'Peak Hours'!V239*'Peak Hours'!$Y239))*-1</f>
        <v>-149588.943465568</v>
      </c>
      <c r="Z239" s="424"/>
      <c r="AA239" s="422" t="n">
        <f aca="false">(Peak!E240*'Peak Hours'!V239*'Peak Hours'!$Y239)*-1</f>
        <v>-0</v>
      </c>
      <c r="AB239" s="425"/>
      <c r="AC239" s="422" t="n">
        <f aca="false">(Peak!F240*'Peak Hours'!V239*'Peak Hours'!$Y239)*-1</f>
        <v>-0</v>
      </c>
      <c r="AD239" s="425"/>
    </row>
    <row r="240" customFormat="false" ht="12.75" hidden="false" customHeight="false" outlineLevel="0" collapsed="false">
      <c r="A240" s="400" t="n">
        <f aca="false">A239+30.417</f>
        <v>43535.91</v>
      </c>
      <c r="B240" s="417" t="n">
        <f aca="false">IF($A$1="BL",0,'Peak Hours'!B240*Peak!H241*'Peak Hours'!$Y240)</f>
        <v>321497.237650355</v>
      </c>
      <c r="C240" s="417" t="n">
        <f aca="false">IF($A$1="BL",0,'Peak Hours'!C240*Peak!I241*'Peak Hours'!$Y240)</f>
        <v>311317.258344834</v>
      </c>
      <c r="D240" s="417" t="n">
        <f aca="false">IF($A$1="BL",0,'Peak Hours'!D240*Peak!J241*'Peak Hours'!$Y240)</f>
        <v>622290.766923137</v>
      </c>
      <c r="E240" s="417" t="n">
        <f aca="false">IF($A$1="BL",0,'Peak Hours'!E240*Peak!K241*'Peak Hours'!$Y240)</f>
        <v>1237388.03824678</v>
      </c>
      <c r="F240" s="417" t="n">
        <f aca="false">IF($A$1="BL",0,'Peak Hours'!F240*Peak!L241*'Peak Hours'!$Y240)</f>
        <v>1234421.91720999</v>
      </c>
      <c r="G240" s="417" t="n">
        <f aca="false">IF($A$1="BL",0,'Peak Hours'!G240*Peak!M241*'Peak Hours'!$Y240)</f>
        <v>2230870.86638172</v>
      </c>
      <c r="H240" s="417" t="n">
        <f aca="false">IF($A$1="BL",0,'Peak Hours'!H240*Peak!N241*'Peak Hours'!$Y240)</f>
        <v>1984799.29424413</v>
      </c>
      <c r="I240" s="417" t="n">
        <f aca="false">IF($A$1="BL",0,'Peak Hours'!I240*Peak!O241*'Peak Hours'!$Y240)</f>
        <v>1869981.08725385</v>
      </c>
      <c r="J240" s="417" t="n">
        <f aca="false">IF($A$1="BL",0,'Peak Hours'!J240*Peak!P241*'Peak Hours'!$Y240)</f>
        <v>1773298.95843643</v>
      </c>
      <c r="K240" s="417" t="n">
        <f aca="false">IF($A$1="BL",0,'Peak Hours'!K240*Peak!Q241*'Peak Hours'!$Y240)</f>
        <v>1708983.08569162</v>
      </c>
      <c r="L240" s="417" t="n">
        <f aca="false">IF($A$1="BL",0,'Peak Hours'!L240*Peak!R241*'Peak Hours'!$Y240)</f>
        <v>1627750.08550126</v>
      </c>
      <c r="M240" s="417" t="n">
        <f aca="false">IF($A$1="BL",0,'Peak Hours'!M240*Peak!S241*'Peak Hours'!$Y240)</f>
        <v>0</v>
      </c>
      <c r="N240" s="417" t="n">
        <f aca="false">IF($A$1="BL",0,'Peak Hours'!N240*Peak!T241*'Peak Hours'!$Y240)</f>
        <v>0</v>
      </c>
      <c r="O240" s="417" t="n">
        <f aca="false">IF($A$1="BL",0,'Peak Hours'!O240*Peak!U241*'Peak Hours'!$Y240)</f>
        <v>0</v>
      </c>
      <c r="P240" s="417" t="n">
        <f aca="false">IF($A$1="BL",0,'Peak Hours'!P240*Peak!V241*'Peak Hours'!$Y240)</f>
        <v>0</v>
      </c>
      <c r="Q240" s="417" t="n">
        <f aca="false">IF($A$1="BL",0,'Peak Hours'!Q240*Peak!W241*'Peak Hours'!$Y240)</f>
        <v>0</v>
      </c>
      <c r="R240" s="417" t="n">
        <f aca="false">IF($A$1="BL",0,'Peak Hours'!R240*Peak!X241*'Peak Hours'!$Y240)</f>
        <v>0</v>
      </c>
      <c r="S240" s="417" t="n">
        <f aca="false">IF($A$1="BL",0,'Peak Hours'!S240*Peak!Y241*'Peak Hours'!$Y240)</f>
        <v>0</v>
      </c>
      <c r="T240" s="417" t="n">
        <f aca="false">IF($A$1="BL",0,'Peak Hours'!T240*Peak!Z241*'Peak Hours'!$Y240)</f>
        <v>0</v>
      </c>
      <c r="U240" s="417" t="n">
        <f aca="false">IF($A$1="BL",0,'Peak Hours'!U240*Peak!AA241*'Peak Hours'!$Y240)</f>
        <v>0</v>
      </c>
      <c r="V240" s="424"/>
      <c r="W240" s="422" t="n">
        <f aca="false">(IF($A$1="BL",0,Peak!C241*'Peak Hours'!V240*'Peak Hours'!$Y240))*-1</f>
        <v>-11184757.2660109</v>
      </c>
      <c r="X240" s="424"/>
      <c r="Y240" s="422" t="n">
        <f aca="false">(IF($A$1="bl",0,Peak!D241*'Peak Hours'!V240*'Peak Hours'!$Y240))*-1</f>
        <v>-177701.977823968</v>
      </c>
      <c r="Z240" s="424"/>
      <c r="AA240" s="422" t="n">
        <f aca="false">(Peak!E241*'Peak Hours'!V240*'Peak Hours'!$Y240)*-1</f>
        <v>-0</v>
      </c>
      <c r="AB240" s="425"/>
      <c r="AC240" s="422" t="n">
        <f aca="false">(Peak!F241*'Peak Hours'!V240*'Peak Hours'!$Y240)*-1</f>
        <v>-0</v>
      </c>
      <c r="AD240" s="425"/>
    </row>
    <row r="241" customFormat="false" ht="12.75" hidden="false" customHeight="false" outlineLevel="0" collapsed="false">
      <c r="A241" s="400" t="n">
        <f aca="false">A240+30.417</f>
        <v>43566.327</v>
      </c>
      <c r="B241" s="417" t="n">
        <f aca="false">IF($A$1="BL",0,'Peak Hours'!B241*Peak!H242*'Peak Hours'!$Y241)</f>
        <v>511191.758898209</v>
      </c>
      <c r="C241" s="417" t="n">
        <f aca="false">IF($A$1="BL",0,'Peak Hours'!C241*Peak!I242*'Peak Hours'!$Y241)</f>
        <v>500086.627467131</v>
      </c>
      <c r="D241" s="417" t="n">
        <f aca="false">IF($A$1="BL",0,'Peak Hours'!D241*Peak!J242*'Peak Hours'!$Y241)</f>
        <v>891638.708485353</v>
      </c>
      <c r="E241" s="417" t="n">
        <f aca="false">IF($A$1="BL",0,'Peak Hours'!E241*Peak!K242*'Peak Hours'!$Y241)</f>
        <v>1470820.5083882</v>
      </c>
      <c r="F241" s="417" t="n">
        <f aca="false">IF($A$1="BL",0,'Peak Hours'!F241*Peak!L242*'Peak Hours'!$Y241)</f>
        <v>1185584.98798775</v>
      </c>
      <c r="G241" s="417" t="n">
        <f aca="false">IF($A$1="BL",0,'Peak Hours'!G241*Peak!M242*'Peak Hours'!$Y241)</f>
        <v>1797447.81106301</v>
      </c>
      <c r="H241" s="417" t="n">
        <f aca="false">IF($A$1="BL",0,'Peak Hours'!H241*Peak!N242*'Peak Hours'!$Y241)</f>
        <v>1668817.85630984</v>
      </c>
      <c r="I241" s="417" t="n">
        <f aca="false">IF($A$1="BL",0,'Peak Hours'!I241*Peak!O242*'Peak Hours'!$Y241)</f>
        <v>1596096.03576745</v>
      </c>
      <c r="J241" s="417" t="n">
        <f aca="false">IF($A$1="BL",0,'Peak Hours'!J241*Peak!P242*'Peak Hours'!$Y241)</f>
        <v>1588989.00582697</v>
      </c>
      <c r="K241" s="417" t="n">
        <f aca="false">IF($A$1="BL",0,'Peak Hours'!K241*Peak!Q242*'Peak Hours'!$Y241)</f>
        <v>1448056.6184506</v>
      </c>
      <c r="L241" s="417" t="n">
        <f aca="false">IF($A$1="BL",0,'Peak Hours'!L241*Peak!R242*'Peak Hours'!$Y241)</f>
        <v>0</v>
      </c>
      <c r="M241" s="417" t="n">
        <f aca="false">IF($A$1="BL",0,'Peak Hours'!M241*Peak!S242*'Peak Hours'!$Y241)</f>
        <v>0</v>
      </c>
      <c r="N241" s="417" t="n">
        <f aca="false">IF($A$1="BL",0,'Peak Hours'!N241*Peak!T242*'Peak Hours'!$Y241)</f>
        <v>0</v>
      </c>
      <c r="O241" s="417" t="n">
        <f aca="false">IF($A$1="BL",0,'Peak Hours'!O241*Peak!U242*'Peak Hours'!$Y241)</f>
        <v>0</v>
      </c>
      <c r="P241" s="417" t="n">
        <f aca="false">IF($A$1="BL",0,'Peak Hours'!P241*Peak!V242*'Peak Hours'!$Y241)</f>
        <v>0</v>
      </c>
      <c r="Q241" s="417" t="n">
        <f aca="false">IF($A$1="BL",0,'Peak Hours'!Q241*Peak!W242*'Peak Hours'!$Y241)</f>
        <v>0</v>
      </c>
      <c r="R241" s="417" t="n">
        <f aca="false">IF($A$1="BL",0,'Peak Hours'!R241*Peak!X242*'Peak Hours'!$Y241)</f>
        <v>0</v>
      </c>
      <c r="S241" s="417" t="n">
        <f aca="false">IF($A$1="BL",0,'Peak Hours'!S241*Peak!Y242*'Peak Hours'!$Y241)</f>
        <v>0</v>
      </c>
      <c r="T241" s="417" t="n">
        <f aca="false">IF($A$1="BL",0,'Peak Hours'!T241*Peak!Z242*'Peak Hours'!$Y241)</f>
        <v>0</v>
      </c>
      <c r="U241" s="417" t="n">
        <f aca="false">IF($A$1="BL",0,'Peak Hours'!U241*Peak!AA242*'Peak Hours'!$Y241)</f>
        <v>0</v>
      </c>
      <c r="V241" s="424"/>
      <c r="W241" s="422" t="n">
        <f aca="false">(IF($A$1="BL",0,Peak!C242*'Peak Hours'!V241*'Peak Hours'!$Y241))*-1</f>
        <v>-9215609.86002303</v>
      </c>
      <c r="X241" s="424"/>
      <c r="Y241" s="422" t="n">
        <f aca="false">(IF($A$1="bl",0,Peak!D242*'Peak Hours'!V241*'Peak Hours'!$Y241))*-1</f>
        <v>-154265.061415407</v>
      </c>
      <c r="Z241" s="424"/>
      <c r="AA241" s="422" t="n">
        <f aca="false">(Peak!E242*'Peak Hours'!V241*'Peak Hours'!$Y241)*-1</f>
        <v>-0</v>
      </c>
      <c r="AB241" s="425"/>
      <c r="AC241" s="422" t="n">
        <f aca="false">(Peak!F242*'Peak Hours'!V241*'Peak Hours'!$Y241)*-1</f>
        <v>-0</v>
      </c>
      <c r="AD241" s="425"/>
    </row>
    <row r="242" customFormat="false" ht="12.75" hidden="false" customHeight="false" outlineLevel="0" collapsed="false">
      <c r="A242" s="400" t="n">
        <f aca="false">A241+30.417</f>
        <v>43596.744</v>
      </c>
      <c r="B242" s="417" t="n">
        <f aca="false">IF($A$1="BL",0,'Peak Hours'!B242*Peak!H243*'Peak Hours'!$Y242)</f>
        <v>300459.47187458</v>
      </c>
      <c r="C242" s="417" t="n">
        <f aca="false">IF($A$1="BL",0,'Peak Hours'!C242*Peak!I243*'Peak Hours'!$Y242)</f>
        <v>279465.11530467</v>
      </c>
      <c r="D242" s="417" t="n">
        <f aca="false">IF($A$1="BL",0,'Peak Hours'!D242*Peak!J243*'Peak Hours'!$Y242)</f>
        <v>553876.626725764</v>
      </c>
      <c r="E242" s="417" t="n">
        <f aca="false">IF($A$1="BL",0,'Peak Hours'!E242*Peak!K243*'Peak Hours'!$Y242)</f>
        <v>1046069.00633563</v>
      </c>
      <c r="F242" s="417" t="n">
        <f aca="false">IF($A$1="BL",0,'Peak Hours'!F242*Peak!L243*'Peak Hours'!$Y242)</f>
        <v>897979.027445301</v>
      </c>
      <c r="G242" s="417" t="n">
        <f aca="false">IF($A$1="BL",0,'Peak Hours'!G242*Peak!M243*'Peak Hours'!$Y242)</f>
        <v>1601432.03722197</v>
      </c>
      <c r="H242" s="417" t="n">
        <f aca="false">IF($A$1="BL",0,'Peak Hours'!H242*Peak!N243*'Peak Hours'!$Y242)</f>
        <v>1533033.26098873</v>
      </c>
      <c r="I242" s="417" t="n">
        <f aca="false">IF($A$1="BL",0,'Peak Hours'!I242*Peak!O243*'Peak Hours'!$Y242)</f>
        <v>0</v>
      </c>
      <c r="J242" s="417" t="n">
        <f aca="false">IF($A$1="BL",0,'Peak Hours'!J242*Peak!P243*'Peak Hours'!$Y242)</f>
        <v>0</v>
      </c>
      <c r="K242" s="417" t="n">
        <f aca="false">IF($A$1="BL",0,'Peak Hours'!K242*Peak!Q243*'Peak Hours'!$Y242)</f>
        <v>0</v>
      </c>
      <c r="L242" s="417" t="n">
        <f aca="false">IF($A$1="BL",0,'Peak Hours'!L242*Peak!R243*'Peak Hours'!$Y242)</f>
        <v>0</v>
      </c>
      <c r="M242" s="417" t="n">
        <f aca="false">IF($A$1="BL",0,'Peak Hours'!M242*Peak!S243*'Peak Hours'!$Y242)</f>
        <v>0</v>
      </c>
      <c r="N242" s="417" t="n">
        <f aca="false">IF($A$1="BL",0,'Peak Hours'!N242*Peak!T243*'Peak Hours'!$Y242)</f>
        <v>0</v>
      </c>
      <c r="O242" s="417" t="n">
        <f aca="false">IF($A$1="BL",0,'Peak Hours'!O242*Peak!U243*'Peak Hours'!$Y242)</f>
        <v>0</v>
      </c>
      <c r="P242" s="417" t="n">
        <f aca="false">IF($A$1="BL",0,'Peak Hours'!P242*Peak!V243*'Peak Hours'!$Y242)</f>
        <v>0</v>
      </c>
      <c r="Q242" s="417" t="n">
        <f aca="false">IF($A$1="BL",0,'Peak Hours'!Q242*Peak!W243*'Peak Hours'!$Y242)</f>
        <v>0</v>
      </c>
      <c r="R242" s="417" t="n">
        <f aca="false">IF($A$1="BL",0,'Peak Hours'!R242*Peak!X243*'Peak Hours'!$Y242)</f>
        <v>0</v>
      </c>
      <c r="S242" s="417" t="n">
        <f aca="false">IF($A$1="BL",0,'Peak Hours'!S242*Peak!Y243*'Peak Hours'!$Y242)</f>
        <v>0</v>
      </c>
      <c r="T242" s="417" t="n">
        <f aca="false">IF($A$1="BL",0,'Peak Hours'!T242*Peak!Z243*'Peak Hours'!$Y242)</f>
        <v>0</v>
      </c>
      <c r="U242" s="417" t="n">
        <f aca="false">IF($A$1="BL",0,'Peak Hours'!U242*Peak!AA243*'Peak Hours'!$Y242)</f>
        <v>0</v>
      </c>
      <c r="V242" s="424"/>
      <c r="W242" s="422" t="n">
        <f aca="false">(IF($A$1="BL",0,Peak!C243*'Peak Hours'!V242*'Peak Hours'!$Y242))*-1</f>
        <v>-5224804.45055437</v>
      </c>
      <c r="X242" s="424"/>
      <c r="Y242" s="422" t="n">
        <f aca="false">(IF($A$1="bl",0,Peak!D243*'Peak Hours'!V242*'Peak Hours'!$Y242))*-1</f>
        <v>-83204.2453044381</v>
      </c>
      <c r="Z242" s="424"/>
      <c r="AA242" s="422" t="n">
        <f aca="false">(Peak!E243*'Peak Hours'!V242*'Peak Hours'!$Y242)*-1</f>
        <v>-0</v>
      </c>
      <c r="AB242" s="425"/>
      <c r="AC242" s="422" t="n">
        <f aca="false">(Peak!F243*'Peak Hours'!V242*'Peak Hours'!$Y242)*-1</f>
        <v>-0</v>
      </c>
      <c r="AD242" s="425"/>
    </row>
    <row r="243" customFormat="false" ht="12.75" hidden="false" customHeight="false" outlineLevel="0" collapsed="false">
      <c r="A243" s="400" t="n">
        <f aca="false">A242+30.417</f>
        <v>43627.161</v>
      </c>
      <c r="B243" s="417" t="n">
        <f aca="false">IF($A$1="BL",0,'Peak Hours'!B243*Peak!H244*'Peak Hours'!$Y243)</f>
        <v>604222.715398321</v>
      </c>
      <c r="C243" s="417" t="n">
        <f aca="false">IF($A$1="BL",0,'Peak Hours'!C243*Peak!I244*'Peak Hours'!$Y243)</f>
        <v>565138.44446045</v>
      </c>
      <c r="D243" s="417" t="n">
        <f aca="false">IF($A$1="BL",0,'Peak Hours'!D243*Peak!J244*'Peak Hours'!$Y243)</f>
        <v>1063872.5021472</v>
      </c>
      <c r="E243" s="417" t="n">
        <f aca="false">IF($A$1="BL",0,'Peak Hours'!E243*Peak!K244*'Peak Hours'!$Y243)</f>
        <v>1929108.90210359</v>
      </c>
      <c r="F243" s="417" t="n">
        <f aca="false">IF($A$1="BL",0,'Peak Hours'!F243*Peak!L244*'Peak Hours'!$Y243)</f>
        <v>1215704.55765183</v>
      </c>
      <c r="G243" s="417" t="n">
        <f aca="false">IF($A$1="BL",0,'Peak Hours'!G243*Peak!M244*'Peak Hours'!$Y243)</f>
        <v>2292687.63034591</v>
      </c>
      <c r="H243" s="417" t="n">
        <f aca="false">IF($A$1="BL",0,'Peak Hours'!H243*Peak!N244*'Peak Hours'!$Y243)</f>
        <v>2105086.86956228</v>
      </c>
      <c r="I243" s="417" t="n">
        <f aca="false">IF($A$1="BL",0,'Peak Hours'!I243*Peak!O244*'Peak Hours'!$Y243)</f>
        <v>1998258.05773204</v>
      </c>
      <c r="J243" s="417" t="n">
        <f aca="false">IF($A$1="BL",0,'Peak Hours'!J243*Peak!P244*'Peak Hours'!$Y243)</f>
        <v>1836761.07227582</v>
      </c>
      <c r="K243" s="417" t="n">
        <f aca="false">IF($A$1="BL",0,'Peak Hours'!K243*Peak!Q244*'Peak Hours'!$Y243)</f>
        <v>1635389.1111446</v>
      </c>
      <c r="L243" s="417" t="n">
        <f aca="false">IF($A$1="BL",0,'Peak Hours'!L243*Peak!R244*'Peak Hours'!$Y243)</f>
        <v>0</v>
      </c>
      <c r="M243" s="417" t="n">
        <f aca="false">IF($A$1="BL",0,'Peak Hours'!M243*Peak!S244*'Peak Hours'!$Y243)</f>
        <v>0</v>
      </c>
      <c r="N243" s="417" t="n">
        <f aca="false">IF($A$1="BL",0,'Peak Hours'!N243*Peak!T244*'Peak Hours'!$Y243)</f>
        <v>0</v>
      </c>
      <c r="O243" s="417" t="n">
        <f aca="false">IF($A$1="BL",0,'Peak Hours'!O243*Peak!U244*'Peak Hours'!$Y243)</f>
        <v>0</v>
      </c>
      <c r="P243" s="417" t="n">
        <f aca="false">IF($A$1="BL",0,'Peak Hours'!P243*Peak!V244*'Peak Hours'!$Y243)</f>
        <v>0</v>
      </c>
      <c r="Q243" s="417" t="n">
        <f aca="false">IF($A$1="BL",0,'Peak Hours'!Q243*Peak!W244*'Peak Hours'!$Y243)</f>
        <v>0</v>
      </c>
      <c r="R243" s="417" t="n">
        <f aca="false">IF($A$1="BL",0,'Peak Hours'!R243*Peak!X244*'Peak Hours'!$Y243)</f>
        <v>0</v>
      </c>
      <c r="S243" s="417" t="n">
        <f aca="false">IF($A$1="BL",0,'Peak Hours'!S243*Peak!Y244*'Peak Hours'!$Y243)</f>
        <v>0</v>
      </c>
      <c r="T243" s="417" t="n">
        <f aca="false">IF($A$1="BL",0,'Peak Hours'!T243*Peak!Z244*'Peak Hours'!$Y243)</f>
        <v>0</v>
      </c>
      <c r="U243" s="417" t="n">
        <f aca="false">IF($A$1="BL",0,'Peak Hours'!U243*Peak!AA244*'Peak Hours'!$Y243)</f>
        <v>0</v>
      </c>
      <c r="V243" s="424"/>
      <c r="W243" s="422" t="n">
        <f aca="false">(IF($A$1="BL",0,Peak!C244*'Peak Hours'!V243*'Peak Hours'!$Y243))*-1</f>
        <v>-9401749.7651589</v>
      </c>
      <c r="X243" s="424"/>
      <c r="Y243" s="422" t="n">
        <f aca="false">(IF($A$1="bl",0,Peak!D244*'Peak Hours'!V243*'Peak Hours'!$Y243))*-1</f>
        <v>-157406.295468268</v>
      </c>
      <c r="Z243" s="424"/>
      <c r="AA243" s="422" t="n">
        <f aca="false">(Peak!E244*'Peak Hours'!V243*'Peak Hours'!$Y243)*-1</f>
        <v>-0</v>
      </c>
      <c r="AB243" s="425"/>
      <c r="AC243" s="422" t="n">
        <f aca="false">(Peak!F244*'Peak Hours'!V243*'Peak Hours'!$Y243)*-1</f>
        <v>-0</v>
      </c>
      <c r="AD243" s="425"/>
    </row>
    <row r="244" customFormat="false" ht="12.75" hidden="false" customHeight="false" outlineLevel="0" collapsed="false">
      <c r="A244" s="400" t="n">
        <f aca="false">A243+30.417</f>
        <v>43657.578</v>
      </c>
      <c r="B244" s="417" t="n">
        <f aca="false">IF($A$1="BL",0,'Peak Hours'!B244*Peak!H245*'Peak Hours'!$Y244)</f>
        <v>991732.03521386</v>
      </c>
      <c r="C244" s="417" t="n">
        <f aca="false">IF($A$1="BL",0,'Peak Hours'!C244*Peak!I245*'Peak Hours'!$Y244)</f>
        <v>746224.686579043</v>
      </c>
      <c r="D244" s="417" t="n">
        <f aca="false">IF($A$1="BL",0,'Peak Hours'!D244*Peak!J245*'Peak Hours'!$Y244)</f>
        <v>1379607.23393083</v>
      </c>
      <c r="E244" s="417" t="n">
        <f aca="false">IF($A$1="BL",0,'Peak Hours'!E244*Peak!K245*'Peak Hours'!$Y244)</f>
        <v>2539969.26881988</v>
      </c>
      <c r="F244" s="417" t="n">
        <f aca="false">IF($A$1="BL",0,'Peak Hours'!F244*Peak!L245*'Peak Hours'!$Y244)</f>
        <v>2352988.06653292</v>
      </c>
      <c r="G244" s="417" t="n">
        <f aca="false">IF($A$1="BL",0,'Peak Hours'!G244*Peak!M245*'Peak Hours'!$Y244)</f>
        <v>4330472.93329929</v>
      </c>
      <c r="H244" s="417" t="n">
        <f aca="false">IF($A$1="BL",0,'Peak Hours'!H244*Peak!N245*'Peak Hours'!$Y244)</f>
        <v>4003507.39291102</v>
      </c>
      <c r="I244" s="417" t="n">
        <f aca="false">IF($A$1="BL",0,'Peak Hours'!I244*Peak!O245*'Peak Hours'!$Y244)</f>
        <v>2590892.781905</v>
      </c>
      <c r="J244" s="417" t="n">
        <f aca="false">IF($A$1="BL",0,'Peak Hours'!J244*Peak!P245*'Peak Hours'!$Y244)</f>
        <v>2209052.84398022</v>
      </c>
      <c r="K244" s="417" t="n">
        <f aca="false">IF($A$1="BL",0,'Peak Hours'!K244*Peak!Q245*'Peak Hours'!$Y244)</f>
        <v>1993880.14851942</v>
      </c>
      <c r="L244" s="417" t="n">
        <f aca="false">IF($A$1="BL",0,'Peak Hours'!L244*Peak!R245*'Peak Hours'!$Y244)</f>
        <v>1758389.74288379</v>
      </c>
      <c r="M244" s="417" t="n">
        <f aca="false">IF($A$1="BL",0,'Peak Hours'!M244*Peak!S245*'Peak Hours'!$Y244)</f>
        <v>0</v>
      </c>
      <c r="N244" s="417" t="n">
        <f aca="false">IF($A$1="BL",0,'Peak Hours'!N244*Peak!T245*'Peak Hours'!$Y244)</f>
        <v>0</v>
      </c>
      <c r="O244" s="417" t="n">
        <f aca="false">IF($A$1="BL",0,'Peak Hours'!O244*Peak!U245*'Peak Hours'!$Y244)</f>
        <v>0</v>
      </c>
      <c r="P244" s="417" t="n">
        <f aca="false">IF($A$1="BL",0,'Peak Hours'!P244*Peak!V245*'Peak Hours'!$Y244)</f>
        <v>0</v>
      </c>
      <c r="Q244" s="417" t="n">
        <f aca="false">IF($A$1="BL",0,'Peak Hours'!Q244*Peak!W245*'Peak Hours'!$Y244)</f>
        <v>0</v>
      </c>
      <c r="R244" s="417" t="n">
        <f aca="false">IF($A$1="BL",0,'Peak Hours'!R244*Peak!X245*'Peak Hours'!$Y244)</f>
        <v>0</v>
      </c>
      <c r="S244" s="417" t="n">
        <f aca="false">IF($A$1="BL",0,'Peak Hours'!S244*Peak!Y245*'Peak Hours'!$Y244)</f>
        <v>0</v>
      </c>
      <c r="T244" s="417" t="n">
        <f aca="false">IF($A$1="BL",0,'Peak Hours'!T244*Peak!Z245*'Peak Hours'!$Y244)</f>
        <v>0</v>
      </c>
      <c r="U244" s="417" t="n">
        <f aca="false">IF($A$1="BL",0,'Peak Hours'!U244*Peak!AA245*'Peak Hours'!$Y244)</f>
        <v>0</v>
      </c>
      <c r="V244" s="424"/>
      <c r="W244" s="422" t="n">
        <f aca="false">(IF($A$1="BL",0,Peak!C245*'Peak Hours'!V244*'Peak Hours'!$Y244))*-1</f>
        <v>-10813843.1451742</v>
      </c>
      <c r="X244" s="424"/>
      <c r="Y244" s="422" t="n">
        <f aca="false">(IF($A$1="bl",0,Peak!D245*'Peak Hours'!V244*'Peak Hours'!$Y244))*-1</f>
        <v>-181925.353031594</v>
      </c>
      <c r="Z244" s="424"/>
      <c r="AA244" s="422" t="n">
        <f aca="false">(Peak!E245*'Peak Hours'!V244*'Peak Hours'!$Y244)*-1</f>
        <v>-0</v>
      </c>
      <c r="AB244" s="425"/>
      <c r="AC244" s="422" t="n">
        <f aca="false">(Peak!F245*'Peak Hours'!V244*'Peak Hours'!$Y244)*-1</f>
        <v>-0</v>
      </c>
      <c r="AD244" s="425"/>
    </row>
    <row r="245" customFormat="false" ht="12.75" hidden="false" customHeight="false" outlineLevel="0" collapsed="false">
      <c r="A245" s="400" t="n">
        <f aca="false">A244+30.417</f>
        <v>43687.995</v>
      </c>
      <c r="B245" s="417" t="n">
        <f aca="false">IF($A$1="BL",0,'Peak Hours'!B245*Peak!H246*'Peak Hours'!$Y245)</f>
        <v>989467.781988063</v>
      </c>
      <c r="C245" s="417" t="n">
        <f aca="false">IF($A$1="BL",0,'Peak Hours'!C245*Peak!I246*'Peak Hours'!$Y245)</f>
        <v>720968.484338354</v>
      </c>
      <c r="D245" s="417" t="n">
        <f aca="false">IF($A$1="BL",0,'Peak Hours'!D245*Peak!J246*'Peak Hours'!$Y245)</f>
        <v>1330956.71338097</v>
      </c>
      <c r="E245" s="417" t="n">
        <f aca="false">IF($A$1="BL",0,'Peak Hours'!E245*Peak!K246*'Peak Hours'!$Y245)</f>
        <v>2410344.07003236</v>
      </c>
      <c r="F245" s="417" t="n">
        <f aca="false">IF($A$1="BL",0,'Peak Hours'!F245*Peak!L246*'Peak Hours'!$Y245)</f>
        <v>2212024.04887419</v>
      </c>
      <c r="G245" s="417" t="n">
        <f aca="false">IF($A$1="BL",0,'Peak Hours'!G245*Peak!M246*'Peak Hours'!$Y245)</f>
        <v>4080024.46649296</v>
      </c>
      <c r="H245" s="417" t="n">
        <f aca="false">IF($A$1="BL",0,'Peak Hours'!H245*Peak!N246*'Peak Hours'!$Y245)</f>
        <v>3166533.05945356</v>
      </c>
      <c r="I245" s="417" t="n">
        <f aca="false">IF($A$1="BL",0,'Peak Hours'!I245*Peak!O246*'Peak Hours'!$Y245)</f>
        <v>2735846.65115138</v>
      </c>
      <c r="J245" s="417" t="n">
        <f aca="false">IF($A$1="BL",0,'Peak Hours'!J245*Peak!P246*'Peak Hours'!$Y245)</f>
        <v>2434477.64159236</v>
      </c>
      <c r="K245" s="417" t="n">
        <f aca="false">IF($A$1="BL",0,'Peak Hours'!K245*Peak!Q246*'Peak Hours'!$Y245)</f>
        <v>1759237.42010451</v>
      </c>
      <c r="L245" s="417" t="n">
        <f aca="false">IF($A$1="BL",0,'Peak Hours'!L245*Peak!R246*'Peak Hours'!$Y245)</f>
        <v>1502875.0582202</v>
      </c>
      <c r="M245" s="417" t="n">
        <f aca="false">IF($A$1="BL",0,'Peak Hours'!M245*Peak!S246*'Peak Hours'!$Y245)</f>
        <v>1395166.37654604</v>
      </c>
      <c r="N245" s="417" t="n">
        <f aca="false">IF($A$1="BL",0,'Peak Hours'!N245*Peak!T246*'Peak Hours'!$Y245)</f>
        <v>0</v>
      </c>
      <c r="O245" s="417" t="n">
        <f aca="false">IF($A$1="BL",0,'Peak Hours'!O245*Peak!U246*'Peak Hours'!$Y245)</f>
        <v>0</v>
      </c>
      <c r="P245" s="417" t="n">
        <f aca="false">IF($A$1="BL",0,'Peak Hours'!P245*Peak!V246*'Peak Hours'!$Y245)</f>
        <v>0</v>
      </c>
      <c r="Q245" s="417" t="n">
        <f aca="false">IF($A$1="BL",0,'Peak Hours'!Q245*Peak!W246*'Peak Hours'!$Y245)</f>
        <v>0</v>
      </c>
      <c r="R245" s="417" t="n">
        <f aca="false">IF($A$1="BL",0,'Peak Hours'!R245*Peak!X246*'Peak Hours'!$Y245)</f>
        <v>0</v>
      </c>
      <c r="S245" s="417" t="n">
        <f aca="false">IF($A$1="BL",0,'Peak Hours'!S245*Peak!Y246*'Peak Hours'!$Y245)</f>
        <v>0</v>
      </c>
      <c r="T245" s="417" t="n">
        <f aca="false">IF($A$1="BL",0,'Peak Hours'!T245*Peak!Z246*'Peak Hours'!$Y245)</f>
        <v>0</v>
      </c>
      <c r="U245" s="417" t="n">
        <f aca="false">IF($A$1="BL",0,'Peak Hours'!U245*Peak!AA246*'Peak Hours'!$Y245)</f>
        <v>0</v>
      </c>
      <c r="V245" s="424"/>
      <c r="W245" s="422" t="n">
        <f aca="false">(IF($A$1="BL",0,Peak!C246*'Peak Hours'!V245*'Peak Hours'!$Y245))*-1</f>
        <v>-11620208.7327897</v>
      </c>
      <c r="X245" s="424"/>
      <c r="Y245" s="422" t="n">
        <f aca="false">(IF($A$1="bl",0,Peak!D246*'Peak Hours'!V245*'Peak Hours'!$Y245))*-1</f>
        <v>-206525.703547089</v>
      </c>
      <c r="Z245" s="424"/>
      <c r="AA245" s="422" t="n">
        <f aca="false">(Peak!E246*'Peak Hours'!V245*'Peak Hours'!$Y245)*-1</f>
        <v>-0</v>
      </c>
      <c r="AB245" s="425"/>
      <c r="AC245" s="422" t="n">
        <f aca="false">(Peak!F246*'Peak Hours'!V245*'Peak Hours'!$Y245)*-1</f>
        <v>-0</v>
      </c>
      <c r="AD245" s="425"/>
    </row>
    <row r="246" customFormat="false" ht="12.75" hidden="false" customHeight="false" outlineLevel="0" collapsed="false">
      <c r="A246" s="400" t="n">
        <f aca="false">A245+30.417</f>
        <v>43718.412</v>
      </c>
      <c r="B246" s="417" t="n">
        <f aca="false">IF($A$1="BL",0,'Peak Hours'!B246*Peak!H247*'Peak Hours'!$Y246)</f>
        <v>553060.464858638</v>
      </c>
      <c r="C246" s="417" t="n">
        <f aca="false">IF($A$1="BL",0,'Peak Hours'!C246*Peak!I247*'Peak Hours'!$Y246)</f>
        <v>517379.38811627</v>
      </c>
      <c r="D246" s="417" t="n">
        <f aca="false">IF($A$1="BL",0,'Peak Hours'!D246*Peak!J247*'Peak Hours'!$Y246)</f>
        <v>995497.267089568</v>
      </c>
      <c r="E246" s="417" t="n">
        <f aca="false">IF($A$1="BL",0,'Peak Hours'!E246*Peak!K247*'Peak Hours'!$Y246)</f>
        <v>1551168.26176831</v>
      </c>
      <c r="F246" s="417" t="n">
        <f aca="false">IF($A$1="BL",0,'Peak Hours'!F246*Peak!L247*'Peak Hours'!$Y246)</f>
        <v>1279378.35661181</v>
      </c>
      <c r="G246" s="417" t="n">
        <f aca="false">IF($A$1="BL",0,'Peak Hours'!G246*Peak!M247*'Peak Hours'!$Y246)</f>
        <v>2360550.06701173</v>
      </c>
      <c r="H246" s="417" t="n">
        <f aca="false">IF($A$1="BL",0,'Peak Hours'!H246*Peak!N247*'Peak Hours'!$Y246)</f>
        <v>2018585.33645024</v>
      </c>
      <c r="I246" s="417" t="n">
        <f aca="false">IF($A$1="BL",0,'Peak Hours'!I246*Peak!O247*'Peak Hours'!$Y246)</f>
        <v>1555517.14195879</v>
      </c>
      <c r="J246" s="417" t="n">
        <f aca="false">IF($A$1="BL",0,'Peak Hours'!J246*Peak!P247*'Peak Hours'!$Y246)</f>
        <v>1436708.10637606</v>
      </c>
      <c r="K246" s="417" t="n">
        <f aca="false">IF($A$1="BL",0,'Peak Hours'!K246*Peak!Q247*'Peak Hours'!$Y246)</f>
        <v>0</v>
      </c>
      <c r="L246" s="417" t="n">
        <f aca="false">IF($A$1="BL",0,'Peak Hours'!L246*Peak!R247*'Peak Hours'!$Y246)</f>
        <v>0</v>
      </c>
      <c r="M246" s="417" t="n">
        <f aca="false">IF($A$1="BL",0,'Peak Hours'!M246*Peak!S247*'Peak Hours'!$Y246)</f>
        <v>0</v>
      </c>
      <c r="N246" s="417" t="n">
        <f aca="false">IF($A$1="BL",0,'Peak Hours'!N246*Peak!T247*'Peak Hours'!$Y246)</f>
        <v>0</v>
      </c>
      <c r="O246" s="417" t="n">
        <f aca="false">IF($A$1="BL",0,'Peak Hours'!O246*Peak!U247*'Peak Hours'!$Y246)</f>
        <v>0</v>
      </c>
      <c r="P246" s="417" t="n">
        <f aca="false">IF($A$1="BL",0,'Peak Hours'!P246*Peak!V247*'Peak Hours'!$Y246)</f>
        <v>0</v>
      </c>
      <c r="Q246" s="417" t="n">
        <f aca="false">IF($A$1="BL",0,'Peak Hours'!Q246*Peak!W247*'Peak Hours'!$Y246)</f>
        <v>0</v>
      </c>
      <c r="R246" s="417" t="n">
        <f aca="false">IF($A$1="BL",0,'Peak Hours'!R246*Peak!X247*'Peak Hours'!$Y246)</f>
        <v>0</v>
      </c>
      <c r="S246" s="417" t="n">
        <f aca="false">IF($A$1="BL",0,'Peak Hours'!S246*Peak!Y247*'Peak Hours'!$Y246)</f>
        <v>0</v>
      </c>
      <c r="T246" s="417" t="n">
        <f aca="false">IF($A$1="BL",0,'Peak Hours'!T246*Peak!Z247*'Peak Hours'!$Y246)</f>
        <v>0</v>
      </c>
      <c r="U246" s="417" t="n">
        <f aca="false">IF($A$1="BL",0,'Peak Hours'!U246*Peak!AA247*'Peak Hours'!$Y246)</f>
        <v>0</v>
      </c>
      <c r="V246" s="424"/>
      <c r="W246" s="422" t="n">
        <f aca="false">(IF($A$1="BL",0,Peak!C247*'Peak Hours'!V246*'Peak Hours'!$Y246))*-1</f>
        <v>-7368737.13105464</v>
      </c>
      <c r="X246" s="424"/>
      <c r="Y246" s="422" t="n">
        <f aca="false">(IF($A$1="bl",0,Peak!D247*'Peak Hours'!V246*'Peak Hours'!$Y246))*-1</f>
        <v>-131623.373438885</v>
      </c>
      <c r="Z246" s="424"/>
      <c r="AA246" s="422" t="n">
        <f aca="false">(Peak!E247*'Peak Hours'!V246*'Peak Hours'!$Y246)*-1</f>
        <v>-0</v>
      </c>
      <c r="AB246" s="425"/>
      <c r="AC246" s="422" t="n">
        <f aca="false">(Peak!F247*'Peak Hours'!V246*'Peak Hours'!$Y246)*-1</f>
        <v>-0</v>
      </c>
      <c r="AD246" s="425"/>
    </row>
    <row r="247" customFormat="false" ht="12.75" hidden="false" customHeight="false" outlineLevel="0" collapsed="false">
      <c r="A247" s="400" t="n">
        <f aca="false">A246+30.417</f>
        <v>43748.829</v>
      </c>
      <c r="B247" s="417" t="n">
        <f aca="false">IF($A$1="BL",0,'Peak Hours'!B247*Peak!H248*'Peak Hours'!$Y247)</f>
        <v>432084.367450756</v>
      </c>
      <c r="C247" s="417" t="n">
        <f aca="false">IF($A$1="BL",0,'Peak Hours'!C247*Peak!I248*'Peak Hours'!$Y247)</f>
        <v>355932.215466887</v>
      </c>
      <c r="D247" s="417" t="n">
        <f aca="false">IF($A$1="BL",0,'Peak Hours'!D247*Peak!J248*'Peak Hours'!$Y247)</f>
        <v>671856.567709876</v>
      </c>
      <c r="E247" s="417" t="n">
        <f aca="false">IF($A$1="BL",0,'Peak Hours'!E247*Peak!K248*'Peak Hours'!$Y247)</f>
        <v>1250395.59211784</v>
      </c>
      <c r="F247" s="417" t="n">
        <f aca="false">IF($A$1="BL",0,'Peak Hours'!F247*Peak!L248*'Peak Hours'!$Y247)</f>
        <v>1200619.74691313</v>
      </c>
      <c r="G247" s="417" t="n">
        <f aca="false">IF($A$1="BL",0,'Peak Hours'!G247*Peak!M248*'Peak Hours'!$Y247)</f>
        <v>2393261.04003806</v>
      </c>
      <c r="H247" s="417" t="n">
        <f aca="false">IF($A$1="BL",0,'Peak Hours'!H247*Peak!N248*'Peak Hours'!$Y247)</f>
        <v>1897686.50286752</v>
      </c>
      <c r="I247" s="417" t="n">
        <f aca="false">IF($A$1="BL",0,'Peak Hours'!I247*Peak!O248*'Peak Hours'!$Y247)</f>
        <v>1626978.62989141</v>
      </c>
      <c r="J247" s="417" t="n">
        <f aca="false">IF($A$1="BL",0,'Peak Hours'!J247*Peak!P248*'Peak Hours'!$Y247)</f>
        <v>0</v>
      </c>
      <c r="K247" s="417" t="n">
        <f aca="false">IF($A$1="BL",0,'Peak Hours'!K247*Peak!Q248*'Peak Hours'!$Y247)</f>
        <v>0</v>
      </c>
      <c r="L247" s="417" t="n">
        <f aca="false">IF($A$1="BL",0,'Peak Hours'!L247*Peak!R248*'Peak Hours'!$Y247)</f>
        <v>0</v>
      </c>
      <c r="M247" s="417" t="n">
        <f aca="false">IF($A$1="BL",0,'Peak Hours'!M247*Peak!S248*'Peak Hours'!$Y247)</f>
        <v>0</v>
      </c>
      <c r="N247" s="417" t="n">
        <f aca="false">IF($A$1="BL",0,'Peak Hours'!N247*Peak!T248*'Peak Hours'!$Y247)</f>
        <v>0</v>
      </c>
      <c r="O247" s="417" t="n">
        <f aca="false">IF($A$1="BL",0,'Peak Hours'!O247*Peak!U248*'Peak Hours'!$Y247)</f>
        <v>0</v>
      </c>
      <c r="P247" s="417" t="n">
        <f aca="false">IF($A$1="BL",0,'Peak Hours'!P247*Peak!V248*'Peak Hours'!$Y247)</f>
        <v>0</v>
      </c>
      <c r="Q247" s="417" t="n">
        <f aca="false">IF($A$1="BL",0,'Peak Hours'!Q247*Peak!W248*'Peak Hours'!$Y247)</f>
        <v>0</v>
      </c>
      <c r="R247" s="417" t="n">
        <f aca="false">IF($A$1="BL",0,'Peak Hours'!R247*Peak!X248*'Peak Hours'!$Y247)</f>
        <v>0</v>
      </c>
      <c r="S247" s="417" t="n">
        <f aca="false">IF($A$1="BL",0,'Peak Hours'!S247*Peak!Y248*'Peak Hours'!$Y247)</f>
        <v>0</v>
      </c>
      <c r="T247" s="417" t="n">
        <f aca="false">IF($A$1="BL",0,'Peak Hours'!T247*Peak!Z248*'Peak Hours'!$Y247)</f>
        <v>0</v>
      </c>
      <c r="U247" s="417" t="n">
        <f aca="false">IF($A$1="BL",0,'Peak Hours'!U247*Peak!AA248*'Peak Hours'!$Y247)</f>
        <v>0</v>
      </c>
      <c r="V247" s="424"/>
      <c r="W247" s="422" t="n">
        <f aca="false">(IF($A$1="BL",0,Peak!C248*'Peak Hours'!V247*'Peak Hours'!$Y247))*-1</f>
        <v>-6677097.54693244</v>
      </c>
      <c r="X247" s="424"/>
      <c r="Y247" s="422" t="n">
        <f aca="false">(IF($A$1="bl",0,Peak!D248*'Peak Hours'!V247*'Peak Hours'!$Y247))*-1</f>
        <v>-107871.337413777</v>
      </c>
      <c r="Z247" s="424"/>
      <c r="AA247" s="422" t="n">
        <f aca="false">(Peak!E248*'Peak Hours'!V247*'Peak Hours'!$Y247)*-1</f>
        <v>-0</v>
      </c>
      <c r="AB247" s="425"/>
      <c r="AC247" s="422" t="n">
        <f aca="false">(Peak!F248*'Peak Hours'!V247*'Peak Hours'!$Y247)*-1</f>
        <v>-0</v>
      </c>
      <c r="AD247" s="425"/>
    </row>
    <row r="248" customFormat="false" ht="12.75" hidden="false" customHeight="false" outlineLevel="0" collapsed="false">
      <c r="A248" s="400" t="n">
        <f aca="false">A247+30.417</f>
        <v>43779.246</v>
      </c>
      <c r="B248" s="417" t="n">
        <f aca="false">IF($A$1="BL",0,'Peak Hours'!B248*Peak!H249*'Peak Hours'!$Y248)</f>
        <v>411800.410205483</v>
      </c>
      <c r="C248" s="417" t="n">
        <f aca="false">IF($A$1="BL",0,'Peak Hours'!C248*Peak!I249*'Peak Hours'!$Y248)</f>
        <v>362419.829358453</v>
      </c>
      <c r="D248" s="417" t="n">
        <f aca="false">IF($A$1="BL",0,'Peak Hours'!D248*Peak!J249*'Peak Hours'!$Y248)</f>
        <v>699344.101928747</v>
      </c>
      <c r="E248" s="417" t="n">
        <f aca="false">IF($A$1="BL",0,'Peak Hours'!E248*Peak!K249*'Peak Hours'!$Y248)</f>
        <v>1309849.61895072</v>
      </c>
      <c r="F248" s="417" t="n">
        <f aca="false">IF($A$1="BL",0,'Peak Hours'!F248*Peak!L249*'Peak Hours'!$Y248)</f>
        <v>1301117.54819289</v>
      </c>
      <c r="G248" s="417" t="n">
        <f aca="false">IF($A$1="BL",0,'Peak Hours'!G248*Peak!M249*'Peak Hours'!$Y248)</f>
        <v>2323600.04583958</v>
      </c>
      <c r="H248" s="417" t="n">
        <f aca="false">IF($A$1="BL",0,'Peak Hours'!H248*Peak!N249*'Peak Hours'!$Y248)</f>
        <v>1909383.6330705</v>
      </c>
      <c r="I248" s="417" t="n">
        <f aca="false">IF($A$1="BL",0,'Peak Hours'!I248*Peak!O249*'Peak Hours'!$Y248)</f>
        <v>1800360.41923497</v>
      </c>
      <c r="J248" s="417" t="n">
        <f aca="false">IF($A$1="BL",0,'Peak Hours'!J248*Peak!P249*'Peak Hours'!$Y248)</f>
        <v>0</v>
      </c>
      <c r="K248" s="417" t="n">
        <f aca="false">IF($A$1="BL",0,'Peak Hours'!K248*Peak!Q249*'Peak Hours'!$Y248)</f>
        <v>0</v>
      </c>
      <c r="L248" s="417" t="n">
        <f aca="false">IF($A$1="BL",0,'Peak Hours'!L248*Peak!R249*'Peak Hours'!$Y248)</f>
        <v>0</v>
      </c>
      <c r="M248" s="417" t="n">
        <f aca="false">IF($A$1="BL",0,'Peak Hours'!M248*Peak!S249*'Peak Hours'!$Y248)</f>
        <v>0</v>
      </c>
      <c r="N248" s="417" t="n">
        <f aca="false">IF($A$1="BL",0,'Peak Hours'!N248*Peak!T249*'Peak Hours'!$Y248)</f>
        <v>0</v>
      </c>
      <c r="O248" s="417" t="n">
        <f aca="false">IF($A$1="BL",0,'Peak Hours'!O248*Peak!U249*'Peak Hours'!$Y248)</f>
        <v>0</v>
      </c>
      <c r="P248" s="417" t="n">
        <f aca="false">IF($A$1="BL",0,'Peak Hours'!P248*Peak!V249*'Peak Hours'!$Y248)</f>
        <v>0</v>
      </c>
      <c r="Q248" s="417" t="n">
        <f aca="false">IF($A$1="BL",0,'Peak Hours'!Q248*Peak!W249*'Peak Hours'!$Y248)</f>
        <v>0</v>
      </c>
      <c r="R248" s="417" t="n">
        <f aca="false">IF($A$1="BL",0,'Peak Hours'!R248*Peak!X249*'Peak Hours'!$Y248)</f>
        <v>0</v>
      </c>
      <c r="S248" s="417" t="n">
        <f aca="false">IF($A$1="BL",0,'Peak Hours'!S248*Peak!Y249*'Peak Hours'!$Y248)</f>
        <v>0</v>
      </c>
      <c r="T248" s="417" t="n">
        <f aca="false">IF($A$1="BL",0,'Peak Hours'!T248*Peak!Z249*'Peak Hours'!$Y248)</f>
        <v>0</v>
      </c>
      <c r="U248" s="417" t="n">
        <f aca="false">IF($A$1="BL",0,'Peak Hours'!U248*Peak!AA249*'Peak Hours'!$Y248)</f>
        <v>0</v>
      </c>
      <c r="V248" s="424"/>
      <c r="W248" s="422" t="n">
        <f aca="false">(IF($A$1="BL",0,Peak!C249*'Peak Hours'!V248*'Peak Hours'!$Y248))*-1</f>
        <v>-7311725.62520509</v>
      </c>
      <c r="X248" s="424"/>
      <c r="Y248" s="422" t="n">
        <f aca="false">(IF($A$1="bl",0,Peak!D249*'Peak Hours'!V248*'Peak Hours'!$Y248))*-1</f>
        <v>-108051.122976133</v>
      </c>
      <c r="Z248" s="424"/>
      <c r="AA248" s="422" t="n">
        <f aca="false">(Peak!E249*'Peak Hours'!V248*'Peak Hours'!$Y248)*-1</f>
        <v>-0</v>
      </c>
      <c r="AB248" s="425"/>
      <c r="AC248" s="422" t="n">
        <f aca="false">(Peak!F249*'Peak Hours'!V248*'Peak Hours'!$Y248)*-1</f>
        <v>-0</v>
      </c>
      <c r="AD248" s="425"/>
    </row>
    <row r="249" customFormat="false" ht="12.75" hidden="false" customHeight="false" outlineLevel="0" collapsed="false">
      <c r="A249" s="400" t="n">
        <f aca="false">A248+30.417</f>
        <v>43809.663</v>
      </c>
      <c r="B249" s="417" t="n">
        <f aca="false">IF($A$1="BL",0,'Peak Hours'!B249*Peak!H250*'Peak Hours'!$Y249)</f>
        <v>452341.522159373</v>
      </c>
      <c r="C249" s="417" t="n">
        <f aca="false">IF($A$1="BL",0,'Peak Hours'!C249*Peak!I250*'Peak Hours'!$Y249)</f>
        <v>406488.272571333</v>
      </c>
      <c r="D249" s="417" t="n">
        <f aca="false">IF($A$1="BL",0,'Peak Hours'!D249*Peak!J250*'Peak Hours'!$Y249)</f>
        <v>789229.769760512</v>
      </c>
      <c r="E249" s="417" t="n">
        <f aca="false">IF($A$1="BL",0,'Peak Hours'!E249*Peak!K250*'Peak Hours'!$Y249)</f>
        <v>1472556.59499788</v>
      </c>
      <c r="F249" s="417" t="n">
        <f aca="false">IF($A$1="BL",0,'Peak Hours'!F249*Peak!L250*'Peak Hours'!$Y249)</f>
        <v>1459440.65676303</v>
      </c>
      <c r="G249" s="417" t="n">
        <f aca="false">IF($A$1="BL",0,'Peak Hours'!G249*Peak!M250*'Peak Hours'!$Y249)</f>
        <v>2742826.81072818</v>
      </c>
      <c r="H249" s="417" t="n">
        <f aca="false">IF($A$1="BL",0,'Peak Hours'!H249*Peak!N250*'Peak Hours'!$Y249)</f>
        <v>1976817.35591775</v>
      </c>
      <c r="I249" s="417" t="n">
        <f aca="false">IF($A$1="BL",0,'Peak Hours'!I249*Peak!O250*'Peak Hours'!$Y249)</f>
        <v>1825927.64279192</v>
      </c>
      <c r="J249" s="417" t="n">
        <f aca="false">IF($A$1="BL",0,'Peak Hours'!J249*Peak!P250*'Peak Hours'!$Y249)</f>
        <v>1773809.98236336</v>
      </c>
      <c r="K249" s="417" t="n">
        <f aca="false">IF($A$1="BL",0,'Peak Hours'!K249*Peak!Q250*'Peak Hours'!$Y249)</f>
        <v>0</v>
      </c>
      <c r="L249" s="417" t="n">
        <f aca="false">IF($A$1="BL",0,'Peak Hours'!L249*Peak!R250*'Peak Hours'!$Y249)</f>
        <v>0</v>
      </c>
      <c r="M249" s="417" t="n">
        <f aca="false">IF($A$1="BL",0,'Peak Hours'!M249*Peak!S250*'Peak Hours'!$Y249)</f>
        <v>0</v>
      </c>
      <c r="N249" s="417" t="n">
        <f aca="false">IF($A$1="BL",0,'Peak Hours'!N249*Peak!T250*'Peak Hours'!$Y249)</f>
        <v>0</v>
      </c>
      <c r="O249" s="417" t="n">
        <f aca="false">IF($A$1="BL",0,'Peak Hours'!O249*Peak!U250*'Peak Hours'!$Y249)</f>
        <v>0</v>
      </c>
      <c r="P249" s="417" t="n">
        <f aca="false">IF($A$1="BL",0,'Peak Hours'!P249*Peak!V250*'Peak Hours'!$Y249)</f>
        <v>0</v>
      </c>
      <c r="Q249" s="417" t="n">
        <f aca="false">IF($A$1="BL",0,'Peak Hours'!Q249*Peak!W250*'Peak Hours'!$Y249)</f>
        <v>0</v>
      </c>
      <c r="R249" s="417" t="n">
        <f aca="false">IF($A$1="BL",0,'Peak Hours'!R249*Peak!X250*'Peak Hours'!$Y249)</f>
        <v>0</v>
      </c>
      <c r="S249" s="417" t="n">
        <f aca="false">IF($A$1="BL",0,'Peak Hours'!S249*Peak!Y250*'Peak Hours'!$Y249)</f>
        <v>0</v>
      </c>
      <c r="T249" s="417" t="n">
        <f aca="false">IF($A$1="BL",0,'Peak Hours'!T249*Peak!Z250*'Peak Hours'!$Y249)</f>
        <v>0</v>
      </c>
      <c r="U249" s="417" t="n">
        <f aca="false">IF($A$1="BL",0,'Peak Hours'!U249*Peak!AA250*'Peak Hours'!$Y249)</f>
        <v>0</v>
      </c>
      <c r="V249" s="426" t="n">
        <f aca="false">SUM(B238:U249)</f>
        <v>168908307.033138</v>
      </c>
      <c r="W249" s="422" t="n">
        <f aca="false">(IF($A$1="BL",0,Peak!C250*'Peak Hours'!V249*'Peak Hours'!$Y249))*-1</f>
        <v>-9409089.04099942</v>
      </c>
      <c r="X249" s="426" t="n">
        <f aca="false">SUM(W238:W249)</f>
        <v>-103582712.878329</v>
      </c>
      <c r="Y249" s="422" t="n">
        <f aca="false">(IF($A$1="bl",0,Peak!D250*'Peak Hours'!V249*'Peak Hours'!$Y249))*-1</f>
        <v>-128700.739952319</v>
      </c>
      <c r="Z249" s="426" t="n">
        <f aca="false">SUM(Y238:Y249)</f>
        <v>-1667278.02335689</v>
      </c>
      <c r="AA249" s="422" t="n">
        <f aca="false">(Peak!E250*'Peak Hours'!V249*'Peak Hours'!$Y249)*-1</f>
        <v>-0</v>
      </c>
      <c r="AB249" s="427" t="n">
        <f aca="false">SUM(AA238:AA249)</f>
        <v>0</v>
      </c>
      <c r="AC249" s="422" t="n">
        <f aca="false">(Peak!F250*'Peak Hours'!V249*'Peak Hours'!$Y249)*-1</f>
        <v>-0</v>
      </c>
      <c r="AD249" s="427" t="n">
        <f aca="false">SUM(AC238:AC249)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249"/>
  <sheetViews>
    <sheetView showFormulas="false" showGridLines="true" showRowColHeaders="true" showZeros="true" rightToLeft="false" tabSelected="false" showOutlineSymbols="true" defaultGridColor="true" view="normal" topLeftCell="U1" colorId="64" zoomScale="100" zoomScaleNormal="100" zoomScalePageLayoutView="100" workbookViewId="0">
      <selection pane="topLeft" activeCell="Z10" activeCellId="0" sqref="Z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2" min="22" style="0" width="8.41"/>
    <col collapsed="false" customWidth="true" hidden="false" outlineLevel="0" max="23" min="23" style="0" width="8.14"/>
    <col collapsed="false" customWidth="true" hidden="false" outlineLevel="0" max="25" min="24" style="0" width="7.28"/>
  </cols>
  <sheetData>
    <row r="1" customFormat="false" ht="12.75" hidden="false" customHeight="false" outlineLevel="0" collapsed="false">
      <c r="A1" s="263" t="str">
        <f aca="false">IS!C2</f>
        <v>Peak</v>
      </c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</row>
    <row r="5" customFormat="false" ht="12.75" hidden="false" customHeight="false" outlineLevel="0" collapsed="false">
      <c r="A5" s="263"/>
      <c r="V5" s="235" t="s">
        <v>301</v>
      </c>
      <c r="W5" s="235" t="s">
        <v>301</v>
      </c>
      <c r="X5" s="235"/>
    </row>
    <row r="6" customFormat="false" ht="12.75" hidden="false" customHeight="false" outlineLevel="0" collapsed="false">
      <c r="V6" s="273" t="s">
        <v>3</v>
      </c>
      <c r="W6" s="273" t="s">
        <v>3</v>
      </c>
      <c r="X6" s="273" t="s">
        <v>301</v>
      </c>
      <c r="Y6" s="235" t="s">
        <v>302</v>
      </c>
      <c r="Z6" s="428" t="s">
        <v>303</v>
      </c>
      <c r="AA6" s="428" t="s">
        <v>303</v>
      </c>
    </row>
    <row r="7" customFormat="false" ht="12.75" hidden="false" customHeight="false" outlineLevel="0" collapsed="false">
      <c r="B7" s="428" t="s">
        <v>273</v>
      </c>
      <c r="C7" s="428" t="s">
        <v>274</v>
      </c>
      <c r="D7" s="428" t="s">
        <v>275</v>
      </c>
      <c r="E7" s="428" t="s">
        <v>276</v>
      </c>
      <c r="F7" s="428" t="s">
        <v>277</v>
      </c>
      <c r="G7" s="428" t="s">
        <v>278</v>
      </c>
      <c r="H7" s="428" t="s">
        <v>279</v>
      </c>
      <c r="I7" s="428" t="s">
        <v>280</v>
      </c>
      <c r="J7" s="428" t="s">
        <v>281</v>
      </c>
      <c r="K7" s="428" t="s">
        <v>282</v>
      </c>
      <c r="L7" s="428" t="s">
        <v>283</v>
      </c>
      <c r="M7" s="428" t="s">
        <v>284</v>
      </c>
      <c r="N7" s="428" t="s">
        <v>285</v>
      </c>
      <c r="O7" s="428" t="s">
        <v>286</v>
      </c>
      <c r="P7" s="428" t="s">
        <v>287</v>
      </c>
      <c r="Q7" s="428" t="s">
        <v>288</v>
      </c>
      <c r="R7" s="428" t="s">
        <v>289</v>
      </c>
      <c r="S7" s="428" t="s">
        <v>290</v>
      </c>
      <c r="T7" s="428" t="s">
        <v>291</v>
      </c>
      <c r="U7" s="428" t="s">
        <v>292</v>
      </c>
      <c r="V7" s="235" t="s">
        <v>304</v>
      </c>
      <c r="W7" s="235" t="s">
        <v>305</v>
      </c>
      <c r="X7" s="235" t="s">
        <v>3</v>
      </c>
      <c r="Y7" s="428" t="s">
        <v>3</v>
      </c>
      <c r="Z7" s="428" t="s">
        <v>122</v>
      </c>
      <c r="AA7" s="428" t="s">
        <v>5</v>
      </c>
    </row>
    <row r="8" customFormat="false" ht="12.75" hidden="false" customHeight="false" outlineLevel="0" collapsed="false">
      <c r="B8" s="398" t="n">
        <v>5</v>
      </c>
      <c r="C8" s="398" t="n">
        <v>5</v>
      </c>
      <c r="D8" s="398" t="n">
        <v>10</v>
      </c>
      <c r="E8" s="398" t="n">
        <v>20</v>
      </c>
      <c r="F8" s="398" t="n">
        <v>20</v>
      </c>
      <c r="G8" s="398" t="n">
        <v>40</v>
      </c>
      <c r="H8" s="398" t="n">
        <v>40</v>
      </c>
      <c r="I8" s="398" t="n">
        <v>40</v>
      </c>
      <c r="J8" s="398" t="n">
        <v>40</v>
      </c>
      <c r="K8" s="398" t="n">
        <v>40</v>
      </c>
      <c r="L8" s="398" t="n">
        <v>40</v>
      </c>
      <c r="M8" s="398" t="n">
        <v>40</v>
      </c>
      <c r="N8" s="398" t="n">
        <v>40</v>
      </c>
      <c r="O8" s="398" t="n">
        <v>40</v>
      </c>
      <c r="P8" s="398" t="n">
        <v>40</v>
      </c>
      <c r="Q8" s="398" t="n">
        <v>40</v>
      </c>
      <c r="R8" s="398" t="n">
        <v>40</v>
      </c>
      <c r="S8" s="398" t="n">
        <v>40</v>
      </c>
      <c r="T8" s="398" t="n">
        <v>40</v>
      </c>
      <c r="U8" s="398" t="n">
        <v>110</v>
      </c>
      <c r="V8" s="398" t="n">
        <f aca="false">SUM(B8:U8)</f>
        <v>730</v>
      </c>
      <c r="W8" s="398"/>
      <c r="X8" s="398"/>
      <c r="Y8" s="398"/>
      <c r="Z8" s="398"/>
      <c r="AA8" s="398"/>
    </row>
    <row r="9" customFormat="false" ht="12.75" hidden="false" customHeight="false" outlineLevel="0" collapsed="false"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</row>
    <row r="10" customFormat="false" ht="12.75" hidden="false" customHeight="false" outlineLevel="0" collapsed="false">
      <c r="A10" s="400" t="n">
        <v>36540</v>
      </c>
      <c r="B10" s="430" t="str">
        <f aca="false">IF($A$1="Peak","-",IF(BaseLoad!H9&gt;BaseLoad!$G9,B$8*$Z10,0))</f>
        <v>-</v>
      </c>
      <c r="C10" s="430" t="str">
        <f aca="false">IF($A$1="Peak","-",IF(BaseLoad!I9&gt;BaseLoad!$G9,C$8*$Z10,0))</f>
        <v>-</v>
      </c>
      <c r="D10" s="430" t="str">
        <f aca="false">IF($A$1="Peak","-",IF(BaseLoad!J9&gt;BaseLoad!$G9,D$8*$Z10,0))</f>
        <v>-</v>
      </c>
      <c r="E10" s="430" t="str">
        <f aca="false">IF($A$1="Peak","-",IF(BaseLoad!K9&gt;BaseLoad!$G9,E$8*$Z10,0))</f>
        <v>-</v>
      </c>
      <c r="F10" s="430" t="str">
        <f aca="false">IF($A$1="Peak","-",IF(BaseLoad!L9&gt;BaseLoad!$G9,F$8*$Z10,0))</f>
        <v>-</v>
      </c>
      <c r="G10" s="430" t="str">
        <f aca="false">IF($A$1="Peak","-",IF(BaseLoad!M9&gt;BaseLoad!$G9,G$8*$Z10,0))</f>
        <v>-</v>
      </c>
      <c r="H10" s="430" t="str">
        <f aca="false">IF($A$1="Peak","-",IF(BaseLoad!N9&gt;BaseLoad!$G9,H$8*$Z10,0))</f>
        <v>-</v>
      </c>
      <c r="I10" s="430" t="str">
        <f aca="false">IF($A$1="Peak","-",IF(BaseLoad!O9&gt;BaseLoad!$G9,I$8*$Z10,0))</f>
        <v>-</v>
      </c>
      <c r="J10" s="430" t="str">
        <f aca="false">IF($A$1="Peak","-",IF(BaseLoad!P9&gt;BaseLoad!$G9,J$8*$Z10,0))</f>
        <v>-</v>
      </c>
      <c r="K10" s="430" t="str">
        <f aca="false">IF($A$1="Peak","-",IF(BaseLoad!Q9&gt;BaseLoad!$G9,K$8*$Z10,0))</f>
        <v>-</v>
      </c>
      <c r="L10" s="430" t="str">
        <f aca="false">IF($A$1="Peak","-",IF(BaseLoad!R9&gt;BaseLoad!$G9,L$8*$Z10,0))</f>
        <v>-</v>
      </c>
      <c r="M10" s="430" t="str">
        <f aca="false">IF($A$1="Peak","-",IF(BaseLoad!S9&gt;BaseLoad!$G9,M$8*$Z10,0))</f>
        <v>-</v>
      </c>
      <c r="N10" s="430" t="str">
        <f aca="false">IF($A$1="Peak","-",IF(BaseLoad!T9&gt;BaseLoad!$G9,N$8*$Z10,0))</f>
        <v>-</v>
      </c>
      <c r="O10" s="430" t="str">
        <f aca="false">IF($A$1="Peak","-",IF(BaseLoad!U9&gt;BaseLoad!$G9,O$8*$Z10,0))</f>
        <v>-</v>
      </c>
      <c r="P10" s="430" t="str">
        <f aca="false">IF($A$1="Peak","-",IF(BaseLoad!V9&gt;BaseLoad!$G9,P$8*$Z10,0))</f>
        <v>-</v>
      </c>
      <c r="Q10" s="430" t="str">
        <f aca="false">IF($A$1="Peak","-",IF(BaseLoad!W9&gt;BaseLoad!$G9,Q$8*$Z10,0))</f>
        <v>-</v>
      </c>
      <c r="R10" s="430" t="str">
        <f aca="false">IF($A$1="Peak","-",IF(BaseLoad!X9&gt;BaseLoad!$G9,R$8*$Z10,0))</f>
        <v>-</v>
      </c>
      <c r="S10" s="430" t="str">
        <f aca="false">IF($A$1="Peak","-",IF(BaseLoad!Y9&gt;BaseLoad!$G9,S$8*$Z10,0))</f>
        <v>-</v>
      </c>
      <c r="T10" s="430" t="str">
        <f aca="false">IF($A$1="Peak","-",IF(BaseLoad!Z9&gt;BaseLoad!$G9,T$8*$Z10,0))</f>
        <v>-</v>
      </c>
      <c r="U10" s="430" t="str">
        <f aca="false">IF($A$1="Peak","-",IF(BaseLoad!AA9&gt;BaseLoad!$G9,U$8*$Z10,0))</f>
        <v>-</v>
      </c>
      <c r="V10" s="430" t="n">
        <f aca="false">SUM(B10:U10)</f>
        <v>0</v>
      </c>
      <c r="W10" s="430" t="n">
        <v>0</v>
      </c>
      <c r="X10" s="430" t="n">
        <f aca="false">SUM(V10:W10)</f>
        <v>0</v>
      </c>
      <c r="Y10" s="430"/>
      <c r="Z10" s="430" t="n">
        <f aca="false">CHOOSE(QUOTIENT(MONTH($A10),3)+1,BaseLoad!$AM$9,BaseLoad!$AN$9,BaseLoad!$AL$9,BaseLoad!$AO$9,BaseLoad!$AM$9)</f>
        <v>0.924276618786118</v>
      </c>
      <c r="AA10" s="430" t="n">
        <f aca="false">CHOOSE(QUOTIENT(MONTH($A10),3)+1,BaseLoad!$AM$15,BaseLoad!$AN$15,BaseLoad!$AL$15,BaseLoad!$AO$15,BaseLoad!$AM$15)</f>
        <v>705</v>
      </c>
    </row>
    <row r="11" customFormat="false" ht="12.75" hidden="false" customHeight="false" outlineLevel="0" collapsed="false">
      <c r="A11" s="400" t="n">
        <f aca="false">A10+30.417</f>
        <v>36570.417</v>
      </c>
      <c r="B11" s="430" t="str">
        <f aca="false">IF($A$1="Peak","-",IF(BaseLoad!H10&gt;BaseLoad!$G10,B$8*$Z11,0))</f>
        <v>-</v>
      </c>
      <c r="C11" s="430" t="str">
        <f aca="false">IF($A$1="Peak","-",IF(BaseLoad!I10&gt;BaseLoad!$G10,C$8*$Z11,0))</f>
        <v>-</v>
      </c>
      <c r="D11" s="430" t="str">
        <f aca="false">IF($A$1="Peak","-",IF(BaseLoad!J10&gt;BaseLoad!$G10,D$8*$Z11,0))</f>
        <v>-</v>
      </c>
      <c r="E11" s="430" t="str">
        <f aca="false">IF($A$1="Peak","-",IF(BaseLoad!K10&gt;BaseLoad!$G10,E$8*$Z11,0))</f>
        <v>-</v>
      </c>
      <c r="F11" s="430" t="str">
        <f aca="false">IF($A$1="Peak","-",IF(BaseLoad!L10&gt;BaseLoad!$G10,F$8*$Z11,0))</f>
        <v>-</v>
      </c>
      <c r="G11" s="430" t="str">
        <f aca="false">IF($A$1="Peak","-",IF(BaseLoad!M10&gt;BaseLoad!$G10,G$8*$Z11,0))</f>
        <v>-</v>
      </c>
      <c r="H11" s="430" t="str">
        <f aca="false">IF($A$1="Peak","-",IF(BaseLoad!N10&gt;BaseLoad!$G10,H$8*$Z11,0))</f>
        <v>-</v>
      </c>
      <c r="I11" s="430" t="str">
        <f aca="false">IF($A$1="Peak","-",IF(BaseLoad!O10&gt;BaseLoad!$G10,I$8*$Z11,0))</f>
        <v>-</v>
      </c>
      <c r="J11" s="430" t="str">
        <f aca="false">IF($A$1="Peak","-",IF(BaseLoad!P10&gt;BaseLoad!$G10,J$8*$Z11,0))</f>
        <v>-</v>
      </c>
      <c r="K11" s="430" t="str">
        <f aca="false">IF($A$1="Peak","-",IF(BaseLoad!Q10&gt;BaseLoad!$G10,K$8*$Z11,0))</f>
        <v>-</v>
      </c>
      <c r="L11" s="430" t="str">
        <f aca="false">IF($A$1="Peak","-",IF(BaseLoad!R10&gt;BaseLoad!$G10,L$8*$Z11,0))</f>
        <v>-</v>
      </c>
      <c r="M11" s="430" t="str">
        <f aca="false">IF($A$1="Peak","-",IF(BaseLoad!S10&gt;BaseLoad!$G10,M$8*$Z11,0))</f>
        <v>-</v>
      </c>
      <c r="N11" s="430" t="str">
        <f aca="false">IF($A$1="Peak","-",IF(BaseLoad!T10&gt;BaseLoad!$G10,N$8*$Z11,0))</f>
        <v>-</v>
      </c>
      <c r="O11" s="430" t="str">
        <f aca="false">IF($A$1="Peak","-",IF(BaseLoad!U10&gt;BaseLoad!$G10,O$8*$Z11,0))</f>
        <v>-</v>
      </c>
      <c r="P11" s="430" t="str">
        <f aca="false">IF($A$1="Peak","-",IF(BaseLoad!V10&gt;BaseLoad!$G10,P$8*$Z11,0))</f>
        <v>-</v>
      </c>
      <c r="Q11" s="430" t="str">
        <f aca="false">IF($A$1="Peak","-",IF(BaseLoad!W10&gt;BaseLoad!$G10,Q$8*$Z11,0))</f>
        <v>-</v>
      </c>
      <c r="R11" s="430" t="str">
        <f aca="false">IF($A$1="Peak","-",IF(BaseLoad!X10&gt;BaseLoad!$G10,R$8*$Z11,0))</f>
        <v>-</v>
      </c>
      <c r="S11" s="430" t="str">
        <f aca="false">IF($A$1="Peak","-",IF(BaseLoad!Y10&gt;BaseLoad!$G10,S$8*$Z11,0))</f>
        <v>-</v>
      </c>
      <c r="T11" s="430" t="str">
        <f aca="false">IF($A$1="Peak","-",IF(BaseLoad!Z10&gt;BaseLoad!$G10,T$8*$Z11,0))</f>
        <v>-</v>
      </c>
      <c r="U11" s="430" t="str">
        <f aca="false">IF($A$1="Peak","-",IF(BaseLoad!AA10&gt;BaseLoad!$G10,U$8*$Z11,0))</f>
        <v>-</v>
      </c>
      <c r="V11" s="430" t="n">
        <f aca="false">SUM(B11:U11)</f>
        <v>0</v>
      </c>
      <c r="W11" s="430" t="n">
        <v>0</v>
      </c>
      <c r="X11" s="430" t="n">
        <f aca="false">SUM(V11:W11)</f>
        <v>0</v>
      </c>
      <c r="Y11" s="430"/>
      <c r="Z11" s="430" t="n">
        <f aca="false">CHOOSE(QUOTIENT(MONTH($A11),3)+1,BaseLoad!$AM$9,BaseLoad!$AN$9,BaseLoad!$AL$9,BaseLoad!$AO$9,BaseLoad!$AM$9)</f>
        <v>0.924276618786118</v>
      </c>
      <c r="AA11" s="430" t="n">
        <f aca="false">CHOOSE(QUOTIENT(MONTH($A11),3)+1,BaseLoad!$AM$15,BaseLoad!$AN$15,BaseLoad!$AL$15,BaseLoad!$AO$15,BaseLoad!$AM$15)</f>
        <v>705</v>
      </c>
    </row>
    <row r="12" customFormat="false" ht="12.75" hidden="false" customHeight="false" outlineLevel="0" collapsed="false">
      <c r="A12" s="400" t="n">
        <f aca="false">A11+30.417</f>
        <v>36600.834</v>
      </c>
      <c r="B12" s="430" t="str">
        <f aca="false">IF($A$1="Peak","-",IF(BaseLoad!H11&gt;BaseLoad!$G11,B$8*$Z12,0))</f>
        <v>-</v>
      </c>
      <c r="C12" s="430" t="str">
        <f aca="false">IF($A$1="Peak","-",IF(BaseLoad!I11&gt;BaseLoad!$G11,C$8*$Z12,0))</f>
        <v>-</v>
      </c>
      <c r="D12" s="430" t="str">
        <f aca="false">IF($A$1="Peak","-",IF(BaseLoad!J11&gt;BaseLoad!$G11,D$8*$Z12,0))</f>
        <v>-</v>
      </c>
      <c r="E12" s="430" t="str">
        <f aca="false">IF($A$1="Peak","-",IF(BaseLoad!K11&gt;BaseLoad!$G11,E$8*$Z12,0))</f>
        <v>-</v>
      </c>
      <c r="F12" s="430" t="str">
        <f aca="false">IF($A$1="Peak","-",IF(BaseLoad!L11&gt;BaseLoad!$G11,F$8*$Z12,0))</f>
        <v>-</v>
      </c>
      <c r="G12" s="430" t="str">
        <f aca="false">IF($A$1="Peak","-",IF(BaseLoad!M11&gt;BaseLoad!$G11,G$8*$Z12,0))</f>
        <v>-</v>
      </c>
      <c r="H12" s="430" t="str">
        <f aca="false">IF($A$1="Peak","-",IF(BaseLoad!N11&gt;BaseLoad!$G11,H$8*$Z12,0))</f>
        <v>-</v>
      </c>
      <c r="I12" s="430" t="str">
        <f aca="false">IF($A$1="Peak","-",IF(BaseLoad!O11&gt;BaseLoad!$G11,I$8*$Z12,0))</f>
        <v>-</v>
      </c>
      <c r="J12" s="430" t="str">
        <f aca="false">IF($A$1="Peak","-",IF(BaseLoad!P11&gt;BaseLoad!$G11,J$8*$Z12,0))</f>
        <v>-</v>
      </c>
      <c r="K12" s="430" t="str">
        <f aca="false">IF($A$1="Peak","-",IF(BaseLoad!Q11&gt;BaseLoad!$G11,K$8*$Z12,0))</f>
        <v>-</v>
      </c>
      <c r="L12" s="430" t="str">
        <f aca="false">IF($A$1="Peak","-",IF(BaseLoad!R11&gt;BaseLoad!$G11,L$8*$Z12,0))</f>
        <v>-</v>
      </c>
      <c r="M12" s="430" t="str">
        <f aca="false">IF($A$1="Peak","-",IF(BaseLoad!S11&gt;BaseLoad!$G11,M$8*$Z12,0))</f>
        <v>-</v>
      </c>
      <c r="N12" s="430" t="str">
        <f aca="false">IF($A$1="Peak","-",IF(BaseLoad!T11&gt;BaseLoad!$G11,N$8*$Z12,0))</f>
        <v>-</v>
      </c>
      <c r="O12" s="430" t="str">
        <f aca="false">IF($A$1="Peak","-",IF(BaseLoad!U11&gt;BaseLoad!$G11,O$8*$Z12,0))</f>
        <v>-</v>
      </c>
      <c r="P12" s="430" t="str">
        <f aca="false">IF($A$1="Peak","-",IF(BaseLoad!V11&gt;BaseLoad!$G11,P$8*$Z12,0))</f>
        <v>-</v>
      </c>
      <c r="Q12" s="430" t="str">
        <f aca="false">IF($A$1="Peak","-",IF(BaseLoad!W11&gt;BaseLoad!$G11,Q$8*$Z12,0))</f>
        <v>-</v>
      </c>
      <c r="R12" s="430" t="str">
        <f aca="false">IF($A$1="Peak","-",IF(BaseLoad!X11&gt;BaseLoad!$G11,R$8*$Z12,0))</f>
        <v>-</v>
      </c>
      <c r="S12" s="430" t="str">
        <f aca="false">IF($A$1="Peak","-",IF(BaseLoad!Y11&gt;BaseLoad!$G11,S$8*$Z12,0))</f>
        <v>-</v>
      </c>
      <c r="T12" s="430" t="str">
        <f aca="false">IF($A$1="Peak","-",IF(BaseLoad!Z11&gt;BaseLoad!$G11,T$8*$Z12,0))</f>
        <v>-</v>
      </c>
      <c r="U12" s="430" t="str">
        <f aca="false">IF($A$1="Peak","-",IF(BaseLoad!AA11&gt;BaseLoad!$G11,U$8*$Z12,0))</f>
        <v>-</v>
      </c>
      <c r="V12" s="430" t="n">
        <f aca="false">SUM(B12:U12)</f>
        <v>0</v>
      </c>
      <c r="W12" s="430" t="n">
        <v>0</v>
      </c>
      <c r="X12" s="430" t="n">
        <f aca="false">SUM(V12:W12)</f>
        <v>0</v>
      </c>
      <c r="Y12" s="430"/>
      <c r="Z12" s="430" t="n">
        <f aca="false">CHOOSE(QUOTIENT(MONTH($A12),3)+1,BaseLoad!$AM$9,BaseLoad!$AN$9,BaseLoad!$AL$9,BaseLoad!$AO$9,BaseLoad!$AM$9)</f>
        <v>0.95</v>
      </c>
      <c r="AA12" s="430" t="n">
        <f aca="false">CHOOSE(QUOTIENT(MONTH($A12),3)+1,BaseLoad!$AM$15,BaseLoad!$AN$15,BaseLoad!$AL$15,BaseLoad!$AO$15,BaseLoad!$AM$15)</f>
        <v>705</v>
      </c>
    </row>
    <row r="13" customFormat="false" ht="12.75" hidden="false" customHeight="false" outlineLevel="0" collapsed="false">
      <c r="A13" s="400" t="n">
        <f aca="false">A12+30.417</f>
        <v>36631.251</v>
      </c>
      <c r="B13" s="430" t="str">
        <f aca="false">IF($A$1="Peak","-",IF(BaseLoad!H12&gt;BaseLoad!$G12,B$8*$Z13,0))</f>
        <v>-</v>
      </c>
      <c r="C13" s="430" t="str">
        <f aca="false">IF($A$1="Peak","-",IF(BaseLoad!I12&gt;BaseLoad!$G12,C$8*$Z13,0))</f>
        <v>-</v>
      </c>
      <c r="D13" s="430" t="str">
        <f aca="false">IF($A$1="Peak","-",IF(BaseLoad!J12&gt;BaseLoad!$G12,D$8*$Z13,0))</f>
        <v>-</v>
      </c>
      <c r="E13" s="430" t="str">
        <f aca="false">IF($A$1="Peak","-",IF(BaseLoad!K12&gt;BaseLoad!$G12,E$8*$Z13,0))</f>
        <v>-</v>
      </c>
      <c r="F13" s="430" t="str">
        <f aca="false">IF($A$1="Peak","-",IF(BaseLoad!L12&gt;BaseLoad!$G12,F$8*$Z13,0))</f>
        <v>-</v>
      </c>
      <c r="G13" s="430" t="str">
        <f aca="false">IF($A$1="Peak","-",IF(BaseLoad!M12&gt;BaseLoad!$G12,G$8*$Z13,0))</f>
        <v>-</v>
      </c>
      <c r="H13" s="430" t="str">
        <f aca="false">IF($A$1="Peak","-",IF(BaseLoad!N12&gt;BaseLoad!$G12,H$8*$Z13,0))</f>
        <v>-</v>
      </c>
      <c r="I13" s="430" t="str">
        <f aca="false">IF($A$1="Peak","-",IF(BaseLoad!O12&gt;BaseLoad!$G12,I$8*$Z13,0))</f>
        <v>-</v>
      </c>
      <c r="J13" s="430" t="str">
        <f aca="false">IF($A$1="Peak","-",IF(BaseLoad!P12&gt;BaseLoad!$G12,J$8*$Z13,0))</f>
        <v>-</v>
      </c>
      <c r="K13" s="430" t="str">
        <f aca="false">IF($A$1="Peak","-",IF(BaseLoad!Q12&gt;BaseLoad!$G12,K$8*$Z13,0))</f>
        <v>-</v>
      </c>
      <c r="L13" s="430" t="str">
        <f aca="false">IF($A$1="Peak","-",IF(BaseLoad!R12&gt;BaseLoad!$G12,L$8*$Z13,0))</f>
        <v>-</v>
      </c>
      <c r="M13" s="430" t="str">
        <f aca="false">IF($A$1="Peak","-",IF(BaseLoad!S12&gt;BaseLoad!$G12,M$8*$Z13,0))</f>
        <v>-</v>
      </c>
      <c r="N13" s="430" t="str">
        <f aca="false">IF($A$1="Peak","-",IF(BaseLoad!T12&gt;BaseLoad!$G12,N$8*$Z13,0))</f>
        <v>-</v>
      </c>
      <c r="O13" s="430" t="str">
        <f aca="false">IF($A$1="Peak","-",IF(BaseLoad!U12&gt;BaseLoad!$G12,O$8*$Z13,0))</f>
        <v>-</v>
      </c>
      <c r="P13" s="430" t="str">
        <f aca="false">IF($A$1="Peak","-",IF(BaseLoad!V12&gt;BaseLoad!$G12,P$8*$Z13,0))</f>
        <v>-</v>
      </c>
      <c r="Q13" s="430" t="str">
        <f aca="false">IF($A$1="Peak","-",IF(BaseLoad!W12&gt;BaseLoad!$G12,Q$8*$Z13,0))</f>
        <v>-</v>
      </c>
      <c r="R13" s="430" t="str">
        <f aca="false">IF($A$1="Peak","-",IF(BaseLoad!X12&gt;BaseLoad!$G12,R$8*$Z13,0))</f>
        <v>-</v>
      </c>
      <c r="S13" s="430" t="str">
        <f aca="false">IF($A$1="Peak","-",IF(BaseLoad!Y12&gt;BaseLoad!$G12,S$8*$Z13,0))</f>
        <v>-</v>
      </c>
      <c r="T13" s="430" t="str">
        <f aca="false">IF($A$1="Peak","-",IF(BaseLoad!Z12&gt;BaseLoad!$G12,T$8*$Z13,0))</f>
        <v>-</v>
      </c>
      <c r="U13" s="430" t="str">
        <f aca="false">IF($A$1="Peak","-",IF(BaseLoad!AA12&gt;BaseLoad!$G12,U$8*$Z13,0))</f>
        <v>-</v>
      </c>
      <c r="V13" s="430" t="n">
        <f aca="false">SUM(B13:U13)</f>
        <v>0</v>
      </c>
      <c r="W13" s="430" t="n">
        <v>0</v>
      </c>
      <c r="X13" s="430" t="n">
        <f aca="false">SUM(V13:W13)</f>
        <v>0</v>
      </c>
      <c r="Y13" s="430"/>
      <c r="Z13" s="430" t="n">
        <f aca="false">CHOOSE(QUOTIENT(MONTH($A13),3)+1,BaseLoad!$AM$9,BaseLoad!$AN$9,BaseLoad!$AL$9,BaseLoad!$AO$9,BaseLoad!$AM$9)</f>
        <v>0.95</v>
      </c>
      <c r="AA13" s="430" t="n">
        <f aca="false">CHOOSE(QUOTIENT(MONTH($A13),3)+1,BaseLoad!$AM$15,BaseLoad!$AN$15,BaseLoad!$AL$15,BaseLoad!$AO$15,BaseLoad!$AM$15)</f>
        <v>705</v>
      </c>
    </row>
    <row r="14" customFormat="false" ht="12.75" hidden="false" customHeight="false" outlineLevel="0" collapsed="false">
      <c r="A14" s="400" t="n">
        <f aca="false">A13+30.417</f>
        <v>36661.668</v>
      </c>
      <c r="B14" s="430" t="str">
        <f aca="false">IF($A$1="Peak","-",IF(BaseLoad!H13&gt;BaseLoad!$G13,B$8*$Z14,0))</f>
        <v>-</v>
      </c>
      <c r="C14" s="430" t="str">
        <f aca="false">IF($A$1="Peak","-",IF(BaseLoad!I13&gt;BaseLoad!$G13,C$8*$Z14,0))</f>
        <v>-</v>
      </c>
      <c r="D14" s="430" t="str">
        <f aca="false">IF($A$1="Peak","-",IF(BaseLoad!J13&gt;BaseLoad!$G13,D$8*$Z14,0))</f>
        <v>-</v>
      </c>
      <c r="E14" s="430" t="str">
        <f aca="false">IF($A$1="Peak","-",IF(BaseLoad!K13&gt;BaseLoad!$G13,E$8*$Z14,0))</f>
        <v>-</v>
      </c>
      <c r="F14" s="430" t="str">
        <f aca="false">IF($A$1="Peak","-",IF(BaseLoad!L13&gt;BaseLoad!$G13,F$8*$Z14,0))</f>
        <v>-</v>
      </c>
      <c r="G14" s="430" t="str">
        <f aca="false">IF($A$1="Peak","-",IF(BaseLoad!M13&gt;BaseLoad!$G13,G$8*$Z14,0))</f>
        <v>-</v>
      </c>
      <c r="H14" s="430" t="str">
        <f aca="false">IF($A$1="Peak","-",IF(BaseLoad!N13&gt;BaseLoad!$G13,H$8*$Z14,0))</f>
        <v>-</v>
      </c>
      <c r="I14" s="430" t="str">
        <f aca="false">IF($A$1="Peak","-",IF(BaseLoad!O13&gt;BaseLoad!$G13,I$8*$Z14,0))</f>
        <v>-</v>
      </c>
      <c r="J14" s="430" t="str">
        <f aca="false">IF($A$1="Peak","-",IF(BaseLoad!P13&gt;BaseLoad!$G13,J$8*$Z14,0))</f>
        <v>-</v>
      </c>
      <c r="K14" s="430" t="str">
        <f aca="false">IF($A$1="Peak","-",IF(BaseLoad!Q13&gt;BaseLoad!$G13,K$8*$Z14,0))</f>
        <v>-</v>
      </c>
      <c r="L14" s="430" t="str">
        <f aca="false">IF($A$1="Peak","-",IF(BaseLoad!R13&gt;BaseLoad!$G13,L$8*$Z14,0))</f>
        <v>-</v>
      </c>
      <c r="M14" s="430" t="str">
        <f aca="false">IF($A$1="Peak","-",IF(BaseLoad!S13&gt;BaseLoad!$G13,M$8*$Z14,0))</f>
        <v>-</v>
      </c>
      <c r="N14" s="430" t="str">
        <f aca="false">IF($A$1="Peak","-",IF(BaseLoad!T13&gt;BaseLoad!$G13,N$8*$Z14,0))</f>
        <v>-</v>
      </c>
      <c r="O14" s="430" t="str">
        <f aca="false">IF($A$1="Peak","-",IF(BaseLoad!U13&gt;BaseLoad!$G13,O$8*$Z14,0))</f>
        <v>-</v>
      </c>
      <c r="P14" s="430" t="str">
        <f aca="false">IF($A$1="Peak","-",IF(BaseLoad!V13&gt;BaseLoad!$G13,P$8*$Z14,0))</f>
        <v>-</v>
      </c>
      <c r="Q14" s="430" t="str">
        <f aca="false">IF($A$1="Peak","-",IF(BaseLoad!W13&gt;BaseLoad!$G13,Q$8*$Z14,0))</f>
        <v>-</v>
      </c>
      <c r="R14" s="430" t="str">
        <f aca="false">IF($A$1="Peak","-",IF(BaseLoad!X13&gt;BaseLoad!$G13,R$8*$Z14,0))</f>
        <v>-</v>
      </c>
      <c r="S14" s="430" t="str">
        <f aca="false">IF($A$1="Peak","-",IF(BaseLoad!Y13&gt;BaseLoad!$G13,S$8*$Z14,0))</f>
        <v>-</v>
      </c>
      <c r="T14" s="430" t="str">
        <f aca="false">IF($A$1="Peak","-",IF(BaseLoad!Z13&gt;BaseLoad!$G13,T$8*$Z14,0))</f>
        <v>-</v>
      </c>
      <c r="U14" s="430" t="str">
        <f aca="false">IF($A$1="Peak","-",IF(BaseLoad!AA13&gt;BaseLoad!$G13,U$8*$Z14,0))</f>
        <v>-</v>
      </c>
      <c r="V14" s="430" t="n">
        <f aca="false">SUM(B14:U14)</f>
        <v>0</v>
      </c>
      <c r="W14" s="430" t="n">
        <v>0</v>
      </c>
      <c r="X14" s="430" t="n">
        <f aca="false">SUM(V14:W14)</f>
        <v>0</v>
      </c>
      <c r="Y14" s="430"/>
      <c r="Z14" s="430" t="n">
        <f aca="false">CHOOSE(QUOTIENT(MONTH($A14),3)+1,BaseLoad!$AM$9,BaseLoad!$AN$9,BaseLoad!$AL$9,BaseLoad!$AO$9,BaseLoad!$AM$9)</f>
        <v>0.95</v>
      </c>
      <c r="AA14" s="430" t="n">
        <f aca="false">CHOOSE(QUOTIENT(MONTH($A14),3)+1,BaseLoad!$AM$15,BaseLoad!$AN$15,BaseLoad!$AL$15,BaseLoad!$AO$15,BaseLoad!$AM$15)</f>
        <v>705</v>
      </c>
    </row>
    <row r="15" customFormat="false" ht="12.75" hidden="false" customHeight="false" outlineLevel="0" collapsed="false">
      <c r="A15" s="400" t="n">
        <f aca="false">A14+30.417</f>
        <v>36692.085</v>
      </c>
      <c r="B15" s="430" t="str">
        <f aca="false">IF($A$1="Peak","-",IF(BaseLoad!H14&gt;BaseLoad!$G14,B$8*$Z15,0))</f>
        <v>-</v>
      </c>
      <c r="C15" s="430" t="str">
        <f aca="false">IF($A$1="Peak","-",IF(BaseLoad!I14&gt;BaseLoad!$G14,C$8*$Z15,0))</f>
        <v>-</v>
      </c>
      <c r="D15" s="430" t="str">
        <f aca="false">IF($A$1="Peak","-",IF(BaseLoad!J14&gt;BaseLoad!$G14,D$8*$Z15,0))</f>
        <v>-</v>
      </c>
      <c r="E15" s="430" t="str">
        <f aca="false">IF($A$1="Peak","-",IF(BaseLoad!K14&gt;BaseLoad!$G14,E$8*$Z15,0))</f>
        <v>-</v>
      </c>
      <c r="F15" s="430" t="str">
        <f aca="false">IF($A$1="Peak","-",IF(BaseLoad!L14&gt;BaseLoad!$G14,F$8*$Z15,0))</f>
        <v>-</v>
      </c>
      <c r="G15" s="430" t="str">
        <f aca="false">IF($A$1="Peak","-",IF(BaseLoad!M14&gt;BaseLoad!$G14,G$8*$Z15,0))</f>
        <v>-</v>
      </c>
      <c r="H15" s="430" t="str">
        <f aca="false">IF($A$1="Peak","-",IF(BaseLoad!N14&gt;BaseLoad!$G14,H$8*$Z15,0))</f>
        <v>-</v>
      </c>
      <c r="I15" s="430" t="str">
        <f aca="false">IF($A$1="Peak","-",IF(BaseLoad!O14&gt;BaseLoad!$G14,I$8*$Z15,0))</f>
        <v>-</v>
      </c>
      <c r="J15" s="430" t="str">
        <f aca="false">IF($A$1="Peak","-",IF(BaseLoad!P14&gt;BaseLoad!$G14,J$8*$Z15,0))</f>
        <v>-</v>
      </c>
      <c r="K15" s="430" t="str">
        <f aca="false">IF($A$1="Peak","-",IF(BaseLoad!Q14&gt;BaseLoad!$G14,K$8*$Z15,0))</f>
        <v>-</v>
      </c>
      <c r="L15" s="430" t="str">
        <f aca="false">IF($A$1="Peak","-",IF(BaseLoad!R14&gt;BaseLoad!$G14,L$8*$Z15,0))</f>
        <v>-</v>
      </c>
      <c r="M15" s="430" t="str">
        <f aca="false">IF($A$1="Peak","-",IF(BaseLoad!S14&gt;BaseLoad!$G14,M$8*$Z15,0))</f>
        <v>-</v>
      </c>
      <c r="N15" s="430" t="str">
        <f aca="false">IF($A$1="Peak","-",IF(BaseLoad!T14&gt;BaseLoad!$G14,N$8*$Z15,0))</f>
        <v>-</v>
      </c>
      <c r="O15" s="430" t="str">
        <f aca="false">IF($A$1="Peak","-",IF(BaseLoad!U14&gt;BaseLoad!$G14,O$8*$Z15,0))</f>
        <v>-</v>
      </c>
      <c r="P15" s="430" t="str">
        <f aca="false">IF($A$1="Peak","-",IF(BaseLoad!V14&gt;BaseLoad!$G14,P$8*$Z15,0))</f>
        <v>-</v>
      </c>
      <c r="Q15" s="430" t="str">
        <f aca="false">IF($A$1="Peak","-",IF(BaseLoad!W14&gt;BaseLoad!$G14,Q$8*$Z15,0))</f>
        <v>-</v>
      </c>
      <c r="R15" s="430" t="str">
        <f aca="false">IF($A$1="Peak","-",IF(BaseLoad!X14&gt;BaseLoad!$G14,R$8*$Z15,0))</f>
        <v>-</v>
      </c>
      <c r="S15" s="430" t="str">
        <f aca="false">IF($A$1="Peak","-",IF(BaseLoad!Y14&gt;BaseLoad!$G14,S$8*$Z15,0))</f>
        <v>-</v>
      </c>
      <c r="T15" s="430" t="str">
        <f aca="false">IF($A$1="Peak","-",IF(BaseLoad!Z14&gt;BaseLoad!$G14,T$8*$Z15,0))</f>
        <v>-</v>
      </c>
      <c r="U15" s="430" t="str">
        <f aca="false">IF($A$1="Peak","-",IF(BaseLoad!AA14&gt;BaseLoad!$G14,U$8*$Z15,0))</f>
        <v>-</v>
      </c>
      <c r="V15" s="430" t="n">
        <f aca="false">SUM(B15:U15)</f>
        <v>0</v>
      </c>
      <c r="W15" s="430" t="n">
        <v>0</v>
      </c>
      <c r="X15" s="430" t="n">
        <f aca="false">SUM(V15:W15)</f>
        <v>0</v>
      </c>
      <c r="Y15" s="430"/>
      <c r="Z15" s="430" t="n">
        <f aca="false">CHOOSE(QUOTIENT(MONTH($A15),3)+1,BaseLoad!$AM$9,BaseLoad!$AN$9,BaseLoad!$AL$9,BaseLoad!$AO$9,BaseLoad!$AM$9)</f>
        <v>0.966121359095586</v>
      </c>
      <c r="AA15" s="430" t="n">
        <f aca="false">CHOOSE(QUOTIENT(MONTH($A15),3)+1,BaseLoad!$AM$15,BaseLoad!$AN$15,BaseLoad!$AL$15,BaseLoad!$AO$15,BaseLoad!$AM$15)</f>
        <v>705</v>
      </c>
    </row>
    <row r="16" customFormat="false" ht="12.75" hidden="false" customHeight="false" outlineLevel="0" collapsed="false">
      <c r="A16" s="400" t="n">
        <f aca="false">A15+30.417</f>
        <v>36722.502</v>
      </c>
      <c r="B16" s="430" t="str">
        <f aca="false">IF($A$1="Peak","-",IF(BaseLoad!H15&gt;BaseLoad!$G15,B$8*$Z16,0))</f>
        <v>-</v>
      </c>
      <c r="C16" s="430" t="str">
        <f aca="false">IF($A$1="Peak","-",IF(BaseLoad!I15&gt;BaseLoad!$G15,C$8*$Z16,0))</f>
        <v>-</v>
      </c>
      <c r="D16" s="430" t="str">
        <f aca="false">IF($A$1="Peak","-",IF(BaseLoad!J15&gt;BaseLoad!$G15,D$8*$Z16,0))</f>
        <v>-</v>
      </c>
      <c r="E16" s="430" t="str">
        <f aca="false">IF($A$1="Peak","-",IF(BaseLoad!K15&gt;BaseLoad!$G15,E$8*$Z16,0))</f>
        <v>-</v>
      </c>
      <c r="F16" s="430" t="str">
        <f aca="false">IF($A$1="Peak","-",IF(BaseLoad!L15&gt;BaseLoad!$G15,F$8*$Z16,0))</f>
        <v>-</v>
      </c>
      <c r="G16" s="430" t="str">
        <f aca="false">IF($A$1="Peak","-",IF(BaseLoad!M15&gt;BaseLoad!$G15,G$8*$Z16,0))</f>
        <v>-</v>
      </c>
      <c r="H16" s="430" t="str">
        <f aca="false">IF($A$1="Peak","-",IF(BaseLoad!N15&gt;BaseLoad!$G15,H$8*$Z16,0))</f>
        <v>-</v>
      </c>
      <c r="I16" s="430" t="str">
        <f aca="false">IF($A$1="Peak","-",IF(BaseLoad!O15&gt;BaseLoad!$G15,I$8*$Z16,0))</f>
        <v>-</v>
      </c>
      <c r="J16" s="430" t="str">
        <f aca="false">IF($A$1="Peak","-",IF(BaseLoad!P15&gt;BaseLoad!$G15,J$8*$Z16,0))</f>
        <v>-</v>
      </c>
      <c r="K16" s="430" t="str">
        <f aca="false">IF($A$1="Peak","-",IF(BaseLoad!Q15&gt;BaseLoad!$G15,K$8*$Z16,0))</f>
        <v>-</v>
      </c>
      <c r="L16" s="430" t="str">
        <f aca="false">IF($A$1="Peak","-",IF(BaseLoad!R15&gt;BaseLoad!$G15,L$8*$Z16,0))</f>
        <v>-</v>
      </c>
      <c r="M16" s="430" t="str">
        <f aca="false">IF($A$1="Peak","-",IF(BaseLoad!S15&gt;BaseLoad!$G15,M$8*$Z16,0))</f>
        <v>-</v>
      </c>
      <c r="N16" s="430" t="str">
        <f aca="false">IF($A$1="Peak","-",IF(BaseLoad!T15&gt;BaseLoad!$G15,N$8*$Z16,0))</f>
        <v>-</v>
      </c>
      <c r="O16" s="430" t="str">
        <f aca="false">IF($A$1="Peak","-",IF(BaseLoad!U15&gt;BaseLoad!$G15,O$8*$Z16,0))</f>
        <v>-</v>
      </c>
      <c r="P16" s="430" t="str">
        <f aca="false">IF($A$1="Peak","-",IF(BaseLoad!V15&gt;BaseLoad!$G15,P$8*$Z16,0))</f>
        <v>-</v>
      </c>
      <c r="Q16" s="430" t="str">
        <f aca="false">IF($A$1="Peak","-",IF(BaseLoad!W15&gt;BaseLoad!$G15,Q$8*$Z16,0))</f>
        <v>-</v>
      </c>
      <c r="R16" s="430" t="str">
        <f aca="false">IF($A$1="Peak","-",IF(BaseLoad!X15&gt;BaseLoad!$G15,R$8*$Z16,0))</f>
        <v>-</v>
      </c>
      <c r="S16" s="430" t="str">
        <f aca="false">IF($A$1="Peak","-",IF(BaseLoad!Y15&gt;BaseLoad!$G15,S$8*$Z16,0))</f>
        <v>-</v>
      </c>
      <c r="T16" s="430" t="str">
        <f aca="false">IF($A$1="Peak","-",IF(BaseLoad!Z15&gt;BaseLoad!$G15,T$8*$Z16,0))</f>
        <v>-</v>
      </c>
      <c r="U16" s="430" t="str">
        <f aca="false">IF($A$1="Peak","-",IF(BaseLoad!AA15&gt;BaseLoad!$G15,U$8*$Z16,0))</f>
        <v>-</v>
      </c>
      <c r="V16" s="430" t="n">
        <f aca="false">SUM(B16:U16)</f>
        <v>0</v>
      </c>
      <c r="W16" s="430" t="n">
        <v>0</v>
      </c>
      <c r="X16" s="430" t="n">
        <f aca="false">SUM(V16:W16)</f>
        <v>0</v>
      </c>
      <c r="Y16" s="430"/>
      <c r="Z16" s="430" t="n">
        <f aca="false">CHOOSE(QUOTIENT(MONTH($A16),3)+1,BaseLoad!$AM$9,BaseLoad!$AN$9,BaseLoad!$AL$9,BaseLoad!$AO$9,BaseLoad!$AM$9)</f>
        <v>0.966121359095586</v>
      </c>
      <c r="AA16" s="430" t="n">
        <f aca="false">CHOOSE(QUOTIENT(MONTH($A16),3)+1,BaseLoad!$AM$15,BaseLoad!$AN$15,BaseLoad!$AL$15,BaseLoad!$AO$15,BaseLoad!$AM$15)</f>
        <v>705</v>
      </c>
    </row>
    <row r="17" customFormat="false" ht="12.75" hidden="false" customHeight="false" outlineLevel="0" collapsed="false">
      <c r="A17" s="400" t="n">
        <f aca="false">A16+30.417</f>
        <v>36752.919</v>
      </c>
      <c r="B17" s="430" t="str">
        <f aca="false">IF($A$1="Peak","-",IF(BaseLoad!H16&gt;BaseLoad!$G16,B$8*$Z17,0))</f>
        <v>-</v>
      </c>
      <c r="C17" s="430" t="str">
        <f aca="false">IF($A$1="Peak","-",IF(BaseLoad!I16&gt;BaseLoad!$G16,C$8*$Z17,0))</f>
        <v>-</v>
      </c>
      <c r="D17" s="430" t="str">
        <f aca="false">IF($A$1="Peak","-",IF(BaseLoad!J16&gt;BaseLoad!$G16,D$8*$Z17,0))</f>
        <v>-</v>
      </c>
      <c r="E17" s="430" t="str">
        <f aca="false">IF($A$1="Peak","-",IF(BaseLoad!K16&gt;BaseLoad!$G16,E$8*$Z17,0))</f>
        <v>-</v>
      </c>
      <c r="F17" s="430" t="str">
        <f aca="false">IF($A$1="Peak","-",IF(BaseLoad!L16&gt;BaseLoad!$G16,F$8*$Z17,0))</f>
        <v>-</v>
      </c>
      <c r="G17" s="430" t="str">
        <f aca="false">IF($A$1="Peak","-",IF(BaseLoad!M16&gt;BaseLoad!$G16,G$8*$Z17,0))</f>
        <v>-</v>
      </c>
      <c r="H17" s="430" t="str">
        <f aca="false">IF($A$1="Peak","-",IF(BaseLoad!N16&gt;BaseLoad!$G16,H$8*$Z17,0))</f>
        <v>-</v>
      </c>
      <c r="I17" s="430" t="str">
        <f aca="false">IF($A$1="Peak","-",IF(BaseLoad!O16&gt;BaseLoad!$G16,I$8*$Z17,0))</f>
        <v>-</v>
      </c>
      <c r="J17" s="430" t="str">
        <f aca="false">IF($A$1="Peak","-",IF(BaseLoad!P16&gt;BaseLoad!$G16,J$8*$Z17,0))</f>
        <v>-</v>
      </c>
      <c r="K17" s="430" t="str">
        <f aca="false">IF($A$1="Peak","-",IF(BaseLoad!Q16&gt;BaseLoad!$G16,K$8*$Z17,0))</f>
        <v>-</v>
      </c>
      <c r="L17" s="430" t="str">
        <f aca="false">IF($A$1="Peak","-",IF(BaseLoad!R16&gt;BaseLoad!$G16,L$8*$Z17,0))</f>
        <v>-</v>
      </c>
      <c r="M17" s="430" t="str">
        <f aca="false">IF($A$1="Peak","-",IF(BaseLoad!S16&gt;BaseLoad!$G16,M$8*$Z17,0))</f>
        <v>-</v>
      </c>
      <c r="N17" s="430" t="str">
        <f aca="false">IF($A$1="Peak","-",IF(BaseLoad!T16&gt;BaseLoad!$G16,N$8*$Z17,0))</f>
        <v>-</v>
      </c>
      <c r="O17" s="430" t="str">
        <f aca="false">IF($A$1="Peak","-",IF(BaseLoad!U16&gt;BaseLoad!$G16,O$8*$Z17,0))</f>
        <v>-</v>
      </c>
      <c r="P17" s="430" t="str">
        <f aca="false">IF($A$1="Peak","-",IF(BaseLoad!V16&gt;BaseLoad!$G16,P$8*$Z17,0))</f>
        <v>-</v>
      </c>
      <c r="Q17" s="430" t="str">
        <f aca="false">IF($A$1="Peak","-",IF(BaseLoad!W16&gt;BaseLoad!$G16,Q$8*$Z17,0))</f>
        <v>-</v>
      </c>
      <c r="R17" s="430" t="str">
        <f aca="false">IF($A$1="Peak","-",IF(BaseLoad!X16&gt;BaseLoad!$G16,R$8*$Z17,0))</f>
        <v>-</v>
      </c>
      <c r="S17" s="430" t="str">
        <f aca="false">IF($A$1="Peak","-",IF(BaseLoad!Y16&gt;BaseLoad!$G16,S$8*$Z17,0))</f>
        <v>-</v>
      </c>
      <c r="T17" s="430" t="str">
        <f aca="false">IF($A$1="Peak","-",IF(BaseLoad!Z16&gt;BaseLoad!$G16,T$8*$Z17,0))</f>
        <v>-</v>
      </c>
      <c r="U17" s="430" t="str">
        <f aca="false">IF($A$1="Peak","-",IF(BaseLoad!AA16&gt;BaseLoad!$G16,U$8*$Z17,0))</f>
        <v>-</v>
      </c>
      <c r="V17" s="430" t="n">
        <f aca="false">SUM(B17:U17)</f>
        <v>0</v>
      </c>
      <c r="W17" s="430" t="n">
        <v>0</v>
      </c>
      <c r="X17" s="430" t="n">
        <f aca="false">SUM(V17:W17)</f>
        <v>0</v>
      </c>
      <c r="Y17" s="430"/>
      <c r="Z17" s="430" t="n">
        <f aca="false">CHOOSE(QUOTIENT(MONTH($A17),3)+1,BaseLoad!$AM$9,BaseLoad!$AN$9,BaseLoad!$AL$9,BaseLoad!$AO$9,BaseLoad!$AM$9)</f>
        <v>0.966121359095586</v>
      </c>
      <c r="AA17" s="430" t="n">
        <f aca="false">CHOOSE(QUOTIENT(MONTH($A17),3)+1,BaseLoad!$AM$15,BaseLoad!$AN$15,BaseLoad!$AL$15,BaseLoad!$AO$15,BaseLoad!$AM$15)</f>
        <v>705</v>
      </c>
    </row>
    <row r="18" customFormat="false" ht="12.75" hidden="false" customHeight="false" outlineLevel="0" collapsed="false">
      <c r="A18" s="400" t="n">
        <f aca="false">A17+30.417</f>
        <v>36783.336</v>
      </c>
      <c r="B18" s="430" t="str">
        <f aca="false">IF($A$1="Peak","-",IF(BaseLoad!H17&gt;BaseLoad!$G17,B$8*$Z18,0))</f>
        <v>-</v>
      </c>
      <c r="C18" s="430" t="str">
        <f aca="false">IF($A$1="Peak","-",IF(BaseLoad!I17&gt;BaseLoad!$G17,C$8*$Z18,0))</f>
        <v>-</v>
      </c>
      <c r="D18" s="430" t="str">
        <f aca="false">IF($A$1="Peak","-",IF(BaseLoad!J17&gt;BaseLoad!$G17,D$8*$Z18,0))</f>
        <v>-</v>
      </c>
      <c r="E18" s="430" t="str">
        <f aca="false">IF($A$1="Peak","-",IF(BaseLoad!K17&gt;BaseLoad!$G17,E$8*$Z18,0))</f>
        <v>-</v>
      </c>
      <c r="F18" s="430" t="str">
        <f aca="false">IF($A$1="Peak","-",IF(BaseLoad!L17&gt;BaseLoad!$G17,F$8*$Z18,0))</f>
        <v>-</v>
      </c>
      <c r="G18" s="430" t="str">
        <f aca="false">IF($A$1="Peak","-",IF(BaseLoad!M17&gt;BaseLoad!$G17,G$8*$Z18,0))</f>
        <v>-</v>
      </c>
      <c r="H18" s="430" t="str">
        <f aca="false">IF($A$1="Peak","-",IF(BaseLoad!N17&gt;BaseLoad!$G17,H$8*$Z18,0))</f>
        <v>-</v>
      </c>
      <c r="I18" s="430" t="str">
        <f aca="false">IF($A$1="Peak","-",IF(BaseLoad!O17&gt;BaseLoad!$G17,I$8*$Z18,0))</f>
        <v>-</v>
      </c>
      <c r="J18" s="430" t="str">
        <f aca="false">IF($A$1="Peak","-",IF(BaseLoad!P17&gt;BaseLoad!$G17,J$8*$Z18,0))</f>
        <v>-</v>
      </c>
      <c r="K18" s="430" t="str">
        <f aca="false">IF($A$1="Peak","-",IF(BaseLoad!Q17&gt;BaseLoad!$G17,K$8*$Z18,0))</f>
        <v>-</v>
      </c>
      <c r="L18" s="430" t="str">
        <f aca="false">IF($A$1="Peak","-",IF(BaseLoad!R17&gt;BaseLoad!$G17,L$8*$Z18,0))</f>
        <v>-</v>
      </c>
      <c r="M18" s="430" t="str">
        <f aca="false">IF($A$1="Peak","-",IF(BaseLoad!S17&gt;BaseLoad!$G17,M$8*$Z18,0))</f>
        <v>-</v>
      </c>
      <c r="N18" s="430" t="str">
        <f aca="false">IF($A$1="Peak","-",IF(BaseLoad!T17&gt;BaseLoad!$G17,N$8*$Z18,0))</f>
        <v>-</v>
      </c>
      <c r="O18" s="430" t="str">
        <f aca="false">IF($A$1="Peak","-",IF(BaseLoad!U17&gt;BaseLoad!$G17,O$8*$Z18,0))</f>
        <v>-</v>
      </c>
      <c r="P18" s="430" t="str">
        <f aca="false">IF($A$1="Peak","-",IF(BaseLoad!V17&gt;BaseLoad!$G17,P$8*$Z18,0))</f>
        <v>-</v>
      </c>
      <c r="Q18" s="430" t="str">
        <f aca="false">IF($A$1="Peak","-",IF(BaseLoad!W17&gt;BaseLoad!$G17,Q$8*$Z18,0))</f>
        <v>-</v>
      </c>
      <c r="R18" s="430" t="str">
        <f aca="false">IF($A$1="Peak","-",IF(BaseLoad!X17&gt;BaseLoad!$G17,R$8*$Z18,0))</f>
        <v>-</v>
      </c>
      <c r="S18" s="430" t="str">
        <f aca="false">IF($A$1="Peak","-",IF(BaseLoad!Y17&gt;BaseLoad!$G17,S$8*$Z18,0))</f>
        <v>-</v>
      </c>
      <c r="T18" s="430" t="str">
        <f aca="false">IF($A$1="Peak","-",IF(BaseLoad!Z17&gt;BaseLoad!$G17,T$8*$Z18,0))</f>
        <v>-</v>
      </c>
      <c r="U18" s="430" t="str">
        <f aca="false">IF($A$1="Peak","-",IF(BaseLoad!AA17&gt;BaseLoad!$G17,U$8*$Z18,0))</f>
        <v>-</v>
      </c>
      <c r="V18" s="430" t="n">
        <f aca="false">SUM(B18:U18)</f>
        <v>0</v>
      </c>
      <c r="W18" s="430" t="n">
        <v>0</v>
      </c>
      <c r="X18" s="430" t="n">
        <f aca="false">SUM(V18:W18)</f>
        <v>0</v>
      </c>
      <c r="Y18" s="430"/>
      <c r="Z18" s="430" t="n">
        <f aca="false">CHOOSE(QUOTIENT(MONTH($A18),3)+1,BaseLoad!$AM$9,BaseLoad!$AN$9,BaseLoad!$AL$9,BaseLoad!$AO$9,BaseLoad!$AM$9)</f>
        <v>0.95</v>
      </c>
      <c r="AA18" s="430" t="n">
        <f aca="false">CHOOSE(QUOTIENT(MONTH($A18),3)+1,BaseLoad!$AM$15,BaseLoad!$AN$15,BaseLoad!$AL$15,BaseLoad!$AO$15,BaseLoad!$AM$15)</f>
        <v>705</v>
      </c>
    </row>
    <row r="19" customFormat="false" ht="12.75" hidden="false" customHeight="false" outlineLevel="0" collapsed="false">
      <c r="A19" s="400" t="n">
        <f aca="false">A18+30.417</f>
        <v>36813.753</v>
      </c>
      <c r="B19" s="430" t="str">
        <f aca="false">IF($A$1="Peak","-",IF(BaseLoad!H18&gt;BaseLoad!$G18,B$8*$Z19,0))</f>
        <v>-</v>
      </c>
      <c r="C19" s="430" t="str">
        <f aca="false">IF($A$1="Peak","-",IF(BaseLoad!I18&gt;BaseLoad!$G18,C$8*$Z19,0))</f>
        <v>-</v>
      </c>
      <c r="D19" s="430" t="str">
        <f aca="false">IF($A$1="Peak","-",IF(BaseLoad!J18&gt;BaseLoad!$G18,D$8*$Z19,0))</f>
        <v>-</v>
      </c>
      <c r="E19" s="430" t="str">
        <f aca="false">IF($A$1="Peak","-",IF(BaseLoad!K18&gt;BaseLoad!$G18,E$8*$Z19,0))</f>
        <v>-</v>
      </c>
      <c r="F19" s="430" t="str">
        <f aca="false">IF($A$1="Peak","-",IF(BaseLoad!L18&gt;BaseLoad!$G18,F$8*$Z19,0))</f>
        <v>-</v>
      </c>
      <c r="G19" s="430" t="str">
        <f aca="false">IF($A$1="Peak","-",IF(BaseLoad!M18&gt;BaseLoad!$G18,G$8*$Z19,0))</f>
        <v>-</v>
      </c>
      <c r="H19" s="430" t="str">
        <f aca="false">IF($A$1="Peak","-",IF(BaseLoad!N18&gt;BaseLoad!$G18,H$8*$Z19,0))</f>
        <v>-</v>
      </c>
      <c r="I19" s="430" t="str">
        <f aca="false">IF($A$1="Peak","-",IF(BaseLoad!O18&gt;BaseLoad!$G18,I$8*$Z19,0))</f>
        <v>-</v>
      </c>
      <c r="J19" s="430" t="str">
        <f aca="false">IF($A$1="Peak","-",IF(BaseLoad!P18&gt;BaseLoad!$G18,J$8*$Z19,0))</f>
        <v>-</v>
      </c>
      <c r="K19" s="430" t="str">
        <f aca="false">IF($A$1="Peak","-",IF(BaseLoad!Q18&gt;BaseLoad!$G18,K$8*$Z19,0))</f>
        <v>-</v>
      </c>
      <c r="L19" s="430" t="str">
        <f aca="false">IF($A$1="Peak","-",IF(BaseLoad!R18&gt;BaseLoad!$G18,L$8*$Z19,0))</f>
        <v>-</v>
      </c>
      <c r="M19" s="430" t="str">
        <f aca="false">IF($A$1="Peak","-",IF(BaseLoad!S18&gt;BaseLoad!$G18,M$8*$Z19,0))</f>
        <v>-</v>
      </c>
      <c r="N19" s="430" t="str">
        <f aca="false">IF($A$1="Peak","-",IF(BaseLoad!T18&gt;BaseLoad!$G18,N$8*$Z19,0))</f>
        <v>-</v>
      </c>
      <c r="O19" s="430" t="str">
        <f aca="false">IF($A$1="Peak","-",IF(BaseLoad!U18&gt;BaseLoad!$G18,O$8*$Z19,0))</f>
        <v>-</v>
      </c>
      <c r="P19" s="430" t="str">
        <f aca="false">IF($A$1="Peak","-",IF(BaseLoad!V18&gt;BaseLoad!$G18,P$8*$Z19,0))</f>
        <v>-</v>
      </c>
      <c r="Q19" s="430" t="str">
        <f aca="false">IF($A$1="Peak","-",IF(BaseLoad!W18&gt;BaseLoad!$G18,Q$8*$Z19,0))</f>
        <v>-</v>
      </c>
      <c r="R19" s="430" t="str">
        <f aca="false">IF($A$1="Peak","-",IF(BaseLoad!X18&gt;BaseLoad!$G18,R$8*$Z19,0))</f>
        <v>-</v>
      </c>
      <c r="S19" s="430" t="str">
        <f aca="false">IF($A$1="Peak","-",IF(BaseLoad!Y18&gt;BaseLoad!$G18,S$8*$Z19,0))</f>
        <v>-</v>
      </c>
      <c r="T19" s="430" t="str">
        <f aca="false">IF($A$1="Peak","-",IF(BaseLoad!Z18&gt;BaseLoad!$G18,T$8*$Z19,0))</f>
        <v>-</v>
      </c>
      <c r="U19" s="430" t="str">
        <f aca="false">IF($A$1="Peak","-",IF(BaseLoad!AA18&gt;BaseLoad!$G18,U$8*$Z19,0))</f>
        <v>-</v>
      </c>
      <c r="V19" s="430" t="n">
        <f aca="false">SUM(B19:U19)</f>
        <v>0</v>
      </c>
      <c r="W19" s="430" t="n">
        <v>0</v>
      </c>
      <c r="X19" s="430" t="n">
        <f aca="false">SUM(V19:W19)</f>
        <v>0</v>
      </c>
      <c r="Y19" s="430"/>
      <c r="Z19" s="430" t="n">
        <f aca="false">CHOOSE(QUOTIENT(MONTH($A19),3)+1,BaseLoad!$AM$9,BaseLoad!$AN$9,BaseLoad!$AL$9,BaseLoad!$AO$9,BaseLoad!$AM$9)</f>
        <v>0.95</v>
      </c>
      <c r="AA19" s="430" t="n">
        <f aca="false">CHOOSE(QUOTIENT(MONTH($A19),3)+1,BaseLoad!$AM$15,BaseLoad!$AN$15,BaseLoad!$AL$15,BaseLoad!$AO$15,BaseLoad!$AM$15)</f>
        <v>705</v>
      </c>
    </row>
    <row r="20" customFormat="false" ht="12.75" hidden="false" customHeight="false" outlineLevel="0" collapsed="false">
      <c r="A20" s="400" t="n">
        <f aca="false">A19+30.417</f>
        <v>36844.17</v>
      </c>
      <c r="B20" s="430" t="str">
        <f aca="false">IF($A$1="Peak","-",IF(BaseLoad!H19&gt;BaseLoad!$G19,B$8*$Z20,0))</f>
        <v>-</v>
      </c>
      <c r="C20" s="430" t="str">
        <f aca="false">IF($A$1="Peak","-",IF(BaseLoad!I19&gt;BaseLoad!$G19,C$8*$Z20,0))</f>
        <v>-</v>
      </c>
      <c r="D20" s="430" t="str">
        <f aca="false">IF($A$1="Peak","-",IF(BaseLoad!J19&gt;BaseLoad!$G19,D$8*$Z20,0))</f>
        <v>-</v>
      </c>
      <c r="E20" s="430" t="str">
        <f aca="false">IF($A$1="Peak","-",IF(BaseLoad!K19&gt;BaseLoad!$G19,E$8*$Z20,0))</f>
        <v>-</v>
      </c>
      <c r="F20" s="430" t="str">
        <f aca="false">IF($A$1="Peak","-",IF(BaseLoad!L19&gt;BaseLoad!$G19,F$8*$Z20,0))</f>
        <v>-</v>
      </c>
      <c r="G20" s="430" t="str">
        <f aca="false">IF($A$1="Peak","-",IF(BaseLoad!M19&gt;BaseLoad!$G19,G$8*$Z20,0))</f>
        <v>-</v>
      </c>
      <c r="H20" s="430" t="str">
        <f aca="false">IF($A$1="Peak","-",IF(BaseLoad!N19&gt;BaseLoad!$G19,H$8*$Z20,0))</f>
        <v>-</v>
      </c>
      <c r="I20" s="430" t="str">
        <f aca="false">IF($A$1="Peak","-",IF(BaseLoad!O19&gt;BaseLoad!$G19,I$8*$Z20,0))</f>
        <v>-</v>
      </c>
      <c r="J20" s="430" t="str">
        <f aca="false">IF($A$1="Peak","-",IF(BaseLoad!P19&gt;BaseLoad!$G19,J$8*$Z20,0))</f>
        <v>-</v>
      </c>
      <c r="K20" s="430" t="str">
        <f aca="false">IF($A$1="Peak","-",IF(BaseLoad!Q19&gt;BaseLoad!$G19,K$8*$Z20,0))</f>
        <v>-</v>
      </c>
      <c r="L20" s="430" t="str">
        <f aca="false">IF($A$1="Peak","-",IF(BaseLoad!R19&gt;BaseLoad!$G19,L$8*$Z20,0))</f>
        <v>-</v>
      </c>
      <c r="M20" s="430" t="str">
        <f aca="false">IF($A$1="Peak","-",IF(BaseLoad!S19&gt;BaseLoad!$G19,M$8*$Z20,0))</f>
        <v>-</v>
      </c>
      <c r="N20" s="430" t="str">
        <f aca="false">IF($A$1="Peak","-",IF(BaseLoad!T19&gt;BaseLoad!$G19,N$8*$Z20,0))</f>
        <v>-</v>
      </c>
      <c r="O20" s="430" t="str">
        <f aca="false">IF($A$1="Peak","-",IF(BaseLoad!U19&gt;BaseLoad!$G19,O$8*$Z20,0))</f>
        <v>-</v>
      </c>
      <c r="P20" s="430" t="str">
        <f aca="false">IF($A$1="Peak","-",IF(BaseLoad!V19&gt;BaseLoad!$G19,P$8*$Z20,0))</f>
        <v>-</v>
      </c>
      <c r="Q20" s="430" t="str">
        <f aca="false">IF($A$1="Peak","-",IF(BaseLoad!W19&gt;BaseLoad!$G19,Q$8*$Z20,0))</f>
        <v>-</v>
      </c>
      <c r="R20" s="430" t="str">
        <f aca="false">IF($A$1="Peak","-",IF(BaseLoad!X19&gt;BaseLoad!$G19,R$8*$Z20,0))</f>
        <v>-</v>
      </c>
      <c r="S20" s="430" t="str">
        <f aca="false">IF($A$1="Peak","-",IF(BaseLoad!Y19&gt;BaseLoad!$G19,S$8*$Z20,0))</f>
        <v>-</v>
      </c>
      <c r="T20" s="430" t="str">
        <f aca="false">IF($A$1="Peak","-",IF(BaseLoad!Z19&gt;BaseLoad!$G19,T$8*$Z20,0))</f>
        <v>-</v>
      </c>
      <c r="U20" s="430" t="str">
        <f aca="false">IF($A$1="Peak","-",IF(BaseLoad!AA19&gt;BaseLoad!$G19,U$8*$Z20,0))</f>
        <v>-</v>
      </c>
      <c r="V20" s="430" t="n">
        <f aca="false">SUM(B20:U20)</f>
        <v>0</v>
      </c>
      <c r="W20" s="430" t="n">
        <v>0</v>
      </c>
      <c r="X20" s="430" t="n">
        <f aca="false">SUM(V20:W20)</f>
        <v>0</v>
      </c>
      <c r="Y20" s="430"/>
      <c r="Z20" s="430" t="n">
        <f aca="false">CHOOSE(QUOTIENT(MONTH($A20),3)+1,BaseLoad!$AM$9,BaseLoad!$AN$9,BaseLoad!$AL$9,BaseLoad!$AO$9,BaseLoad!$AM$9)</f>
        <v>0.95</v>
      </c>
      <c r="AA20" s="430" t="n">
        <f aca="false">CHOOSE(QUOTIENT(MONTH($A20),3)+1,BaseLoad!$AM$15,BaseLoad!$AN$15,BaseLoad!$AL$15,BaseLoad!$AO$15,BaseLoad!$AM$15)</f>
        <v>705</v>
      </c>
    </row>
    <row r="21" customFormat="false" ht="12.75" hidden="false" customHeight="false" outlineLevel="0" collapsed="false">
      <c r="A21" s="400" t="n">
        <f aca="false">A20+30.417</f>
        <v>36874.587</v>
      </c>
      <c r="B21" s="430" t="str">
        <f aca="false">IF($A$1="Peak","-",IF(BaseLoad!H20&gt;BaseLoad!$G20,B$8*$Z21,0))</f>
        <v>-</v>
      </c>
      <c r="C21" s="430" t="str">
        <f aca="false">IF($A$1="Peak","-",IF(BaseLoad!I20&gt;BaseLoad!$G20,C$8*$Z21,0))</f>
        <v>-</v>
      </c>
      <c r="D21" s="430" t="str">
        <f aca="false">IF($A$1="Peak","-",IF(BaseLoad!J20&gt;BaseLoad!$G20,D$8*$Z21,0))</f>
        <v>-</v>
      </c>
      <c r="E21" s="430" t="str">
        <f aca="false">IF($A$1="Peak","-",IF(BaseLoad!K20&gt;BaseLoad!$G20,E$8*$Z21,0))</f>
        <v>-</v>
      </c>
      <c r="F21" s="430" t="str">
        <f aca="false">IF($A$1="Peak","-",IF(BaseLoad!L20&gt;BaseLoad!$G20,F$8*$Z21,0))</f>
        <v>-</v>
      </c>
      <c r="G21" s="430" t="str">
        <f aca="false">IF($A$1="Peak","-",IF(BaseLoad!M20&gt;BaseLoad!$G20,G$8*$Z21,0))</f>
        <v>-</v>
      </c>
      <c r="H21" s="430" t="str">
        <f aca="false">IF($A$1="Peak","-",IF(BaseLoad!N20&gt;BaseLoad!$G20,H$8*$Z21,0))</f>
        <v>-</v>
      </c>
      <c r="I21" s="430" t="str">
        <f aca="false">IF($A$1="Peak","-",IF(BaseLoad!O20&gt;BaseLoad!$G20,I$8*$Z21,0))</f>
        <v>-</v>
      </c>
      <c r="J21" s="430" t="str">
        <f aca="false">IF($A$1="Peak","-",IF(BaseLoad!P20&gt;BaseLoad!$G20,J$8*$Z21,0))</f>
        <v>-</v>
      </c>
      <c r="K21" s="430" t="str">
        <f aca="false">IF($A$1="Peak","-",IF(BaseLoad!Q20&gt;BaseLoad!$G20,K$8*$Z21,0))</f>
        <v>-</v>
      </c>
      <c r="L21" s="430" t="str">
        <f aca="false">IF($A$1="Peak","-",IF(BaseLoad!R20&gt;BaseLoad!$G20,L$8*$Z21,0))</f>
        <v>-</v>
      </c>
      <c r="M21" s="430" t="str">
        <f aca="false">IF($A$1="Peak","-",IF(BaseLoad!S20&gt;BaseLoad!$G20,M$8*$Z21,0))</f>
        <v>-</v>
      </c>
      <c r="N21" s="430" t="str">
        <f aca="false">IF($A$1="Peak","-",IF(BaseLoad!T20&gt;BaseLoad!$G20,N$8*$Z21,0))</f>
        <v>-</v>
      </c>
      <c r="O21" s="430" t="str">
        <f aca="false">IF($A$1="Peak","-",IF(BaseLoad!U20&gt;BaseLoad!$G20,O$8*$Z21,0))</f>
        <v>-</v>
      </c>
      <c r="P21" s="430" t="str">
        <f aca="false">IF($A$1="Peak","-",IF(BaseLoad!V20&gt;BaseLoad!$G20,P$8*$Z21,0))</f>
        <v>-</v>
      </c>
      <c r="Q21" s="430" t="str">
        <f aca="false">IF($A$1="Peak","-",IF(BaseLoad!W20&gt;BaseLoad!$G20,Q$8*$Z21,0))</f>
        <v>-</v>
      </c>
      <c r="R21" s="430" t="str">
        <f aca="false">IF($A$1="Peak","-",IF(BaseLoad!X20&gt;BaseLoad!$G20,R$8*$Z21,0))</f>
        <v>-</v>
      </c>
      <c r="S21" s="430" t="str">
        <f aca="false">IF($A$1="Peak","-",IF(BaseLoad!Y20&gt;BaseLoad!$G20,S$8*$Z21,0))</f>
        <v>-</v>
      </c>
      <c r="T21" s="430" t="str">
        <f aca="false">IF($A$1="Peak","-",IF(BaseLoad!Z20&gt;BaseLoad!$G20,T$8*$Z21,0))</f>
        <v>-</v>
      </c>
      <c r="U21" s="430" t="str">
        <f aca="false">IF($A$1="Peak","-",IF(BaseLoad!AA20&gt;BaseLoad!$G20,U$8*$Z21,0))</f>
        <v>-</v>
      </c>
      <c r="V21" s="430" t="n">
        <f aca="false">SUM(B21:U21)</f>
        <v>0</v>
      </c>
      <c r="W21" s="430" t="n">
        <v>0</v>
      </c>
      <c r="X21" s="430" t="n">
        <f aca="false">SUM(V21:W21)</f>
        <v>0</v>
      </c>
      <c r="Y21" s="430" t="n">
        <f aca="false">SUM(V10:V21)</f>
        <v>0</v>
      </c>
      <c r="Z21" s="430" t="n">
        <f aca="false">CHOOSE(QUOTIENT(MONTH($A21),3)+1,BaseLoad!$AM$9,BaseLoad!$AN$9,BaseLoad!$AL$9,BaseLoad!$AO$9,BaseLoad!$AM$9)</f>
        <v>0.924276618786118</v>
      </c>
      <c r="AA21" s="430" t="n">
        <f aca="false">CHOOSE(QUOTIENT(MONTH($A21),3)+1,BaseLoad!$AM$15,BaseLoad!$AN$15,BaseLoad!$AL$15,BaseLoad!$AO$15,BaseLoad!$AM$15)</f>
        <v>705</v>
      </c>
    </row>
    <row r="22" customFormat="false" ht="12.75" hidden="false" customHeight="false" outlineLevel="0" collapsed="false">
      <c r="A22" s="400" t="n">
        <f aca="false">A21+30.417</f>
        <v>36905.004</v>
      </c>
      <c r="B22" s="430" t="str">
        <f aca="false">IF($A$1="Peak","-",IF(BaseLoad!H21&gt;BaseLoad!$G21,B$8*PPA!$G$5*$Z22,0))</f>
        <v>-</v>
      </c>
      <c r="C22" s="430" t="str">
        <f aca="false">IF($A$1="Peak","-",IF(BaseLoad!I21&gt;BaseLoad!$G21,C$8*PPA!$G$5*$Z22,0))</f>
        <v>-</v>
      </c>
      <c r="D22" s="430" t="str">
        <f aca="false">IF($A$1="Peak","-",IF(BaseLoad!J21&gt;BaseLoad!$G21,D$8*PPA!$G$5*$Z22,0))</f>
        <v>-</v>
      </c>
      <c r="E22" s="430" t="str">
        <f aca="false">IF($A$1="Peak","-",IF(BaseLoad!K21&gt;BaseLoad!$G21,E$8*PPA!$G$5*$Z22,0))</f>
        <v>-</v>
      </c>
      <c r="F22" s="430" t="str">
        <f aca="false">IF($A$1="Peak","-",IF(BaseLoad!L21&gt;BaseLoad!$G21,F$8*PPA!$G$5*$Z22,0))</f>
        <v>-</v>
      </c>
      <c r="G22" s="430" t="str">
        <f aca="false">IF($A$1="Peak","-",IF(BaseLoad!M21&gt;BaseLoad!$G21,G$8*PPA!$G$5*$Z22,0))</f>
        <v>-</v>
      </c>
      <c r="H22" s="430" t="str">
        <f aca="false">IF($A$1="Peak","-",IF(BaseLoad!N21&gt;BaseLoad!$G21,H$8*PPA!$G$5*$Z22,0))</f>
        <v>-</v>
      </c>
      <c r="I22" s="430" t="str">
        <f aca="false">IF($A$1="Peak","-",IF(BaseLoad!O21&gt;BaseLoad!$G21,I$8*PPA!$G$5*$Z22,0))</f>
        <v>-</v>
      </c>
      <c r="J22" s="430" t="str">
        <f aca="false">IF($A$1="Peak","-",IF(BaseLoad!P21&gt;BaseLoad!$G21,J$8*PPA!$G$5*$Z22,0))</f>
        <v>-</v>
      </c>
      <c r="K22" s="430" t="str">
        <f aca="false">IF($A$1="Peak","-",IF(BaseLoad!Q21&gt;BaseLoad!$G21,K$8*PPA!$G$5*$Z22,0))</f>
        <v>-</v>
      </c>
      <c r="L22" s="430" t="str">
        <f aca="false">IF($A$1="Peak","-",IF(BaseLoad!R21&gt;BaseLoad!$G21,L$8*PPA!$G$5*$Z22,0))</f>
        <v>-</v>
      </c>
      <c r="M22" s="430" t="str">
        <f aca="false">IF($A$1="Peak","-",IF(BaseLoad!S21&gt;BaseLoad!$G21,M$8*PPA!$G$5*$Z22,0))</f>
        <v>-</v>
      </c>
      <c r="N22" s="430" t="str">
        <f aca="false">IF($A$1="Peak","-",IF(BaseLoad!T21&gt;BaseLoad!$G21,N$8*PPA!$G$5*$Z22,0))</f>
        <v>-</v>
      </c>
      <c r="O22" s="430" t="str">
        <f aca="false">IF($A$1="Peak","-",IF(BaseLoad!U21&gt;BaseLoad!$G21,O$8*PPA!$G$5*$Z22,0))</f>
        <v>-</v>
      </c>
      <c r="P22" s="430" t="str">
        <f aca="false">IF($A$1="Peak","-",IF(BaseLoad!V21&gt;BaseLoad!$G21,P$8*PPA!$G$5*$Z22,0))</f>
        <v>-</v>
      </c>
      <c r="Q22" s="430" t="str">
        <f aca="false">IF($A$1="Peak","-",IF(BaseLoad!W21&gt;BaseLoad!$G21,Q$8*PPA!$G$5*$Z22,0))</f>
        <v>-</v>
      </c>
      <c r="R22" s="430" t="str">
        <f aca="false">IF($A$1="Peak","-",IF(BaseLoad!X21&gt;BaseLoad!$G21,R$8*PPA!$G$5*$Z22,0))</f>
        <v>-</v>
      </c>
      <c r="S22" s="430" t="str">
        <f aca="false">IF($A$1="Peak","-",IF(BaseLoad!Y21&gt;BaseLoad!$G21,S$8*PPA!$G$5*$Z22,0))</f>
        <v>-</v>
      </c>
      <c r="T22" s="430" t="str">
        <f aca="false">IF($A$1="Peak","-",IF(BaseLoad!Z21&gt;BaseLoad!$G21,T$8*PPA!$G$5*$Z22,0))</f>
        <v>-</v>
      </c>
      <c r="U22" s="430" t="str">
        <f aca="false">IF($A$1="Peak","-",IF(BaseLoad!AA21&gt;BaseLoad!$G21,U$8*PPA!$G$5*$Z22,0))</f>
        <v>-</v>
      </c>
      <c r="V22" s="430" t="n">
        <f aca="false">SUM(B22:U22)</f>
        <v>0</v>
      </c>
      <c r="W22" s="430" t="str">
        <f aca="false">IF($A$1="Peak","-",(730*PPA!$G$4*$Z22))</f>
        <v>-</v>
      </c>
      <c r="X22" s="430" t="n">
        <f aca="false">SUM(V22:W22)</f>
        <v>0</v>
      </c>
      <c r="Y22" s="430"/>
      <c r="Z22" s="430" t="n">
        <f aca="false">CHOOSE(QUOTIENT(MONTH($A22),3)+1,BaseLoad!$AM$9,BaseLoad!$AN$9,BaseLoad!$AL$9,BaseLoad!$AO$9,BaseLoad!$AM$9)</f>
        <v>0.924276618786118</v>
      </c>
      <c r="AA22" s="430" t="n">
        <f aca="false">CHOOSE(QUOTIENT(MONTH($A22),3)+1,BaseLoad!$AM$15,BaseLoad!$AN$15,BaseLoad!$AL$15,BaseLoad!$AO$15,BaseLoad!$AM$15)</f>
        <v>705</v>
      </c>
      <c r="AB22" s="431"/>
      <c r="AD22" s="431"/>
    </row>
    <row r="23" customFormat="false" ht="12.75" hidden="false" customHeight="false" outlineLevel="0" collapsed="false">
      <c r="A23" s="400" t="n">
        <f aca="false">A22+30.417</f>
        <v>36935.421</v>
      </c>
      <c r="B23" s="430" t="str">
        <f aca="false">IF($A$1="Peak","-",IF(BaseLoad!H22&gt;BaseLoad!$G22,B$8*PPA!$G$5*$Z23,0))</f>
        <v>-</v>
      </c>
      <c r="C23" s="430" t="str">
        <f aca="false">IF($A$1="Peak","-",IF(BaseLoad!I22&gt;BaseLoad!$G22,C$8*PPA!$G$5*$Z23,0))</f>
        <v>-</v>
      </c>
      <c r="D23" s="430" t="str">
        <f aca="false">IF($A$1="Peak","-",IF(BaseLoad!J22&gt;BaseLoad!$G22,D$8*PPA!$G$5*$Z23,0))</f>
        <v>-</v>
      </c>
      <c r="E23" s="430" t="str">
        <f aca="false">IF($A$1="Peak","-",IF(BaseLoad!K22&gt;BaseLoad!$G22,E$8*PPA!$G$5*$Z23,0))</f>
        <v>-</v>
      </c>
      <c r="F23" s="430" t="str">
        <f aca="false">IF($A$1="Peak","-",IF(BaseLoad!L22&gt;BaseLoad!$G22,F$8*PPA!$G$5*$Z23,0))</f>
        <v>-</v>
      </c>
      <c r="G23" s="430" t="str">
        <f aca="false">IF($A$1="Peak","-",IF(BaseLoad!M22&gt;BaseLoad!$G22,G$8*PPA!$G$5*$Z23,0))</f>
        <v>-</v>
      </c>
      <c r="H23" s="430" t="str">
        <f aca="false">IF($A$1="Peak","-",IF(BaseLoad!N22&gt;BaseLoad!$G22,H$8*PPA!$G$5*$Z23,0))</f>
        <v>-</v>
      </c>
      <c r="I23" s="430" t="str">
        <f aca="false">IF($A$1="Peak","-",IF(BaseLoad!O22&gt;BaseLoad!$G22,I$8*PPA!$G$5*$Z23,0))</f>
        <v>-</v>
      </c>
      <c r="J23" s="430" t="str">
        <f aca="false">IF($A$1="Peak","-",IF(BaseLoad!P22&gt;BaseLoad!$G22,J$8*PPA!$G$5*$Z23,0))</f>
        <v>-</v>
      </c>
      <c r="K23" s="430" t="str">
        <f aca="false">IF($A$1="Peak","-",IF(BaseLoad!Q22&gt;BaseLoad!$G22,K$8*PPA!$G$5*$Z23,0))</f>
        <v>-</v>
      </c>
      <c r="L23" s="430" t="str">
        <f aca="false">IF($A$1="Peak","-",IF(BaseLoad!R22&gt;BaseLoad!$G22,L$8*PPA!$G$5*$Z23,0))</f>
        <v>-</v>
      </c>
      <c r="M23" s="430" t="str">
        <f aca="false">IF($A$1="Peak","-",IF(BaseLoad!S22&gt;BaseLoad!$G22,M$8*PPA!$G$5*$Z23,0))</f>
        <v>-</v>
      </c>
      <c r="N23" s="430" t="str">
        <f aca="false">IF($A$1="Peak","-",IF(BaseLoad!T22&gt;BaseLoad!$G22,N$8*PPA!$G$5*$Z23,0))</f>
        <v>-</v>
      </c>
      <c r="O23" s="430" t="str">
        <f aca="false">IF($A$1="Peak","-",IF(BaseLoad!U22&gt;BaseLoad!$G22,O$8*PPA!$G$5*$Z23,0))</f>
        <v>-</v>
      </c>
      <c r="P23" s="430" t="str">
        <f aca="false">IF($A$1="Peak","-",IF(BaseLoad!V22&gt;BaseLoad!$G22,P$8*PPA!$G$5*$Z23,0))</f>
        <v>-</v>
      </c>
      <c r="Q23" s="430" t="str">
        <f aca="false">IF($A$1="Peak","-",IF(BaseLoad!W22&gt;BaseLoad!$G22,Q$8*PPA!$G$5*$Z23,0))</f>
        <v>-</v>
      </c>
      <c r="R23" s="430" t="str">
        <f aca="false">IF($A$1="Peak","-",IF(BaseLoad!X22&gt;BaseLoad!$G22,R$8*PPA!$G$5*$Z23,0))</f>
        <v>-</v>
      </c>
      <c r="S23" s="430" t="str">
        <f aca="false">IF($A$1="Peak","-",IF(BaseLoad!Y22&gt;BaseLoad!$G22,S$8*PPA!$G$5*$Z23,0))</f>
        <v>-</v>
      </c>
      <c r="T23" s="430" t="str">
        <f aca="false">IF($A$1="Peak","-",IF(BaseLoad!Z22&gt;BaseLoad!$G22,T$8*PPA!$G$5*$Z23,0))</f>
        <v>-</v>
      </c>
      <c r="U23" s="430" t="str">
        <f aca="false">IF($A$1="Peak","-",IF(BaseLoad!AA22&gt;BaseLoad!$G22,U$8*PPA!$G$5*$Z23,0))</f>
        <v>-</v>
      </c>
      <c r="V23" s="430" t="n">
        <f aca="false">SUM(B23:U23)</f>
        <v>0</v>
      </c>
      <c r="W23" s="430" t="str">
        <f aca="false">IF($A$1="Peak","-",(730*PPA!$G$4*$Z23))</f>
        <v>-</v>
      </c>
      <c r="X23" s="430" t="n">
        <f aca="false">SUM(V23:W23)</f>
        <v>0</v>
      </c>
      <c r="Y23" s="430"/>
      <c r="Z23" s="430" t="n">
        <f aca="false">CHOOSE(QUOTIENT(MONTH($A23),3)+1,BaseLoad!$AM$9,BaseLoad!$AN$9,BaseLoad!$AL$9,BaseLoad!$AO$9,BaseLoad!$AM$9)</f>
        <v>0.924276618786118</v>
      </c>
      <c r="AA23" s="430" t="n">
        <f aca="false">CHOOSE(QUOTIENT(MONTH($A23),3)+1,BaseLoad!$AM$15,BaseLoad!$AN$15,BaseLoad!$AL$15,BaseLoad!$AO$15,BaseLoad!$AM$15)</f>
        <v>705</v>
      </c>
      <c r="AB23" s="431"/>
      <c r="AD23" s="431"/>
    </row>
    <row r="24" customFormat="false" ht="12.75" hidden="false" customHeight="false" outlineLevel="0" collapsed="false">
      <c r="A24" s="400" t="n">
        <f aca="false">A23+30.417</f>
        <v>36965.838</v>
      </c>
      <c r="B24" s="430" t="str">
        <f aca="false">IF($A$1="Peak","-",IF(BaseLoad!H23&gt;BaseLoad!$G23,B$8*PPA!$G$5*$Z24,0))</f>
        <v>-</v>
      </c>
      <c r="C24" s="430" t="str">
        <f aca="false">IF($A$1="Peak","-",IF(BaseLoad!I23&gt;BaseLoad!$G23,C$8*PPA!$G$5*$Z24,0))</f>
        <v>-</v>
      </c>
      <c r="D24" s="430" t="str">
        <f aca="false">IF($A$1="Peak","-",IF(BaseLoad!J23&gt;BaseLoad!$G23,D$8*PPA!$G$5*$Z24,0))</f>
        <v>-</v>
      </c>
      <c r="E24" s="430" t="str">
        <f aca="false">IF($A$1="Peak","-",IF(BaseLoad!K23&gt;BaseLoad!$G23,E$8*PPA!$G$5*$Z24,0))</f>
        <v>-</v>
      </c>
      <c r="F24" s="430" t="str">
        <f aca="false">IF($A$1="Peak","-",IF(BaseLoad!L23&gt;BaseLoad!$G23,F$8*PPA!$G$5*$Z24,0))</f>
        <v>-</v>
      </c>
      <c r="G24" s="430" t="str">
        <f aca="false">IF($A$1="Peak","-",IF(BaseLoad!M23&gt;BaseLoad!$G23,G$8*PPA!$G$5*$Z24,0))</f>
        <v>-</v>
      </c>
      <c r="H24" s="430" t="str">
        <f aca="false">IF($A$1="Peak","-",IF(BaseLoad!N23&gt;BaseLoad!$G23,H$8*PPA!$G$5*$Z24,0))</f>
        <v>-</v>
      </c>
      <c r="I24" s="430" t="str">
        <f aca="false">IF($A$1="Peak","-",IF(BaseLoad!O23&gt;BaseLoad!$G23,I$8*PPA!$G$5*$Z24,0))</f>
        <v>-</v>
      </c>
      <c r="J24" s="430" t="str">
        <f aca="false">IF($A$1="Peak","-",IF(BaseLoad!P23&gt;BaseLoad!$G23,J$8*PPA!$G$5*$Z24,0))</f>
        <v>-</v>
      </c>
      <c r="K24" s="430" t="str">
        <f aca="false">IF($A$1="Peak","-",IF(BaseLoad!Q23&gt;BaseLoad!$G23,K$8*PPA!$G$5*$Z24,0))</f>
        <v>-</v>
      </c>
      <c r="L24" s="430" t="str">
        <f aca="false">IF($A$1="Peak","-",IF(BaseLoad!R23&gt;BaseLoad!$G23,L$8*PPA!$G$5*$Z24,0))</f>
        <v>-</v>
      </c>
      <c r="M24" s="430" t="str">
        <f aca="false">IF($A$1="Peak","-",IF(BaseLoad!S23&gt;BaseLoad!$G23,M$8*PPA!$G$5*$Z24,0))</f>
        <v>-</v>
      </c>
      <c r="N24" s="430" t="str">
        <f aca="false">IF($A$1="Peak","-",IF(BaseLoad!T23&gt;BaseLoad!$G23,N$8*PPA!$G$5*$Z24,0))</f>
        <v>-</v>
      </c>
      <c r="O24" s="430" t="str">
        <f aca="false">IF($A$1="Peak","-",IF(BaseLoad!U23&gt;BaseLoad!$G23,O$8*PPA!$G$5*$Z24,0))</f>
        <v>-</v>
      </c>
      <c r="P24" s="430" t="str">
        <f aca="false">IF($A$1="Peak","-",IF(BaseLoad!V23&gt;BaseLoad!$G23,P$8*PPA!$G$5*$Z24,0))</f>
        <v>-</v>
      </c>
      <c r="Q24" s="430" t="str">
        <f aca="false">IF($A$1="Peak","-",IF(BaseLoad!W23&gt;BaseLoad!$G23,Q$8*PPA!$G$5*$Z24,0))</f>
        <v>-</v>
      </c>
      <c r="R24" s="430" t="str">
        <f aca="false">IF($A$1="Peak","-",IF(BaseLoad!X23&gt;BaseLoad!$G23,R$8*PPA!$G$5*$Z24,0))</f>
        <v>-</v>
      </c>
      <c r="S24" s="430" t="str">
        <f aca="false">IF($A$1="Peak","-",IF(BaseLoad!Y23&gt;BaseLoad!$G23,S$8*PPA!$G$5*$Z24,0))</f>
        <v>-</v>
      </c>
      <c r="T24" s="430" t="str">
        <f aca="false">IF($A$1="Peak","-",IF(BaseLoad!Z23&gt;BaseLoad!$G23,T$8*PPA!$G$5*$Z24,0))</f>
        <v>-</v>
      </c>
      <c r="U24" s="430" t="str">
        <f aca="false">IF($A$1="Peak","-",IF(BaseLoad!AA23&gt;BaseLoad!$G23,U$8*PPA!$G$5*$Z24,0))</f>
        <v>-</v>
      </c>
      <c r="V24" s="430" t="n">
        <f aca="false">SUM(B24:U24)</f>
        <v>0</v>
      </c>
      <c r="W24" s="430" t="str">
        <f aca="false">IF($A$1="Peak","-",(730*PPA!$G$4*$Z24))</f>
        <v>-</v>
      </c>
      <c r="X24" s="430" t="n">
        <f aca="false">SUM(V24:W24)</f>
        <v>0</v>
      </c>
      <c r="Y24" s="430"/>
      <c r="Z24" s="430" t="n">
        <f aca="false">CHOOSE(QUOTIENT(MONTH($A24),3)+1,BaseLoad!$AM$9,BaseLoad!$AN$9,BaseLoad!$AL$9,BaseLoad!$AO$9,BaseLoad!$AM$9)</f>
        <v>0.95</v>
      </c>
      <c r="AA24" s="430" t="n">
        <f aca="false">CHOOSE(QUOTIENT(MONTH($A24),3)+1,BaseLoad!$AM$15,BaseLoad!$AN$15,BaseLoad!$AL$15,BaseLoad!$AO$15,BaseLoad!$AM$15)</f>
        <v>705</v>
      </c>
      <c r="AB24" s="431"/>
      <c r="AD24" s="431"/>
    </row>
    <row r="25" customFormat="false" ht="12.75" hidden="false" customHeight="false" outlineLevel="0" collapsed="false">
      <c r="A25" s="400" t="n">
        <f aca="false">A24+30.417</f>
        <v>36996.255</v>
      </c>
      <c r="B25" s="430" t="str">
        <f aca="false">IF($A$1="Peak","-",IF(BaseLoad!H24&gt;BaseLoad!$G24,B$8*PPA!$G$5*$Z25,0))</f>
        <v>-</v>
      </c>
      <c r="C25" s="430" t="str">
        <f aca="false">IF($A$1="Peak","-",IF(BaseLoad!I24&gt;BaseLoad!$G24,C$8*PPA!$G$5*$Z25,0))</f>
        <v>-</v>
      </c>
      <c r="D25" s="430" t="str">
        <f aca="false">IF($A$1="Peak","-",IF(BaseLoad!J24&gt;BaseLoad!$G24,D$8*PPA!$G$5*$Z25,0))</f>
        <v>-</v>
      </c>
      <c r="E25" s="430" t="str">
        <f aca="false">IF($A$1="Peak","-",IF(BaseLoad!K24&gt;BaseLoad!$G24,E$8*PPA!$G$5*$Z25,0))</f>
        <v>-</v>
      </c>
      <c r="F25" s="430" t="str">
        <f aca="false">IF($A$1="Peak","-",IF(BaseLoad!L24&gt;BaseLoad!$G24,F$8*PPA!$G$5*$Z25,0))</f>
        <v>-</v>
      </c>
      <c r="G25" s="430" t="str">
        <f aca="false">IF($A$1="Peak","-",IF(BaseLoad!M24&gt;BaseLoad!$G24,G$8*PPA!$G$5*$Z25,0))</f>
        <v>-</v>
      </c>
      <c r="H25" s="430" t="str">
        <f aca="false">IF($A$1="Peak","-",IF(BaseLoad!N24&gt;BaseLoad!$G24,H$8*PPA!$G$5*$Z25,0))</f>
        <v>-</v>
      </c>
      <c r="I25" s="430" t="str">
        <f aca="false">IF($A$1="Peak","-",IF(BaseLoad!O24&gt;BaseLoad!$G24,I$8*PPA!$G$5*$Z25,0))</f>
        <v>-</v>
      </c>
      <c r="J25" s="430" t="str">
        <f aca="false">IF($A$1="Peak","-",IF(BaseLoad!P24&gt;BaseLoad!$G24,J$8*PPA!$G$5*$Z25,0))</f>
        <v>-</v>
      </c>
      <c r="K25" s="430" t="str">
        <f aca="false">IF($A$1="Peak","-",IF(BaseLoad!Q24&gt;BaseLoad!$G24,K$8*PPA!$G$5*$Z25,0))</f>
        <v>-</v>
      </c>
      <c r="L25" s="430" t="str">
        <f aca="false">IF($A$1="Peak","-",IF(BaseLoad!R24&gt;BaseLoad!$G24,L$8*PPA!$G$5*$Z25,0))</f>
        <v>-</v>
      </c>
      <c r="M25" s="430" t="str">
        <f aca="false">IF($A$1="Peak","-",IF(BaseLoad!S24&gt;BaseLoad!$G24,M$8*PPA!$G$5*$Z25,0))</f>
        <v>-</v>
      </c>
      <c r="N25" s="430" t="str">
        <f aca="false">IF($A$1="Peak","-",IF(BaseLoad!T24&gt;BaseLoad!$G24,N$8*PPA!$G$5*$Z25,0))</f>
        <v>-</v>
      </c>
      <c r="O25" s="430" t="str">
        <f aca="false">IF($A$1="Peak","-",IF(BaseLoad!U24&gt;BaseLoad!$G24,O$8*PPA!$G$5*$Z25,0))</f>
        <v>-</v>
      </c>
      <c r="P25" s="430" t="str">
        <f aca="false">IF($A$1="Peak","-",IF(BaseLoad!V24&gt;BaseLoad!$G24,P$8*PPA!$G$5*$Z25,0))</f>
        <v>-</v>
      </c>
      <c r="Q25" s="430" t="str">
        <f aca="false">IF($A$1="Peak","-",IF(BaseLoad!W24&gt;BaseLoad!$G24,Q$8*PPA!$G$5*$Z25,0))</f>
        <v>-</v>
      </c>
      <c r="R25" s="430" t="str">
        <f aca="false">IF($A$1="Peak","-",IF(BaseLoad!X24&gt;BaseLoad!$G24,R$8*PPA!$G$5*$Z25,0))</f>
        <v>-</v>
      </c>
      <c r="S25" s="430" t="str">
        <f aca="false">IF($A$1="Peak","-",IF(BaseLoad!Y24&gt;BaseLoad!$G24,S$8*PPA!$G$5*$Z25,0))</f>
        <v>-</v>
      </c>
      <c r="T25" s="430" t="str">
        <f aca="false">IF($A$1="Peak","-",IF(BaseLoad!Z24&gt;BaseLoad!$G24,T$8*PPA!$G$5*$Z25,0))</f>
        <v>-</v>
      </c>
      <c r="U25" s="430" t="str">
        <f aca="false">IF($A$1="Peak","-",IF(BaseLoad!AA24&gt;BaseLoad!$G24,U$8*PPA!$G$5*$Z25,0))</f>
        <v>-</v>
      </c>
      <c r="V25" s="430" t="n">
        <f aca="false">SUM(B25:U25)</f>
        <v>0</v>
      </c>
      <c r="W25" s="430" t="str">
        <f aca="false">IF($A$1="Peak","-",(730*PPA!$G$4*$Z25))</f>
        <v>-</v>
      </c>
      <c r="X25" s="430" t="n">
        <f aca="false">SUM(V25:W25)</f>
        <v>0</v>
      </c>
      <c r="Y25" s="430"/>
      <c r="Z25" s="430" t="n">
        <f aca="false">CHOOSE(QUOTIENT(MONTH($A25),3)+1,BaseLoad!$AM$9,BaseLoad!$AN$9,BaseLoad!$AL$9,BaseLoad!$AO$9,BaseLoad!$AM$9)</f>
        <v>0.95</v>
      </c>
      <c r="AA25" s="430" t="n">
        <f aca="false">CHOOSE(QUOTIENT(MONTH($A25),3)+1,BaseLoad!$AM$15,BaseLoad!$AN$15,BaseLoad!$AL$15,BaseLoad!$AO$15,BaseLoad!$AM$15)</f>
        <v>705</v>
      </c>
      <c r="AB25" s="431"/>
      <c r="AD25" s="431"/>
    </row>
    <row r="26" customFormat="false" ht="12.75" hidden="false" customHeight="false" outlineLevel="0" collapsed="false">
      <c r="A26" s="400" t="n">
        <f aca="false">A25+30.417</f>
        <v>37026.672</v>
      </c>
      <c r="B26" s="430" t="str">
        <f aca="false">IF($A$1="Peak","-",IF(BaseLoad!H25&gt;BaseLoad!$G25,B$8*PPA!$G$5*$Z26,0))</f>
        <v>-</v>
      </c>
      <c r="C26" s="430" t="str">
        <f aca="false">IF($A$1="Peak","-",IF(BaseLoad!I25&gt;BaseLoad!$G25,C$8*PPA!$G$5*$Z26,0))</f>
        <v>-</v>
      </c>
      <c r="D26" s="430" t="str">
        <f aca="false">IF($A$1="Peak","-",IF(BaseLoad!J25&gt;BaseLoad!$G25,D$8*PPA!$G$5*$Z26,0))</f>
        <v>-</v>
      </c>
      <c r="E26" s="430" t="str">
        <f aca="false">IF($A$1="Peak","-",IF(BaseLoad!K25&gt;BaseLoad!$G25,E$8*PPA!$G$5*$Z26,0))</f>
        <v>-</v>
      </c>
      <c r="F26" s="430" t="str">
        <f aca="false">IF($A$1="Peak","-",IF(BaseLoad!L25&gt;BaseLoad!$G25,F$8*PPA!$G$5*$Z26,0))</f>
        <v>-</v>
      </c>
      <c r="G26" s="430" t="str">
        <f aca="false">IF($A$1="Peak","-",IF(BaseLoad!M25&gt;BaseLoad!$G25,G$8*PPA!$G$5*$Z26,0))</f>
        <v>-</v>
      </c>
      <c r="H26" s="430" t="str">
        <f aca="false">IF($A$1="Peak","-",IF(BaseLoad!N25&gt;BaseLoad!$G25,H$8*PPA!$G$5*$Z26,0))</f>
        <v>-</v>
      </c>
      <c r="I26" s="430" t="str">
        <f aca="false">IF($A$1="Peak","-",IF(BaseLoad!O25&gt;BaseLoad!$G25,I$8*PPA!$G$5*$Z26,0))</f>
        <v>-</v>
      </c>
      <c r="J26" s="430" t="str">
        <f aca="false">IF($A$1="Peak","-",IF(BaseLoad!P25&gt;BaseLoad!$G25,J$8*PPA!$G$5*$Z26,0))</f>
        <v>-</v>
      </c>
      <c r="K26" s="430" t="str">
        <f aca="false">IF($A$1="Peak","-",IF(BaseLoad!Q25&gt;BaseLoad!$G25,K$8*PPA!$G$5*$Z26,0))</f>
        <v>-</v>
      </c>
      <c r="L26" s="430" t="str">
        <f aca="false">IF($A$1="Peak","-",IF(BaseLoad!R25&gt;BaseLoad!$G25,L$8*PPA!$G$5*$Z26,0))</f>
        <v>-</v>
      </c>
      <c r="M26" s="430" t="str">
        <f aca="false">IF($A$1="Peak","-",IF(BaseLoad!S25&gt;BaseLoad!$G25,M$8*PPA!$G$5*$Z26,0))</f>
        <v>-</v>
      </c>
      <c r="N26" s="430" t="str">
        <f aca="false">IF($A$1="Peak","-",IF(BaseLoad!T25&gt;BaseLoad!$G25,N$8*PPA!$G$5*$Z26,0))</f>
        <v>-</v>
      </c>
      <c r="O26" s="430" t="str">
        <f aca="false">IF($A$1="Peak","-",IF(BaseLoad!U25&gt;BaseLoad!$G25,O$8*PPA!$G$5*$Z26,0))</f>
        <v>-</v>
      </c>
      <c r="P26" s="430" t="str">
        <f aca="false">IF($A$1="Peak","-",IF(BaseLoad!V25&gt;BaseLoad!$G25,P$8*PPA!$G$5*$Z26,0))</f>
        <v>-</v>
      </c>
      <c r="Q26" s="430" t="str">
        <f aca="false">IF($A$1="Peak","-",IF(BaseLoad!W25&gt;BaseLoad!$G25,Q$8*PPA!$G$5*$Z26,0))</f>
        <v>-</v>
      </c>
      <c r="R26" s="430" t="str">
        <f aca="false">IF($A$1="Peak","-",IF(BaseLoad!X25&gt;BaseLoad!$G25,R$8*PPA!$G$5*$Z26,0))</f>
        <v>-</v>
      </c>
      <c r="S26" s="430" t="str">
        <f aca="false">IF($A$1="Peak","-",IF(BaseLoad!Y25&gt;BaseLoad!$G25,S$8*PPA!$G$5*$Z26,0))</f>
        <v>-</v>
      </c>
      <c r="T26" s="430" t="str">
        <f aca="false">IF($A$1="Peak","-",IF(BaseLoad!Z25&gt;BaseLoad!$G25,T$8*PPA!$G$5*$Z26,0))</f>
        <v>-</v>
      </c>
      <c r="U26" s="430" t="str">
        <f aca="false">IF($A$1="Peak","-",IF(BaseLoad!AA25&gt;BaseLoad!$G25,U$8*PPA!$G$5*$Z26,0))</f>
        <v>-</v>
      </c>
      <c r="V26" s="430" t="n">
        <f aca="false">SUM(B26:U26)</f>
        <v>0</v>
      </c>
      <c r="W26" s="430" t="str">
        <f aca="false">IF($A$1="Peak","-",(730*PPA!$G$4*$Z26))</f>
        <v>-</v>
      </c>
      <c r="X26" s="430" t="n">
        <f aca="false">SUM(V26:W26)</f>
        <v>0</v>
      </c>
      <c r="Y26" s="430"/>
      <c r="Z26" s="430" t="n">
        <f aca="false">CHOOSE(QUOTIENT(MONTH($A26),3)+1,BaseLoad!$AM$9,BaseLoad!$AN$9,BaseLoad!$AL$9,BaseLoad!$AO$9,BaseLoad!$AM$9)</f>
        <v>0.95</v>
      </c>
      <c r="AA26" s="430" t="n">
        <f aca="false">CHOOSE(QUOTIENT(MONTH($A26),3)+1,BaseLoad!$AM$15,BaseLoad!$AN$15,BaseLoad!$AL$15,BaseLoad!$AO$15,BaseLoad!$AM$15)</f>
        <v>705</v>
      </c>
      <c r="AB26" s="431"/>
      <c r="AD26" s="431"/>
    </row>
    <row r="27" customFormat="false" ht="12.75" hidden="false" customHeight="false" outlineLevel="0" collapsed="false">
      <c r="A27" s="400" t="n">
        <f aca="false">A26+30.417</f>
        <v>37057.089</v>
      </c>
      <c r="B27" s="430" t="str">
        <f aca="false">IF($A$1="Peak","-",IF(BaseLoad!H26&gt;BaseLoad!$G26,B$8*PPA!$G$5*$Z27,0))</f>
        <v>-</v>
      </c>
      <c r="C27" s="430" t="str">
        <f aca="false">IF($A$1="Peak","-",IF(BaseLoad!I26&gt;BaseLoad!$G26,C$8*PPA!$G$5*$Z27,0))</f>
        <v>-</v>
      </c>
      <c r="D27" s="430" t="str">
        <f aca="false">IF($A$1="Peak","-",IF(BaseLoad!J26&gt;BaseLoad!$G26,D$8*PPA!$G$5*$Z27,0))</f>
        <v>-</v>
      </c>
      <c r="E27" s="430" t="str">
        <f aca="false">IF($A$1="Peak","-",IF(BaseLoad!K26&gt;BaseLoad!$G26,E$8*PPA!$G$5*$Z27,0))</f>
        <v>-</v>
      </c>
      <c r="F27" s="430" t="str">
        <f aca="false">IF($A$1="Peak","-",IF(BaseLoad!L26&gt;BaseLoad!$G26,F$8*PPA!$G$5*$Z27,0))</f>
        <v>-</v>
      </c>
      <c r="G27" s="430" t="str">
        <f aca="false">IF($A$1="Peak","-",IF(BaseLoad!M26&gt;BaseLoad!$G26,G$8*PPA!$G$5*$Z27,0))</f>
        <v>-</v>
      </c>
      <c r="H27" s="430" t="str">
        <f aca="false">IF($A$1="Peak","-",IF(BaseLoad!N26&gt;BaseLoad!$G26,H$8*PPA!$G$5*$Z27,0))</f>
        <v>-</v>
      </c>
      <c r="I27" s="430" t="str">
        <f aca="false">IF($A$1="Peak","-",IF(BaseLoad!O26&gt;BaseLoad!$G26,I$8*PPA!$G$5*$Z27,0))</f>
        <v>-</v>
      </c>
      <c r="J27" s="430" t="str">
        <f aca="false">IF($A$1="Peak","-",IF(BaseLoad!P26&gt;BaseLoad!$G26,J$8*PPA!$G$5*$Z27,0))</f>
        <v>-</v>
      </c>
      <c r="K27" s="430" t="str">
        <f aca="false">IF($A$1="Peak","-",IF(BaseLoad!Q26&gt;BaseLoad!$G26,K$8*PPA!$G$5*$Z27,0))</f>
        <v>-</v>
      </c>
      <c r="L27" s="430" t="str">
        <f aca="false">IF($A$1="Peak","-",IF(BaseLoad!R26&gt;BaseLoad!$G26,L$8*PPA!$G$5*$Z27,0))</f>
        <v>-</v>
      </c>
      <c r="M27" s="430" t="str">
        <f aca="false">IF($A$1="Peak","-",IF(BaseLoad!S26&gt;BaseLoad!$G26,M$8*PPA!$G$5*$Z27,0))</f>
        <v>-</v>
      </c>
      <c r="N27" s="430" t="str">
        <f aca="false">IF($A$1="Peak","-",IF(BaseLoad!T26&gt;BaseLoad!$G26,N$8*PPA!$G$5*$Z27,0))</f>
        <v>-</v>
      </c>
      <c r="O27" s="430" t="str">
        <f aca="false">IF($A$1="Peak","-",IF(BaseLoad!U26&gt;BaseLoad!$G26,O$8*PPA!$G$5*$Z27,0))</f>
        <v>-</v>
      </c>
      <c r="P27" s="430" t="str">
        <f aca="false">IF($A$1="Peak","-",IF(BaseLoad!V26&gt;BaseLoad!$G26,P$8*PPA!$G$5*$Z27,0))</f>
        <v>-</v>
      </c>
      <c r="Q27" s="430" t="str">
        <f aca="false">IF($A$1="Peak","-",IF(BaseLoad!W26&gt;BaseLoad!$G26,Q$8*PPA!$G$5*$Z27,0))</f>
        <v>-</v>
      </c>
      <c r="R27" s="430" t="str">
        <f aca="false">IF($A$1="Peak","-",IF(BaseLoad!X26&gt;BaseLoad!$G26,R$8*PPA!$G$5*$Z27,0))</f>
        <v>-</v>
      </c>
      <c r="S27" s="430" t="str">
        <f aca="false">IF($A$1="Peak","-",IF(BaseLoad!Y26&gt;BaseLoad!$G26,S$8*PPA!$G$5*$Z27,0))</f>
        <v>-</v>
      </c>
      <c r="T27" s="430" t="str">
        <f aca="false">IF($A$1="Peak","-",IF(BaseLoad!Z26&gt;BaseLoad!$G26,T$8*PPA!$G$5*$Z27,0))</f>
        <v>-</v>
      </c>
      <c r="U27" s="430" t="str">
        <f aca="false">IF($A$1="Peak","-",IF(BaseLoad!AA26&gt;BaseLoad!$G26,U$8*PPA!$G$5*$Z27,0))</f>
        <v>-</v>
      </c>
      <c r="V27" s="430" t="n">
        <f aca="false">SUM(B27:U27)</f>
        <v>0</v>
      </c>
      <c r="W27" s="430" t="str">
        <f aca="false">IF($A$1="Peak","-",(730*PPA!$G$4*$Z27))</f>
        <v>-</v>
      </c>
      <c r="X27" s="430" t="n">
        <f aca="false">SUM(V27:W27)</f>
        <v>0</v>
      </c>
      <c r="Y27" s="430"/>
      <c r="Z27" s="430" t="n">
        <f aca="false">CHOOSE(QUOTIENT(MONTH($A27),3)+1,BaseLoad!$AM$9,BaseLoad!$AN$9,BaseLoad!$AL$9,BaseLoad!$AO$9,BaseLoad!$AM$9)</f>
        <v>0.966121359095586</v>
      </c>
      <c r="AA27" s="430" t="n">
        <f aca="false">CHOOSE(QUOTIENT(MONTH($A27),3)+1,BaseLoad!$AM$15,BaseLoad!$AN$15,BaseLoad!$AL$15,BaseLoad!$AO$15,BaseLoad!$AM$15)</f>
        <v>705</v>
      </c>
      <c r="AB27" s="431"/>
      <c r="AD27" s="431"/>
    </row>
    <row r="28" customFormat="false" ht="12.75" hidden="false" customHeight="false" outlineLevel="0" collapsed="false">
      <c r="A28" s="400" t="n">
        <f aca="false">A27+30.417</f>
        <v>37087.506</v>
      </c>
      <c r="B28" s="430" t="str">
        <f aca="false">IF($A$1="Peak","-",IF(BaseLoad!H27&gt;BaseLoad!$G27,B$8*PPA!$G$5*$Z28,0))</f>
        <v>-</v>
      </c>
      <c r="C28" s="430" t="str">
        <f aca="false">IF($A$1="Peak","-",IF(BaseLoad!I27&gt;BaseLoad!$G27,C$8*PPA!$G$5*$Z28,0))</f>
        <v>-</v>
      </c>
      <c r="D28" s="430" t="str">
        <f aca="false">IF($A$1="Peak","-",IF(BaseLoad!J27&gt;BaseLoad!$G27,D$8*PPA!$G$5*$Z28,0))</f>
        <v>-</v>
      </c>
      <c r="E28" s="430" t="str">
        <f aca="false">IF($A$1="Peak","-",IF(BaseLoad!K27&gt;BaseLoad!$G27,E$8*PPA!$G$5*$Z28,0))</f>
        <v>-</v>
      </c>
      <c r="F28" s="430" t="str">
        <f aca="false">IF($A$1="Peak","-",IF(BaseLoad!L27&gt;BaseLoad!$G27,F$8*PPA!$G$5*$Z28,0))</f>
        <v>-</v>
      </c>
      <c r="G28" s="430" t="str">
        <f aca="false">IF($A$1="Peak","-",IF(BaseLoad!M27&gt;BaseLoad!$G27,G$8*PPA!$G$5*$Z28,0))</f>
        <v>-</v>
      </c>
      <c r="H28" s="430" t="str">
        <f aca="false">IF($A$1="Peak","-",IF(BaseLoad!N27&gt;BaseLoad!$G27,H$8*PPA!$G$5*$Z28,0))</f>
        <v>-</v>
      </c>
      <c r="I28" s="430" t="str">
        <f aca="false">IF($A$1="Peak","-",IF(BaseLoad!O27&gt;BaseLoad!$G27,I$8*PPA!$G$5*$Z28,0))</f>
        <v>-</v>
      </c>
      <c r="J28" s="430" t="str">
        <f aca="false">IF($A$1="Peak","-",IF(BaseLoad!P27&gt;BaseLoad!$G27,J$8*PPA!$G$5*$Z28,0))</f>
        <v>-</v>
      </c>
      <c r="K28" s="430" t="str">
        <f aca="false">IF($A$1="Peak","-",IF(BaseLoad!Q27&gt;BaseLoad!$G27,K$8*PPA!$G$5*$Z28,0))</f>
        <v>-</v>
      </c>
      <c r="L28" s="430" t="str">
        <f aca="false">IF($A$1="Peak","-",IF(BaseLoad!R27&gt;BaseLoad!$G27,L$8*PPA!$G$5*$Z28,0))</f>
        <v>-</v>
      </c>
      <c r="M28" s="430" t="str">
        <f aca="false">IF($A$1="Peak","-",IF(BaseLoad!S27&gt;BaseLoad!$G27,M$8*PPA!$G$5*$Z28,0))</f>
        <v>-</v>
      </c>
      <c r="N28" s="430" t="str">
        <f aca="false">IF($A$1="Peak","-",IF(BaseLoad!T27&gt;BaseLoad!$G27,N$8*PPA!$G$5*$Z28,0))</f>
        <v>-</v>
      </c>
      <c r="O28" s="430" t="str">
        <f aca="false">IF($A$1="Peak","-",IF(BaseLoad!U27&gt;BaseLoad!$G27,O$8*PPA!$G$5*$Z28,0))</f>
        <v>-</v>
      </c>
      <c r="P28" s="430" t="str">
        <f aca="false">IF($A$1="Peak","-",IF(BaseLoad!V27&gt;BaseLoad!$G27,P$8*PPA!$G$5*$Z28,0))</f>
        <v>-</v>
      </c>
      <c r="Q28" s="430" t="str">
        <f aca="false">IF($A$1="Peak","-",IF(BaseLoad!W27&gt;BaseLoad!$G27,Q$8*PPA!$G$5*$Z28,0))</f>
        <v>-</v>
      </c>
      <c r="R28" s="430" t="str">
        <f aca="false">IF($A$1="Peak","-",IF(BaseLoad!X27&gt;BaseLoad!$G27,R$8*PPA!$G$5*$Z28,0))</f>
        <v>-</v>
      </c>
      <c r="S28" s="430" t="str">
        <f aca="false">IF($A$1="Peak","-",IF(BaseLoad!Y27&gt;BaseLoad!$G27,S$8*PPA!$G$5*$Z28,0))</f>
        <v>-</v>
      </c>
      <c r="T28" s="430" t="str">
        <f aca="false">IF($A$1="Peak","-",IF(BaseLoad!Z27&gt;BaseLoad!$G27,T$8*PPA!$G$5*$Z28,0))</f>
        <v>-</v>
      </c>
      <c r="U28" s="430" t="str">
        <f aca="false">IF($A$1="Peak","-",IF(BaseLoad!AA27&gt;BaseLoad!$G27,U$8*PPA!$G$5*$Z28,0))</f>
        <v>-</v>
      </c>
      <c r="V28" s="430" t="n">
        <f aca="false">SUM(B28:U28)</f>
        <v>0</v>
      </c>
      <c r="W28" s="430" t="str">
        <f aca="false">IF($A$1="Peak","-",(730*PPA!$G$4*$Z28))</f>
        <v>-</v>
      </c>
      <c r="X28" s="430" t="n">
        <f aca="false">SUM(V28:W28)</f>
        <v>0</v>
      </c>
      <c r="Y28" s="430"/>
      <c r="Z28" s="430" t="n">
        <f aca="false">CHOOSE(QUOTIENT(MONTH($A28),3)+1,BaseLoad!$AM$9,BaseLoad!$AN$9,BaseLoad!$AL$9,BaseLoad!$AO$9,BaseLoad!$AM$9)</f>
        <v>0.966121359095586</v>
      </c>
      <c r="AA28" s="430" t="n">
        <f aca="false">CHOOSE(QUOTIENT(MONTH($A28),3)+1,BaseLoad!$AM$15,BaseLoad!$AN$15,BaseLoad!$AL$15,BaseLoad!$AO$15,BaseLoad!$AM$15)</f>
        <v>705</v>
      </c>
      <c r="AB28" s="431"/>
      <c r="AD28" s="431"/>
    </row>
    <row r="29" customFormat="false" ht="12.75" hidden="false" customHeight="false" outlineLevel="0" collapsed="false">
      <c r="A29" s="400" t="n">
        <f aca="false">A28+30.417</f>
        <v>37117.923</v>
      </c>
      <c r="B29" s="430" t="str">
        <f aca="false">IF($A$1="Peak","-",IF(BaseLoad!H28&gt;BaseLoad!$G28,B$8*PPA!$G$5*$Z29,0))</f>
        <v>-</v>
      </c>
      <c r="C29" s="430" t="str">
        <f aca="false">IF($A$1="Peak","-",IF(BaseLoad!I28&gt;BaseLoad!$G28,C$8*PPA!$G$5*$Z29,0))</f>
        <v>-</v>
      </c>
      <c r="D29" s="430" t="str">
        <f aca="false">IF($A$1="Peak","-",IF(BaseLoad!J28&gt;BaseLoad!$G28,D$8*PPA!$G$5*$Z29,0))</f>
        <v>-</v>
      </c>
      <c r="E29" s="430" t="str">
        <f aca="false">IF($A$1="Peak","-",IF(BaseLoad!K28&gt;BaseLoad!$G28,E$8*PPA!$G$5*$Z29,0))</f>
        <v>-</v>
      </c>
      <c r="F29" s="430" t="str">
        <f aca="false">IF($A$1="Peak","-",IF(BaseLoad!L28&gt;BaseLoad!$G28,F$8*PPA!$G$5*$Z29,0))</f>
        <v>-</v>
      </c>
      <c r="G29" s="430" t="str">
        <f aca="false">IF($A$1="Peak","-",IF(BaseLoad!M28&gt;BaseLoad!$G28,G$8*PPA!$G$5*$Z29,0))</f>
        <v>-</v>
      </c>
      <c r="H29" s="430" t="str">
        <f aca="false">IF($A$1="Peak","-",IF(BaseLoad!N28&gt;BaseLoad!$G28,H$8*PPA!$G$5*$Z29,0))</f>
        <v>-</v>
      </c>
      <c r="I29" s="430" t="str">
        <f aca="false">IF($A$1="Peak","-",IF(BaseLoad!O28&gt;BaseLoad!$G28,I$8*PPA!$G$5*$Z29,0))</f>
        <v>-</v>
      </c>
      <c r="J29" s="430" t="str">
        <f aca="false">IF($A$1="Peak","-",IF(BaseLoad!P28&gt;BaseLoad!$G28,J$8*PPA!$G$5*$Z29,0))</f>
        <v>-</v>
      </c>
      <c r="K29" s="430" t="str">
        <f aca="false">IF($A$1="Peak","-",IF(BaseLoad!Q28&gt;BaseLoad!$G28,K$8*PPA!$G$5*$Z29,0))</f>
        <v>-</v>
      </c>
      <c r="L29" s="430" t="str">
        <f aca="false">IF($A$1="Peak","-",IF(BaseLoad!R28&gt;BaseLoad!$G28,L$8*PPA!$G$5*$Z29,0))</f>
        <v>-</v>
      </c>
      <c r="M29" s="430" t="str">
        <f aca="false">IF($A$1="Peak","-",IF(BaseLoad!S28&gt;BaseLoad!$G28,M$8*PPA!$G$5*$Z29,0))</f>
        <v>-</v>
      </c>
      <c r="N29" s="430" t="str">
        <f aca="false">IF($A$1="Peak","-",IF(BaseLoad!T28&gt;BaseLoad!$G28,N$8*PPA!$G$5*$Z29,0))</f>
        <v>-</v>
      </c>
      <c r="O29" s="430" t="str">
        <f aca="false">IF($A$1="Peak","-",IF(BaseLoad!U28&gt;BaseLoad!$G28,O$8*PPA!$G$5*$Z29,0))</f>
        <v>-</v>
      </c>
      <c r="P29" s="430" t="str">
        <f aca="false">IF($A$1="Peak","-",IF(BaseLoad!V28&gt;BaseLoad!$G28,P$8*PPA!$G$5*$Z29,0))</f>
        <v>-</v>
      </c>
      <c r="Q29" s="430" t="str">
        <f aca="false">IF($A$1="Peak","-",IF(BaseLoad!W28&gt;BaseLoad!$G28,Q$8*PPA!$G$5*$Z29,0))</f>
        <v>-</v>
      </c>
      <c r="R29" s="430" t="str">
        <f aca="false">IF($A$1="Peak","-",IF(BaseLoad!X28&gt;BaseLoad!$G28,R$8*PPA!$G$5*$Z29,0))</f>
        <v>-</v>
      </c>
      <c r="S29" s="430" t="str">
        <f aca="false">IF($A$1="Peak","-",IF(BaseLoad!Y28&gt;BaseLoad!$G28,S$8*PPA!$G$5*$Z29,0))</f>
        <v>-</v>
      </c>
      <c r="T29" s="430" t="str">
        <f aca="false">IF($A$1="Peak","-",IF(BaseLoad!Z28&gt;BaseLoad!$G28,T$8*PPA!$G$5*$Z29,0))</f>
        <v>-</v>
      </c>
      <c r="U29" s="430" t="str">
        <f aca="false">IF($A$1="Peak","-",IF(BaseLoad!AA28&gt;BaseLoad!$G28,U$8*PPA!$G$5*$Z29,0))</f>
        <v>-</v>
      </c>
      <c r="V29" s="430" t="n">
        <f aca="false">SUM(B29:U29)</f>
        <v>0</v>
      </c>
      <c r="W29" s="430" t="str">
        <f aca="false">IF($A$1="Peak","-",(730*PPA!$G$4*$Z29))</f>
        <v>-</v>
      </c>
      <c r="X29" s="430" t="n">
        <f aca="false">SUM(V29:W29)</f>
        <v>0</v>
      </c>
      <c r="Y29" s="430"/>
      <c r="Z29" s="430" t="n">
        <f aca="false">CHOOSE(QUOTIENT(MONTH($A29),3)+1,BaseLoad!$AM$9,BaseLoad!$AN$9,BaseLoad!$AL$9,BaseLoad!$AO$9,BaseLoad!$AM$9)</f>
        <v>0.966121359095586</v>
      </c>
      <c r="AA29" s="430" t="n">
        <f aca="false">CHOOSE(QUOTIENT(MONTH($A29),3)+1,BaseLoad!$AM$15,BaseLoad!$AN$15,BaseLoad!$AL$15,BaseLoad!$AO$15,BaseLoad!$AM$15)</f>
        <v>705</v>
      </c>
      <c r="AB29" s="431"/>
      <c r="AD29" s="431"/>
    </row>
    <row r="30" customFormat="false" ht="12.75" hidden="false" customHeight="false" outlineLevel="0" collapsed="false">
      <c r="A30" s="400" t="n">
        <f aca="false">A29+30.417</f>
        <v>37148.34</v>
      </c>
      <c r="B30" s="430" t="str">
        <f aca="false">IF($A$1="Peak","-",IF(BaseLoad!H29&gt;BaseLoad!$G29,B$8*PPA!$G$5*$Z30,0))</f>
        <v>-</v>
      </c>
      <c r="C30" s="430" t="str">
        <f aca="false">IF($A$1="Peak","-",IF(BaseLoad!I29&gt;BaseLoad!$G29,C$8*PPA!$G$5*$Z30,0))</f>
        <v>-</v>
      </c>
      <c r="D30" s="430" t="str">
        <f aca="false">IF($A$1="Peak","-",IF(BaseLoad!J29&gt;BaseLoad!$G29,D$8*PPA!$G$5*$Z30,0))</f>
        <v>-</v>
      </c>
      <c r="E30" s="430" t="str">
        <f aca="false">IF($A$1="Peak","-",IF(BaseLoad!K29&gt;BaseLoad!$G29,E$8*PPA!$G$5*$Z30,0))</f>
        <v>-</v>
      </c>
      <c r="F30" s="430" t="str">
        <f aca="false">IF($A$1="Peak","-",IF(BaseLoad!L29&gt;BaseLoad!$G29,F$8*PPA!$G$5*$Z30,0))</f>
        <v>-</v>
      </c>
      <c r="G30" s="430" t="str">
        <f aca="false">IF($A$1="Peak","-",IF(BaseLoad!M29&gt;BaseLoad!$G29,G$8*PPA!$G$5*$Z30,0))</f>
        <v>-</v>
      </c>
      <c r="H30" s="430" t="str">
        <f aca="false">IF($A$1="Peak","-",IF(BaseLoad!N29&gt;BaseLoad!$G29,H$8*PPA!$G$5*$Z30,0))</f>
        <v>-</v>
      </c>
      <c r="I30" s="430" t="str">
        <f aca="false">IF($A$1="Peak","-",IF(BaseLoad!O29&gt;BaseLoad!$G29,I$8*PPA!$G$5*$Z30,0))</f>
        <v>-</v>
      </c>
      <c r="J30" s="430" t="str">
        <f aca="false">IF($A$1="Peak","-",IF(BaseLoad!P29&gt;BaseLoad!$G29,J$8*PPA!$G$5*$Z30,0))</f>
        <v>-</v>
      </c>
      <c r="K30" s="430" t="str">
        <f aca="false">IF($A$1="Peak","-",IF(BaseLoad!Q29&gt;BaseLoad!$G29,K$8*PPA!$G$5*$Z30,0))</f>
        <v>-</v>
      </c>
      <c r="L30" s="430" t="str">
        <f aca="false">IF($A$1="Peak","-",IF(BaseLoad!R29&gt;BaseLoad!$G29,L$8*PPA!$G$5*$Z30,0))</f>
        <v>-</v>
      </c>
      <c r="M30" s="430" t="str">
        <f aca="false">IF($A$1="Peak","-",IF(BaseLoad!S29&gt;BaseLoad!$G29,M$8*PPA!$G$5*$Z30,0))</f>
        <v>-</v>
      </c>
      <c r="N30" s="430" t="str">
        <f aca="false">IF($A$1="Peak","-",IF(BaseLoad!T29&gt;BaseLoad!$G29,N$8*PPA!$G$5*$Z30,0))</f>
        <v>-</v>
      </c>
      <c r="O30" s="430" t="str">
        <f aca="false">IF($A$1="Peak","-",IF(BaseLoad!U29&gt;BaseLoad!$G29,O$8*PPA!$G$5*$Z30,0))</f>
        <v>-</v>
      </c>
      <c r="P30" s="430" t="str">
        <f aca="false">IF($A$1="Peak","-",IF(BaseLoad!V29&gt;BaseLoad!$G29,P$8*PPA!$G$5*$Z30,0))</f>
        <v>-</v>
      </c>
      <c r="Q30" s="430" t="str">
        <f aca="false">IF($A$1="Peak","-",IF(BaseLoad!W29&gt;BaseLoad!$G29,Q$8*PPA!$G$5*$Z30,0))</f>
        <v>-</v>
      </c>
      <c r="R30" s="430" t="str">
        <f aca="false">IF($A$1="Peak","-",IF(BaseLoad!X29&gt;BaseLoad!$G29,R$8*PPA!$G$5*$Z30,0))</f>
        <v>-</v>
      </c>
      <c r="S30" s="430" t="str">
        <f aca="false">IF($A$1="Peak","-",IF(BaseLoad!Y29&gt;BaseLoad!$G29,S$8*PPA!$G$5*$Z30,0))</f>
        <v>-</v>
      </c>
      <c r="T30" s="430" t="str">
        <f aca="false">IF($A$1="Peak","-",IF(BaseLoad!Z29&gt;BaseLoad!$G29,T$8*PPA!$G$5*$Z30,0))</f>
        <v>-</v>
      </c>
      <c r="U30" s="430" t="str">
        <f aca="false">IF($A$1="Peak","-",IF(BaseLoad!AA29&gt;BaseLoad!$G29,U$8*PPA!$G$5*$Z30,0))</f>
        <v>-</v>
      </c>
      <c r="V30" s="430" t="n">
        <f aca="false">SUM(B30:U30)</f>
        <v>0</v>
      </c>
      <c r="W30" s="430" t="str">
        <f aca="false">IF($A$1="Peak","-",(730*PPA!$G$4*$Z30))</f>
        <v>-</v>
      </c>
      <c r="X30" s="430" t="n">
        <f aca="false">SUM(V30:W30)</f>
        <v>0</v>
      </c>
      <c r="Y30" s="430"/>
      <c r="Z30" s="430" t="n">
        <f aca="false">CHOOSE(QUOTIENT(MONTH($A30),3)+1,BaseLoad!$AM$9,BaseLoad!$AN$9,BaseLoad!$AL$9,BaseLoad!$AO$9,BaseLoad!$AM$9)</f>
        <v>0.95</v>
      </c>
      <c r="AA30" s="430" t="n">
        <f aca="false">CHOOSE(QUOTIENT(MONTH($A30),3)+1,BaseLoad!$AM$15,BaseLoad!$AN$15,BaseLoad!$AL$15,BaseLoad!$AO$15,BaseLoad!$AM$15)</f>
        <v>705</v>
      </c>
      <c r="AB30" s="431"/>
      <c r="AD30" s="431"/>
    </row>
    <row r="31" customFormat="false" ht="12.75" hidden="false" customHeight="false" outlineLevel="0" collapsed="false">
      <c r="A31" s="400" t="n">
        <f aca="false">A30+30.417</f>
        <v>37178.757</v>
      </c>
      <c r="B31" s="430" t="str">
        <f aca="false">IF($A$1="Peak","-",IF(BaseLoad!H30&gt;BaseLoad!$G30,B$8*PPA!$G$5*$Z31,0))</f>
        <v>-</v>
      </c>
      <c r="C31" s="430" t="str">
        <f aca="false">IF($A$1="Peak","-",IF(BaseLoad!I30&gt;BaseLoad!$G30,C$8*PPA!$G$5*$Z31,0))</f>
        <v>-</v>
      </c>
      <c r="D31" s="430" t="str">
        <f aca="false">IF($A$1="Peak","-",IF(BaseLoad!J30&gt;BaseLoad!$G30,D$8*PPA!$G$5*$Z31,0))</f>
        <v>-</v>
      </c>
      <c r="E31" s="430" t="str">
        <f aca="false">IF($A$1="Peak","-",IF(BaseLoad!K30&gt;BaseLoad!$G30,E$8*PPA!$G$5*$Z31,0))</f>
        <v>-</v>
      </c>
      <c r="F31" s="430" t="str">
        <f aca="false">IF($A$1="Peak","-",IF(BaseLoad!L30&gt;BaseLoad!$G30,F$8*PPA!$G$5*$Z31,0))</f>
        <v>-</v>
      </c>
      <c r="G31" s="430" t="str">
        <f aca="false">IF($A$1="Peak","-",IF(BaseLoad!M30&gt;BaseLoad!$G30,G$8*PPA!$G$5*$Z31,0))</f>
        <v>-</v>
      </c>
      <c r="H31" s="430" t="str">
        <f aca="false">IF($A$1="Peak","-",IF(BaseLoad!N30&gt;BaseLoad!$G30,H$8*PPA!$G$5*$Z31,0))</f>
        <v>-</v>
      </c>
      <c r="I31" s="430" t="str">
        <f aca="false">IF($A$1="Peak","-",IF(BaseLoad!O30&gt;BaseLoad!$G30,I$8*PPA!$G$5*$Z31,0))</f>
        <v>-</v>
      </c>
      <c r="J31" s="430" t="str">
        <f aca="false">IF($A$1="Peak","-",IF(BaseLoad!P30&gt;BaseLoad!$G30,J$8*PPA!$G$5*$Z31,0))</f>
        <v>-</v>
      </c>
      <c r="K31" s="430" t="str">
        <f aca="false">IF($A$1="Peak","-",IF(BaseLoad!Q30&gt;BaseLoad!$G30,K$8*PPA!$G$5*$Z31,0))</f>
        <v>-</v>
      </c>
      <c r="L31" s="430" t="str">
        <f aca="false">IF($A$1="Peak","-",IF(BaseLoad!R30&gt;BaseLoad!$G30,L$8*PPA!$G$5*$Z31,0))</f>
        <v>-</v>
      </c>
      <c r="M31" s="430" t="str">
        <f aca="false">IF($A$1="Peak","-",IF(BaseLoad!S30&gt;BaseLoad!$G30,M$8*PPA!$G$5*$Z31,0))</f>
        <v>-</v>
      </c>
      <c r="N31" s="430" t="str">
        <f aca="false">IF($A$1="Peak","-",IF(BaseLoad!T30&gt;BaseLoad!$G30,N$8*PPA!$G$5*$Z31,0))</f>
        <v>-</v>
      </c>
      <c r="O31" s="430" t="str">
        <f aca="false">IF($A$1="Peak","-",IF(BaseLoad!U30&gt;BaseLoad!$G30,O$8*PPA!$G$5*$Z31,0))</f>
        <v>-</v>
      </c>
      <c r="P31" s="430" t="str">
        <f aca="false">IF($A$1="Peak","-",IF(BaseLoad!V30&gt;BaseLoad!$G30,P$8*PPA!$G$5*$Z31,0))</f>
        <v>-</v>
      </c>
      <c r="Q31" s="430" t="str">
        <f aca="false">IF($A$1="Peak","-",IF(BaseLoad!W30&gt;BaseLoad!$G30,Q$8*PPA!$G$5*$Z31,0))</f>
        <v>-</v>
      </c>
      <c r="R31" s="430" t="str">
        <f aca="false">IF($A$1="Peak","-",IF(BaseLoad!X30&gt;BaseLoad!$G30,R$8*PPA!$G$5*$Z31,0))</f>
        <v>-</v>
      </c>
      <c r="S31" s="430" t="str">
        <f aca="false">IF($A$1="Peak","-",IF(BaseLoad!Y30&gt;BaseLoad!$G30,S$8*PPA!$G$5*$Z31,0))</f>
        <v>-</v>
      </c>
      <c r="T31" s="430" t="str">
        <f aca="false">IF($A$1="Peak","-",IF(BaseLoad!Z30&gt;BaseLoad!$G30,T$8*PPA!$G$5*$Z31,0))</f>
        <v>-</v>
      </c>
      <c r="U31" s="430" t="str">
        <f aca="false">IF($A$1="Peak","-",IF(BaseLoad!AA30&gt;BaseLoad!$G30,U$8*PPA!$G$5*$Z31,0))</f>
        <v>-</v>
      </c>
      <c r="V31" s="430" t="n">
        <f aca="false">SUM(B31:U31)</f>
        <v>0</v>
      </c>
      <c r="W31" s="430" t="str">
        <f aca="false">IF($A$1="Peak","-",(730*PPA!$G$4*$Z31))</f>
        <v>-</v>
      </c>
      <c r="X31" s="430" t="n">
        <f aca="false">SUM(V31:W31)</f>
        <v>0</v>
      </c>
      <c r="Y31" s="430"/>
      <c r="Z31" s="430" t="n">
        <f aca="false">CHOOSE(QUOTIENT(MONTH($A31),3)+1,BaseLoad!$AM$9,BaseLoad!$AN$9,BaseLoad!$AL$9,BaseLoad!$AO$9,BaseLoad!$AM$9)</f>
        <v>0.95</v>
      </c>
      <c r="AA31" s="430" t="n">
        <f aca="false">CHOOSE(QUOTIENT(MONTH($A31),3)+1,BaseLoad!$AM$15,BaseLoad!$AN$15,BaseLoad!$AL$15,BaseLoad!$AO$15,BaseLoad!$AM$15)</f>
        <v>705</v>
      </c>
      <c r="AB31" s="431"/>
      <c r="AD31" s="431"/>
    </row>
    <row r="32" customFormat="false" ht="12.75" hidden="false" customHeight="false" outlineLevel="0" collapsed="false">
      <c r="A32" s="400" t="n">
        <f aca="false">A31+30.417</f>
        <v>37209.174</v>
      </c>
      <c r="B32" s="430" t="str">
        <f aca="false">IF($A$1="Peak","-",IF(BaseLoad!H31&gt;BaseLoad!$G31,B$8*PPA!$G$5*$Z32,0))</f>
        <v>-</v>
      </c>
      <c r="C32" s="430" t="str">
        <f aca="false">IF($A$1="Peak","-",IF(BaseLoad!I31&gt;BaseLoad!$G31,C$8*PPA!$G$5*$Z32,0))</f>
        <v>-</v>
      </c>
      <c r="D32" s="430" t="str">
        <f aca="false">IF($A$1="Peak","-",IF(BaseLoad!J31&gt;BaseLoad!$G31,D$8*PPA!$G$5*$Z32,0))</f>
        <v>-</v>
      </c>
      <c r="E32" s="430" t="str">
        <f aca="false">IF($A$1="Peak","-",IF(BaseLoad!K31&gt;BaseLoad!$G31,E$8*PPA!$G$5*$Z32,0))</f>
        <v>-</v>
      </c>
      <c r="F32" s="430" t="str">
        <f aca="false">IF($A$1="Peak","-",IF(BaseLoad!L31&gt;BaseLoad!$G31,F$8*PPA!$G$5*$Z32,0))</f>
        <v>-</v>
      </c>
      <c r="G32" s="430" t="str">
        <f aca="false">IF($A$1="Peak","-",IF(BaseLoad!M31&gt;BaseLoad!$G31,G$8*PPA!$G$5*$Z32,0))</f>
        <v>-</v>
      </c>
      <c r="H32" s="430" t="str">
        <f aca="false">IF($A$1="Peak","-",IF(BaseLoad!N31&gt;BaseLoad!$G31,H$8*PPA!$G$5*$Z32,0))</f>
        <v>-</v>
      </c>
      <c r="I32" s="430" t="str">
        <f aca="false">IF($A$1="Peak","-",IF(BaseLoad!O31&gt;BaseLoad!$G31,I$8*PPA!$G$5*$Z32,0))</f>
        <v>-</v>
      </c>
      <c r="J32" s="430" t="str">
        <f aca="false">IF($A$1="Peak","-",IF(BaseLoad!P31&gt;BaseLoad!$G31,J$8*PPA!$G$5*$Z32,0))</f>
        <v>-</v>
      </c>
      <c r="K32" s="430" t="str">
        <f aca="false">IF($A$1="Peak","-",IF(BaseLoad!Q31&gt;BaseLoad!$G31,K$8*PPA!$G$5*$Z32,0))</f>
        <v>-</v>
      </c>
      <c r="L32" s="430" t="str">
        <f aca="false">IF($A$1="Peak","-",IF(BaseLoad!R31&gt;BaseLoad!$G31,L$8*PPA!$G$5*$Z32,0))</f>
        <v>-</v>
      </c>
      <c r="M32" s="430" t="str">
        <f aca="false">IF($A$1="Peak","-",IF(BaseLoad!S31&gt;BaseLoad!$G31,M$8*PPA!$G$5*$Z32,0))</f>
        <v>-</v>
      </c>
      <c r="N32" s="430" t="str">
        <f aca="false">IF($A$1="Peak","-",IF(BaseLoad!T31&gt;BaseLoad!$G31,N$8*PPA!$G$5*$Z32,0))</f>
        <v>-</v>
      </c>
      <c r="O32" s="430" t="str">
        <f aca="false">IF($A$1="Peak","-",IF(BaseLoad!U31&gt;BaseLoad!$G31,O$8*PPA!$G$5*$Z32,0))</f>
        <v>-</v>
      </c>
      <c r="P32" s="430" t="str">
        <f aca="false">IF($A$1="Peak","-",IF(BaseLoad!V31&gt;BaseLoad!$G31,P$8*PPA!$G$5*$Z32,0))</f>
        <v>-</v>
      </c>
      <c r="Q32" s="430" t="str">
        <f aca="false">IF($A$1="Peak","-",IF(BaseLoad!W31&gt;BaseLoad!$G31,Q$8*PPA!$G$5*$Z32,0))</f>
        <v>-</v>
      </c>
      <c r="R32" s="430" t="str">
        <f aca="false">IF($A$1="Peak","-",IF(BaseLoad!X31&gt;BaseLoad!$G31,R$8*PPA!$G$5*$Z32,0))</f>
        <v>-</v>
      </c>
      <c r="S32" s="430" t="str">
        <f aca="false">IF($A$1="Peak","-",IF(BaseLoad!Y31&gt;BaseLoad!$G31,S$8*PPA!$G$5*$Z32,0))</f>
        <v>-</v>
      </c>
      <c r="T32" s="430" t="str">
        <f aca="false">IF($A$1="Peak","-",IF(BaseLoad!Z31&gt;BaseLoad!$G31,T$8*PPA!$G$5*$Z32,0))</f>
        <v>-</v>
      </c>
      <c r="U32" s="430" t="str">
        <f aca="false">IF($A$1="Peak","-",IF(BaseLoad!AA31&gt;BaseLoad!$G31,U$8*PPA!$G$5*$Z32,0))</f>
        <v>-</v>
      </c>
      <c r="V32" s="430" t="n">
        <f aca="false">SUM(B32:U32)</f>
        <v>0</v>
      </c>
      <c r="W32" s="430" t="str">
        <f aca="false">IF($A$1="Peak","-",(730*PPA!$G$4*$Z32))</f>
        <v>-</v>
      </c>
      <c r="X32" s="430" t="n">
        <f aca="false">SUM(V32:W32)</f>
        <v>0</v>
      </c>
      <c r="Y32" s="430"/>
      <c r="Z32" s="430" t="n">
        <f aca="false">CHOOSE(QUOTIENT(MONTH($A32),3)+1,BaseLoad!$AM$9,BaseLoad!$AN$9,BaseLoad!$AL$9,BaseLoad!$AO$9,BaseLoad!$AM$9)</f>
        <v>0.95</v>
      </c>
      <c r="AA32" s="430" t="n">
        <f aca="false">CHOOSE(QUOTIENT(MONTH($A32),3)+1,BaseLoad!$AM$15,BaseLoad!$AN$15,BaseLoad!$AL$15,BaseLoad!$AO$15,BaseLoad!$AM$15)</f>
        <v>705</v>
      </c>
      <c r="AB32" s="431"/>
      <c r="AD32" s="431"/>
    </row>
    <row r="33" customFormat="false" ht="12.75" hidden="false" customHeight="false" outlineLevel="0" collapsed="false">
      <c r="A33" s="400" t="n">
        <f aca="false">A32+30.417</f>
        <v>37239.591</v>
      </c>
      <c r="B33" s="430" t="str">
        <f aca="false">IF($A$1="Peak","-",IF(BaseLoad!H32&gt;BaseLoad!$G32,B$8*PPA!$G$5*$Z33,0))</f>
        <v>-</v>
      </c>
      <c r="C33" s="430" t="str">
        <f aca="false">IF($A$1="Peak","-",IF(BaseLoad!I32&gt;BaseLoad!$G32,C$8*PPA!$G$5*$Z33,0))</f>
        <v>-</v>
      </c>
      <c r="D33" s="430" t="str">
        <f aca="false">IF($A$1="Peak","-",IF(BaseLoad!J32&gt;BaseLoad!$G32,D$8*PPA!$G$5*$Z33,0))</f>
        <v>-</v>
      </c>
      <c r="E33" s="430" t="str">
        <f aca="false">IF($A$1="Peak","-",IF(BaseLoad!K32&gt;BaseLoad!$G32,E$8*PPA!$G$5*$Z33,0))</f>
        <v>-</v>
      </c>
      <c r="F33" s="430" t="str">
        <f aca="false">IF($A$1="Peak","-",IF(BaseLoad!L32&gt;BaseLoad!$G32,F$8*PPA!$G$5*$Z33,0))</f>
        <v>-</v>
      </c>
      <c r="G33" s="430" t="str">
        <f aca="false">IF($A$1="Peak","-",IF(BaseLoad!M32&gt;BaseLoad!$G32,G$8*PPA!$G$5*$Z33,0))</f>
        <v>-</v>
      </c>
      <c r="H33" s="430" t="str">
        <f aca="false">IF($A$1="Peak","-",IF(BaseLoad!N32&gt;BaseLoad!$G32,H$8*PPA!$G$5*$Z33,0))</f>
        <v>-</v>
      </c>
      <c r="I33" s="430" t="str">
        <f aca="false">IF($A$1="Peak","-",IF(BaseLoad!O32&gt;BaseLoad!$G32,I$8*PPA!$G$5*$Z33,0))</f>
        <v>-</v>
      </c>
      <c r="J33" s="430" t="str">
        <f aca="false">IF($A$1="Peak","-",IF(BaseLoad!P32&gt;BaseLoad!$G32,J$8*PPA!$G$5*$Z33,0))</f>
        <v>-</v>
      </c>
      <c r="K33" s="430" t="str">
        <f aca="false">IF($A$1="Peak","-",IF(BaseLoad!Q32&gt;BaseLoad!$G32,K$8*PPA!$G$5*$Z33,0))</f>
        <v>-</v>
      </c>
      <c r="L33" s="430" t="str">
        <f aca="false">IF($A$1="Peak","-",IF(BaseLoad!R32&gt;BaseLoad!$G32,L$8*PPA!$G$5*$Z33,0))</f>
        <v>-</v>
      </c>
      <c r="M33" s="430" t="str">
        <f aca="false">IF($A$1="Peak","-",IF(BaseLoad!S32&gt;BaseLoad!$G32,M$8*PPA!$G$5*$Z33,0))</f>
        <v>-</v>
      </c>
      <c r="N33" s="430" t="str">
        <f aca="false">IF($A$1="Peak","-",IF(BaseLoad!T32&gt;BaseLoad!$G32,N$8*PPA!$G$5*$Z33,0))</f>
        <v>-</v>
      </c>
      <c r="O33" s="430" t="str">
        <f aca="false">IF($A$1="Peak","-",IF(BaseLoad!U32&gt;BaseLoad!$G32,O$8*PPA!$G$5*$Z33,0))</f>
        <v>-</v>
      </c>
      <c r="P33" s="430" t="str">
        <f aca="false">IF($A$1="Peak","-",IF(BaseLoad!V32&gt;BaseLoad!$G32,P$8*PPA!$G$5*$Z33,0))</f>
        <v>-</v>
      </c>
      <c r="Q33" s="430" t="str">
        <f aca="false">IF($A$1="Peak","-",IF(BaseLoad!W32&gt;BaseLoad!$G32,Q$8*PPA!$G$5*$Z33,0))</f>
        <v>-</v>
      </c>
      <c r="R33" s="430" t="str">
        <f aca="false">IF($A$1="Peak","-",IF(BaseLoad!X32&gt;BaseLoad!$G32,R$8*PPA!$G$5*$Z33,0))</f>
        <v>-</v>
      </c>
      <c r="S33" s="430" t="str">
        <f aca="false">IF($A$1="Peak","-",IF(BaseLoad!Y32&gt;BaseLoad!$G32,S$8*PPA!$G$5*$Z33,0))</f>
        <v>-</v>
      </c>
      <c r="T33" s="430" t="str">
        <f aca="false">IF($A$1="Peak","-",IF(BaseLoad!Z32&gt;BaseLoad!$G32,T$8*PPA!$G$5*$Z33,0))</f>
        <v>-</v>
      </c>
      <c r="U33" s="430" t="str">
        <f aca="false">IF($A$1="Peak","-",IF(BaseLoad!AA32&gt;BaseLoad!$G32,U$8*PPA!$G$5*$Z33,0))</f>
        <v>-</v>
      </c>
      <c r="V33" s="430" t="n">
        <f aca="false">SUM(B33:U33)</f>
        <v>0</v>
      </c>
      <c r="W33" s="430" t="str">
        <f aca="false">IF($A$1="Peak","-",(730*PPA!$G$4*$Z33))</f>
        <v>-</v>
      </c>
      <c r="X33" s="430" t="n">
        <f aca="false">SUM(V33:W33)</f>
        <v>0</v>
      </c>
      <c r="Y33" s="430" t="n">
        <f aca="false">SUM(X22:X33)</f>
        <v>0</v>
      </c>
      <c r="Z33" s="430" t="n">
        <f aca="false">CHOOSE(QUOTIENT(MONTH($A33),3)+1,BaseLoad!$AM$9,BaseLoad!$AN$9,BaseLoad!$AL$9,BaseLoad!$AO$9,BaseLoad!$AM$9)</f>
        <v>0.924276618786118</v>
      </c>
      <c r="AA33" s="430" t="n">
        <f aca="false">CHOOSE(QUOTIENT(MONTH($A33),3)+1,BaseLoad!$AM$15,BaseLoad!$AN$15,BaseLoad!$AL$15,BaseLoad!$AO$15,BaseLoad!$AM$15)</f>
        <v>705</v>
      </c>
      <c r="AB33" s="431"/>
      <c r="AD33" s="431"/>
    </row>
    <row r="34" customFormat="false" ht="12.75" hidden="false" customHeight="false" outlineLevel="0" collapsed="false">
      <c r="A34" s="400" t="n">
        <f aca="false">A33+30.417</f>
        <v>37270.008</v>
      </c>
      <c r="B34" s="430" t="str">
        <f aca="false">IF($A$1="Peak","-",IF(BaseLoad!H33&gt;BaseLoad!$G33,B$8*PPA!$G$5*$Z34,0))</f>
        <v>-</v>
      </c>
      <c r="C34" s="430" t="str">
        <f aca="false">IF($A$1="Peak","-",IF(BaseLoad!I33&gt;BaseLoad!$G33,C$8*PPA!$G$5*$Z34,0))</f>
        <v>-</v>
      </c>
      <c r="D34" s="430" t="str">
        <f aca="false">IF($A$1="Peak","-",IF(BaseLoad!J33&gt;BaseLoad!$G33,D$8*PPA!$G$5*$Z34,0))</f>
        <v>-</v>
      </c>
      <c r="E34" s="430" t="str">
        <f aca="false">IF($A$1="Peak","-",IF(BaseLoad!K33&gt;BaseLoad!$G33,E$8*PPA!$G$5*$Z34,0))</f>
        <v>-</v>
      </c>
      <c r="F34" s="430" t="str">
        <f aca="false">IF($A$1="Peak","-",IF(BaseLoad!L33&gt;BaseLoad!$G33,F$8*PPA!$G$5*$Z34,0))</f>
        <v>-</v>
      </c>
      <c r="G34" s="430" t="str">
        <f aca="false">IF($A$1="Peak","-",IF(BaseLoad!M33&gt;BaseLoad!$G33,G$8*PPA!$G$5*$Z34,0))</f>
        <v>-</v>
      </c>
      <c r="H34" s="430" t="str">
        <f aca="false">IF($A$1="Peak","-",IF(BaseLoad!N33&gt;BaseLoad!$G33,H$8*PPA!$G$5*$Z34,0))</f>
        <v>-</v>
      </c>
      <c r="I34" s="430" t="str">
        <f aca="false">IF($A$1="Peak","-",IF(BaseLoad!O33&gt;BaseLoad!$G33,I$8*PPA!$G$5*$Z34,0))</f>
        <v>-</v>
      </c>
      <c r="J34" s="430" t="str">
        <f aca="false">IF($A$1="Peak","-",IF(BaseLoad!P33&gt;BaseLoad!$G33,J$8*PPA!$G$5*$Z34,0))</f>
        <v>-</v>
      </c>
      <c r="K34" s="430" t="str">
        <f aca="false">IF($A$1="Peak","-",IF(BaseLoad!Q33&gt;BaseLoad!$G33,K$8*PPA!$G$5*$Z34,0))</f>
        <v>-</v>
      </c>
      <c r="L34" s="430" t="str">
        <f aca="false">IF($A$1="Peak","-",IF(BaseLoad!R33&gt;BaseLoad!$G33,L$8*PPA!$G$5*$Z34,0))</f>
        <v>-</v>
      </c>
      <c r="M34" s="430" t="str">
        <f aca="false">IF($A$1="Peak","-",IF(BaseLoad!S33&gt;BaseLoad!$G33,M$8*PPA!$G$5*$Z34,0))</f>
        <v>-</v>
      </c>
      <c r="N34" s="430" t="str">
        <f aca="false">IF($A$1="Peak","-",IF(BaseLoad!T33&gt;BaseLoad!$G33,N$8*PPA!$G$5*$Z34,0))</f>
        <v>-</v>
      </c>
      <c r="O34" s="430" t="str">
        <f aca="false">IF($A$1="Peak","-",IF(BaseLoad!U33&gt;BaseLoad!$G33,O$8*PPA!$G$5*$Z34,0))</f>
        <v>-</v>
      </c>
      <c r="P34" s="430" t="str">
        <f aca="false">IF($A$1="Peak","-",IF(BaseLoad!V33&gt;BaseLoad!$G33,P$8*PPA!$G$5*$Z34,0))</f>
        <v>-</v>
      </c>
      <c r="Q34" s="430" t="str">
        <f aca="false">IF($A$1="Peak","-",IF(BaseLoad!W33&gt;BaseLoad!$G33,Q$8*PPA!$G$5*$Z34,0))</f>
        <v>-</v>
      </c>
      <c r="R34" s="430" t="str">
        <f aca="false">IF($A$1="Peak","-",IF(BaseLoad!X33&gt;BaseLoad!$G33,R$8*PPA!$G$5*$Z34,0))</f>
        <v>-</v>
      </c>
      <c r="S34" s="430" t="str">
        <f aca="false">IF($A$1="Peak","-",IF(BaseLoad!Y33&gt;BaseLoad!$G33,S$8*PPA!$G$5*$Z34,0))</f>
        <v>-</v>
      </c>
      <c r="T34" s="430" t="str">
        <f aca="false">IF($A$1="Peak","-",IF(BaseLoad!Z33&gt;BaseLoad!$G33,T$8*PPA!$G$5*$Z34,0))</f>
        <v>-</v>
      </c>
      <c r="U34" s="430" t="str">
        <f aca="false">IF($A$1="Peak","-",IF(BaseLoad!AA33&gt;BaseLoad!$G33,U$8*PPA!$G$5*$Z34,0))</f>
        <v>-</v>
      </c>
      <c r="V34" s="430" t="n">
        <f aca="false">SUM(B34:U34)</f>
        <v>0</v>
      </c>
      <c r="W34" s="430" t="str">
        <f aca="false">IF($A$1="Peak","-",(730*PPA!$G$4*$Z34))</f>
        <v>-</v>
      </c>
      <c r="X34" s="430" t="n">
        <f aca="false">SUM(V34:W34)</f>
        <v>0</v>
      </c>
      <c r="Y34" s="430"/>
      <c r="Z34" s="430" t="n">
        <f aca="false">CHOOSE(QUOTIENT(MONTH($A34),3)+1,BaseLoad!$AM$9,BaseLoad!$AN$9,BaseLoad!$AL$9,BaseLoad!$AO$9,BaseLoad!$AM$9)</f>
        <v>0.924276618786118</v>
      </c>
      <c r="AA34" s="430" t="n">
        <f aca="false">CHOOSE(QUOTIENT(MONTH($A34),3)+1,BaseLoad!$AM$15,BaseLoad!$AN$15,BaseLoad!$AL$15,BaseLoad!$AO$15,BaseLoad!$AM$15)</f>
        <v>705</v>
      </c>
      <c r="AB34" s="431"/>
      <c r="AD34" s="431"/>
    </row>
    <row r="35" customFormat="false" ht="12.75" hidden="false" customHeight="false" outlineLevel="0" collapsed="false">
      <c r="A35" s="400" t="n">
        <f aca="false">A34+30.417</f>
        <v>37300.425</v>
      </c>
      <c r="B35" s="430" t="str">
        <f aca="false">IF($A$1="Peak","-",IF(BaseLoad!H34&gt;BaseLoad!$G34,B$8*PPA!$G$5*$Z35,0))</f>
        <v>-</v>
      </c>
      <c r="C35" s="430" t="str">
        <f aca="false">IF($A$1="Peak","-",IF(BaseLoad!I34&gt;BaseLoad!$G34,C$8*PPA!$G$5*$Z35,0))</f>
        <v>-</v>
      </c>
      <c r="D35" s="430" t="str">
        <f aca="false">IF($A$1="Peak","-",IF(BaseLoad!J34&gt;BaseLoad!$G34,D$8*PPA!$G$5*$Z35,0))</f>
        <v>-</v>
      </c>
      <c r="E35" s="430" t="str">
        <f aca="false">IF($A$1="Peak","-",IF(BaseLoad!K34&gt;BaseLoad!$G34,E$8*PPA!$G$5*$Z35,0))</f>
        <v>-</v>
      </c>
      <c r="F35" s="430" t="str">
        <f aca="false">IF($A$1="Peak","-",IF(BaseLoad!L34&gt;BaseLoad!$G34,F$8*PPA!$G$5*$Z35,0))</f>
        <v>-</v>
      </c>
      <c r="G35" s="430" t="str">
        <f aca="false">IF($A$1="Peak","-",IF(BaseLoad!M34&gt;BaseLoad!$G34,G$8*PPA!$G$5*$Z35,0))</f>
        <v>-</v>
      </c>
      <c r="H35" s="430" t="str">
        <f aca="false">IF($A$1="Peak","-",IF(BaseLoad!N34&gt;BaseLoad!$G34,H$8*PPA!$G$5*$Z35,0))</f>
        <v>-</v>
      </c>
      <c r="I35" s="430" t="str">
        <f aca="false">IF($A$1="Peak","-",IF(BaseLoad!O34&gt;BaseLoad!$G34,I$8*PPA!$G$5*$Z35,0))</f>
        <v>-</v>
      </c>
      <c r="J35" s="430" t="str">
        <f aca="false">IF($A$1="Peak","-",IF(BaseLoad!P34&gt;BaseLoad!$G34,J$8*PPA!$G$5*$Z35,0))</f>
        <v>-</v>
      </c>
      <c r="K35" s="430" t="str">
        <f aca="false">IF($A$1="Peak","-",IF(BaseLoad!Q34&gt;BaseLoad!$G34,K$8*PPA!$G$5*$Z35,0))</f>
        <v>-</v>
      </c>
      <c r="L35" s="430" t="str">
        <f aca="false">IF($A$1="Peak","-",IF(BaseLoad!R34&gt;BaseLoad!$G34,L$8*PPA!$G$5*$Z35,0))</f>
        <v>-</v>
      </c>
      <c r="M35" s="430" t="str">
        <f aca="false">IF($A$1="Peak","-",IF(BaseLoad!S34&gt;BaseLoad!$G34,M$8*PPA!$G$5*$Z35,0))</f>
        <v>-</v>
      </c>
      <c r="N35" s="430" t="str">
        <f aca="false">IF($A$1="Peak","-",IF(BaseLoad!T34&gt;BaseLoad!$G34,N$8*PPA!$G$5*$Z35,0))</f>
        <v>-</v>
      </c>
      <c r="O35" s="430" t="str">
        <f aca="false">IF($A$1="Peak","-",IF(BaseLoad!U34&gt;BaseLoad!$G34,O$8*PPA!$G$5*$Z35,0))</f>
        <v>-</v>
      </c>
      <c r="P35" s="430" t="str">
        <f aca="false">IF($A$1="Peak","-",IF(BaseLoad!V34&gt;BaseLoad!$G34,P$8*PPA!$G$5*$Z35,0))</f>
        <v>-</v>
      </c>
      <c r="Q35" s="430" t="str">
        <f aca="false">IF($A$1="Peak","-",IF(BaseLoad!W34&gt;BaseLoad!$G34,Q$8*PPA!$G$5*$Z35,0))</f>
        <v>-</v>
      </c>
      <c r="R35" s="430" t="str">
        <f aca="false">IF($A$1="Peak","-",IF(BaseLoad!X34&gt;BaseLoad!$G34,R$8*PPA!$G$5*$Z35,0))</f>
        <v>-</v>
      </c>
      <c r="S35" s="430" t="str">
        <f aca="false">IF($A$1="Peak","-",IF(BaseLoad!Y34&gt;BaseLoad!$G34,S$8*PPA!$G$5*$Z35,0))</f>
        <v>-</v>
      </c>
      <c r="T35" s="430" t="str">
        <f aca="false">IF($A$1="Peak","-",IF(BaseLoad!Z34&gt;BaseLoad!$G34,T$8*PPA!$G$5*$Z35,0))</f>
        <v>-</v>
      </c>
      <c r="U35" s="430" t="str">
        <f aca="false">IF($A$1="Peak","-",IF(BaseLoad!AA34&gt;BaseLoad!$G34,U$8*PPA!$G$5*$Z35,0))</f>
        <v>-</v>
      </c>
      <c r="V35" s="430" t="n">
        <f aca="false">SUM(B35:U35)</f>
        <v>0</v>
      </c>
      <c r="W35" s="430" t="str">
        <f aca="false">IF($A$1="Peak","-",(730*PPA!$G$4*$Z35))</f>
        <v>-</v>
      </c>
      <c r="X35" s="430" t="n">
        <f aca="false">SUM(V35:W35)</f>
        <v>0</v>
      </c>
      <c r="Y35" s="430"/>
      <c r="Z35" s="430" t="n">
        <f aca="false">CHOOSE(QUOTIENT(MONTH($A35),3)+1,BaseLoad!$AM$9,BaseLoad!$AN$9,BaseLoad!$AL$9,BaseLoad!$AO$9,BaseLoad!$AM$9)</f>
        <v>0.924276618786118</v>
      </c>
      <c r="AA35" s="430" t="n">
        <f aca="false">CHOOSE(QUOTIENT(MONTH($A35),3)+1,BaseLoad!$AM$15,BaseLoad!$AN$15,BaseLoad!$AL$15,BaseLoad!$AO$15,BaseLoad!$AM$15)</f>
        <v>705</v>
      </c>
      <c r="AB35" s="431"/>
      <c r="AD35" s="431"/>
    </row>
    <row r="36" customFormat="false" ht="12.75" hidden="false" customHeight="false" outlineLevel="0" collapsed="false">
      <c r="A36" s="400" t="n">
        <f aca="false">A35+30.417</f>
        <v>37330.842</v>
      </c>
      <c r="B36" s="430" t="str">
        <f aca="false">IF($A$1="Peak","-",IF(BaseLoad!H35&gt;BaseLoad!$G35,B$8*PPA!$G$5*$Z36,0))</f>
        <v>-</v>
      </c>
      <c r="C36" s="430" t="str">
        <f aca="false">IF($A$1="Peak","-",IF(BaseLoad!I35&gt;BaseLoad!$G35,C$8*PPA!$G$5*$Z36,0))</f>
        <v>-</v>
      </c>
      <c r="D36" s="430" t="str">
        <f aca="false">IF($A$1="Peak","-",IF(BaseLoad!J35&gt;BaseLoad!$G35,D$8*PPA!$G$5*$Z36,0))</f>
        <v>-</v>
      </c>
      <c r="E36" s="430" t="str">
        <f aca="false">IF($A$1="Peak","-",IF(BaseLoad!K35&gt;BaseLoad!$G35,E$8*PPA!$G$5*$Z36,0))</f>
        <v>-</v>
      </c>
      <c r="F36" s="430" t="str">
        <f aca="false">IF($A$1="Peak","-",IF(BaseLoad!L35&gt;BaseLoad!$G35,F$8*PPA!$G$5*$Z36,0))</f>
        <v>-</v>
      </c>
      <c r="G36" s="430" t="str">
        <f aca="false">IF($A$1="Peak","-",IF(BaseLoad!M35&gt;BaseLoad!$G35,G$8*PPA!$G$5*$Z36,0))</f>
        <v>-</v>
      </c>
      <c r="H36" s="430" t="str">
        <f aca="false">IF($A$1="Peak","-",IF(BaseLoad!N35&gt;BaseLoad!$G35,H$8*PPA!$G$5*$Z36,0))</f>
        <v>-</v>
      </c>
      <c r="I36" s="430" t="str">
        <f aca="false">IF($A$1="Peak","-",IF(BaseLoad!O35&gt;BaseLoad!$G35,I$8*PPA!$G$5*$Z36,0))</f>
        <v>-</v>
      </c>
      <c r="J36" s="430" t="str">
        <f aca="false">IF($A$1="Peak","-",IF(BaseLoad!P35&gt;BaseLoad!$G35,J$8*PPA!$G$5*$Z36,0))</f>
        <v>-</v>
      </c>
      <c r="K36" s="430" t="str">
        <f aca="false">IF($A$1="Peak","-",IF(BaseLoad!Q35&gt;BaseLoad!$G35,K$8*PPA!$G$5*$Z36,0))</f>
        <v>-</v>
      </c>
      <c r="L36" s="430" t="str">
        <f aca="false">IF($A$1="Peak","-",IF(BaseLoad!R35&gt;BaseLoad!$G35,L$8*PPA!$G$5*$Z36,0))</f>
        <v>-</v>
      </c>
      <c r="M36" s="430" t="str">
        <f aca="false">IF($A$1="Peak","-",IF(BaseLoad!S35&gt;BaseLoad!$G35,M$8*PPA!$G$5*$Z36,0))</f>
        <v>-</v>
      </c>
      <c r="N36" s="430" t="str">
        <f aca="false">IF($A$1="Peak","-",IF(BaseLoad!T35&gt;BaseLoad!$G35,N$8*PPA!$G$5*$Z36,0))</f>
        <v>-</v>
      </c>
      <c r="O36" s="430" t="str">
        <f aca="false">IF($A$1="Peak","-",IF(BaseLoad!U35&gt;BaseLoad!$G35,O$8*PPA!$G$5*$Z36,0))</f>
        <v>-</v>
      </c>
      <c r="P36" s="430" t="str">
        <f aca="false">IF($A$1="Peak","-",IF(BaseLoad!V35&gt;BaseLoad!$G35,P$8*PPA!$G$5*$Z36,0))</f>
        <v>-</v>
      </c>
      <c r="Q36" s="430" t="str">
        <f aca="false">IF($A$1="Peak","-",IF(BaseLoad!W35&gt;BaseLoad!$G35,Q$8*PPA!$G$5*$Z36,0))</f>
        <v>-</v>
      </c>
      <c r="R36" s="430" t="str">
        <f aca="false">IF($A$1="Peak","-",IF(BaseLoad!X35&gt;BaseLoad!$G35,R$8*PPA!$G$5*$Z36,0))</f>
        <v>-</v>
      </c>
      <c r="S36" s="430" t="str">
        <f aca="false">IF($A$1="Peak","-",IF(BaseLoad!Y35&gt;BaseLoad!$G35,S$8*PPA!$G$5*$Z36,0))</f>
        <v>-</v>
      </c>
      <c r="T36" s="430" t="str">
        <f aca="false">IF($A$1="Peak","-",IF(BaseLoad!Z35&gt;BaseLoad!$G35,T$8*PPA!$G$5*$Z36,0))</f>
        <v>-</v>
      </c>
      <c r="U36" s="430" t="str">
        <f aca="false">IF($A$1="Peak","-",IF(BaseLoad!AA35&gt;BaseLoad!$G35,U$8*PPA!$G$5*$Z36,0))</f>
        <v>-</v>
      </c>
      <c r="V36" s="430" t="n">
        <f aca="false">SUM(B36:U36)</f>
        <v>0</v>
      </c>
      <c r="W36" s="430" t="str">
        <f aca="false">IF($A$1="Peak","-",(730*PPA!$G$4*$Z36))</f>
        <v>-</v>
      </c>
      <c r="X36" s="430" t="n">
        <f aca="false">SUM(V36:W36)</f>
        <v>0</v>
      </c>
      <c r="Y36" s="430"/>
      <c r="Z36" s="430" t="n">
        <f aca="false">CHOOSE(QUOTIENT(MONTH($A36),3)+1,BaseLoad!$AM$9,BaseLoad!$AN$9,BaseLoad!$AL$9,BaseLoad!$AO$9,BaseLoad!$AM$9)</f>
        <v>0.95</v>
      </c>
      <c r="AA36" s="430" t="n">
        <f aca="false">CHOOSE(QUOTIENT(MONTH($A36),3)+1,BaseLoad!$AM$15,BaseLoad!$AN$15,BaseLoad!$AL$15,BaseLoad!$AO$15,BaseLoad!$AM$15)</f>
        <v>705</v>
      </c>
      <c r="AB36" s="431"/>
      <c r="AD36" s="431"/>
    </row>
    <row r="37" customFormat="false" ht="12.75" hidden="false" customHeight="false" outlineLevel="0" collapsed="false">
      <c r="A37" s="400" t="n">
        <f aca="false">A36+30.417</f>
        <v>37361.259</v>
      </c>
      <c r="B37" s="430" t="str">
        <f aca="false">IF($A$1="Peak","-",IF(BaseLoad!H36&gt;BaseLoad!$G36,B$8*PPA!$G$5*$Z37,0))</f>
        <v>-</v>
      </c>
      <c r="C37" s="430" t="str">
        <f aca="false">IF($A$1="Peak","-",IF(BaseLoad!I36&gt;BaseLoad!$G36,C$8*PPA!$G$5*$Z37,0))</f>
        <v>-</v>
      </c>
      <c r="D37" s="430" t="str">
        <f aca="false">IF($A$1="Peak","-",IF(BaseLoad!J36&gt;BaseLoad!$G36,D$8*PPA!$G$5*$Z37,0))</f>
        <v>-</v>
      </c>
      <c r="E37" s="430" t="str">
        <f aca="false">IF($A$1="Peak","-",IF(BaseLoad!K36&gt;BaseLoad!$G36,E$8*PPA!$G$5*$Z37,0))</f>
        <v>-</v>
      </c>
      <c r="F37" s="430" t="str">
        <f aca="false">IF($A$1="Peak","-",IF(BaseLoad!L36&gt;BaseLoad!$G36,F$8*PPA!$G$5*$Z37,0))</f>
        <v>-</v>
      </c>
      <c r="G37" s="430" t="str">
        <f aca="false">IF($A$1="Peak","-",IF(BaseLoad!M36&gt;BaseLoad!$G36,G$8*PPA!$G$5*$Z37,0))</f>
        <v>-</v>
      </c>
      <c r="H37" s="430" t="str">
        <f aca="false">IF($A$1="Peak","-",IF(BaseLoad!N36&gt;BaseLoad!$G36,H$8*PPA!$G$5*$Z37,0))</f>
        <v>-</v>
      </c>
      <c r="I37" s="430" t="str">
        <f aca="false">IF($A$1="Peak","-",IF(BaseLoad!O36&gt;BaseLoad!$G36,I$8*PPA!$G$5*$Z37,0))</f>
        <v>-</v>
      </c>
      <c r="J37" s="430" t="str">
        <f aca="false">IF($A$1="Peak","-",IF(BaseLoad!P36&gt;BaseLoad!$G36,J$8*PPA!$G$5*$Z37,0))</f>
        <v>-</v>
      </c>
      <c r="K37" s="430" t="str">
        <f aca="false">IF($A$1="Peak","-",IF(BaseLoad!Q36&gt;BaseLoad!$G36,K$8*PPA!$G$5*$Z37,0))</f>
        <v>-</v>
      </c>
      <c r="L37" s="430" t="str">
        <f aca="false">IF($A$1="Peak","-",IF(BaseLoad!R36&gt;BaseLoad!$G36,L$8*PPA!$G$5*$Z37,0))</f>
        <v>-</v>
      </c>
      <c r="M37" s="430" t="str">
        <f aca="false">IF($A$1="Peak","-",IF(BaseLoad!S36&gt;BaseLoad!$G36,M$8*PPA!$G$5*$Z37,0))</f>
        <v>-</v>
      </c>
      <c r="N37" s="430" t="str">
        <f aca="false">IF($A$1="Peak","-",IF(BaseLoad!T36&gt;BaseLoad!$G36,N$8*PPA!$G$5*$Z37,0))</f>
        <v>-</v>
      </c>
      <c r="O37" s="430" t="str">
        <f aca="false">IF($A$1="Peak","-",IF(BaseLoad!U36&gt;BaseLoad!$G36,O$8*PPA!$G$5*$Z37,0))</f>
        <v>-</v>
      </c>
      <c r="P37" s="430" t="str">
        <f aca="false">IF($A$1="Peak","-",IF(BaseLoad!V36&gt;BaseLoad!$G36,P$8*PPA!$G$5*$Z37,0))</f>
        <v>-</v>
      </c>
      <c r="Q37" s="430" t="str">
        <f aca="false">IF($A$1="Peak","-",IF(BaseLoad!W36&gt;BaseLoad!$G36,Q$8*PPA!$G$5*$Z37,0))</f>
        <v>-</v>
      </c>
      <c r="R37" s="430" t="str">
        <f aca="false">IF($A$1="Peak","-",IF(BaseLoad!X36&gt;BaseLoad!$G36,R$8*PPA!$G$5*$Z37,0))</f>
        <v>-</v>
      </c>
      <c r="S37" s="430" t="str">
        <f aca="false">IF($A$1="Peak","-",IF(BaseLoad!Y36&gt;BaseLoad!$G36,S$8*PPA!$G$5*$Z37,0))</f>
        <v>-</v>
      </c>
      <c r="T37" s="430" t="str">
        <f aca="false">IF($A$1="Peak","-",IF(BaseLoad!Z36&gt;BaseLoad!$G36,T$8*PPA!$G$5*$Z37,0))</f>
        <v>-</v>
      </c>
      <c r="U37" s="430" t="str">
        <f aca="false">IF($A$1="Peak","-",IF(BaseLoad!AA36&gt;BaseLoad!$G36,U$8*PPA!$G$5*$Z37,0))</f>
        <v>-</v>
      </c>
      <c r="V37" s="430" t="n">
        <f aca="false">SUM(B37:U37)</f>
        <v>0</v>
      </c>
      <c r="W37" s="430" t="str">
        <f aca="false">IF($A$1="Peak","-",(730*PPA!$G$4*$Z37))</f>
        <v>-</v>
      </c>
      <c r="X37" s="430" t="n">
        <f aca="false">SUM(V37:W37)</f>
        <v>0</v>
      </c>
      <c r="Y37" s="430"/>
      <c r="Z37" s="430" t="n">
        <f aca="false">CHOOSE(QUOTIENT(MONTH($A37),3)+1,BaseLoad!$AM$9,BaseLoad!$AN$9,BaseLoad!$AL$9,BaseLoad!$AO$9,BaseLoad!$AM$9)</f>
        <v>0.95</v>
      </c>
      <c r="AA37" s="430" t="n">
        <f aca="false">CHOOSE(QUOTIENT(MONTH($A37),3)+1,BaseLoad!$AM$15,BaseLoad!$AN$15,BaseLoad!$AL$15,BaseLoad!$AO$15,BaseLoad!$AM$15)</f>
        <v>705</v>
      </c>
      <c r="AB37" s="431"/>
      <c r="AD37" s="431"/>
    </row>
    <row r="38" customFormat="false" ht="12.75" hidden="false" customHeight="false" outlineLevel="0" collapsed="false">
      <c r="A38" s="400" t="n">
        <f aca="false">A37+30.417</f>
        <v>37391.676</v>
      </c>
      <c r="B38" s="430" t="str">
        <f aca="false">IF($A$1="Peak","-",IF(BaseLoad!H37&gt;BaseLoad!$G37,B$8*PPA!$G$5*$Z38,0))</f>
        <v>-</v>
      </c>
      <c r="C38" s="430" t="str">
        <f aca="false">IF($A$1="Peak","-",IF(BaseLoad!I37&gt;BaseLoad!$G37,C$8*PPA!$G$5*$Z38,0))</f>
        <v>-</v>
      </c>
      <c r="D38" s="430" t="str">
        <f aca="false">IF($A$1="Peak","-",IF(BaseLoad!J37&gt;BaseLoad!$G37,D$8*PPA!$G$5*$Z38,0))</f>
        <v>-</v>
      </c>
      <c r="E38" s="430" t="str">
        <f aca="false">IF($A$1="Peak","-",IF(BaseLoad!K37&gt;BaseLoad!$G37,E$8*PPA!$G$5*$Z38,0))</f>
        <v>-</v>
      </c>
      <c r="F38" s="430" t="str">
        <f aca="false">IF($A$1="Peak","-",IF(BaseLoad!L37&gt;BaseLoad!$G37,F$8*PPA!$G$5*$Z38,0))</f>
        <v>-</v>
      </c>
      <c r="G38" s="430" t="str">
        <f aca="false">IF($A$1="Peak","-",IF(BaseLoad!M37&gt;BaseLoad!$G37,G$8*PPA!$G$5*$Z38,0))</f>
        <v>-</v>
      </c>
      <c r="H38" s="430" t="str">
        <f aca="false">IF($A$1="Peak","-",IF(BaseLoad!N37&gt;BaseLoad!$G37,H$8*PPA!$G$5*$Z38,0))</f>
        <v>-</v>
      </c>
      <c r="I38" s="430" t="str">
        <f aca="false">IF($A$1="Peak","-",IF(BaseLoad!O37&gt;BaseLoad!$G37,I$8*PPA!$G$5*$Z38,0))</f>
        <v>-</v>
      </c>
      <c r="J38" s="430" t="str">
        <f aca="false">IF($A$1="Peak","-",IF(BaseLoad!P37&gt;BaseLoad!$G37,J$8*PPA!$G$5*$Z38,0))</f>
        <v>-</v>
      </c>
      <c r="K38" s="430" t="str">
        <f aca="false">IF($A$1="Peak","-",IF(BaseLoad!Q37&gt;BaseLoad!$G37,K$8*PPA!$G$5*$Z38,0))</f>
        <v>-</v>
      </c>
      <c r="L38" s="430" t="str">
        <f aca="false">IF($A$1="Peak","-",IF(BaseLoad!R37&gt;BaseLoad!$G37,L$8*PPA!$G$5*$Z38,0))</f>
        <v>-</v>
      </c>
      <c r="M38" s="430" t="str">
        <f aca="false">IF($A$1="Peak","-",IF(BaseLoad!S37&gt;BaseLoad!$G37,M$8*PPA!$G$5*$Z38,0))</f>
        <v>-</v>
      </c>
      <c r="N38" s="430" t="str">
        <f aca="false">IF($A$1="Peak","-",IF(BaseLoad!T37&gt;BaseLoad!$G37,N$8*PPA!$G$5*$Z38,0))</f>
        <v>-</v>
      </c>
      <c r="O38" s="430" t="str">
        <f aca="false">IF($A$1="Peak","-",IF(BaseLoad!U37&gt;BaseLoad!$G37,O$8*PPA!$G$5*$Z38,0))</f>
        <v>-</v>
      </c>
      <c r="P38" s="430" t="str">
        <f aca="false">IF($A$1="Peak","-",IF(BaseLoad!V37&gt;BaseLoad!$G37,P$8*PPA!$G$5*$Z38,0))</f>
        <v>-</v>
      </c>
      <c r="Q38" s="430" t="str">
        <f aca="false">IF($A$1="Peak","-",IF(BaseLoad!W37&gt;BaseLoad!$G37,Q$8*PPA!$G$5*$Z38,0))</f>
        <v>-</v>
      </c>
      <c r="R38" s="430" t="str">
        <f aca="false">IF($A$1="Peak","-",IF(BaseLoad!X37&gt;BaseLoad!$G37,R$8*PPA!$G$5*$Z38,0))</f>
        <v>-</v>
      </c>
      <c r="S38" s="430" t="str">
        <f aca="false">IF($A$1="Peak","-",IF(BaseLoad!Y37&gt;BaseLoad!$G37,S$8*PPA!$G$5*$Z38,0))</f>
        <v>-</v>
      </c>
      <c r="T38" s="430" t="str">
        <f aca="false">IF($A$1="Peak","-",IF(BaseLoad!Z37&gt;BaseLoad!$G37,T$8*PPA!$G$5*$Z38,0))</f>
        <v>-</v>
      </c>
      <c r="U38" s="430" t="str">
        <f aca="false">IF($A$1="Peak","-",IF(BaseLoad!AA37&gt;BaseLoad!$G37,U$8*PPA!$G$5*$Z38,0))</f>
        <v>-</v>
      </c>
      <c r="V38" s="430" t="n">
        <f aca="false">SUM(B38:U38)</f>
        <v>0</v>
      </c>
      <c r="W38" s="430" t="str">
        <f aca="false">IF($A$1="Peak","-",(730*PPA!$G$4*$Z38))</f>
        <v>-</v>
      </c>
      <c r="X38" s="430" t="n">
        <f aca="false">SUM(V38:W38)</f>
        <v>0</v>
      </c>
      <c r="Y38" s="430"/>
      <c r="Z38" s="430" t="n">
        <f aca="false">CHOOSE(QUOTIENT(MONTH($A38),3)+1,BaseLoad!$AM$9,BaseLoad!$AN$9,BaseLoad!$AL$9,BaseLoad!$AO$9,BaseLoad!$AM$9)</f>
        <v>0.95</v>
      </c>
      <c r="AA38" s="430" t="n">
        <f aca="false">CHOOSE(QUOTIENT(MONTH($A38),3)+1,BaseLoad!$AM$15,BaseLoad!$AN$15,BaseLoad!$AL$15,BaseLoad!$AO$15,BaseLoad!$AM$15)</f>
        <v>705</v>
      </c>
      <c r="AB38" s="431"/>
      <c r="AD38" s="431"/>
    </row>
    <row r="39" customFormat="false" ht="12.75" hidden="false" customHeight="false" outlineLevel="0" collapsed="false">
      <c r="A39" s="400" t="n">
        <f aca="false">A38+30.417</f>
        <v>37422.093</v>
      </c>
      <c r="B39" s="430" t="str">
        <f aca="false">IF($A$1="Peak","-",IF(BaseLoad!H38&gt;BaseLoad!$G38,B$8*PPA!$G$5*$Z39,0))</f>
        <v>-</v>
      </c>
      <c r="C39" s="430" t="str">
        <f aca="false">IF($A$1="Peak","-",IF(BaseLoad!I38&gt;BaseLoad!$G38,C$8*PPA!$G$5*$Z39,0))</f>
        <v>-</v>
      </c>
      <c r="D39" s="430" t="str">
        <f aca="false">IF($A$1="Peak","-",IF(BaseLoad!J38&gt;BaseLoad!$G38,D$8*PPA!$G$5*$Z39,0))</f>
        <v>-</v>
      </c>
      <c r="E39" s="430" t="str">
        <f aca="false">IF($A$1="Peak","-",IF(BaseLoad!K38&gt;BaseLoad!$G38,E$8*PPA!$G$5*$Z39,0))</f>
        <v>-</v>
      </c>
      <c r="F39" s="430" t="str">
        <f aca="false">IF($A$1="Peak","-",IF(BaseLoad!L38&gt;BaseLoad!$G38,F$8*PPA!$G$5*$Z39,0))</f>
        <v>-</v>
      </c>
      <c r="G39" s="430" t="str">
        <f aca="false">IF($A$1="Peak","-",IF(BaseLoad!M38&gt;BaseLoad!$G38,G$8*PPA!$G$5*$Z39,0))</f>
        <v>-</v>
      </c>
      <c r="H39" s="430" t="str">
        <f aca="false">IF($A$1="Peak","-",IF(BaseLoad!N38&gt;BaseLoad!$G38,H$8*PPA!$G$5*$Z39,0))</f>
        <v>-</v>
      </c>
      <c r="I39" s="430" t="str">
        <f aca="false">IF($A$1="Peak","-",IF(BaseLoad!O38&gt;BaseLoad!$G38,I$8*PPA!$G$5*$Z39,0))</f>
        <v>-</v>
      </c>
      <c r="J39" s="430" t="str">
        <f aca="false">IF($A$1="Peak","-",IF(BaseLoad!P38&gt;BaseLoad!$G38,J$8*PPA!$G$5*$Z39,0))</f>
        <v>-</v>
      </c>
      <c r="K39" s="430" t="str">
        <f aca="false">IF($A$1="Peak","-",IF(BaseLoad!Q38&gt;BaseLoad!$G38,K$8*PPA!$G$5*$Z39,0))</f>
        <v>-</v>
      </c>
      <c r="L39" s="430" t="str">
        <f aca="false">IF($A$1="Peak","-",IF(BaseLoad!R38&gt;BaseLoad!$G38,L$8*PPA!$G$5*$Z39,0))</f>
        <v>-</v>
      </c>
      <c r="M39" s="430" t="str">
        <f aca="false">IF($A$1="Peak","-",IF(BaseLoad!S38&gt;BaseLoad!$G38,M$8*PPA!$G$5*$Z39,0))</f>
        <v>-</v>
      </c>
      <c r="N39" s="430" t="str">
        <f aca="false">IF($A$1="Peak","-",IF(BaseLoad!T38&gt;BaseLoad!$G38,N$8*PPA!$G$5*$Z39,0))</f>
        <v>-</v>
      </c>
      <c r="O39" s="430" t="str">
        <f aca="false">IF($A$1="Peak","-",IF(BaseLoad!U38&gt;BaseLoad!$G38,O$8*PPA!$G$5*$Z39,0))</f>
        <v>-</v>
      </c>
      <c r="P39" s="430" t="str">
        <f aca="false">IF($A$1="Peak","-",IF(BaseLoad!V38&gt;BaseLoad!$G38,P$8*PPA!$G$5*$Z39,0))</f>
        <v>-</v>
      </c>
      <c r="Q39" s="430" t="str">
        <f aca="false">IF($A$1="Peak","-",IF(BaseLoad!W38&gt;BaseLoad!$G38,Q$8*PPA!$G$5*$Z39,0))</f>
        <v>-</v>
      </c>
      <c r="R39" s="430" t="str">
        <f aca="false">IF($A$1="Peak","-",IF(BaseLoad!X38&gt;BaseLoad!$G38,R$8*PPA!$G$5*$Z39,0))</f>
        <v>-</v>
      </c>
      <c r="S39" s="430" t="str">
        <f aca="false">IF($A$1="Peak","-",IF(BaseLoad!Y38&gt;BaseLoad!$G38,S$8*PPA!$G$5*$Z39,0))</f>
        <v>-</v>
      </c>
      <c r="T39" s="430" t="str">
        <f aca="false">IF($A$1="Peak","-",IF(BaseLoad!Z38&gt;BaseLoad!$G38,T$8*PPA!$G$5*$Z39,0))</f>
        <v>-</v>
      </c>
      <c r="U39" s="430" t="str">
        <f aca="false">IF($A$1="Peak","-",IF(BaseLoad!AA38&gt;BaseLoad!$G38,U$8*PPA!$G$5*$Z39,0))</f>
        <v>-</v>
      </c>
      <c r="V39" s="430" t="n">
        <f aca="false">SUM(B39:U39)</f>
        <v>0</v>
      </c>
      <c r="W39" s="430" t="str">
        <f aca="false">IF($A$1="Peak","-",(730*PPA!$G$4*$Z39))</f>
        <v>-</v>
      </c>
      <c r="X39" s="430" t="n">
        <f aca="false">SUM(V39:W39)</f>
        <v>0</v>
      </c>
      <c r="Y39" s="430"/>
      <c r="Z39" s="430" t="n">
        <f aca="false">CHOOSE(QUOTIENT(MONTH($A39),3)+1,BaseLoad!$AM$9,BaseLoad!$AN$9,BaseLoad!$AL$9,BaseLoad!$AO$9,BaseLoad!$AM$9)</f>
        <v>0.966121359095586</v>
      </c>
      <c r="AA39" s="430" t="n">
        <f aca="false">CHOOSE(QUOTIENT(MONTH($A39),3)+1,BaseLoad!$AM$15,BaseLoad!$AN$15,BaseLoad!$AL$15,BaseLoad!$AO$15,BaseLoad!$AM$15)</f>
        <v>705</v>
      </c>
      <c r="AB39" s="431"/>
      <c r="AD39" s="431"/>
    </row>
    <row r="40" customFormat="false" ht="12.75" hidden="false" customHeight="false" outlineLevel="0" collapsed="false">
      <c r="A40" s="400" t="n">
        <f aca="false">A39+30.417</f>
        <v>37452.51</v>
      </c>
      <c r="B40" s="430" t="str">
        <f aca="false">IF($A$1="Peak","-",IF(BaseLoad!H39&gt;BaseLoad!$G39,B$8*PPA!$G$5*$Z40,0))</f>
        <v>-</v>
      </c>
      <c r="C40" s="430" t="str">
        <f aca="false">IF($A$1="Peak","-",IF(BaseLoad!I39&gt;BaseLoad!$G39,C$8*PPA!$G$5*$Z40,0))</f>
        <v>-</v>
      </c>
      <c r="D40" s="430" t="str">
        <f aca="false">IF($A$1="Peak","-",IF(BaseLoad!J39&gt;BaseLoad!$G39,D$8*PPA!$G$5*$Z40,0))</f>
        <v>-</v>
      </c>
      <c r="E40" s="430" t="str">
        <f aca="false">IF($A$1="Peak","-",IF(BaseLoad!K39&gt;BaseLoad!$G39,E$8*PPA!$G$5*$Z40,0))</f>
        <v>-</v>
      </c>
      <c r="F40" s="430" t="str">
        <f aca="false">IF($A$1="Peak","-",IF(BaseLoad!L39&gt;BaseLoad!$G39,F$8*PPA!$G$5*$Z40,0))</f>
        <v>-</v>
      </c>
      <c r="G40" s="430" t="str">
        <f aca="false">IF($A$1="Peak","-",IF(BaseLoad!M39&gt;BaseLoad!$G39,G$8*PPA!$G$5*$Z40,0))</f>
        <v>-</v>
      </c>
      <c r="H40" s="430" t="str">
        <f aca="false">IF($A$1="Peak","-",IF(BaseLoad!N39&gt;BaseLoad!$G39,H$8*PPA!$G$5*$Z40,0))</f>
        <v>-</v>
      </c>
      <c r="I40" s="430" t="str">
        <f aca="false">IF($A$1="Peak","-",IF(BaseLoad!O39&gt;BaseLoad!$G39,I$8*PPA!$G$5*$Z40,0))</f>
        <v>-</v>
      </c>
      <c r="J40" s="430" t="str">
        <f aca="false">IF($A$1="Peak","-",IF(BaseLoad!P39&gt;BaseLoad!$G39,J$8*PPA!$G$5*$Z40,0))</f>
        <v>-</v>
      </c>
      <c r="K40" s="430" t="str">
        <f aca="false">IF($A$1="Peak","-",IF(BaseLoad!Q39&gt;BaseLoad!$G39,K$8*PPA!$G$5*$Z40,0))</f>
        <v>-</v>
      </c>
      <c r="L40" s="430" t="str">
        <f aca="false">IF($A$1="Peak","-",IF(BaseLoad!R39&gt;BaseLoad!$G39,L$8*PPA!$G$5*$Z40,0))</f>
        <v>-</v>
      </c>
      <c r="M40" s="430" t="str">
        <f aca="false">IF($A$1="Peak","-",IF(BaseLoad!S39&gt;BaseLoad!$G39,M$8*PPA!$G$5*$Z40,0))</f>
        <v>-</v>
      </c>
      <c r="N40" s="430" t="str">
        <f aca="false">IF($A$1="Peak","-",IF(BaseLoad!T39&gt;BaseLoad!$G39,N$8*PPA!$G$5*$Z40,0))</f>
        <v>-</v>
      </c>
      <c r="O40" s="430" t="str">
        <f aca="false">IF($A$1="Peak","-",IF(BaseLoad!U39&gt;BaseLoad!$G39,O$8*PPA!$G$5*$Z40,0))</f>
        <v>-</v>
      </c>
      <c r="P40" s="430" t="str">
        <f aca="false">IF($A$1="Peak","-",IF(BaseLoad!V39&gt;BaseLoad!$G39,P$8*PPA!$G$5*$Z40,0))</f>
        <v>-</v>
      </c>
      <c r="Q40" s="430" t="str">
        <f aca="false">IF($A$1="Peak","-",IF(BaseLoad!W39&gt;BaseLoad!$G39,Q$8*PPA!$G$5*$Z40,0))</f>
        <v>-</v>
      </c>
      <c r="R40" s="430" t="str">
        <f aca="false">IF($A$1="Peak","-",IF(BaseLoad!X39&gt;BaseLoad!$G39,R$8*PPA!$G$5*$Z40,0))</f>
        <v>-</v>
      </c>
      <c r="S40" s="430" t="str">
        <f aca="false">IF($A$1="Peak","-",IF(BaseLoad!Y39&gt;BaseLoad!$G39,S$8*PPA!$G$5*$Z40,0))</f>
        <v>-</v>
      </c>
      <c r="T40" s="430" t="str">
        <f aca="false">IF($A$1="Peak","-",IF(BaseLoad!Z39&gt;BaseLoad!$G39,T$8*PPA!$G$5*$Z40,0))</f>
        <v>-</v>
      </c>
      <c r="U40" s="430" t="str">
        <f aca="false">IF($A$1="Peak","-",IF(BaseLoad!AA39&gt;BaseLoad!$G39,U$8*PPA!$G$5*$Z40,0))</f>
        <v>-</v>
      </c>
      <c r="V40" s="430" t="n">
        <f aca="false">SUM(B40:U40)</f>
        <v>0</v>
      </c>
      <c r="W40" s="430" t="str">
        <f aca="false">IF($A$1="Peak","-",(730*PPA!$G$4*$Z40))</f>
        <v>-</v>
      </c>
      <c r="X40" s="430" t="n">
        <f aca="false">SUM(V40:W40)</f>
        <v>0</v>
      </c>
      <c r="Y40" s="430"/>
      <c r="Z40" s="430" t="n">
        <f aca="false">CHOOSE(QUOTIENT(MONTH($A40),3)+1,BaseLoad!$AM$9,BaseLoad!$AN$9,BaseLoad!$AL$9,BaseLoad!$AO$9,BaseLoad!$AM$9)</f>
        <v>0.966121359095586</v>
      </c>
      <c r="AA40" s="430" t="n">
        <f aca="false">CHOOSE(QUOTIENT(MONTH($A40),3)+1,BaseLoad!$AM$15,BaseLoad!$AN$15,BaseLoad!$AL$15,BaseLoad!$AO$15,BaseLoad!$AM$15)</f>
        <v>705</v>
      </c>
      <c r="AB40" s="431"/>
      <c r="AD40" s="431"/>
    </row>
    <row r="41" customFormat="false" ht="12.75" hidden="false" customHeight="false" outlineLevel="0" collapsed="false">
      <c r="A41" s="400" t="n">
        <f aca="false">A40+30.417</f>
        <v>37482.927</v>
      </c>
      <c r="B41" s="430" t="str">
        <f aca="false">IF($A$1="Peak","-",IF(BaseLoad!H40&gt;BaseLoad!$G40,B$8*PPA!$G$5*$Z41,0))</f>
        <v>-</v>
      </c>
      <c r="C41" s="430" t="str">
        <f aca="false">IF($A$1="Peak","-",IF(BaseLoad!I40&gt;BaseLoad!$G40,C$8*PPA!$G$5*$Z41,0))</f>
        <v>-</v>
      </c>
      <c r="D41" s="430" t="str">
        <f aca="false">IF($A$1="Peak","-",IF(BaseLoad!J40&gt;BaseLoad!$G40,D$8*PPA!$G$5*$Z41,0))</f>
        <v>-</v>
      </c>
      <c r="E41" s="430" t="str">
        <f aca="false">IF($A$1="Peak","-",IF(BaseLoad!K40&gt;BaseLoad!$G40,E$8*PPA!$G$5*$Z41,0))</f>
        <v>-</v>
      </c>
      <c r="F41" s="430" t="str">
        <f aca="false">IF($A$1="Peak","-",IF(BaseLoad!L40&gt;BaseLoad!$G40,F$8*PPA!$G$5*$Z41,0))</f>
        <v>-</v>
      </c>
      <c r="G41" s="430" t="str">
        <f aca="false">IF($A$1="Peak","-",IF(BaseLoad!M40&gt;BaseLoad!$G40,G$8*PPA!$G$5*$Z41,0))</f>
        <v>-</v>
      </c>
      <c r="H41" s="430" t="str">
        <f aca="false">IF($A$1="Peak","-",IF(BaseLoad!N40&gt;BaseLoad!$G40,H$8*PPA!$G$5*$Z41,0))</f>
        <v>-</v>
      </c>
      <c r="I41" s="430" t="str">
        <f aca="false">IF($A$1="Peak","-",IF(BaseLoad!O40&gt;BaseLoad!$G40,I$8*PPA!$G$5*$Z41,0))</f>
        <v>-</v>
      </c>
      <c r="J41" s="430" t="str">
        <f aca="false">IF($A$1="Peak","-",IF(BaseLoad!P40&gt;BaseLoad!$G40,J$8*PPA!$G$5*$Z41,0))</f>
        <v>-</v>
      </c>
      <c r="K41" s="430" t="str">
        <f aca="false">IF($A$1="Peak","-",IF(BaseLoad!Q40&gt;BaseLoad!$G40,K$8*PPA!$G$5*$Z41,0))</f>
        <v>-</v>
      </c>
      <c r="L41" s="430" t="str">
        <f aca="false">IF($A$1="Peak","-",IF(BaseLoad!R40&gt;BaseLoad!$G40,L$8*PPA!$G$5*$Z41,0))</f>
        <v>-</v>
      </c>
      <c r="M41" s="430" t="str">
        <f aca="false">IF($A$1="Peak","-",IF(BaseLoad!S40&gt;BaseLoad!$G40,M$8*PPA!$G$5*$Z41,0))</f>
        <v>-</v>
      </c>
      <c r="N41" s="430" t="str">
        <f aca="false">IF($A$1="Peak","-",IF(BaseLoad!T40&gt;BaseLoad!$G40,N$8*PPA!$G$5*$Z41,0))</f>
        <v>-</v>
      </c>
      <c r="O41" s="430" t="str">
        <f aca="false">IF($A$1="Peak","-",IF(BaseLoad!U40&gt;BaseLoad!$G40,O$8*PPA!$G$5*$Z41,0))</f>
        <v>-</v>
      </c>
      <c r="P41" s="430" t="str">
        <f aca="false">IF($A$1="Peak","-",IF(BaseLoad!V40&gt;BaseLoad!$G40,P$8*PPA!$G$5*$Z41,0))</f>
        <v>-</v>
      </c>
      <c r="Q41" s="430" t="str">
        <f aca="false">IF($A$1="Peak","-",IF(BaseLoad!W40&gt;BaseLoad!$G40,Q$8*PPA!$G$5*$Z41,0))</f>
        <v>-</v>
      </c>
      <c r="R41" s="430" t="str">
        <f aca="false">IF($A$1="Peak","-",IF(BaseLoad!X40&gt;BaseLoad!$G40,R$8*PPA!$G$5*$Z41,0))</f>
        <v>-</v>
      </c>
      <c r="S41" s="430" t="str">
        <f aca="false">IF($A$1="Peak","-",IF(BaseLoad!Y40&gt;BaseLoad!$G40,S$8*PPA!$G$5*$Z41,0))</f>
        <v>-</v>
      </c>
      <c r="T41" s="430" t="str">
        <f aca="false">IF($A$1="Peak","-",IF(BaseLoad!Z40&gt;BaseLoad!$G40,T$8*PPA!$G$5*$Z41,0))</f>
        <v>-</v>
      </c>
      <c r="U41" s="430" t="str">
        <f aca="false">IF($A$1="Peak","-",IF(BaseLoad!AA40&gt;BaseLoad!$G40,U$8*PPA!$G$5*$Z41,0))</f>
        <v>-</v>
      </c>
      <c r="V41" s="430" t="n">
        <f aca="false">SUM(B41:U41)</f>
        <v>0</v>
      </c>
      <c r="W41" s="430" t="str">
        <f aca="false">IF($A$1="Peak","-",(730*PPA!$G$4*$Z41))</f>
        <v>-</v>
      </c>
      <c r="X41" s="430" t="n">
        <f aca="false">SUM(V41:W41)</f>
        <v>0</v>
      </c>
      <c r="Y41" s="430"/>
      <c r="Z41" s="430" t="n">
        <f aca="false">CHOOSE(QUOTIENT(MONTH($A41),3)+1,BaseLoad!$AM$9,BaseLoad!$AN$9,BaseLoad!$AL$9,BaseLoad!$AO$9,BaseLoad!$AM$9)</f>
        <v>0.966121359095586</v>
      </c>
      <c r="AA41" s="430" t="n">
        <f aca="false">CHOOSE(QUOTIENT(MONTH($A41),3)+1,BaseLoad!$AM$15,BaseLoad!$AN$15,BaseLoad!$AL$15,BaseLoad!$AO$15,BaseLoad!$AM$15)</f>
        <v>705</v>
      </c>
      <c r="AB41" s="431"/>
      <c r="AD41" s="431"/>
    </row>
    <row r="42" customFormat="false" ht="12.75" hidden="false" customHeight="false" outlineLevel="0" collapsed="false">
      <c r="A42" s="400" t="n">
        <f aca="false">A41+30.417</f>
        <v>37513.344</v>
      </c>
      <c r="B42" s="430" t="str">
        <f aca="false">IF($A$1="Peak","-",IF(BaseLoad!H41&gt;BaseLoad!$G41,B$8*PPA!$G$5*$Z42,0))</f>
        <v>-</v>
      </c>
      <c r="C42" s="430" t="str">
        <f aca="false">IF($A$1="Peak","-",IF(BaseLoad!I41&gt;BaseLoad!$G41,C$8*PPA!$G$5*$Z42,0))</f>
        <v>-</v>
      </c>
      <c r="D42" s="430" t="str">
        <f aca="false">IF($A$1="Peak","-",IF(BaseLoad!J41&gt;BaseLoad!$G41,D$8*PPA!$G$5*$Z42,0))</f>
        <v>-</v>
      </c>
      <c r="E42" s="430" t="str">
        <f aca="false">IF($A$1="Peak","-",IF(BaseLoad!K41&gt;BaseLoad!$G41,E$8*PPA!$G$5*$Z42,0))</f>
        <v>-</v>
      </c>
      <c r="F42" s="430" t="str">
        <f aca="false">IF($A$1="Peak","-",IF(BaseLoad!L41&gt;BaseLoad!$G41,F$8*PPA!$G$5*$Z42,0))</f>
        <v>-</v>
      </c>
      <c r="G42" s="430" t="str">
        <f aca="false">IF($A$1="Peak","-",IF(BaseLoad!M41&gt;BaseLoad!$G41,G$8*PPA!$G$5*$Z42,0))</f>
        <v>-</v>
      </c>
      <c r="H42" s="430" t="str">
        <f aca="false">IF($A$1="Peak","-",IF(BaseLoad!N41&gt;BaseLoad!$G41,H$8*PPA!$G$5*$Z42,0))</f>
        <v>-</v>
      </c>
      <c r="I42" s="430" t="str">
        <f aca="false">IF($A$1="Peak","-",IF(BaseLoad!O41&gt;BaseLoad!$G41,I$8*PPA!$G$5*$Z42,0))</f>
        <v>-</v>
      </c>
      <c r="J42" s="430" t="str">
        <f aca="false">IF($A$1="Peak","-",IF(BaseLoad!P41&gt;BaseLoad!$G41,J$8*PPA!$G$5*$Z42,0))</f>
        <v>-</v>
      </c>
      <c r="K42" s="430" t="str">
        <f aca="false">IF($A$1="Peak","-",IF(BaseLoad!Q41&gt;BaseLoad!$G41,K$8*PPA!$G$5*$Z42,0))</f>
        <v>-</v>
      </c>
      <c r="L42" s="430" t="str">
        <f aca="false">IF($A$1="Peak","-",IF(BaseLoad!R41&gt;BaseLoad!$G41,L$8*PPA!$G$5*$Z42,0))</f>
        <v>-</v>
      </c>
      <c r="M42" s="430" t="str">
        <f aca="false">IF($A$1="Peak","-",IF(BaseLoad!S41&gt;BaseLoad!$G41,M$8*PPA!$G$5*$Z42,0))</f>
        <v>-</v>
      </c>
      <c r="N42" s="430" t="str">
        <f aca="false">IF($A$1="Peak","-",IF(BaseLoad!T41&gt;BaseLoad!$G41,N$8*PPA!$G$5*$Z42,0))</f>
        <v>-</v>
      </c>
      <c r="O42" s="430" t="str">
        <f aca="false">IF($A$1="Peak","-",IF(BaseLoad!U41&gt;BaseLoad!$G41,O$8*PPA!$G$5*$Z42,0))</f>
        <v>-</v>
      </c>
      <c r="P42" s="430" t="str">
        <f aca="false">IF($A$1="Peak","-",IF(BaseLoad!V41&gt;BaseLoad!$G41,P$8*PPA!$G$5*$Z42,0))</f>
        <v>-</v>
      </c>
      <c r="Q42" s="430" t="str">
        <f aca="false">IF($A$1="Peak","-",IF(BaseLoad!W41&gt;BaseLoad!$G41,Q$8*PPA!$G$5*$Z42,0))</f>
        <v>-</v>
      </c>
      <c r="R42" s="430" t="str">
        <f aca="false">IF($A$1="Peak","-",IF(BaseLoad!X41&gt;BaseLoad!$G41,R$8*PPA!$G$5*$Z42,0))</f>
        <v>-</v>
      </c>
      <c r="S42" s="430" t="str">
        <f aca="false">IF($A$1="Peak","-",IF(BaseLoad!Y41&gt;BaseLoad!$G41,S$8*PPA!$G$5*$Z42,0))</f>
        <v>-</v>
      </c>
      <c r="T42" s="430" t="str">
        <f aca="false">IF($A$1="Peak","-",IF(BaseLoad!Z41&gt;BaseLoad!$G41,T$8*PPA!$G$5*$Z42,0))</f>
        <v>-</v>
      </c>
      <c r="U42" s="430" t="str">
        <f aca="false">IF($A$1="Peak","-",IF(BaseLoad!AA41&gt;BaseLoad!$G41,U$8*PPA!$G$5*$Z42,0))</f>
        <v>-</v>
      </c>
      <c r="V42" s="430" t="n">
        <f aca="false">SUM(B42:U42)</f>
        <v>0</v>
      </c>
      <c r="W42" s="430" t="str">
        <f aca="false">IF($A$1="Peak","-",(730*PPA!$G$4*$Z42))</f>
        <v>-</v>
      </c>
      <c r="X42" s="430" t="n">
        <f aca="false">SUM(V42:W42)</f>
        <v>0</v>
      </c>
      <c r="Y42" s="430"/>
      <c r="Z42" s="430" t="n">
        <f aca="false">CHOOSE(QUOTIENT(MONTH($A42),3)+1,BaseLoad!$AM$9,BaseLoad!$AN$9,BaseLoad!$AL$9,BaseLoad!$AO$9,BaseLoad!$AM$9)</f>
        <v>0.95</v>
      </c>
      <c r="AA42" s="430" t="n">
        <f aca="false">CHOOSE(QUOTIENT(MONTH($A42),3)+1,BaseLoad!$AM$15,BaseLoad!$AN$15,BaseLoad!$AL$15,BaseLoad!$AO$15,BaseLoad!$AM$15)</f>
        <v>705</v>
      </c>
      <c r="AB42" s="431"/>
      <c r="AD42" s="431"/>
    </row>
    <row r="43" customFormat="false" ht="12.75" hidden="false" customHeight="false" outlineLevel="0" collapsed="false">
      <c r="A43" s="400" t="n">
        <f aca="false">A42+30.417</f>
        <v>37543.761</v>
      </c>
      <c r="B43" s="430" t="str">
        <f aca="false">IF($A$1="Peak","-",IF(BaseLoad!H42&gt;BaseLoad!$G42,B$8*PPA!$G$5*$Z43,0))</f>
        <v>-</v>
      </c>
      <c r="C43" s="430" t="str">
        <f aca="false">IF($A$1="Peak","-",IF(BaseLoad!I42&gt;BaseLoad!$G42,C$8*PPA!$G$5*$Z43,0))</f>
        <v>-</v>
      </c>
      <c r="D43" s="430" t="str">
        <f aca="false">IF($A$1="Peak","-",IF(BaseLoad!J42&gt;BaseLoad!$G42,D$8*PPA!$G$5*$Z43,0))</f>
        <v>-</v>
      </c>
      <c r="E43" s="430" t="str">
        <f aca="false">IF($A$1="Peak","-",IF(BaseLoad!K42&gt;BaseLoad!$G42,E$8*PPA!$G$5*$Z43,0))</f>
        <v>-</v>
      </c>
      <c r="F43" s="430" t="str">
        <f aca="false">IF($A$1="Peak","-",IF(BaseLoad!L42&gt;BaseLoad!$G42,F$8*PPA!$G$5*$Z43,0))</f>
        <v>-</v>
      </c>
      <c r="G43" s="430" t="str">
        <f aca="false">IF($A$1="Peak","-",IF(BaseLoad!M42&gt;BaseLoad!$G42,G$8*PPA!$G$5*$Z43,0))</f>
        <v>-</v>
      </c>
      <c r="H43" s="430" t="str">
        <f aca="false">IF($A$1="Peak","-",IF(BaseLoad!N42&gt;BaseLoad!$G42,H$8*PPA!$G$5*$Z43,0))</f>
        <v>-</v>
      </c>
      <c r="I43" s="430" t="str">
        <f aca="false">IF($A$1="Peak","-",IF(BaseLoad!O42&gt;BaseLoad!$G42,I$8*PPA!$G$5*$Z43,0))</f>
        <v>-</v>
      </c>
      <c r="J43" s="430" t="str">
        <f aca="false">IF($A$1="Peak","-",IF(BaseLoad!P42&gt;BaseLoad!$G42,J$8*PPA!$G$5*$Z43,0))</f>
        <v>-</v>
      </c>
      <c r="K43" s="430" t="str">
        <f aca="false">IF($A$1="Peak","-",IF(BaseLoad!Q42&gt;BaseLoad!$G42,K$8*PPA!$G$5*$Z43,0))</f>
        <v>-</v>
      </c>
      <c r="L43" s="430" t="str">
        <f aca="false">IF($A$1="Peak","-",IF(BaseLoad!R42&gt;BaseLoad!$G42,L$8*PPA!$G$5*$Z43,0))</f>
        <v>-</v>
      </c>
      <c r="M43" s="430" t="str">
        <f aca="false">IF($A$1="Peak","-",IF(BaseLoad!S42&gt;BaseLoad!$G42,M$8*PPA!$G$5*$Z43,0))</f>
        <v>-</v>
      </c>
      <c r="N43" s="430" t="str">
        <f aca="false">IF($A$1="Peak","-",IF(BaseLoad!T42&gt;BaseLoad!$G42,N$8*PPA!$G$5*$Z43,0))</f>
        <v>-</v>
      </c>
      <c r="O43" s="430" t="str">
        <f aca="false">IF($A$1="Peak","-",IF(BaseLoad!U42&gt;BaseLoad!$G42,O$8*PPA!$G$5*$Z43,0))</f>
        <v>-</v>
      </c>
      <c r="P43" s="430" t="str">
        <f aca="false">IF($A$1="Peak","-",IF(BaseLoad!V42&gt;BaseLoad!$G42,P$8*PPA!$G$5*$Z43,0))</f>
        <v>-</v>
      </c>
      <c r="Q43" s="430" t="str">
        <f aca="false">IF($A$1="Peak","-",IF(BaseLoad!W42&gt;BaseLoad!$G42,Q$8*PPA!$G$5*$Z43,0))</f>
        <v>-</v>
      </c>
      <c r="R43" s="430" t="str">
        <f aca="false">IF($A$1="Peak","-",IF(BaseLoad!X42&gt;BaseLoad!$G42,R$8*PPA!$G$5*$Z43,0))</f>
        <v>-</v>
      </c>
      <c r="S43" s="430" t="str">
        <f aca="false">IF($A$1="Peak","-",IF(BaseLoad!Y42&gt;BaseLoad!$G42,S$8*PPA!$G$5*$Z43,0))</f>
        <v>-</v>
      </c>
      <c r="T43" s="430" t="str">
        <f aca="false">IF($A$1="Peak","-",IF(BaseLoad!Z42&gt;BaseLoad!$G42,T$8*PPA!$G$5*$Z43,0))</f>
        <v>-</v>
      </c>
      <c r="U43" s="430" t="str">
        <f aca="false">IF($A$1="Peak","-",IF(BaseLoad!AA42&gt;BaseLoad!$G42,U$8*PPA!$G$5*$Z43,0))</f>
        <v>-</v>
      </c>
      <c r="V43" s="430" t="n">
        <f aca="false">SUM(B43:U43)</f>
        <v>0</v>
      </c>
      <c r="W43" s="430" t="str">
        <f aca="false">IF($A$1="Peak","-",(730*PPA!$G$4*$Z43))</f>
        <v>-</v>
      </c>
      <c r="X43" s="430" t="n">
        <f aca="false">SUM(V43:W43)</f>
        <v>0</v>
      </c>
      <c r="Y43" s="430"/>
      <c r="Z43" s="430" t="n">
        <f aca="false">CHOOSE(QUOTIENT(MONTH($A43),3)+1,BaseLoad!$AM$9,BaseLoad!$AN$9,BaseLoad!$AL$9,BaseLoad!$AO$9,BaseLoad!$AM$9)</f>
        <v>0.95</v>
      </c>
      <c r="AA43" s="430" t="n">
        <f aca="false">CHOOSE(QUOTIENT(MONTH($A43),3)+1,BaseLoad!$AM$15,BaseLoad!$AN$15,BaseLoad!$AL$15,BaseLoad!$AO$15,BaseLoad!$AM$15)</f>
        <v>705</v>
      </c>
      <c r="AB43" s="431"/>
      <c r="AD43" s="431"/>
    </row>
    <row r="44" customFormat="false" ht="12.75" hidden="false" customHeight="false" outlineLevel="0" collapsed="false">
      <c r="A44" s="400" t="n">
        <f aca="false">A43+30.417</f>
        <v>37574.178</v>
      </c>
      <c r="B44" s="430" t="str">
        <f aca="false">IF($A$1="Peak","-",IF(BaseLoad!H43&gt;BaseLoad!$G43,B$8*PPA!$G$5*$Z44,0))</f>
        <v>-</v>
      </c>
      <c r="C44" s="430" t="str">
        <f aca="false">IF($A$1="Peak","-",IF(BaseLoad!I43&gt;BaseLoad!$G43,C$8*PPA!$G$5*$Z44,0))</f>
        <v>-</v>
      </c>
      <c r="D44" s="430" t="str">
        <f aca="false">IF($A$1="Peak","-",IF(BaseLoad!J43&gt;BaseLoad!$G43,D$8*PPA!$G$5*$Z44,0))</f>
        <v>-</v>
      </c>
      <c r="E44" s="430" t="str">
        <f aca="false">IF($A$1="Peak","-",IF(BaseLoad!K43&gt;BaseLoad!$G43,E$8*PPA!$G$5*$Z44,0))</f>
        <v>-</v>
      </c>
      <c r="F44" s="430" t="str">
        <f aca="false">IF($A$1="Peak","-",IF(BaseLoad!L43&gt;BaseLoad!$G43,F$8*PPA!$G$5*$Z44,0))</f>
        <v>-</v>
      </c>
      <c r="G44" s="430" t="str">
        <f aca="false">IF($A$1="Peak","-",IF(BaseLoad!M43&gt;BaseLoad!$G43,G$8*PPA!$G$5*$Z44,0))</f>
        <v>-</v>
      </c>
      <c r="H44" s="430" t="str">
        <f aca="false">IF($A$1="Peak","-",IF(BaseLoad!N43&gt;BaseLoad!$G43,H$8*PPA!$G$5*$Z44,0))</f>
        <v>-</v>
      </c>
      <c r="I44" s="430" t="str">
        <f aca="false">IF($A$1="Peak","-",IF(BaseLoad!O43&gt;BaseLoad!$G43,I$8*PPA!$G$5*$Z44,0))</f>
        <v>-</v>
      </c>
      <c r="J44" s="430" t="str">
        <f aca="false">IF($A$1="Peak","-",IF(BaseLoad!P43&gt;BaseLoad!$G43,J$8*PPA!$G$5*$Z44,0))</f>
        <v>-</v>
      </c>
      <c r="K44" s="430" t="str">
        <f aca="false">IF($A$1="Peak","-",IF(BaseLoad!Q43&gt;BaseLoad!$G43,K$8*PPA!$G$5*$Z44,0))</f>
        <v>-</v>
      </c>
      <c r="L44" s="430" t="str">
        <f aca="false">IF($A$1="Peak","-",IF(BaseLoad!R43&gt;BaseLoad!$G43,L$8*PPA!$G$5*$Z44,0))</f>
        <v>-</v>
      </c>
      <c r="M44" s="430" t="str">
        <f aca="false">IF($A$1="Peak","-",IF(BaseLoad!S43&gt;BaseLoad!$G43,M$8*PPA!$G$5*$Z44,0))</f>
        <v>-</v>
      </c>
      <c r="N44" s="430" t="str">
        <f aca="false">IF($A$1="Peak","-",IF(BaseLoad!T43&gt;BaseLoad!$G43,N$8*PPA!$G$5*$Z44,0))</f>
        <v>-</v>
      </c>
      <c r="O44" s="430" t="str">
        <f aca="false">IF($A$1="Peak","-",IF(BaseLoad!U43&gt;BaseLoad!$G43,O$8*PPA!$G$5*$Z44,0))</f>
        <v>-</v>
      </c>
      <c r="P44" s="430" t="str">
        <f aca="false">IF($A$1="Peak","-",IF(BaseLoad!V43&gt;BaseLoad!$G43,P$8*PPA!$G$5*$Z44,0))</f>
        <v>-</v>
      </c>
      <c r="Q44" s="430" t="str">
        <f aca="false">IF($A$1="Peak","-",IF(BaseLoad!W43&gt;BaseLoad!$G43,Q$8*PPA!$G$5*$Z44,0))</f>
        <v>-</v>
      </c>
      <c r="R44" s="430" t="str">
        <f aca="false">IF($A$1="Peak","-",IF(BaseLoad!X43&gt;BaseLoad!$G43,R$8*PPA!$G$5*$Z44,0))</f>
        <v>-</v>
      </c>
      <c r="S44" s="430" t="str">
        <f aca="false">IF($A$1="Peak","-",IF(BaseLoad!Y43&gt;BaseLoad!$G43,S$8*PPA!$G$5*$Z44,0))</f>
        <v>-</v>
      </c>
      <c r="T44" s="430" t="str">
        <f aca="false">IF($A$1="Peak","-",IF(BaseLoad!Z43&gt;BaseLoad!$G43,T$8*PPA!$G$5*$Z44,0))</f>
        <v>-</v>
      </c>
      <c r="U44" s="430" t="str">
        <f aca="false">IF($A$1="Peak","-",IF(BaseLoad!AA43&gt;BaseLoad!$G43,U$8*PPA!$G$5*$Z44,0))</f>
        <v>-</v>
      </c>
      <c r="V44" s="430" t="n">
        <f aca="false">SUM(B44:U44)</f>
        <v>0</v>
      </c>
      <c r="W44" s="430" t="str">
        <f aca="false">IF($A$1="Peak","-",(730*PPA!$G$4*$Z44))</f>
        <v>-</v>
      </c>
      <c r="X44" s="430" t="n">
        <f aca="false">SUM(V44:W44)</f>
        <v>0</v>
      </c>
      <c r="Y44" s="430"/>
      <c r="Z44" s="430" t="n">
        <f aca="false">CHOOSE(QUOTIENT(MONTH($A44),3)+1,BaseLoad!$AM$9,BaseLoad!$AN$9,BaseLoad!$AL$9,BaseLoad!$AO$9,BaseLoad!$AM$9)</f>
        <v>0.95</v>
      </c>
      <c r="AA44" s="430" t="n">
        <f aca="false">CHOOSE(QUOTIENT(MONTH($A44),3)+1,BaseLoad!$AM$15,BaseLoad!$AN$15,BaseLoad!$AL$15,BaseLoad!$AO$15,BaseLoad!$AM$15)</f>
        <v>705</v>
      </c>
      <c r="AB44" s="431"/>
      <c r="AD44" s="431"/>
    </row>
    <row r="45" customFormat="false" ht="12.75" hidden="false" customHeight="false" outlineLevel="0" collapsed="false">
      <c r="A45" s="400" t="n">
        <f aca="false">A44+30.417</f>
        <v>37604.595</v>
      </c>
      <c r="B45" s="430" t="str">
        <f aca="false">IF($A$1="Peak","-",IF(BaseLoad!H44&gt;BaseLoad!$G44,B$8*PPA!$G$5*$Z45,0))</f>
        <v>-</v>
      </c>
      <c r="C45" s="430" t="str">
        <f aca="false">IF($A$1="Peak","-",IF(BaseLoad!I44&gt;BaseLoad!$G44,C$8*PPA!$G$5*$Z45,0))</f>
        <v>-</v>
      </c>
      <c r="D45" s="430" t="str">
        <f aca="false">IF($A$1="Peak","-",IF(BaseLoad!J44&gt;BaseLoad!$G44,D$8*PPA!$G$5*$Z45,0))</f>
        <v>-</v>
      </c>
      <c r="E45" s="430" t="str">
        <f aca="false">IF($A$1="Peak","-",IF(BaseLoad!K44&gt;BaseLoad!$G44,E$8*PPA!$G$5*$Z45,0))</f>
        <v>-</v>
      </c>
      <c r="F45" s="430" t="str">
        <f aca="false">IF($A$1="Peak","-",IF(BaseLoad!L44&gt;BaseLoad!$G44,F$8*PPA!$G$5*$Z45,0))</f>
        <v>-</v>
      </c>
      <c r="G45" s="430" t="str">
        <f aca="false">IF($A$1="Peak","-",IF(BaseLoad!M44&gt;BaseLoad!$G44,G$8*PPA!$G$5*$Z45,0))</f>
        <v>-</v>
      </c>
      <c r="H45" s="430" t="str">
        <f aca="false">IF($A$1="Peak","-",IF(BaseLoad!N44&gt;BaseLoad!$G44,H$8*PPA!$G$5*$Z45,0))</f>
        <v>-</v>
      </c>
      <c r="I45" s="430" t="str">
        <f aca="false">IF($A$1="Peak","-",IF(BaseLoad!O44&gt;BaseLoad!$G44,I$8*PPA!$G$5*$Z45,0))</f>
        <v>-</v>
      </c>
      <c r="J45" s="430" t="str">
        <f aca="false">IF($A$1="Peak","-",IF(BaseLoad!P44&gt;BaseLoad!$G44,J$8*PPA!$G$5*$Z45,0))</f>
        <v>-</v>
      </c>
      <c r="K45" s="430" t="str">
        <f aca="false">IF($A$1="Peak","-",IF(BaseLoad!Q44&gt;BaseLoad!$G44,K$8*PPA!$G$5*$Z45,0))</f>
        <v>-</v>
      </c>
      <c r="L45" s="430" t="str">
        <f aca="false">IF($A$1="Peak","-",IF(BaseLoad!R44&gt;BaseLoad!$G44,L$8*PPA!$G$5*$Z45,0))</f>
        <v>-</v>
      </c>
      <c r="M45" s="430" t="str">
        <f aca="false">IF($A$1="Peak","-",IF(BaseLoad!S44&gt;BaseLoad!$G44,M$8*PPA!$G$5*$Z45,0))</f>
        <v>-</v>
      </c>
      <c r="N45" s="430" t="str">
        <f aca="false">IF($A$1="Peak","-",IF(BaseLoad!T44&gt;BaseLoad!$G44,N$8*PPA!$G$5*$Z45,0))</f>
        <v>-</v>
      </c>
      <c r="O45" s="430" t="str">
        <f aca="false">IF($A$1="Peak","-",IF(BaseLoad!U44&gt;BaseLoad!$G44,O$8*PPA!$G$5*$Z45,0))</f>
        <v>-</v>
      </c>
      <c r="P45" s="430" t="str">
        <f aca="false">IF($A$1="Peak","-",IF(BaseLoad!V44&gt;BaseLoad!$G44,P$8*PPA!$G$5*$Z45,0))</f>
        <v>-</v>
      </c>
      <c r="Q45" s="430" t="str">
        <f aca="false">IF($A$1="Peak","-",IF(BaseLoad!W44&gt;BaseLoad!$G44,Q$8*PPA!$G$5*$Z45,0))</f>
        <v>-</v>
      </c>
      <c r="R45" s="430" t="str">
        <f aca="false">IF($A$1="Peak","-",IF(BaseLoad!X44&gt;BaseLoad!$G44,R$8*PPA!$G$5*$Z45,0))</f>
        <v>-</v>
      </c>
      <c r="S45" s="430" t="str">
        <f aca="false">IF($A$1="Peak","-",IF(BaseLoad!Y44&gt;BaseLoad!$G44,S$8*PPA!$G$5*$Z45,0))</f>
        <v>-</v>
      </c>
      <c r="T45" s="430" t="str">
        <f aca="false">IF($A$1="Peak","-",IF(BaseLoad!Z44&gt;BaseLoad!$G44,T$8*PPA!$G$5*$Z45,0))</f>
        <v>-</v>
      </c>
      <c r="U45" s="430" t="str">
        <f aca="false">IF($A$1="Peak","-",IF(BaseLoad!AA44&gt;BaseLoad!$G44,U$8*PPA!$G$5*$Z45,0))</f>
        <v>-</v>
      </c>
      <c r="V45" s="430" t="n">
        <f aca="false">SUM(B45:U45)</f>
        <v>0</v>
      </c>
      <c r="W45" s="430" t="str">
        <f aca="false">IF($A$1="Peak","-",(730*PPA!$G$4*$Z45))</f>
        <v>-</v>
      </c>
      <c r="X45" s="430" t="n">
        <f aca="false">SUM(V45:W45)</f>
        <v>0</v>
      </c>
      <c r="Y45" s="430" t="n">
        <f aca="false">SUM(X34:X45)</f>
        <v>0</v>
      </c>
      <c r="Z45" s="430" t="n">
        <f aca="false">CHOOSE(QUOTIENT(MONTH($A45),3)+1,BaseLoad!$AM$9,BaseLoad!$AN$9,BaseLoad!$AL$9,BaseLoad!$AO$9,BaseLoad!$AM$9)</f>
        <v>0.924276618786118</v>
      </c>
      <c r="AA45" s="430" t="n">
        <f aca="false">CHOOSE(QUOTIENT(MONTH($A45),3)+1,BaseLoad!$AM$15,BaseLoad!$AN$15,BaseLoad!$AL$15,BaseLoad!$AO$15,BaseLoad!$AM$15)</f>
        <v>705</v>
      </c>
      <c r="AB45" s="431"/>
      <c r="AD45" s="431"/>
    </row>
    <row r="46" customFormat="false" ht="12.75" hidden="false" customHeight="false" outlineLevel="0" collapsed="false">
      <c r="A46" s="400" t="n">
        <f aca="false">A45+30.417</f>
        <v>37635.012</v>
      </c>
      <c r="B46" s="430" t="str">
        <f aca="false">IF($A$1="Peak","-",IF(BaseLoad!H45&gt;BaseLoad!$G45,B$8*PPA!$G$5*$Z46,0))</f>
        <v>-</v>
      </c>
      <c r="C46" s="430" t="str">
        <f aca="false">IF($A$1="Peak","-",IF(BaseLoad!I45&gt;BaseLoad!$G45,C$8*PPA!$G$5*$Z46,0))</f>
        <v>-</v>
      </c>
      <c r="D46" s="430" t="str">
        <f aca="false">IF($A$1="Peak","-",IF(BaseLoad!J45&gt;BaseLoad!$G45,D$8*PPA!$G$5*$Z46,0))</f>
        <v>-</v>
      </c>
      <c r="E46" s="430" t="str">
        <f aca="false">IF($A$1="Peak","-",IF(BaseLoad!K45&gt;BaseLoad!$G45,E$8*PPA!$G$5*$Z46,0))</f>
        <v>-</v>
      </c>
      <c r="F46" s="430" t="str">
        <f aca="false">IF($A$1="Peak","-",IF(BaseLoad!L45&gt;BaseLoad!$G45,F$8*PPA!$G$5*$Z46,0))</f>
        <v>-</v>
      </c>
      <c r="G46" s="430" t="str">
        <f aca="false">IF($A$1="Peak","-",IF(BaseLoad!M45&gt;BaseLoad!$G45,G$8*PPA!$G$5*$Z46,0))</f>
        <v>-</v>
      </c>
      <c r="H46" s="430" t="str">
        <f aca="false">IF($A$1="Peak","-",IF(BaseLoad!N45&gt;BaseLoad!$G45,H$8*PPA!$G$5*$Z46,0))</f>
        <v>-</v>
      </c>
      <c r="I46" s="430" t="str">
        <f aca="false">IF($A$1="Peak","-",IF(BaseLoad!O45&gt;BaseLoad!$G45,I$8*PPA!$G$5*$Z46,0))</f>
        <v>-</v>
      </c>
      <c r="J46" s="430" t="str">
        <f aca="false">IF($A$1="Peak","-",IF(BaseLoad!P45&gt;BaseLoad!$G45,J$8*PPA!$G$5*$Z46,0))</f>
        <v>-</v>
      </c>
      <c r="K46" s="430" t="str">
        <f aca="false">IF($A$1="Peak","-",IF(BaseLoad!Q45&gt;BaseLoad!$G45,K$8*PPA!$G$5*$Z46,0))</f>
        <v>-</v>
      </c>
      <c r="L46" s="430" t="str">
        <f aca="false">IF($A$1="Peak","-",IF(BaseLoad!R45&gt;BaseLoad!$G45,L$8*PPA!$G$5*$Z46,0))</f>
        <v>-</v>
      </c>
      <c r="M46" s="430" t="str">
        <f aca="false">IF($A$1="Peak","-",IF(BaseLoad!S45&gt;BaseLoad!$G45,M$8*PPA!$G$5*$Z46,0))</f>
        <v>-</v>
      </c>
      <c r="N46" s="430" t="str">
        <f aca="false">IF($A$1="Peak","-",IF(BaseLoad!T45&gt;BaseLoad!$G45,N$8*PPA!$G$5*$Z46,0))</f>
        <v>-</v>
      </c>
      <c r="O46" s="430" t="str">
        <f aca="false">IF($A$1="Peak","-",IF(BaseLoad!U45&gt;BaseLoad!$G45,O$8*PPA!$G$5*$Z46,0))</f>
        <v>-</v>
      </c>
      <c r="P46" s="430" t="str">
        <f aca="false">IF($A$1="Peak","-",IF(BaseLoad!V45&gt;BaseLoad!$G45,P$8*PPA!$G$5*$Z46,0))</f>
        <v>-</v>
      </c>
      <c r="Q46" s="430" t="str">
        <f aca="false">IF($A$1="Peak","-",IF(BaseLoad!W45&gt;BaseLoad!$G45,Q$8*PPA!$G$5*$Z46,0))</f>
        <v>-</v>
      </c>
      <c r="R46" s="430" t="str">
        <f aca="false">IF($A$1="Peak","-",IF(BaseLoad!X45&gt;BaseLoad!$G45,R$8*PPA!$G$5*$Z46,0))</f>
        <v>-</v>
      </c>
      <c r="S46" s="430" t="str">
        <f aca="false">IF($A$1="Peak","-",IF(BaseLoad!Y45&gt;BaseLoad!$G45,S$8*PPA!$G$5*$Z46,0))</f>
        <v>-</v>
      </c>
      <c r="T46" s="430" t="str">
        <f aca="false">IF($A$1="Peak","-",IF(BaseLoad!Z45&gt;BaseLoad!$G45,T$8*PPA!$G$5*$Z46,0))</f>
        <v>-</v>
      </c>
      <c r="U46" s="430" t="str">
        <f aca="false">IF($A$1="Peak","-",IF(BaseLoad!AA45&gt;BaseLoad!$G45,U$8*PPA!$G$5*$Z46,0))</f>
        <v>-</v>
      </c>
      <c r="V46" s="430" t="n">
        <f aca="false">SUM(B46:U46)</f>
        <v>0</v>
      </c>
      <c r="W46" s="430" t="str">
        <f aca="false">IF($A$1="Peak","-",(730*PPA!$G$4*$Z46))</f>
        <v>-</v>
      </c>
      <c r="X46" s="430" t="n">
        <f aca="false">SUM(V46:W46)</f>
        <v>0</v>
      </c>
      <c r="Y46" s="430"/>
      <c r="Z46" s="430" t="n">
        <f aca="false">CHOOSE(QUOTIENT(MONTH($A46),3)+1,BaseLoad!$AM$9,BaseLoad!$AN$9,BaseLoad!$AL$9,BaseLoad!$AO$9,BaseLoad!$AM$9)</f>
        <v>0.924276618786118</v>
      </c>
      <c r="AA46" s="430" t="n">
        <f aca="false">CHOOSE(QUOTIENT(MONTH($A46),3)+1,BaseLoad!$AM$15,BaseLoad!$AN$15,BaseLoad!$AL$15,BaseLoad!$AO$15,BaseLoad!$AM$15)</f>
        <v>705</v>
      </c>
      <c r="AB46" s="431"/>
      <c r="AD46" s="431"/>
    </row>
    <row r="47" customFormat="false" ht="12.75" hidden="false" customHeight="false" outlineLevel="0" collapsed="false">
      <c r="A47" s="400" t="n">
        <f aca="false">A46+30.417</f>
        <v>37665.429</v>
      </c>
      <c r="B47" s="430" t="str">
        <f aca="false">IF($A$1="Peak","-",IF(BaseLoad!H46&gt;BaseLoad!$G46,B$8*PPA!$G$5*$Z47,0))</f>
        <v>-</v>
      </c>
      <c r="C47" s="430" t="str">
        <f aca="false">IF($A$1="Peak","-",IF(BaseLoad!I46&gt;BaseLoad!$G46,C$8*PPA!$G$5*$Z47,0))</f>
        <v>-</v>
      </c>
      <c r="D47" s="430" t="str">
        <f aca="false">IF($A$1="Peak","-",IF(BaseLoad!J46&gt;BaseLoad!$G46,D$8*PPA!$G$5*$Z47,0))</f>
        <v>-</v>
      </c>
      <c r="E47" s="430" t="str">
        <f aca="false">IF($A$1="Peak","-",IF(BaseLoad!K46&gt;BaseLoad!$G46,E$8*PPA!$G$5*$Z47,0))</f>
        <v>-</v>
      </c>
      <c r="F47" s="430" t="str">
        <f aca="false">IF($A$1="Peak","-",IF(BaseLoad!L46&gt;BaseLoad!$G46,F$8*PPA!$G$5*$Z47,0))</f>
        <v>-</v>
      </c>
      <c r="G47" s="430" t="str">
        <f aca="false">IF($A$1="Peak","-",IF(BaseLoad!M46&gt;BaseLoad!$G46,G$8*PPA!$G$5*$Z47,0))</f>
        <v>-</v>
      </c>
      <c r="H47" s="430" t="str">
        <f aca="false">IF($A$1="Peak","-",IF(BaseLoad!N46&gt;BaseLoad!$G46,H$8*PPA!$G$5*$Z47,0))</f>
        <v>-</v>
      </c>
      <c r="I47" s="430" t="str">
        <f aca="false">IF($A$1="Peak","-",IF(BaseLoad!O46&gt;BaseLoad!$G46,I$8*PPA!$G$5*$Z47,0))</f>
        <v>-</v>
      </c>
      <c r="J47" s="430" t="str">
        <f aca="false">IF($A$1="Peak","-",IF(BaseLoad!P46&gt;BaseLoad!$G46,J$8*PPA!$G$5*$Z47,0))</f>
        <v>-</v>
      </c>
      <c r="K47" s="430" t="str">
        <f aca="false">IF($A$1="Peak","-",IF(BaseLoad!Q46&gt;BaseLoad!$G46,K$8*PPA!$G$5*$Z47,0))</f>
        <v>-</v>
      </c>
      <c r="L47" s="430" t="str">
        <f aca="false">IF($A$1="Peak","-",IF(BaseLoad!R46&gt;BaseLoad!$G46,L$8*PPA!$G$5*$Z47,0))</f>
        <v>-</v>
      </c>
      <c r="M47" s="430" t="str">
        <f aca="false">IF($A$1="Peak","-",IF(BaseLoad!S46&gt;BaseLoad!$G46,M$8*PPA!$G$5*$Z47,0))</f>
        <v>-</v>
      </c>
      <c r="N47" s="430" t="str">
        <f aca="false">IF($A$1="Peak","-",IF(BaseLoad!T46&gt;BaseLoad!$G46,N$8*PPA!$G$5*$Z47,0))</f>
        <v>-</v>
      </c>
      <c r="O47" s="430" t="str">
        <f aca="false">IF($A$1="Peak","-",IF(BaseLoad!U46&gt;BaseLoad!$G46,O$8*PPA!$G$5*$Z47,0))</f>
        <v>-</v>
      </c>
      <c r="P47" s="430" t="str">
        <f aca="false">IF($A$1="Peak","-",IF(BaseLoad!V46&gt;BaseLoad!$G46,P$8*PPA!$G$5*$Z47,0))</f>
        <v>-</v>
      </c>
      <c r="Q47" s="430" t="str">
        <f aca="false">IF($A$1="Peak","-",IF(BaseLoad!W46&gt;BaseLoad!$G46,Q$8*PPA!$G$5*$Z47,0))</f>
        <v>-</v>
      </c>
      <c r="R47" s="430" t="str">
        <f aca="false">IF($A$1="Peak","-",IF(BaseLoad!X46&gt;BaseLoad!$G46,R$8*PPA!$G$5*$Z47,0))</f>
        <v>-</v>
      </c>
      <c r="S47" s="430" t="str">
        <f aca="false">IF($A$1="Peak","-",IF(BaseLoad!Y46&gt;BaseLoad!$G46,S$8*PPA!$G$5*$Z47,0))</f>
        <v>-</v>
      </c>
      <c r="T47" s="430" t="str">
        <f aca="false">IF($A$1="Peak","-",IF(BaseLoad!Z46&gt;BaseLoad!$G46,T$8*PPA!$G$5*$Z47,0))</f>
        <v>-</v>
      </c>
      <c r="U47" s="430" t="str">
        <f aca="false">IF($A$1="Peak","-",IF(BaseLoad!AA46&gt;BaseLoad!$G46,U$8*PPA!$G$5*$Z47,0))</f>
        <v>-</v>
      </c>
      <c r="V47" s="430" t="n">
        <f aca="false">SUM(B47:U47)</f>
        <v>0</v>
      </c>
      <c r="W47" s="430" t="str">
        <f aca="false">IF($A$1="Peak","-",(730*PPA!$G$4*$Z47))</f>
        <v>-</v>
      </c>
      <c r="X47" s="430" t="n">
        <f aca="false">SUM(V47:W47)</f>
        <v>0</v>
      </c>
      <c r="Y47" s="430"/>
      <c r="Z47" s="430" t="n">
        <f aca="false">CHOOSE(QUOTIENT(MONTH($A47),3)+1,BaseLoad!$AM$9,BaseLoad!$AN$9,BaseLoad!$AL$9,BaseLoad!$AO$9,BaseLoad!$AM$9)</f>
        <v>0.924276618786118</v>
      </c>
      <c r="AA47" s="430" t="n">
        <f aca="false">CHOOSE(QUOTIENT(MONTH($A47),3)+1,BaseLoad!$AM$15,BaseLoad!$AN$15,BaseLoad!$AL$15,BaseLoad!$AO$15,BaseLoad!$AM$15)</f>
        <v>705</v>
      </c>
      <c r="AB47" s="431"/>
      <c r="AD47" s="431"/>
    </row>
    <row r="48" customFormat="false" ht="12.75" hidden="false" customHeight="false" outlineLevel="0" collapsed="false">
      <c r="A48" s="400" t="n">
        <f aca="false">A47+30.417</f>
        <v>37695.846</v>
      </c>
      <c r="B48" s="430" t="str">
        <f aca="false">IF($A$1="Peak","-",IF(BaseLoad!H47&gt;BaseLoad!$G47,B$8*PPA!$G$5*$Z48,0))</f>
        <v>-</v>
      </c>
      <c r="C48" s="430" t="str">
        <f aca="false">IF($A$1="Peak","-",IF(BaseLoad!I47&gt;BaseLoad!$G47,C$8*PPA!$G$5*$Z48,0))</f>
        <v>-</v>
      </c>
      <c r="D48" s="430" t="str">
        <f aca="false">IF($A$1="Peak","-",IF(BaseLoad!J47&gt;BaseLoad!$G47,D$8*PPA!$G$5*$Z48,0))</f>
        <v>-</v>
      </c>
      <c r="E48" s="430" t="str">
        <f aca="false">IF($A$1="Peak","-",IF(BaseLoad!K47&gt;BaseLoad!$G47,E$8*PPA!$G$5*$Z48,0))</f>
        <v>-</v>
      </c>
      <c r="F48" s="430" t="str">
        <f aca="false">IF($A$1="Peak","-",IF(BaseLoad!L47&gt;BaseLoad!$G47,F$8*PPA!$G$5*$Z48,0))</f>
        <v>-</v>
      </c>
      <c r="G48" s="430" t="str">
        <f aca="false">IF($A$1="Peak","-",IF(BaseLoad!M47&gt;BaseLoad!$G47,G$8*PPA!$G$5*$Z48,0))</f>
        <v>-</v>
      </c>
      <c r="H48" s="430" t="str">
        <f aca="false">IF($A$1="Peak","-",IF(BaseLoad!N47&gt;BaseLoad!$G47,H$8*PPA!$G$5*$Z48,0))</f>
        <v>-</v>
      </c>
      <c r="I48" s="430" t="str">
        <f aca="false">IF($A$1="Peak","-",IF(BaseLoad!O47&gt;BaseLoad!$G47,I$8*PPA!$G$5*$Z48,0))</f>
        <v>-</v>
      </c>
      <c r="J48" s="430" t="str">
        <f aca="false">IF($A$1="Peak","-",IF(BaseLoad!P47&gt;BaseLoad!$G47,J$8*PPA!$G$5*$Z48,0))</f>
        <v>-</v>
      </c>
      <c r="K48" s="430" t="str">
        <f aca="false">IF($A$1="Peak","-",IF(BaseLoad!Q47&gt;BaseLoad!$G47,K$8*PPA!$G$5*$Z48,0))</f>
        <v>-</v>
      </c>
      <c r="L48" s="430" t="str">
        <f aca="false">IF($A$1="Peak","-",IF(BaseLoad!R47&gt;BaseLoad!$G47,L$8*PPA!$G$5*$Z48,0))</f>
        <v>-</v>
      </c>
      <c r="M48" s="430" t="str">
        <f aca="false">IF($A$1="Peak","-",IF(BaseLoad!S47&gt;BaseLoad!$G47,M$8*PPA!$G$5*$Z48,0))</f>
        <v>-</v>
      </c>
      <c r="N48" s="430" t="str">
        <f aca="false">IF($A$1="Peak","-",IF(BaseLoad!T47&gt;BaseLoad!$G47,N$8*PPA!$G$5*$Z48,0))</f>
        <v>-</v>
      </c>
      <c r="O48" s="430" t="str">
        <f aca="false">IF($A$1="Peak","-",IF(BaseLoad!U47&gt;BaseLoad!$G47,O$8*PPA!$G$5*$Z48,0))</f>
        <v>-</v>
      </c>
      <c r="P48" s="430" t="str">
        <f aca="false">IF($A$1="Peak","-",IF(BaseLoad!V47&gt;BaseLoad!$G47,P$8*PPA!$G$5*$Z48,0))</f>
        <v>-</v>
      </c>
      <c r="Q48" s="430" t="str">
        <f aca="false">IF($A$1="Peak","-",IF(BaseLoad!W47&gt;BaseLoad!$G47,Q$8*PPA!$G$5*$Z48,0))</f>
        <v>-</v>
      </c>
      <c r="R48" s="430" t="str">
        <f aca="false">IF($A$1="Peak","-",IF(BaseLoad!X47&gt;BaseLoad!$G47,R$8*PPA!$G$5*$Z48,0))</f>
        <v>-</v>
      </c>
      <c r="S48" s="430" t="str">
        <f aca="false">IF($A$1="Peak","-",IF(BaseLoad!Y47&gt;BaseLoad!$G47,S$8*PPA!$G$5*$Z48,0))</f>
        <v>-</v>
      </c>
      <c r="T48" s="430" t="str">
        <f aca="false">IF($A$1="Peak","-",IF(BaseLoad!Z47&gt;BaseLoad!$G47,T$8*PPA!$G$5*$Z48,0))</f>
        <v>-</v>
      </c>
      <c r="U48" s="430" t="str">
        <f aca="false">IF($A$1="Peak","-",IF(BaseLoad!AA47&gt;BaseLoad!$G47,U$8*PPA!$G$5*$Z48,0))</f>
        <v>-</v>
      </c>
      <c r="V48" s="430" t="n">
        <f aca="false">SUM(B48:U48)</f>
        <v>0</v>
      </c>
      <c r="W48" s="430" t="str">
        <f aca="false">IF($A$1="Peak","-",(730*PPA!$G$4*$Z48))</f>
        <v>-</v>
      </c>
      <c r="X48" s="430" t="n">
        <f aca="false">SUM(V48:W48)</f>
        <v>0</v>
      </c>
      <c r="Y48" s="430"/>
      <c r="Z48" s="430" t="n">
        <f aca="false">CHOOSE(QUOTIENT(MONTH($A48),3)+1,BaseLoad!$AM$9,BaseLoad!$AN$9,BaseLoad!$AL$9,BaseLoad!$AO$9,BaseLoad!$AM$9)</f>
        <v>0.95</v>
      </c>
      <c r="AA48" s="430" t="n">
        <f aca="false">CHOOSE(QUOTIENT(MONTH($A48),3)+1,BaseLoad!$AM$15,BaseLoad!$AN$15,BaseLoad!$AL$15,BaseLoad!$AO$15,BaseLoad!$AM$15)</f>
        <v>705</v>
      </c>
      <c r="AB48" s="431"/>
      <c r="AD48" s="431"/>
    </row>
    <row r="49" customFormat="false" ht="12.75" hidden="false" customHeight="false" outlineLevel="0" collapsed="false">
      <c r="A49" s="400" t="n">
        <f aca="false">A48+30.417</f>
        <v>37726.263</v>
      </c>
      <c r="B49" s="430" t="str">
        <f aca="false">IF($A$1="Peak","-",IF(BaseLoad!H48&gt;BaseLoad!$G48,B$8*PPA!$G$5*$Z49,0))</f>
        <v>-</v>
      </c>
      <c r="C49" s="430" t="str">
        <f aca="false">IF($A$1="Peak","-",IF(BaseLoad!I48&gt;BaseLoad!$G48,C$8*PPA!$G$5*$Z49,0))</f>
        <v>-</v>
      </c>
      <c r="D49" s="430" t="str">
        <f aca="false">IF($A$1="Peak","-",IF(BaseLoad!J48&gt;BaseLoad!$G48,D$8*PPA!$G$5*$Z49,0))</f>
        <v>-</v>
      </c>
      <c r="E49" s="430" t="str">
        <f aca="false">IF($A$1="Peak","-",IF(BaseLoad!K48&gt;BaseLoad!$G48,E$8*PPA!$G$5*$Z49,0))</f>
        <v>-</v>
      </c>
      <c r="F49" s="430" t="str">
        <f aca="false">IF($A$1="Peak","-",IF(BaseLoad!L48&gt;BaseLoad!$G48,F$8*PPA!$G$5*$Z49,0))</f>
        <v>-</v>
      </c>
      <c r="G49" s="430" t="str">
        <f aca="false">IF($A$1="Peak","-",IF(BaseLoad!M48&gt;BaseLoad!$G48,G$8*PPA!$G$5*$Z49,0))</f>
        <v>-</v>
      </c>
      <c r="H49" s="430" t="str">
        <f aca="false">IF($A$1="Peak","-",IF(BaseLoad!N48&gt;BaseLoad!$G48,H$8*PPA!$G$5*$Z49,0))</f>
        <v>-</v>
      </c>
      <c r="I49" s="430" t="str">
        <f aca="false">IF($A$1="Peak","-",IF(BaseLoad!O48&gt;BaseLoad!$G48,I$8*PPA!$G$5*$Z49,0))</f>
        <v>-</v>
      </c>
      <c r="J49" s="430" t="str">
        <f aca="false">IF($A$1="Peak","-",IF(BaseLoad!P48&gt;BaseLoad!$G48,J$8*PPA!$G$5*$Z49,0))</f>
        <v>-</v>
      </c>
      <c r="K49" s="430" t="str">
        <f aca="false">IF($A$1="Peak","-",IF(BaseLoad!Q48&gt;BaseLoad!$G48,K$8*PPA!$G$5*$Z49,0))</f>
        <v>-</v>
      </c>
      <c r="L49" s="430" t="str">
        <f aca="false">IF($A$1="Peak","-",IF(BaseLoad!R48&gt;BaseLoad!$G48,L$8*PPA!$G$5*$Z49,0))</f>
        <v>-</v>
      </c>
      <c r="M49" s="430" t="str">
        <f aca="false">IF($A$1="Peak","-",IF(BaseLoad!S48&gt;BaseLoad!$G48,M$8*PPA!$G$5*$Z49,0))</f>
        <v>-</v>
      </c>
      <c r="N49" s="430" t="str">
        <f aca="false">IF($A$1="Peak","-",IF(BaseLoad!T48&gt;BaseLoad!$G48,N$8*PPA!$G$5*$Z49,0))</f>
        <v>-</v>
      </c>
      <c r="O49" s="430" t="str">
        <f aca="false">IF($A$1="Peak","-",IF(BaseLoad!U48&gt;BaseLoad!$G48,O$8*PPA!$G$5*$Z49,0))</f>
        <v>-</v>
      </c>
      <c r="P49" s="430" t="str">
        <f aca="false">IF($A$1="Peak","-",IF(BaseLoad!V48&gt;BaseLoad!$G48,P$8*PPA!$G$5*$Z49,0))</f>
        <v>-</v>
      </c>
      <c r="Q49" s="430" t="str">
        <f aca="false">IF($A$1="Peak","-",IF(BaseLoad!W48&gt;BaseLoad!$G48,Q$8*PPA!$G$5*$Z49,0))</f>
        <v>-</v>
      </c>
      <c r="R49" s="430" t="str">
        <f aca="false">IF($A$1="Peak","-",IF(BaseLoad!X48&gt;BaseLoad!$G48,R$8*PPA!$G$5*$Z49,0))</f>
        <v>-</v>
      </c>
      <c r="S49" s="430" t="str">
        <f aca="false">IF($A$1="Peak","-",IF(BaseLoad!Y48&gt;BaseLoad!$G48,S$8*PPA!$G$5*$Z49,0))</f>
        <v>-</v>
      </c>
      <c r="T49" s="430" t="str">
        <f aca="false">IF($A$1="Peak","-",IF(BaseLoad!Z48&gt;BaseLoad!$G48,T$8*PPA!$G$5*$Z49,0))</f>
        <v>-</v>
      </c>
      <c r="U49" s="430" t="str">
        <f aca="false">IF($A$1="Peak","-",IF(BaseLoad!AA48&gt;BaseLoad!$G48,U$8*PPA!$G$5*$Z49,0))</f>
        <v>-</v>
      </c>
      <c r="V49" s="430" t="n">
        <f aca="false">SUM(B49:U49)</f>
        <v>0</v>
      </c>
      <c r="W49" s="430" t="str">
        <f aca="false">IF($A$1="Peak","-",(730*PPA!$G$4*$Z49))</f>
        <v>-</v>
      </c>
      <c r="X49" s="430" t="n">
        <f aca="false">SUM(V49:W49)</f>
        <v>0</v>
      </c>
      <c r="Y49" s="430"/>
      <c r="Z49" s="430" t="n">
        <f aca="false">CHOOSE(QUOTIENT(MONTH($A49),3)+1,BaseLoad!$AM$9,BaseLoad!$AN$9,BaseLoad!$AL$9,BaseLoad!$AO$9,BaseLoad!$AM$9)</f>
        <v>0.95</v>
      </c>
      <c r="AA49" s="430" t="n">
        <f aca="false">CHOOSE(QUOTIENT(MONTH($A49),3)+1,BaseLoad!$AM$15,BaseLoad!$AN$15,BaseLoad!$AL$15,BaseLoad!$AO$15,BaseLoad!$AM$15)</f>
        <v>705</v>
      </c>
      <c r="AB49" s="431"/>
      <c r="AD49" s="431"/>
    </row>
    <row r="50" customFormat="false" ht="12.75" hidden="false" customHeight="false" outlineLevel="0" collapsed="false">
      <c r="A50" s="400" t="n">
        <f aca="false">A49+30.417</f>
        <v>37756.68</v>
      </c>
      <c r="B50" s="430" t="str">
        <f aca="false">IF($A$1="Peak","-",IF(BaseLoad!H49&gt;BaseLoad!$G49,B$8*PPA!$G$5*$Z50,0))</f>
        <v>-</v>
      </c>
      <c r="C50" s="430" t="str">
        <f aca="false">IF($A$1="Peak","-",IF(BaseLoad!I49&gt;BaseLoad!$G49,C$8*PPA!$G$5*$Z50,0))</f>
        <v>-</v>
      </c>
      <c r="D50" s="430" t="str">
        <f aca="false">IF($A$1="Peak","-",IF(BaseLoad!J49&gt;BaseLoad!$G49,D$8*PPA!$G$5*$Z50,0))</f>
        <v>-</v>
      </c>
      <c r="E50" s="430" t="str">
        <f aca="false">IF($A$1="Peak","-",IF(BaseLoad!K49&gt;BaseLoad!$G49,E$8*PPA!$G$5*$Z50,0))</f>
        <v>-</v>
      </c>
      <c r="F50" s="430" t="str">
        <f aca="false">IF($A$1="Peak","-",IF(BaseLoad!L49&gt;BaseLoad!$G49,F$8*PPA!$G$5*$Z50,0))</f>
        <v>-</v>
      </c>
      <c r="G50" s="430" t="str">
        <f aca="false">IF($A$1="Peak","-",IF(BaseLoad!M49&gt;BaseLoad!$G49,G$8*PPA!$G$5*$Z50,0))</f>
        <v>-</v>
      </c>
      <c r="H50" s="430" t="str">
        <f aca="false">IF($A$1="Peak","-",IF(BaseLoad!N49&gt;BaseLoad!$G49,H$8*PPA!$G$5*$Z50,0))</f>
        <v>-</v>
      </c>
      <c r="I50" s="430" t="str">
        <f aca="false">IF($A$1="Peak","-",IF(BaseLoad!O49&gt;BaseLoad!$G49,I$8*PPA!$G$5*$Z50,0))</f>
        <v>-</v>
      </c>
      <c r="J50" s="430" t="str">
        <f aca="false">IF($A$1="Peak","-",IF(BaseLoad!P49&gt;BaseLoad!$G49,J$8*PPA!$G$5*$Z50,0))</f>
        <v>-</v>
      </c>
      <c r="K50" s="430" t="str">
        <f aca="false">IF($A$1="Peak","-",IF(BaseLoad!Q49&gt;BaseLoad!$G49,K$8*PPA!$G$5*$Z50,0))</f>
        <v>-</v>
      </c>
      <c r="L50" s="430" t="str">
        <f aca="false">IF($A$1="Peak","-",IF(BaseLoad!R49&gt;BaseLoad!$G49,L$8*PPA!$G$5*$Z50,0))</f>
        <v>-</v>
      </c>
      <c r="M50" s="430" t="str">
        <f aca="false">IF($A$1="Peak","-",IF(BaseLoad!S49&gt;BaseLoad!$G49,M$8*PPA!$G$5*$Z50,0))</f>
        <v>-</v>
      </c>
      <c r="N50" s="430" t="str">
        <f aca="false">IF($A$1="Peak","-",IF(BaseLoad!T49&gt;BaseLoad!$G49,N$8*PPA!$G$5*$Z50,0))</f>
        <v>-</v>
      </c>
      <c r="O50" s="430" t="str">
        <f aca="false">IF($A$1="Peak","-",IF(BaseLoad!U49&gt;BaseLoad!$G49,O$8*PPA!$G$5*$Z50,0))</f>
        <v>-</v>
      </c>
      <c r="P50" s="430" t="str">
        <f aca="false">IF($A$1="Peak","-",IF(BaseLoad!V49&gt;BaseLoad!$G49,P$8*PPA!$G$5*$Z50,0))</f>
        <v>-</v>
      </c>
      <c r="Q50" s="430" t="str">
        <f aca="false">IF($A$1="Peak","-",IF(BaseLoad!W49&gt;BaseLoad!$G49,Q$8*PPA!$G$5*$Z50,0))</f>
        <v>-</v>
      </c>
      <c r="R50" s="430" t="str">
        <f aca="false">IF($A$1="Peak","-",IF(BaseLoad!X49&gt;BaseLoad!$G49,R$8*PPA!$G$5*$Z50,0))</f>
        <v>-</v>
      </c>
      <c r="S50" s="430" t="str">
        <f aca="false">IF($A$1="Peak","-",IF(BaseLoad!Y49&gt;BaseLoad!$G49,S$8*PPA!$G$5*$Z50,0))</f>
        <v>-</v>
      </c>
      <c r="T50" s="430" t="str">
        <f aca="false">IF($A$1="Peak","-",IF(BaseLoad!Z49&gt;BaseLoad!$G49,T$8*PPA!$G$5*$Z50,0))</f>
        <v>-</v>
      </c>
      <c r="U50" s="430" t="str">
        <f aca="false">IF($A$1="Peak","-",IF(BaseLoad!AA49&gt;BaseLoad!$G49,U$8*PPA!$G$5*$Z50,0))</f>
        <v>-</v>
      </c>
      <c r="V50" s="430" t="n">
        <f aca="false">SUM(B50:U50)</f>
        <v>0</v>
      </c>
      <c r="W50" s="430" t="str">
        <f aca="false">IF($A$1="Peak","-",(730*PPA!$G$4*$Z50))</f>
        <v>-</v>
      </c>
      <c r="X50" s="430" t="n">
        <f aca="false">SUM(V50:W50)</f>
        <v>0</v>
      </c>
      <c r="Y50" s="430"/>
      <c r="Z50" s="430" t="n">
        <f aca="false">CHOOSE(QUOTIENT(MONTH($A50),3)+1,BaseLoad!$AM$9,BaseLoad!$AN$9,BaseLoad!$AL$9,BaseLoad!$AO$9,BaseLoad!$AM$9)</f>
        <v>0.95</v>
      </c>
      <c r="AA50" s="430" t="n">
        <f aca="false">CHOOSE(QUOTIENT(MONTH($A50),3)+1,BaseLoad!$AM$15,BaseLoad!$AN$15,BaseLoad!$AL$15,BaseLoad!$AO$15,BaseLoad!$AM$15)</f>
        <v>705</v>
      </c>
      <c r="AB50" s="431"/>
      <c r="AD50" s="431"/>
    </row>
    <row r="51" customFormat="false" ht="12.75" hidden="false" customHeight="false" outlineLevel="0" collapsed="false">
      <c r="A51" s="400" t="n">
        <f aca="false">A50+30.417</f>
        <v>37787.097</v>
      </c>
      <c r="B51" s="430" t="str">
        <f aca="false">IF($A$1="Peak","-",IF(BaseLoad!H50&gt;BaseLoad!$G50,B$8*PPA!$G$5*$Z51,0))</f>
        <v>-</v>
      </c>
      <c r="C51" s="430" t="str">
        <f aca="false">IF($A$1="Peak","-",IF(BaseLoad!I50&gt;BaseLoad!$G50,C$8*PPA!$G$5*$Z51,0))</f>
        <v>-</v>
      </c>
      <c r="D51" s="430" t="str">
        <f aca="false">IF($A$1="Peak","-",IF(BaseLoad!J50&gt;BaseLoad!$G50,D$8*PPA!$G$5*$Z51,0))</f>
        <v>-</v>
      </c>
      <c r="E51" s="430" t="str">
        <f aca="false">IF($A$1="Peak","-",IF(BaseLoad!K50&gt;BaseLoad!$G50,E$8*PPA!$G$5*$Z51,0))</f>
        <v>-</v>
      </c>
      <c r="F51" s="430" t="str">
        <f aca="false">IF($A$1="Peak","-",IF(BaseLoad!L50&gt;BaseLoad!$G50,F$8*PPA!$G$5*$Z51,0))</f>
        <v>-</v>
      </c>
      <c r="G51" s="430" t="str">
        <f aca="false">IF($A$1="Peak","-",IF(BaseLoad!M50&gt;BaseLoad!$G50,G$8*PPA!$G$5*$Z51,0))</f>
        <v>-</v>
      </c>
      <c r="H51" s="430" t="str">
        <f aca="false">IF($A$1="Peak","-",IF(BaseLoad!N50&gt;BaseLoad!$G50,H$8*PPA!$G$5*$Z51,0))</f>
        <v>-</v>
      </c>
      <c r="I51" s="430" t="str">
        <f aca="false">IF($A$1="Peak","-",IF(BaseLoad!O50&gt;BaseLoad!$G50,I$8*PPA!$G$5*$Z51,0))</f>
        <v>-</v>
      </c>
      <c r="J51" s="430" t="str">
        <f aca="false">IF($A$1="Peak","-",IF(BaseLoad!P50&gt;BaseLoad!$G50,J$8*PPA!$G$5*$Z51,0))</f>
        <v>-</v>
      </c>
      <c r="K51" s="430" t="str">
        <f aca="false">IF($A$1="Peak","-",IF(BaseLoad!Q50&gt;BaseLoad!$G50,K$8*PPA!$G$5*$Z51,0))</f>
        <v>-</v>
      </c>
      <c r="L51" s="430" t="str">
        <f aca="false">IF($A$1="Peak","-",IF(BaseLoad!R50&gt;BaseLoad!$G50,L$8*PPA!$G$5*$Z51,0))</f>
        <v>-</v>
      </c>
      <c r="M51" s="430" t="str">
        <f aca="false">IF($A$1="Peak","-",IF(BaseLoad!S50&gt;BaseLoad!$G50,M$8*PPA!$G$5*$Z51,0))</f>
        <v>-</v>
      </c>
      <c r="N51" s="430" t="str">
        <f aca="false">IF($A$1="Peak","-",IF(BaseLoad!T50&gt;BaseLoad!$G50,N$8*PPA!$G$5*$Z51,0))</f>
        <v>-</v>
      </c>
      <c r="O51" s="430" t="str">
        <f aca="false">IF($A$1="Peak","-",IF(BaseLoad!U50&gt;BaseLoad!$G50,O$8*PPA!$G$5*$Z51,0))</f>
        <v>-</v>
      </c>
      <c r="P51" s="430" t="str">
        <f aca="false">IF($A$1="Peak","-",IF(BaseLoad!V50&gt;BaseLoad!$G50,P$8*PPA!$G$5*$Z51,0))</f>
        <v>-</v>
      </c>
      <c r="Q51" s="430" t="str">
        <f aca="false">IF($A$1="Peak","-",IF(BaseLoad!W50&gt;BaseLoad!$G50,Q$8*PPA!$G$5*$Z51,0))</f>
        <v>-</v>
      </c>
      <c r="R51" s="430" t="str">
        <f aca="false">IF($A$1="Peak","-",IF(BaseLoad!X50&gt;BaseLoad!$G50,R$8*PPA!$G$5*$Z51,0))</f>
        <v>-</v>
      </c>
      <c r="S51" s="430" t="str">
        <f aca="false">IF($A$1="Peak","-",IF(BaseLoad!Y50&gt;BaseLoad!$G50,S$8*PPA!$G$5*$Z51,0))</f>
        <v>-</v>
      </c>
      <c r="T51" s="430" t="str">
        <f aca="false">IF($A$1="Peak","-",IF(BaseLoad!Z50&gt;BaseLoad!$G50,T$8*PPA!$G$5*$Z51,0))</f>
        <v>-</v>
      </c>
      <c r="U51" s="430" t="str">
        <f aca="false">IF($A$1="Peak","-",IF(BaseLoad!AA50&gt;BaseLoad!$G50,U$8*PPA!$G$5*$Z51,0))</f>
        <v>-</v>
      </c>
      <c r="V51" s="430" t="n">
        <f aca="false">SUM(B51:U51)</f>
        <v>0</v>
      </c>
      <c r="W51" s="430" t="str">
        <f aca="false">IF($A$1="Peak","-",(730*PPA!$G$4*$Z51))</f>
        <v>-</v>
      </c>
      <c r="X51" s="430" t="n">
        <f aca="false">SUM(V51:W51)</f>
        <v>0</v>
      </c>
      <c r="Y51" s="430"/>
      <c r="Z51" s="430" t="n">
        <f aca="false">CHOOSE(QUOTIENT(MONTH($A51),3)+1,BaseLoad!$AM$9,BaseLoad!$AN$9,BaseLoad!$AL$9,BaseLoad!$AO$9,BaseLoad!$AM$9)</f>
        <v>0.966121359095586</v>
      </c>
      <c r="AA51" s="430" t="n">
        <f aca="false">CHOOSE(QUOTIENT(MONTH($A51),3)+1,BaseLoad!$AM$15,BaseLoad!$AN$15,BaseLoad!$AL$15,BaseLoad!$AO$15,BaseLoad!$AM$15)</f>
        <v>705</v>
      </c>
      <c r="AB51" s="431"/>
      <c r="AD51" s="431"/>
    </row>
    <row r="52" customFormat="false" ht="12.75" hidden="false" customHeight="false" outlineLevel="0" collapsed="false">
      <c r="A52" s="400" t="n">
        <f aca="false">A51+30.417</f>
        <v>37817.514</v>
      </c>
      <c r="B52" s="430" t="str">
        <f aca="false">IF($A$1="Peak","-",IF(BaseLoad!H51&gt;BaseLoad!$G51,B$8*PPA!$G$5*$Z52,0))</f>
        <v>-</v>
      </c>
      <c r="C52" s="430" t="str">
        <f aca="false">IF($A$1="Peak","-",IF(BaseLoad!I51&gt;BaseLoad!$G51,C$8*PPA!$G$5*$Z52,0))</f>
        <v>-</v>
      </c>
      <c r="D52" s="430" t="str">
        <f aca="false">IF($A$1="Peak","-",IF(BaseLoad!J51&gt;BaseLoad!$G51,D$8*PPA!$G$5*$Z52,0))</f>
        <v>-</v>
      </c>
      <c r="E52" s="430" t="str">
        <f aca="false">IF($A$1="Peak","-",IF(BaseLoad!K51&gt;BaseLoad!$G51,E$8*PPA!$G$5*$Z52,0))</f>
        <v>-</v>
      </c>
      <c r="F52" s="430" t="str">
        <f aca="false">IF($A$1="Peak","-",IF(BaseLoad!L51&gt;BaseLoad!$G51,F$8*PPA!$G$5*$Z52,0))</f>
        <v>-</v>
      </c>
      <c r="G52" s="430" t="str">
        <f aca="false">IF($A$1="Peak","-",IF(BaseLoad!M51&gt;BaseLoad!$G51,G$8*PPA!$G$5*$Z52,0))</f>
        <v>-</v>
      </c>
      <c r="H52" s="430" t="str">
        <f aca="false">IF($A$1="Peak","-",IF(BaseLoad!N51&gt;BaseLoad!$G51,H$8*PPA!$G$5*$Z52,0))</f>
        <v>-</v>
      </c>
      <c r="I52" s="430" t="str">
        <f aca="false">IF($A$1="Peak","-",IF(BaseLoad!O51&gt;BaseLoad!$G51,I$8*PPA!$G$5*$Z52,0))</f>
        <v>-</v>
      </c>
      <c r="J52" s="430" t="str">
        <f aca="false">IF($A$1="Peak","-",IF(BaseLoad!P51&gt;BaseLoad!$G51,J$8*PPA!$G$5*$Z52,0))</f>
        <v>-</v>
      </c>
      <c r="K52" s="430" t="str">
        <f aca="false">IF($A$1="Peak","-",IF(BaseLoad!Q51&gt;BaseLoad!$G51,K$8*PPA!$G$5*$Z52,0))</f>
        <v>-</v>
      </c>
      <c r="L52" s="430" t="str">
        <f aca="false">IF($A$1="Peak","-",IF(BaseLoad!R51&gt;BaseLoad!$G51,L$8*PPA!$G$5*$Z52,0))</f>
        <v>-</v>
      </c>
      <c r="M52" s="430" t="str">
        <f aca="false">IF($A$1="Peak","-",IF(BaseLoad!S51&gt;BaseLoad!$G51,M$8*PPA!$G$5*$Z52,0))</f>
        <v>-</v>
      </c>
      <c r="N52" s="430" t="str">
        <f aca="false">IF($A$1="Peak","-",IF(BaseLoad!T51&gt;BaseLoad!$G51,N$8*PPA!$G$5*$Z52,0))</f>
        <v>-</v>
      </c>
      <c r="O52" s="430" t="str">
        <f aca="false">IF($A$1="Peak","-",IF(BaseLoad!U51&gt;BaseLoad!$G51,O$8*PPA!$G$5*$Z52,0))</f>
        <v>-</v>
      </c>
      <c r="P52" s="430" t="str">
        <f aca="false">IF($A$1="Peak","-",IF(BaseLoad!V51&gt;BaseLoad!$G51,P$8*PPA!$G$5*$Z52,0))</f>
        <v>-</v>
      </c>
      <c r="Q52" s="430" t="str">
        <f aca="false">IF($A$1="Peak","-",IF(BaseLoad!W51&gt;BaseLoad!$G51,Q$8*PPA!$G$5*$Z52,0))</f>
        <v>-</v>
      </c>
      <c r="R52" s="430" t="str">
        <f aca="false">IF($A$1="Peak","-",IF(BaseLoad!X51&gt;BaseLoad!$G51,R$8*PPA!$G$5*$Z52,0))</f>
        <v>-</v>
      </c>
      <c r="S52" s="430" t="str">
        <f aca="false">IF($A$1="Peak","-",IF(BaseLoad!Y51&gt;BaseLoad!$G51,S$8*PPA!$G$5*$Z52,0))</f>
        <v>-</v>
      </c>
      <c r="T52" s="430" t="str">
        <f aca="false">IF($A$1="Peak","-",IF(BaseLoad!Z51&gt;BaseLoad!$G51,T$8*PPA!$G$5*$Z52,0))</f>
        <v>-</v>
      </c>
      <c r="U52" s="430" t="str">
        <f aca="false">IF($A$1="Peak","-",IF(BaseLoad!AA51&gt;BaseLoad!$G51,U$8*PPA!$G$5*$Z52,0))</f>
        <v>-</v>
      </c>
      <c r="V52" s="430" t="n">
        <f aca="false">SUM(B52:U52)</f>
        <v>0</v>
      </c>
      <c r="W52" s="430" t="str">
        <f aca="false">IF($A$1="Peak","-",(730*PPA!$G$4*$Z52))</f>
        <v>-</v>
      </c>
      <c r="X52" s="430" t="n">
        <f aca="false">SUM(V52:W52)</f>
        <v>0</v>
      </c>
      <c r="Y52" s="430"/>
      <c r="Z52" s="430" t="n">
        <f aca="false">CHOOSE(QUOTIENT(MONTH($A52),3)+1,BaseLoad!$AM$9,BaseLoad!$AN$9,BaseLoad!$AL$9,BaseLoad!$AO$9,BaseLoad!$AM$9)</f>
        <v>0.966121359095586</v>
      </c>
      <c r="AA52" s="430" t="n">
        <f aca="false">CHOOSE(QUOTIENT(MONTH($A52),3)+1,BaseLoad!$AM$15,BaseLoad!$AN$15,BaseLoad!$AL$15,BaseLoad!$AO$15,BaseLoad!$AM$15)</f>
        <v>705</v>
      </c>
      <c r="AB52" s="431"/>
      <c r="AD52" s="431"/>
    </row>
    <row r="53" customFormat="false" ht="12.75" hidden="false" customHeight="false" outlineLevel="0" collapsed="false">
      <c r="A53" s="400" t="n">
        <f aca="false">A52+30.417</f>
        <v>37847.931</v>
      </c>
      <c r="B53" s="430" t="str">
        <f aca="false">IF($A$1="Peak","-",IF(BaseLoad!H52&gt;BaseLoad!$G52,B$8*PPA!$G$5*$Z53,0))</f>
        <v>-</v>
      </c>
      <c r="C53" s="430" t="str">
        <f aca="false">IF($A$1="Peak","-",IF(BaseLoad!I52&gt;BaseLoad!$G52,C$8*PPA!$G$5*$Z53,0))</f>
        <v>-</v>
      </c>
      <c r="D53" s="430" t="str">
        <f aca="false">IF($A$1="Peak","-",IF(BaseLoad!J52&gt;BaseLoad!$G52,D$8*PPA!$G$5*$Z53,0))</f>
        <v>-</v>
      </c>
      <c r="E53" s="430" t="str">
        <f aca="false">IF($A$1="Peak","-",IF(BaseLoad!K52&gt;BaseLoad!$G52,E$8*PPA!$G$5*$Z53,0))</f>
        <v>-</v>
      </c>
      <c r="F53" s="430" t="str">
        <f aca="false">IF($A$1="Peak","-",IF(BaseLoad!L52&gt;BaseLoad!$G52,F$8*PPA!$G$5*$Z53,0))</f>
        <v>-</v>
      </c>
      <c r="G53" s="430" t="str">
        <f aca="false">IF($A$1="Peak","-",IF(BaseLoad!M52&gt;BaseLoad!$G52,G$8*PPA!$G$5*$Z53,0))</f>
        <v>-</v>
      </c>
      <c r="H53" s="430" t="str">
        <f aca="false">IF($A$1="Peak","-",IF(BaseLoad!N52&gt;BaseLoad!$G52,H$8*PPA!$G$5*$Z53,0))</f>
        <v>-</v>
      </c>
      <c r="I53" s="430" t="str">
        <f aca="false">IF($A$1="Peak","-",IF(BaseLoad!O52&gt;BaseLoad!$G52,I$8*PPA!$G$5*$Z53,0))</f>
        <v>-</v>
      </c>
      <c r="J53" s="430" t="str">
        <f aca="false">IF($A$1="Peak","-",IF(BaseLoad!P52&gt;BaseLoad!$G52,J$8*PPA!$G$5*$Z53,0))</f>
        <v>-</v>
      </c>
      <c r="K53" s="430" t="str">
        <f aca="false">IF($A$1="Peak","-",IF(BaseLoad!Q52&gt;BaseLoad!$G52,K$8*PPA!$G$5*$Z53,0))</f>
        <v>-</v>
      </c>
      <c r="L53" s="430" t="str">
        <f aca="false">IF($A$1="Peak","-",IF(BaseLoad!R52&gt;BaseLoad!$G52,L$8*PPA!$G$5*$Z53,0))</f>
        <v>-</v>
      </c>
      <c r="M53" s="430" t="str">
        <f aca="false">IF($A$1="Peak","-",IF(BaseLoad!S52&gt;BaseLoad!$G52,M$8*PPA!$G$5*$Z53,0))</f>
        <v>-</v>
      </c>
      <c r="N53" s="430" t="str">
        <f aca="false">IF($A$1="Peak","-",IF(BaseLoad!T52&gt;BaseLoad!$G52,N$8*PPA!$G$5*$Z53,0))</f>
        <v>-</v>
      </c>
      <c r="O53" s="430" t="str">
        <f aca="false">IF($A$1="Peak","-",IF(BaseLoad!U52&gt;BaseLoad!$G52,O$8*PPA!$G$5*$Z53,0))</f>
        <v>-</v>
      </c>
      <c r="P53" s="430" t="str">
        <f aca="false">IF($A$1="Peak","-",IF(BaseLoad!V52&gt;BaseLoad!$G52,P$8*PPA!$G$5*$Z53,0))</f>
        <v>-</v>
      </c>
      <c r="Q53" s="430" t="str">
        <f aca="false">IF($A$1="Peak","-",IF(BaseLoad!W52&gt;BaseLoad!$G52,Q$8*PPA!$G$5*$Z53,0))</f>
        <v>-</v>
      </c>
      <c r="R53" s="430" t="str">
        <f aca="false">IF($A$1="Peak","-",IF(BaseLoad!X52&gt;BaseLoad!$G52,R$8*PPA!$G$5*$Z53,0))</f>
        <v>-</v>
      </c>
      <c r="S53" s="430" t="str">
        <f aca="false">IF($A$1="Peak","-",IF(BaseLoad!Y52&gt;BaseLoad!$G52,S$8*PPA!$G$5*$Z53,0))</f>
        <v>-</v>
      </c>
      <c r="T53" s="430" t="str">
        <f aca="false">IF($A$1="Peak","-",IF(BaseLoad!Z52&gt;BaseLoad!$G52,T$8*PPA!$G$5*$Z53,0))</f>
        <v>-</v>
      </c>
      <c r="U53" s="430" t="str">
        <f aca="false">IF($A$1="Peak","-",IF(BaseLoad!AA52&gt;BaseLoad!$G52,U$8*PPA!$G$5*$Z53,0))</f>
        <v>-</v>
      </c>
      <c r="V53" s="430" t="n">
        <f aca="false">SUM(B53:U53)</f>
        <v>0</v>
      </c>
      <c r="W53" s="430" t="str">
        <f aca="false">IF($A$1="Peak","-",(730*PPA!$G$4*$Z53))</f>
        <v>-</v>
      </c>
      <c r="X53" s="430" t="n">
        <f aca="false">SUM(V53:W53)</f>
        <v>0</v>
      </c>
      <c r="Y53" s="430"/>
      <c r="Z53" s="430" t="n">
        <f aca="false">CHOOSE(QUOTIENT(MONTH($A53),3)+1,BaseLoad!$AM$9,BaseLoad!$AN$9,BaseLoad!$AL$9,BaseLoad!$AO$9,BaseLoad!$AM$9)</f>
        <v>0.966121359095586</v>
      </c>
      <c r="AA53" s="430" t="n">
        <f aca="false">CHOOSE(QUOTIENT(MONTH($A53),3)+1,BaseLoad!$AM$15,BaseLoad!$AN$15,BaseLoad!$AL$15,BaseLoad!$AO$15,BaseLoad!$AM$15)</f>
        <v>705</v>
      </c>
      <c r="AB53" s="431"/>
      <c r="AD53" s="431"/>
    </row>
    <row r="54" customFormat="false" ht="12.75" hidden="false" customHeight="false" outlineLevel="0" collapsed="false">
      <c r="A54" s="400" t="n">
        <f aca="false">A53+30.417</f>
        <v>37878.348</v>
      </c>
      <c r="B54" s="430" t="str">
        <f aca="false">IF($A$1="Peak","-",IF(BaseLoad!H53&gt;BaseLoad!$G53,B$8*PPA!$G$5*$Z54,0))</f>
        <v>-</v>
      </c>
      <c r="C54" s="430" t="str">
        <f aca="false">IF($A$1="Peak","-",IF(BaseLoad!I53&gt;BaseLoad!$G53,C$8*PPA!$G$5*$Z54,0))</f>
        <v>-</v>
      </c>
      <c r="D54" s="430" t="str">
        <f aca="false">IF($A$1="Peak","-",IF(BaseLoad!J53&gt;BaseLoad!$G53,D$8*PPA!$G$5*$Z54,0))</f>
        <v>-</v>
      </c>
      <c r="E54" s="430" t="str">
        <f aca="false">IF($A$1="Peak","-",IF(BaseLoad!K53&gt;BaseLoad!$G53,E$8*PPA!$G$5*$Z54,0))</f>
        <v>-</v>
      </c>
      <c r="F54" s="430" t="str">
        <f aca="false">IF($A$1="Peak","-",IF(BaseLoad!L53&gt;BaseLoad!$G53,F$8*PPA!$G$5*$Z54,0))</f>
        <v>-</v>
      </c>
      <c r="G54" s="430" t="str">
        <f aca="false">IF($A$1="Peak","-",IF(BaseLoad!M53&gt;BaseLoad!$G53,G$8*PPA!$G$5*$Z54,0))</f>
        <v>-</v>
      </c>
      <c r="H54" s="430" t="str">
        <f aca="false">IF($A$1="Peak","-",IF(BaseLoad!N53&gt;BaseLoad!$G53,H$8*PPA!$G$5*$Z54,0))</f>
        <v>-</v>
      </c>
      <c r="I54" s="430" t="str">
        <f aca="false">IF($A$1="Peak","-",IF(BaseLoad!O53&gt;BaseLoad!$G53,I$8*PPA!$G$5*$Z54,0))</f>
        <v>-</v>
      </c>
      <c r="J54" s="430" t="str">
        <f aca="false">IF($A$1="Peak","-",IF(BaseLoad!P53&gt;BaseLoad!$G53,J$8*PPA!$G$5*$Z54,0))</f>
        <v>-</v>
      </c>
      <c r="K54" s="430" t="str">
        <f aca="false">IF($A$1="Peak","-",IF(BaseLoad!Q53&gt;BaseLoad!$G53,K$8*PPA!$G$5*$Z54,0))</f>
        <v>-</v>
      </c>
      <c r="L54" s="430" t="str">
        <f aca="false">IF($A$1="Peak","-",IF(BaseLoad!R53&gt;BaseLoad!$G53,L$8*PPA!$G$5*$Z54,0))</f>
        <v>-</v>
      </c>
      <c r="M54" s="430" t="str">
        <f aca="false">IF($A$1="Peak","-",IF(BaseLoad!S53&gt;BaseLoad!$G53,M$8*PPA!$G$5*$Z54,0))</f>
        <v>-</v>
      </c>
      <c r="N54" s="430" t="str">
        <f aca="false">IF($A$1="Peak","-",IF(BaseLoad!T53&gt;BaseLoad!$G53,N$8*PPA!$G$5*$Z54,0))</f>
        <v>-</v>
      </c>
      <c r="O54" s="430" t="str">
        <f aca="false">IF($A$1="Peak","-",IF(BaseLoad!U53&gt;BaseLoad!$G53,O$8*PPA!$G$5*$Z54,0))</f>
        <v>-</v>
      </c>
      <c r="P54" s="430" t="str">
        <f aca="false">IF($A$1="Peak","-",IF(BaseLoad!V53&gt;BaseLoad!$G53,P$8*PPA!$G$5*$Z54,0))</f>
        <v>-</v>
      </c>
      <c r="Q54" s="430" t="str">
        <f aca="false">IF($A$1="Peak","-",IF(BaseLoad!W53&gt;BaseLoad!$G53,Q$8*PPA!$G$5*$Z54,0))</f>
        <v>-</v>
      </c>
      <c r="R54" s="430" t="str">
        <f aca="false">IF($A$1="Peak","-",IF(BaseLoad!X53&gt;BaseLoad!$G53,R$8*PPA!$G$5*$Z54,0))</f>
        <v>-</v>
      </c>
      <c r="S54" s="430" t="str">
        <f aca="false">IF($A$1="Peak","-",IF(BaseLoad!Y53&gt;BaseLoad!$G53,S$8*PPA!$G$5*$Z54,0))</f>
        <v>-</v>
      </c>
      <c r="T54" s="430" t="str">
        <f aca="false">IF($A$1="Peak","-",IF(BaseLoad!Z53&gt;BaseLoad!$G53,T$8*PPA!$G$5*$Z54,0))</f>
        <v>-</v>
      </c>
      <c r="U54" s="430" t="str">
        <f aca="false">IF($A$1="Peak","-",IF(BaseLoad!AA53&gt;BaseLoad!$G53,U$8*PPA!$G$5*$Z54,0))</f>
        <v>-</v>
      </c>
      <c r="V54" s="430" t="n">
        <f aca="false">SUM(B54:U54)</f>
        <v>0</v>
      </c>
      <c r="W54" s="430" t="str">
        <f aca="false">IF($A$1="Peak","-",(730*PPA!$G$4*$Z54))</f>
        <v>-</v>
      </c>
      <c r="X54" s="430" t="n">
        <f aca="false">SUM(V54:W54)</f>
        <v>0</v>
      </c>
      <c r="Y54" s="430"/>
      <c r="Z54" s="430" t="n">
        <f aca="false">CHOOSE(QUOTIENT(MONTH($A54),3)+1,BaseLoad!$AM$9,BaseLoad!$AN$9,BaseLoad!$AL$9,BaseLoad!$AO$9,BaseLoad!$AM$9)</f>
        <v>0.95</v>
      </c>
      <c r="AA54" s="430" t="n">
        <f aca="false">CHOOSE(QUOTIENT(MONTH($A54),3)+1,BaseLoad!$AM$15,BaseLoad!$AN$15,BaseLoad!$AL$15,BaseLoad!$AO$15,BaseLoad!$AM$15)</f>
        <v>705</v>
      </c>
      <c r="AB54" s="431"/>
      <c r="AD54" s="431"/>
    </row>
    <row r="55" customFormat="false" ht="12.75" hidden="false" customHeight="false" outlineLevel="0" collapsed="false">
      <c r="A55" s="400" t="n">
        <f aca="false">A54+30.417</f>
        <v>37908.765</v>
      </c>
      <c r="B55" s="430" t="str">
        <f aca="false">IF($A$1="Peak","-",IF(BaseLoad!H54&gt;BaseLoad!$G54,B$8*PPA!$G$5*$Z55,0))</f>
        <v>-</v>
      </c>
      <c r="C55" s="430" t="str">
        <f aca="false">IF($A$1="Peak","-",IF(BaseLoad!I54&gt;BaseLoad!$G54,C$8*PPA!$G$5*$Z55,0))</f>
        <v>-</v>
      </c>
      <c r="D55" s="430" t="str">
        <f aca="false">IF($A$1="Peak","-",IF(BaseLoad!J54&gt;BaseLoad!$G54,D$8*PPA!$G$5*$Z55,0))</f>
        <v>-</v>
      </c>
      <c r="E55" s="430" t="str">
        <f aca="false">IF($A$1="Peak","-",IF(BaseLoad!K54&gt;BaseLoad!$G54,E$8*PPA!$G$5*$Z55,0))</f>
        <v>-</v>
      </c>
      <c r="F55" s="430" t="str">
        <f aca="false">IF($A$1="Peak","-",IF(BaseLoad!L54&gt;BaseLoad!$G54,F$8*PPA!$G$5*$Z55,0))</f>
        <v>-</v>
      </c>
      <c r="G55" s="430" t="str">
        <f aca="false">IF($A$1="Peak","-",IF(BaseLoad!M54&gt;BaseLoad!$G54,G$8*PPA!$G$5*$Z55,0))</f>
        <v>-</v>
      </c>
      <c r="H55" s="430" t="str">
        <f aca="false">IF($A$1="Peak","-",IF(BaseLoad!N54&gt;BaseLoad!$G54,H$8*PPA!$G$5*$Z55,0))</f>
        <v>-</v>
      </c>
      <c r="I55" s="430" t="str">
        <f aca="false">IF($A$1="Peak","-",IF(BaseLoad!O54&gt;BaseLoad!$G54,I$8*PPA!$G$5*$Z55,0))</f>
        <v>-</v>
      </c>
      <c r="J55" s="430" t="str">
        <f aca="false">IF($A$1="Peak","-",IF(BaseLoad!P54&gt;BaseLoad!$G54,J$8*PPA!$G$5*$Z55,0))</f>
        <v>-</v>
      </c>
      <c r="K55" s="430" t="str">
        <f aca="false">IF($A$1="Peak","-",IF(BaseLoad!Q54&gt;BaseLoad!$G54,K$8*PPA!$G$5*$Z55,0))</f>
        <v>-</v>
      </c>
      <c r="L55" s="430" t="str">
        <f aca="false">IF($A$1="Peak","-",IF(BaseLoad!R54&gt;BaseLoad!$G54,L$8*PPA!$G$5*$Z55,0))</f>
        <v>-</v>
      </c>
      <c r="M55" s="430" t="str">
        <f aca="false">IF($A$1="Peak","-",IF(BaseLoad!S54&gt;BaseLoad!$G54,M$8*PPA!$G$5*$Z55,0))</f>
        <v>-</v>
      </c>
      <c r="N55" s="430" t="str">
        <f aca="false">IF($A$1="Peak","-",IF(BaseLoad!T54&gt;BaseLoad!$G54,N$8*PPA!$G$5*$Z55,0))</f>
        <v>-</v>
      </c>
      <c r="O55" s="430" t="str">
        <f aca="false">IF($A$1="Peak","-",IF(BaseLoad!U54&gt;BaseLoad!$G54,O$8*PPA!$G$5*$Z55,0))</f>
        <v>-</v>
      </c>
      <c r="P55" s="430" t="str">
        <f aca="false">IF($A$1="Peak","-",IF(BaseLoad!V54&gt;BaseLoad!$G54,P$8*PPA!$G$5*$Z55,0))</f>
        <v>-</v>
      </c>
      <c r="Q55" s="430" t="str">
        <f aca="false">IF($A$1="Peak","-",IF(BaseLoad!W54&gt;BaseLoad!$G54,Q$8*PPA!$G$5*$Z55,0))</f>
        <v>-</v>
      </c>
      <c r="R55" s="430" t="str">
        <f aca="false">IF($A$1="Peak","-",IF(BaseLoad!X54&gt;BaseLoad!$G54,R$8*PPA!$G$5*$Z55,0))</f>
        <v>-</v>
      </c>
      <c r="S55" s="430" t="str">
        <f aca="false">IF($A$1="Peak","-",IF(BaseLoad!Y54&gt;BaseLoad!$G54,S$8*PPA!$G$5*$Z55,0))</f>
        <v>-</v>
      </c>
      <c r="T55" s="430" t="str">
        <f aca="false">IF($A$1="Peak","-",IF(BaseLoad!Z54&gt;BaseLoad!$G54,T$8*PPA!$G$5*$Z55,0))</f>
        <v>-</v>
      </c>
      <c r="U55" s="430" t="str">
        <f aca="false">IF($A$1="Peak","-",IF(BaseLoad!AA54&gt;BaseLoad!$G54,U$8*PPA!$G$5*$Z55,0))</f>
        <v>-</v>
      </c>
      <c r="V55" s="430" t="n">
        <f aca="false">SUM(B55:U55)</f>
        <v>0</v>
      </c>
      <c r="W55" s="430" t="str">
        <f aca="false">IF($A$1="Peak","-",(730*PPA!$G$4*$Z55))</f>
        <v>-</v>
      </c>
      <c r="X55" s="430" t="n">
        <f aca="false">SUM(V55:W55)</f>
        <v>0</v>
      </c>
      <c r="Y55" s="430"/>
      <c r="Z55" s="430" t="n">
        <f aca="false">CHOOSE(QUOTIENT(MONTH($A55),3)+1,BaseLoad!$AM$9,BaseLoad!$AN$9,BaseLoad!$AL$9,BaseLoad!$AO$9,BaseLoad!$AM$9)</f>
        <v>0.95</v>
      </c>
      <c r="AA55" s="430" t="n">
        <f aca="false">CHOOSE(QUOTIENT(MONTH($A55),3)+1,BaseLoad!$AM$15,BaseLoad!$AN$15,BaseLoad!$AL$15,BaseLoad!$AO$15,BaseLoad!$AM$15)</f>
        <v>705</v>
      </c>
      <c r="AB55" s="431"/>
      <c r="AD55" s="431"/>
    </row>
    <row r="56" customFormat="false" ht="12.75" hidden="false" customHeight="false" outlineLevel="0" collapsed="false">
      <c r="A56" s="400" t="n">
        <f aca="false">A55+30.417</f>
        <v>37939.182</v>
      </c>
      <c r="B56" s="430" t="str">
        <f aca="false">IF($A$1="Peak","-",IF(BaseLoad!H55&gt;BaseLoad!$G55,B$8*PPA!$G$5*$Z56,0))</f>
        <v>-</v>
      </c>
      <c r="C56" s="430" t="str">
        <f aca="false">IF($A$1="Peak","-",IF(BaseLoad!I55&gt;BaseLoad!$G55,C$8*PPA!$G$5*$Z56,0))</f>
        <v>-</v>
      </c>
      <c r="D56" s="430" t="str">
        <f aca="false">IF($A$1="Peak","-",IF(BaseLoad!J55&gt;BaseLoad!$G55,D$8*PPA!$G$5*$Z56,0))</f>
        <v>-</v>
      </c>
      <c r="E56" s="430" t="str">
        <f aca="false">IF($A$1="Peak","-",IF(BaseLoad!K55&gt;BaseLoad!$G55,E$8*PPA!$G$5*$Z56,0))</f>
        <v>-</v>
      </c>
      <c r="F56" s="430" t="str">
        <f aca="false">IF($A$1="Peak","-",IF(BaseLoad!L55&gt;BaseLoad!$G55,F$8*PPA!$G$5*$Z56,0))</f>
        <v>-</v>
      </c>
      <c r="G56" s="430" t="str">
        <f aca="false">IF($A$1="Peak","-",IF(BaseLoad!M55&gt;BaseLoad!$G55,G$8*PPA!$G$5*$Z56,0))</f>
        <v>-</v>
      </c>
      <c r="H56" s="430" t="str">
        <f aca="false">IF($A$1="Peak","-",IF(BaseLoad!N55&gt;BaseLoad!$G55,H$8*PPA!$G$5*$Z56,0))</f>
        <v>-</v>
      </c>
      <c r="I56" s="430" t="str">
        <f aca="false">IF($A$1="Peak","-",IF(BaseLoad!O55&gt;BaseLoad!$G55,I$8*PPA!$G$5*$Z56,0))</f>
        <v>-</v>
      </c>
      <c r="J56" s="430" t="str">
        <f aca="false">IF($A$1="Peak","-",IF(BaseLoad!P55&gt;BaseLoad!$G55,J$8*PPA!$G$5*$Z56,0))</f>
        <v>-</v>
      </c>
      <c r="K56" s="430" t="str">
        <f aca="false">IF($A$1="Peak","-",IF(BaseLoad!Q55&gt;BaseLoad!$G55,K$8*PPA!$G$5*$Z56,0))</f>
        <v>-</v>
      </c>
      <c r="L56" s="430" t="str">
        <f aca="false">IF($A$1="Peak","-",IF(BaseLoad!R55&gt;BaseLoad!$G55,L$8*PPA!$G$5*$Z56,0))</f>
        <v>-</v>
      </c>
      <c r="M56" s="430" t="str">
        <f aca="false">IF($A$1="Peak","-",IF(BaseLoad!S55&gt;BaseLoad!$G55,M$8*PPA!$G$5*$Z56,0))</f>
        <v>-</v>
      </c>
      <c r="N56" s="430" t="str">
        <f aca="false">IF($A$1="Peak","-",IF(BaseLoad!T55&gt;BaseLoad!$G55,N$8*PPA!$G$5*$Z56,0))</f>
        <v>-</v>
      </c>
      <c r="O56" s="430" t="str">
        <f aca="false">IF($A$1="Peak","-",IF(BaseLoad!U55&gt;BaseLoad!$G55,O$8*PPA!$G$5*$Z56,0))</f>
        <v>-</v>
      </c>
      <c r="P56" s="430" t="str">
        <f aca="false">IF($A$1="Peak","-",IF(BaseLoad!V55&gt;BaseLoad!$G55,P$8*PPA!$G$5*$Z56,0))</f>
        <v>-</v>
      </c>
      <c r="Q56" s="430" t="str">
        <f aca="false">IF($A$1="Peak","-",IF(BaseLoad!W55&gt;BaseLoad!$G55,Q$8*PPA!$G$5*$Z56,0))</f>
        <v>-</v>
      </c>
      <c r="R56" s="430" t="str">
        <f aca="false">IF($A$1="Peak","-",IF(BaseLoad!X55&gt;BaseLoad!$G55,R$8*PPA!$G$5*$Z56,0))</f>
        <v>-</v>
      </c>
      <c r="S56" s="430" t="str">
        <f aca="false">IF($A$1="Peak","-",IF(BaseLoad!Y55&gt;BaseLoad!$G55,S$8*PPA!$G$5*$Z56,0))</f>
        <v>-</v>
      </c>
      <c r="T56" s="430" t="str">
        <f aca="false">IF($A$1="Peak","-",IF(BaseLoad!Z55&gt;BaseLoad!$G55,T$8*PPA!$G$5*$Z56,0))</f>
        <v>-</v>
      </c>
      <c r="U56" s="430" t="str">
        <f aca="false">IF($A$1="Peak","-",IF(BaseLoad!AA55&gt;BaseLoad!$G55,U$8*PPA!$G$5*$Z56,0))</f>
        <v>-</v>
      </c>
      <c r="V56" s="430" t="n">
        <f aca="false">SUM(B56:U56)</f>
        <v>0</v>
      </c>
      <c r="W56" s="430" t="str">
        <f aca="false">IF($A$1="Peak","-",(730*PPA!$G$4*$Z56))</f>
        <v>-</v>
      </c>
      <c r="X56" s="430" t="n">
        <f aca="false">SUM(V56:W56)</f>
        <v>0</v>
      </c>
      <c r="Y56" s="430"/>
      <c r="Z56" s="430" t="n">
        <f aca="false">CHOOSE(QUOTIENT(MONTH($A56),3)+1,BaseLoad!$AM$9,BaseLoad!$AN$9,BaseLoad!$AL$9,BaseLoad!$AO$9,BaseLoad!$AM$9)</f>
        <v>0.95</v>
      </c>
      <c r="AA56" s="430" t="n">
        <f aca="false">CHOOSE(QUOTIENT(MONTH($A56),3)+1,BaseLoad!$AM$15,BaseLoad!$AN$15,BaseLoad!$AL$15,BaseLoad!$AO$15,BaseLoad!$AM$15)</f>
        <v>705</v>
      </c>
      <c r="AB56" s="431"/>
      <c r="AD56" s="431"/>
    </row>
    <row r="57" customFormat="false" ht="12.75" hidden="false" customHeight="false" outlineLevel="0" collapsed="false">
      <c r="A57" s="400" t="n">
        <f aca="false">A56+30.417</f>
        <v>37969.599</v>
      </c>
      <c r="B57" s="430" t="str">
        <f aca="false">IF($A$1="Peak","-",IF(BaseLoad!H56&gt;BaseLoad!$G56,B$8*PPA!$G$5*$Z57,0))</f>
        <v>-</v>
      </c>
      <c r="C57" s="430" t="str">
        <f aca="false">IF($A$1="Peak","-",IF(BaseLoad!I56&gt;BaseLoad!$G56,C$8*PPA!$G$5*$Z57,0))</f>
        <v>-</v>
      </c>
      <c r="D57" s="430" t="str">
        <f aca="false">IF($A$1="Peak","-",IF(BaseLoad!J56&gt;BaseLoad!$G56,D$8*PPA!$G$5*$Z57,0))</f>
        <v>-</v>
      </c>
      <c r="E57" s="430" t="str">
        <f aca="false">IF($A$1="Peak","-",IF(BaseLoad!K56&gt;BaseLoad!$G56,E$8*PPA!$G$5*$Z57,0))</f>
        <v>-</v>
      </c>
      <c r="F57" s="430" t="str">
        <f aca="false">IF($A$1="Peak","-",IF(BaseLoad!L56&gt;BaseLoad!$G56,F$8*PPA!$G$5*$Z57,0))</f>
        <v>-</v>
      </c>
      <c r="G57" s="430" t="str">
        <f aca="false">IF($A$1="Peak","-",IF(BaseLoad!M56&gt;BaseLoad!$G56,G$8*PPA!$G$5*$Z57,0))</f>
        <v>-</v>
      </c>
      <c r="H57" s="430" t="str">
        <f aca="false">IF($A$1="Peak","-",IF(BaseLoad!N56&gt;BaseLoad!$G56,H$8*PPA!$G$5*$Z57,0))</f>
        <v>-</v>
      </c>
      <c r="I57" s="430" t="str">
        <f aca="false">IF($A$1="Peak","-",IF(BaseLoad!O56&gt;BaseLoad!$G56,I$8*PPA!$G$5*$Z57,0))</f>
        <v>-</v>
      </c>
      <c r="J57" s="430" t="str">
        <f aca="false">IF($A$1="Peak","-",IF(BaseLoad!P56&gt;BaseLoad!$G56,J$8*PPA!$G$5*$Z57,0))</f>
        <v>-</v>
      </c>
      <c r="K57" s="430" t="str">
        <f aca="false">IF($A$1="Peak","-",IF(BaseLoad!Q56&gt;BaseLoad!$G56,K$8*PPA!$G$5*$Z57,0))</f>
        <v>-</v>
      </c>
      <c r="L57" s="430" t="str">
        <f aca="false">IF($A$1="Peak","-",IF(BaseLoad!R56&gt;BaseLoad!$G56,L$8*PPA!$G$5*$Z57,0))</f>
        <v>-</v>
      </c>
      <c r="M57" s="430" t="str">
        <f aca="false">IF($A$1="Peak","-",IF(BaseLoad!S56&gt;BaseLoad!$G56,M$8*PPA!$G$5*$Z57,0))</f>
        <v>-</v>
      </c>
      <c r="N57" s="430" t="str">
        <f aca="false">IF($A$1="Peak","-",IF(BaseLoad!T56&gt;BaseLoad!$G56,N$8*PPA!$G$5*$Z57,0))</f>
        <v>-</v>
      </c>
      <c r="O57" s="430" t="str">
        <f aca="false">IF($A$1="Peak","-",IF(BaseLoad!U56&gt;BaseLoad!$G56,O$8*PPA!$G$5*$Z57,0))</f>
        <v>-</v>
      </c>
      <c r="P57" s="430" t="str">
        <f aca="false">IF($A$1="Peak","-",IF(BaseLoad!V56&gt;BaseLoad!$G56,P$8*PPA!$G$5*$Z57,0))</f>
        <v>-</v>
      </c>
      <c r="Q57" s="430" t="str">
        <f aca="false">IF($A$1="Peak","-",IF(BaseLoad!W56&gt;BaseLoad!$G56,Q$8*PPA!$G$5*$Z57,0))</f>
        <v>-</v>
      </c>
      <c r="R57" s="430" t="str">
        <f aca="false">IF($A$1="Peak","-",IF(BaseLoad!X56&gt;BaseLoad!$G56,R$8*PPA!$G$5*$Z57,0))</f>
        <v>-</v>
      </c>
      <c r="S57" s="430" t="str">
        <f aca="false">IF($A$1="Peak","-",IF(BaseLoad!Y56&gt;BaseLoad!$G56,S$8*PPA!$G$5*$Z57,0))</f>
        <v>-</v>
      </c>
      <c r="T57" s="430" t="str">
        <f aca="false">IF($A$1="Peak","-",IF(BaseLoad!Z56&gt;BaseLoad!$G56,T$8*PPA!$G$5*$Z57,0))</f>
        <v>-</v>
      </c>
      <c r="U57" s="430" t="str">
        <f aca="false">IF($A$1="Peak","-",IF(BaseLoad!AA56&gt;BaseLoad!$G56,U$8*PPA!$G$5*$Z57,0))</f>
        <v>-</v>
      </c>
      <c r="V57" s="430" t="n">
        <f aca="false">SUM(B57:U57)</f>
        <v>0</v>
      </c>
      <c r="W57" s="430" t="str">
        <f aca="false">IF($A$1="Peak","-",(730*PPA!$G$4*$Z57))</f>
        <v>-</v>
      </c>
      <c r="X57" s="430" t="n">
        <f aca="false">SUM(V57:W57)</f>
        <v>0</v>
      </c>
      <c r="Y57" s="430" t="n">
        <f aca="false">SUM(X46:X57)</f>
        <v>0</v>
      </c>
      <c r="Z57" s="430" t="n">
        <f aca="false">CHOOSE(QUOTIENT(MONTH($A57),3)+1,BaseLoad!$AM$9,BaseLoad!$AN$9,BaseLoad!$AL$9,BaseLoad!$AO$9,BaseLoad!$AM$9)</f>
        <v>0.924276618786118</v>
      </c>
      <c r="AA57" s="430" t="n">
        <f aca="false">CHOOSE(QUOTIENT(MONTH($A57),3)+1,BaseLoad!$AM$15,BaseLoad!$AN$15,BaseLoad!$AL$15,BaseLoad!$AO$15,BaseLoad!$AM$15)</f>
        <v>705</v>
      </c>
      <c r="AB57" s="431"/>
      <c r="AD57" s="431"/>
    </row>
    <row r="58" customFormat="false" ht="12.75" hidden="false" customHeight="false" outlineLevel="0" collapsed="false">
      <c r="A58" s="400" t="n">
        <f aca="false">A57+30.417</f>
        <v>38000.016</v>
      </c>
      <c r="B58" s="430" t="str">
        <f aca="false">IF($A$1="Peak","-",IF(BaseLoad!H57&gt;BaseLoad!$G57,B$8*PPA!$G$5*$Z58,0))</f>
        <v>-</v>
      </c>
      <c r="C58" s="430" t="str">
        <f aca="false">IF($A$1="Peak","-",IF(BaseLoad!I57&gt;BaseLoad!$G57,C$8*PPA!$G$5*$Z58,0))</f>
        <v>-</v>
      </c>
      <c r="D58" s="430" t="str">
        <f aca="false">IF($A$1="Peak","-",IF(BaseLoad!J57&gt;BaseLoad!$G57,D$8*PPA!$G$5*$Z58,0))</f>
        <v>-</v>
      </c>
      <c r="E58" s="430" t="str">
        <f aca="false">IF($A$1="Peak","-",IF(BaseLoad!K57&gt;BaseLoad!$G57,E$8*PPA!$G$5*$Z58,0))</f>
        <v>-</v>
      </c>
      <c r="F58" s="430" t="str">
        <f aca="false">IF($A$1="Peak","-",IF(BaseLoad!L57&gt;BaseLoad!$G57,F$8*PPA!$G$5*$Z58,0))</f>
        <v>-</v>
      </c>
      <c r="G58" s="430" t="str">
        <f aca="false">IF($A$1="Peak","-",IF(BaseLoad!M57&gt;BaseLoad!$G57,G$8*PPA!$G$5*$Z58,0))</f>
        <v>-</v>
      </c>
      <c r="H58" s="430" t="str">
        <f aca="false">IF($A$1="Peak","-",IF(BaseLoad!N57&gt;BaseLoad!$G57,H$8*PPA!$G$5*$Z58,0))</f>
        <v>-</v>
      </c>
      <c r="I58" s="430" t="str">
        <f aca="false">IF($A$1="Peak","-",IF(BaseLoad!O57&gt;BaseLoad!$G57,I$8*PPA!$G$5*$Z58,0))</f>
        <v>-</v>
      </c>
      <c r="J58" s="430" t="str">
        <f aca="false">IF($A$1="Peak","-",IF(BaseLoad!P57&gt;BaseLoad!$G57,J$8*PPA!$G$5*$Z58,0))</f>
        <v>-</v>
      </c>
      <c r="K58" s="430" t="str">
        <f aca="false">IF($A$1="Peak","-",IF(BaseLoad!Q57&gt;BaseLoad!$G57,K$8*PPA!$G$5*$Z58,0))</f>
        <v>-</v>
      </c>
      <c r="L58" s="430" t="str">
        <f aca="false">IF($A$1="Peak","-",IF(BaseLoad!R57&gt;BaseLoad!$G57,L$8*PPA!$G$5*$Z58,0))</f>
        <v>-</v>
      </c>
      <c r="M58" s="430" t="str">
        <f aca="false">IF($A$1="Peak","-",IF(BaseLoad!S57&gt;BaseLoad!$G57,M$8*PPA!$G$5*$Z58,0))</f>
        <v>-</v>
      </c>
      <c r="N58" s="430" t="str">
        <f aca="false">IF($A$1="Peak","-",IF(BaseLoad!T57&gt;BaseLoad!$G57,N$8*PPA!$G$5*$Z58,0))</f>
        <v>-</v>
      </c>
      <c r="O58" s="430" t="str">
        <f aca="false">IF($A$1="Peak","-",IF(BaseLoad!U57&gt;BaseLoad!$G57,O$8*PPA!$G$5*$Z58,0))</f>
        <v>-</v>
      </c>
      <c r="P58" s="430" t="str">
        <f aca="false">IF($A$1="Peak","-",IF(BaseLoad!V57&gt;BaseLoad!$G57,P$8*PPA!$G$5*$Z58,0))</f>
        <v>-</v>
      </c>
      <c r="Q58" s="430" t="str">
        <f aca="false">IF($A$1="Peak","-",IF(BaseLoad!W57&gt;BaseLoad!$G57,Q$8*PPA!$G$5*$Z58,0))</f>
        <v>-</v>
      </c>
      <c r="R58" s="430" t="str">
        <f aca="false">IF($A$1="Peak","-",IF(BaseLoad!X57&gt;BaseLoad!$G57,R$8*PPA!$G$5*$Z58,0))</f>
        <v>-</v>
      </c>
      <c r="S58" s="430" t="str">
        <f aca="false">IF($A$1="Peak","-",IF(BaseLoad!Y57&gt;BaseLoad!$G57,S$8*PPA!$G$5*$Z58,0))</f>
        <v>-</v>
      </c>
      <c r="T58" s="430" t="str">
        <f aca="false">IF($A$1="Peak","-",IF(BaseLoad!Z57&gt;BaseLoad!$G57,T$8*PPA!$G$5*$Z58,0))</f>
        <v>-</v>
      </c>
      <c r="U58" s="430" t="str">
        <f aca="false">IF($A$1="Peak","-",IF(BaseLoad!AA57&gt;BaseLoad!$G57,U$8*PPA!$G$5*$Z58,0))</f>
        <v>-</v>
      </c>
      <c r="V58" s="430" t="n">
        <f aca="false">SUM(B58:U58)</f>
        <v>0</v>
      </c>
      <c r="W58" s="430" t="str">
        <f aca="false">IF($A$1="Peak","-",(730*PPA!$G$4*$Z58))</f>
        <v>-</v>
      </c>
      <c r="X58" s="430" t="n">
        <f aca="false">SUM(V58:W58)</f>
        <v>0</v>
      </c>
      <c r="Y58" s="430"/>
      <c r="Z58" s="430" t="n">
        <f aca="false">CHOOSE(QUOTIENT(MONTH($A58),3)+1,BaseLoad!$AM$9,BaseLoad!$AN$9,BaseLoad!$AL$9,BaseLoad!$AO$9,BaseLoad!$AM$9)</f>
        <v>0.924276618786118</v>
      </c>
      <c r="AA58" s="430" t="n">
        <f aca="false">CHOOSE(QUOTIENT(MONTH($A58),3)+1,BaseLoad!$AM$15,BaseLoad!$AN$15,BaseLoad!$AL$15,BaseLoad!$AO$15,BaseLoad!$AM$15)</f>
        <v>705</v>
      </c>
      <c r="AB58" s="431"/>
      <c r="AD58" s="431"/>
    </row>
    <row r="59" customFormat="false" ht="12.75" hidden="false" customHeight="false" outlineLevel="0" collapsed="false">
      <c r="A59" s="400" t="n">
        <f aca="false">A58+30.417</f>
        <v>38030.433</v>
      </c>
      <c r="B59" s="430" t="str">
        <f aca="false">IF($A$1="Peak","-",IF(BaseLoad!H58&gt;BaseLoad!$G58,B$8*PPA!$G$5*$Z59,0))</f>
        <v>-</v>
      </c>
      <c r="C59" s="430" t="str">
        <f aca="false">IF($A$1="Peak","-",IF(BaseLoad!I58&gt;BaseLoad!$G58,C$8*PPA!$G$5*$Z59,0))</f>
        <v>-</v>
      </c>
      <c r="D59" s="430" t="str">
        <f aca="false">IF($A$1="Peak","-",IF(BaseLoad!J58&gt;BaseLoad!$G58,D$8*PPA!$G$5*$Z59,0))</f>
        <v>-</v>
      </c>
      <c r="E59" s="430" t="str">
        <f aca="false">IF($A$1="Peak","-",IF(BaseLoad!K58&gt;BaseLoad!$G58,E$8*PPA!$G$5*$Z59,0))</f>
        <v>-</v>
      </c>
      <c r="F59" s="430" t="str">
        <f aca="false">IF($A$1="Peak","-",IF(BaseLoad!L58&gt;BaseLoad!$G58,F$8*PPA!$G$5*$Z59,0))</f>
        <v>-</v>
      </c>
      <c r="G59" s="430" t="str">
        <f aca="false">IF($A$1="Peak","-",IF(BaseLoad!M58&gt;BaseLoad!$G58,G$8*PPA!$G$5*$Z59,0))</f>
        <v>-</v>
      </c>
      <c r="H59" s="430" t="str">
        <f aca="false">IF($A$1="Peak","-",IF(BaseLoad!N58&gt;BaseLoad!$G58,H$8*PPA!$G$5*$Z59,0))</f>
        <v>-</v>
      </c>
      <c r="I59" s="430" t="str">
        <f aca="false">IF($A$1="Peak","-",IF(BaseLoad!O58&gt;BaseLoad!$G58,I$8*PPA!$G$5*$Z59,0))</f>
        <v>-</v>
      </c>
      <c r="J59" s="430" t="str">
        <f aca="false">IF($A$1="Peak","-",IF(BaseLoad!P58&gt;BaseLoad!$G58,J$8*PPA!$G$5*$Z59,0))</f>
        <v>-</v>
      </c>
      <c r="K59" s="430" t="str">
        <f aca="false">IF($A$1="Peak","-",IF(BaseLoad!Q58&gt;BaseLoad!$G58,K$8*PPA!$G$5*$Z59,0))</f>
        <v>-</v>
      </c>
      <c r="L59" s="430" t="str">
        <f aca="false">IF($A$1="Peak","-",IF(BaseLoad!R58&gt;BaseLoad!$G58,L$8*PPA!$G$5*$Z59,0))</f>
        <v>-</v>
      </c>
      <c r="M59" s="430" t="str">
        <f aca="false">IF($A$1="Peak","-",IF(BaseLoad!S58&gt;BaseLoad!$G58,M$8*PPA!$G$5*$Z59,0))</f>
        <v>-</v>
      </c>
      <c r="N59" s="430" t="str">
        <f aca="false">IF($A$1="Peak","-",IF(BaseLoad!T58&gt;BaseLoad!$G58,N$8*PPA!$G$5*$Z59,0))</f>
        <v>-</v>
      </c>
      <c r="O59" s="430" t="str">
        <f aca="false">IF($A$1="Peak","-",IF(BaseLoad!U58&gt;BaseLoad!$G58,O$8*PPA!$G$5*$Z59,0))</f>
        <v>-</v>
      </c>
      <c r="P59" s="430" t="str">
        <f aca="false">IF($A$1="Peak","-",IF(BaseLoad!V58&gt;BaseLoad!$G58,P$8*PPA!$G$5*$Z59,0))</f>
        <v>-</v>
      </c>
      <c r="Q59" s="430" t="str">
        <f aca="false">IF($A$1="Peak","-",IF(BaseLoad!W58&gt;BaseLoad!$G58,Q$8*PPA!$G$5*$Z59,0))</f>
        <v>-</v>
      </c>
      <c r="R59" s="430" t="str">
        <f aca="false">IF($A$1="Peak","-",IF(BaseLoad!X58&gt;BaseLoad!$G58,R$8*PPA!$G$5*$Z59,0))</f>
        <v>-</v>
      </c>
      <c r="S59" s="430" t="str">
        <f aca="false">IF($A$1="Peak","-",IF(BaseLoad!Y58&gt;BaseLoad!$G58,S$8*PPA!$G$5*$Z59,0))</f>
        <v>-</v>
      </c>
      <c r="T59" s="430" t="str">
        <f aca="false">IF($A$1="Peak","-",IF(BaseLoad!Z58&gt;BaseLoad!$G58,T$8*PPA!$G$5*$Z59,0))</f>
        <v>-</v>
      </c>
      <c r="U59" s="430" t="str">
        <f aca="false">IF($A$1="Peak","-",IF(BaseLoad!AA58&gt;BaseLoad!$G58,U$8*PPA!$G$5*$Z59,0))</f>
        <v>-</v>
      </c>
      <c r="V59" s="430" t="n">
        <f aca="false">SUM(B59:U59)</f>
        <v>0</v>
      </c>
      <c r="W59" s="430" t="str">
        <f aca="false">IF($A$1="Peak","-",(730*PPA!$G$4*$Z59))</f>
        <v>-</v>
      </c>
      <c r="X59" s="430" t="n">
        <f aca="false">SUM(V59:W59)</f>
        <v>0</v>
      </c>
      <c r="Y59" s="430"/>
      <c r="Z59" s="430" t="n">
        <f aca="false">CHOOSE(QUOTIENT(MONTH($A59),3)+1,BaseLoad!$AM$9,BaseLoad!$AN$9,BaseLoad!$AL$9,BaseLoad!$AO$9,BaseLoad!$AM$9)</f>
        <v>0.924276618786118</v>
      </c>
      <c r="AA59" s="430" t="n">
        <f aca="false">CHOOSE(QUOTIENT(MONTH($A59),3)+1,BaseLoad!$AM$15,BaseLoad!$AN$15,BaseLoad!$AL$15,BaseLoad!$AO$15,BaseLoad!$AM$15)</f>
        <v>705</v>
      </c>
      <c r="AB59" s="431"/>
      <c r="AD59" s="431"/>
    </row>
    <row r="60" customFormat="false" ht="12.75" hidden="false" customHeight="false" outlineLevel="0" collapsed="false">
      <c r="A60" s="400" t="n">
        <f aca="false">A59+30.417</f>
        <v>38060.85</v>
      </c>
      <c r="B60" s="430" t="str">
        <f aca="false">IF($A$1="Peak","-",IF(BaseLoad!H59&gt;BaseLoad!$G59,B$8*PPA!$G$5*$Z60,0))</f>
        <v>-</v>
      </c>
      <c r="C60" s="430" t="str">
        <f aca="false">IF($A$1="Peak","-",IF(BaseLoad!I59&gt;BaseLoad!$G59,C$8*PPA!$G$5*$Z60,0))</f>
        <v>-</v>
      </c>
      <c r="D60" s="430" t="str">
        <f aca="false">IF($A$1="Peak","-",IF(BaseLoad!J59&gt;BaseLoad!$G59,D$8*PPA!$G$5*$Z60,0))</f>
        <v>-</v>
      </c>
      <c r="E60" s="430" t="str">
        <f aca="false">IF($A$1="Peak","-",IF(BaseLoad!K59&gt;BaseLoad!$G59,E$8*PPA!$G$5*$Z60,0))</f>
        <v>-</v>
      </c>
      <c r="F60" s="430" t="str">
        <f aca="false">IF($A$1="Peak","-",IF(BaseLoad!L59&gt;BaseLoad!$G59,F$8*PPA!$G$5*$Z60,0))</f>
        <v>-</v>
      </c>
      <c r="G60" s="430" t="str">
        <f aca="false">IF($A$1="Peak","-",IF(BaseLoad!M59&gt;BaseLoad!$G59,G$8*PPA!$G$5*$Z60,0))</f>
        <v>-</v>
      </c>
      <c r="H60" s="430" t="str">
        <f aca="false">IF($A$1="Peak","-",IF(BaseLoad!N59&gt;BaseLoad!$G59,H$8*PPA!$G$5*$Z60,0))</f>
        <v>-</v>
      </c>
      <c r="I60" s="430" t="str">
        <f aca="false">IF($A$1="Peak","-",IF(BaseLoad!O59&gt;BaseLoad!$G59,I$8*PPA!$G$5*$Z60,0))</f>
        <v>-</v>
      </c>
      <c r="J60" s="430" t="str">
        <f aca="false">IF($A$1="Peak","-",IF(BaseLoad!P59&gt;BaseLoad!$G59,J$8*PPA!$G$5*$Z60,0))</f>
        <v>-</v>
      </c>
      <c r="K60" s="430" t="str">
        <f aca="false">IF($A$1="Peak","-",IF(BaseLoad!Q59&gt;BaseLoad!$G59,K$8*PPA!$G$5*$Z60,0))</f>
        <v>-</v>
      </c>
      <c r="L60" s="430" t="str">
        <f aca="false">IF($A$1="Peak","-",IF(BaseLoad!R59&gt;BaseLoad!$G59,L$8*PPA!$G$5*$Z60,0))</f>
        <v>-</v>
      </c>
      <c r="M60" s="430" t="str">
        <f aca="false">IF($A$1="Peak","-",IF(BaseLoad!S59&gt;BaseLoad!$G59,M$8*PPA!$G$5*$Z60,0))</f>
        <v>-</v>
      </c>
      <c r="N60" s="430" t="str">
        <f aca="false">IF($A$1="Peak","-",IF(BaseLoad!T59&gt;BaseLoad!$G59,N$8*PPA!$G$5*$Z60,0))</f>
        <v>-</v>
      </c>
      <c r="O60" s="430" t="str">
        <f aca="false">IF($A$1="Peak","-",IF(BaseLoad!U59&gt;BaseLoad!$G59,O$8*PPA!$G$5*$Z60,0))</f>
        <v>-</v>
      </c>
      <c r="P60" s="430" t="str">
        <f aca="false">IF($A$1="Peak","-",IF(BaseLoad!V59&gt;BaseLoad!$G59,P$8*PPA!$G$5*$Z60,0))</f>
        <v>-</v>
      </c>
      <c r="Q60" s="430" t="str">
        <f aca="false">IF($A$1="Peak","-",IF(BaseLoad!W59&gt;BaseLoad!$G59,Q$8*PPA!$G$5*$Z60,0))</f>
        <v>-</v>
      </c>
      <c r="R60" s="430" t="str">
        <f aca="false">IF($A$1="Peak","-",IF(BaseLoad!X59&gt;BaseLoad!$G59,R$8*PPA!$G$5*$Z60,0))</f>
        <v>-</v>
      </c>
      <c r="S60" s="430" t="str">
        <f aca="false">IF($A$1="Peak","-",IF(BaseLoad!Y59&gt;BaseLoad!$G59,S$8*PPA!$G$5*$Z60,0))</f>
        <v>-</v>
      </c>
      <c r="T60" s="430" t="str">
        <f aca="false">IF($A$1="Peak","-",IF(BaseLoad!Z59&gt;BaseLoad!$G59,T$8*PPA!$G$5*$Z60,0))</f>
        <v>-</v>
      </c>
      <c r="U60" s="430" t="str">
        <f aca="false">IF($A$1="Peak","-",IF(BaseLoad!AA59&gt;BaseLoad!$G59,U$8*PPA!$G$5*$Z60,0))</f>
        <v>-</v>
      </c>
      <c r="V60" s="430" t="n">
        <f aca="false">SUM(B60:U60)</f>
        <v>0</v>
      </c>
      <c r="W60" s="430" t="str">
        <f aca="false">IF($A$1="Peak","-",(730*PPA!$G$4*$Z60))</f>
        <v>-</v>
      </c>
      <c r="X60" s="430" t="n">
        <f aca="false">SUM(V60:W60)</f>
        <v>0</v>
      </c>
      <c r="Y60" s="430"/>
      <c r="Z60" s="430" t="n">
        <f aca="false">CHOOSE(QUOTIENT(MONTH($A60),3)+1,BaseLoad!$AM$9,BaseLoad!$AN$9,BaseLoad!$AL$9,BaseLoad!$AO$9,BaseLoad!$AM$9)</f>
        <v>0.95</v>
      </c>
      <c r="AA60" s="430" t="n">
        <f aca="false">CHOOSE(QUOTIENT(MONTH($A60),3)+1,BaseLoad!$AM$15,BaseLoad!$AN$15,BaseLoad!$AL$15,BaseLoad!$AO$15,BaseLoad!$AM$15)</f>
        <v>705</v>
      </c>
      <c r="AB60" s="431"/>
      <c r="AD60" s="431"/>
    </row>
    <row r="61" customFormat="false" ht="12.75" hidden="false" customHeight="false" outlineLevel="0" collapsed="false">
      <c r="A61" s="400" t="n">
        <f aca="false">A60+30.417</f>
        <v>38091.267</v>
      </c>
      <c r="B61" s="430" t="str">
        <f aca="false">IF($A$1="Peak","-",IF(BaseLoad!H60&gt;BaseLoad!$G60,B$8*PPA!$G$5*$Z61,0))</f>
        <v>-</v>
      </c>
      <c r="C61" s="430" t="str">
        <f aca="false">IF($A$1="Peak","-",IF(BaseLoad!I60&gt;BaseLoad!$G60,C$8*PPA!$G$5*$Z61,0))</f>
        <v>-</v>
      </c>
      <c r="D61" s="430" t="str">
        <f aca="false">IF($A$1="Peak","-",IF(BaseLoad!J60&gt;BaseLoad!$G60,D$8*PPA!$G$5*$Z61,0))</f>
        <v>-</v>
      </c>
      <c r="E61" s="430" t="str">
        <f aca="false">IF($A$1="Peak","-",IF(BaseLoad!K60&gt;BaseLoad!$G60,E$8*PPA!$G$5*$Z61,0))</f>
        <v>-</v>
      </c>
      <c r="F61" s="430" t="str">
        <f aca="false">IF($A$1="Peak","-",IF(BaseLoad!L60&gt;BaseLoad!$G60,F$8*PPA!$G$5*$Z61,0))</f>
        <v>-</v>
      </c>
      <c r="G61" s="430" t="str">
        <f aca="false">IF($A$1="Peak","-",IF(BaseLoad!M60&gt;BaseLoad!$G60,G$8*PPA!$G$5*$Z61,0))</f>
        <v>-</v>
      </c>
      <c r="H61" s="430" t="str">
        <f aca="false">IF($A$1="Peak","-",IF(BaseLoad!N60&gt;BaseLoad!$G60,H$8*PPA!$G$5*$Z61,0))</f>
        <v>-</v>
      </c>
      <c r="I61" s="430" t="str">
        <f aca="false">IF($A$1="Peak","-",IF(BaseLoad!O60&gt;BaseLoad!$G60,I$8*PPA!$G$5*$Z61,0))</f>
        <v>-</v>
      </c>
      <c r="J61" s="430" t="str">
        <f aca="false">IF($A$1="Peak","-",IF(BaseLoad!P60&gt;BaseLoad!$G60,J$8*PPA!$G$5*$Z61,0))</f>
        <v>-</v>
      </c>
      <c r="K61" s="430" t="str">
        <f aca="false">IF($A$1="Peak","-",IF(BaseLoad!Q60&gt;BaseLoad!$G60,K$8*PPA!$G$5*$Z61,0))</f>
        <v>-</v>
      </c>
      <c r="L61" s="430" t="str">
        <f aca="false">IF($A$1="Peak","-",IF(BaseLoad!R60&gt;BaseLoad!$G60,L$8*PPA!$G$5*$Z61,0))</f>
        <v>-</v>
      </c>
      <c r="M61" s="430" t="str">
        <f aca="false">IF($A$1="Peak","-",IF(BaseLoad!S60&gt;BaseLoad!$G60,M$8*PPA!$G$5*$Z61,0))</f>
        <v>-</v>
      </c>
      <c r="N61" s="430" t="str">
        <f aca="false">IF($A$1="Peak","-",IF(BaseLoad!T60&gt;BaseLoad!$G60,N$8*PPA!$G$5*$Z61,0))</f>
        <v>-</v>
      </c>
      <c r="O61" s="430" t="str">
        <f aca="false">IF($A$1="Peak","-",IF(BaseLoad!U60&gt;BaseLoad!$G60,O$8*PPA!$G$5*$Z61,0))</f>
        <v>-</v>
      </c>
      <c r="P61" s="430" t="str">
        <f aca="false">IF($A$1="Peak","-",IF(BaseLoad!V60&gt;BaseLoad!$G60,P$8*PPA!$G$5*$Z61,0))</f>
        <v>-</v>
      </c>
      <c r="Q61" s="430" t="str">
        <f aca="false">IF($A$1="Peak","-",IF(BaseLoad!W60&gt;BaseLoad!$G60,Q$8*PPA!$G$5*$Z61,0))</f>
        <v>-</v>
      </c>
      <c r="R61" s="430" t="str">
        <f aca="false">IF($A$1="Peak","-",IF(BaseLoad!X60&gt;BaseLoad!$G60,R$8*PPA!$G$5*$Z61,0))</f>
        <v>-</v>
      </c>
      <c r="S61" s="430" t="str">
        <f aca="false">IF($A$1="Peak","-",IF(BaseLoad!Y60&gt;BaseLoad!$G60,S$8*PPA!$G$5*$Z61,0))</f>
        <v>-</v>
      </c>
      <c r="T61" s="430" t="str">
        <f aca="false">IF($A$1="Peak","-",IF(BaseLoad!Z60&gt;BaseLoad!$G60,T$8*PPA!$G$5*$Z61,0))</f>
        <v>-</v>
      </c>
      <c r="U61" s="430" t="str">
        <f aca="false">IF($A$1="Peak","-",IF(BaseLoad!AA60&gt;BaseLoad!$G60,U$8*PPA!$G$5*$Z61,0))</f>
        <v>-</v>
      </c>
      <c r="V61" s="430" t="n">
        <f aca="false">SUM(B61:U61)</f>
        <v>0</v>
      </c>
      <c r="W61" s="430" t="str">
        <f aca="false">IF($A$1="Peak","-",(730*PPA!$G$4*$Z61))</f>
        <v>-</v>
      </c>
      <c r="X61" s="430" t="n">
        <f aca="false">SUM(V61:W61)</f>
        <v>0</v>
      </c>
      <c r="Y61" s="430"/>
      <c r="Z61" s="430" t="n">
        <f aca="false">CHOOSE(QUOTIENT(MONTH($A61),3)+1,BaseLoad!$AM$9,BaseLoad!$AN$9,BaseLoad!$AL$9,BaseLoad!$AO$9,BaseLoad!$AM$9)</f>
        <v>0.95</v>
      </c>
      <c r="AA61" s="430" t="n">
        <f aca="false">CHOOSE(QUOTIENT(MONTH($A61),3)+1,BaseLoad!$AM$15,BaseLoad!$AN$15,BaseLoad!$AL$15,BaseLoad!$AO$15,BaseLoad!$AM$15)</f>
        <v>705</v>
      </c>
      <c r="AB61" s="431"/>
      <c r="AD61" s="431"/>
    </row>
    <row r="62" customFormat="false" ht="12.75" hidden="false" customHeight="false" outlineLevel="0" collapsed="false">
      <c r="A62" s="400" t="n">
        <f aca="false">A61+30.417</f>
        <v>38121.684</v>
      </c>
      <c r="B62" s="430" t="str">
        <f aca="false">IF($A$1="Peak","-",IF(BaseLoad!H61&gt;BaseLoad!$G61,B$8*PPA!$G$5*$Z62,0))</f>
        <v>-</v>
      </c>
      <c r="C62" s="430" t="str">
        <f aca="false">IF($A$1="Peak","-",IF(BaseLoad!I61&gt;BaseLoad!$G61,C$8*PPA!$G$5*$Z62,0))</f>
        <v>-</v>
      </c>
      <c r="D62" s="430" t="str">
        <f aca="false">IF($A$1="Peak","-",IF(BaseLoad!J61&gt;BaseLoad!$G61,D$8*PPA!$G$5*$Z62,0))</f>
        <v>-</v>
      </c>
      <c r="E62" s="430" t="str">
        <f aca="false">IF($A$1="Peak","-",IF(BaseLoad!K61&gt;BaseLoad!$G61,E$8*PPA!$G$5*$Z62,0))</f>
        <v>-</v>
      </c>
      <c r="F62" s="430" t="str">
        <f aca="false">IF($A$1="Peak","-",IF(BaseLoad!L61&gt;BaseLoad!$G61,F$8*PPA!$G$5*$Z62,0))</f>
        <v>-</v>
      </c>
      <c r="G62" s="430" t="str">
        <f aca="false">IF($A$1="Peak","-",IF(BaseLoad!M61&gt;BaseLoad!$G61,G$8*PPA!$G$5*$Z62,0))</f>
        <v>-</v>
      </c>
      <c r="H62" s="430" t="str">
        <f aca="false">IF($A$1="Peak","-",IF(BaseLoad!N61&gt;BaseLoad!$G61,H$8*PPA!$G$5*$Z62,0))</f>
        <v>-</v>
      </c>
      <c r="I62" s="430" t="str">
        <f aca="false">IF($A$1="Peak","-",IF(BaseLoad!O61&gt;BaseLoad!$G61,I$8*PPA!$G$5*$Z62,0))</f>
        <v>-</v>
      </c>
      <c r="J62" s="430" t="str">
        <f aca="false">IF($A$1="Peak","-",IF(BaseLoad!P61&gt;BaseLoad!$G61,J$8*PPA!$G$5*$Z62,0))</f>
        <v>-</v>
      </c>
      <c r="K62" s="430" t="str">
        <f aca="false">IF($A$1="Peak","-",IF(BaseLoad!Q61&gt;BaseLoad!$G61,K$8*PPA!$G$5*$Z62,0))</f>
        <v>-</v>
      </c>
      <c r="L62" s="430" t="str">
        <f aca="false">IF($A$1="Peak","-",IF(BaseLoad!R61&gt;BaseLoad!$G61,L$8*PPA!$G$5*$Z62,0))</f>
        <v>-</v>
      </c>
      <c r="M62" s="430" t="str">
        <f aca="false">IF($A$1="Peak","-",IF(BaseLoad!S61&gt;BaseLoad!$G61,M$8*PPA!$G$5*$Z62,0))</f>
        <v>-</v>
      </c>
      <c r="N62" s="430" t="str">
        <f aca="false">IF($A$1="Peak","-",IF(BaseLoad!T61&gt;BaseLoad!$G61,N$8*PPA!$G$5*$Z62,0))</f>
        <v>-</v>
      </c>
      <c r="O62" s="430" t="str">
        <f aca="false">IF($A$1="Peak","-",IF(BaseLoad!U61&gt;BaseLoad!$G61,O$8*PPA!$G$5*$Z62,0))</f>
        <v>-</v>
      </c>
      <c r="P62" s="430" t="str">
        <f aca="false">IF($A$1="Peak","-",IF(BaseLoad!V61&gt;BaseLoad!$G61,P$8*PPA!$G$5*$Z62,0))</f>
        <v>-</v>
      </c>
      <c r="Q62" s="430" t="str">
        <f aca="false">IF($A$1="Peak","-",IF(BaseLoad!W61&gt;BaseLoad!$G61,Q$8*PPA!$G$5*$Z62,0))</f>
        <v>-</v>
      </c>
      <c r="R62" s="430" t="str">
        <f aca="false">IF($A$1="Peak","-",IF(BaseLoad!X61&gt;BaseLoad!$G61,R$8*PPA!$G$5*$Z62,0))</f>
        <v>-</v>
      </c>
      <c r="S62" s="430" t="str">
        <f aca="false">IF($A$1="Peak","-",IF(BaseLoad!Y61&gt;BaseLoad!$G61,S$8*PPA!$G$5*$Z62,0))</f>
        <v>-</v>
      </c>
      <c r="T62" s="430" t="str">
        <f aca="false">IF($A$1="Peak","-",IF(BaseLoad!Z61&gt;BaseLoad!$G61,T$8*PPA!$G$5*$Z62,0))</f>
        <v>-</v>
      </c>
      <c r="U62" s="430" t="str">
        <f aca="false">IF($A$1="Peak","-",IF(BaseLoad!AA61&gt;BaseLoad!$G61,U$8*PPA!$G$5*$Z62,0))</f>
        <v>-</v>
      </c>
      <c r="V62" s="430" t="n">
        <f aca="false">SUM(B62:U62)</f>
        <v>0</v>
      </c>
      <c r="W62" s="430" t="str">
        <f aca="false">IF($A$1="Peak","-",(730*PPA!$G$4*$Z62))</f>
        <v>-</v>
      </c>
      <c r="X62" s="430" t="n">
        <f aca="false">SUM(V62:W62)</f>
        <v>0</v>
      </c>
      <c r="Y62" s="430"/>
      <c r="Z62" s="430" t="n">
        <f aca="false">CHOOSE(QUOTIENT(MONTH($A62),3)+1,BaseLoad!$AM$9,BaseLoad!$AN$9,BaseLoad!$AL$9,BaseLoad!$AO$9,BaseLoad!$AM$9)</f>
        <v>0.95</v>
      </c>
      <c r="AA62" s="430" t="n">
        <f aca="false">CHOOSE(QUOTIENT(MONTH($A62),3)+1,BaseLoad!$AM$15,BaseLoad!$AN$15,BaseLoad!$AL$15,BaseLoad!$AO$15,BaseLoad!$AM$15)</f>
        <v>705</v>
      </c>
      <c r="AB62" s="431"/>
      <c r="AD62" s="431"/>
    </row>
    <row r="63" customFormat="false" ht="12.75" hidden="false" customHeight="false" outlineLevel="0" collapsed="false">
      <c r="A63" s="400" t="n">
        <f aca="false">A62+30.417</f>
        <v>38152.101</v>
      </c>
      <c r="B63" s="430" t="str">
        <f aca="false">IF($A$1="Peak","-",IF(BaseLoad!H62&gt;BaseLoad!$G62,B$8*PPA!$G$5*$Z63,0))</f>
        <v>-</v>
      </c>
      <c r="C63" s="430" t="str">
        <f aca="false">IF($A$1="Peak","-",IF(BaseLoad!I62&gt;BaseLoad!$G62,C$8*PPA!$G$5*$Z63,0))</f>
        <v>-</v>
      </c>
      <c r="D63" s="430" t="str">
        <f aca="false">IF($A$1="Peak","-",IF(BaseLoad!J62&gt;BaseLoad!$G62,D$8*PPA!$G$5*$Z63,0))</f>
        <v>-</v>
      </c>
      <c r="E63" s="430" t="str">
        <f aca="false">IF($A$1="Peak","-",IF(BaseLoad!K62&gt;BaseLoad!$G62,E$8*PPA!$G$5*$Z63,0))</f>
        <v>-</v>
      </c>
      <c r="F63" s="430" t="str">
        <f aca="false">IF($A$1="Peak","-",IF(BaseLoad!L62&gt;BaseLoad!$G62,F$8*PPA!$G$5*$Z63,0))</f>
        <v>-</v>
      </c>
      <c r="G63" s="430" t="str">
        <f aca="false">IF($A$1="Peak","-",IF(BaseLoad!M62&gt;BaseLoad!$G62,G$8*PPA!$G$5*$Z63,0))</f>
        <v>-</v>
      </c>
      <c r="H63" s="430" t="str">
        <f aca="false">IF($A$1="Peak","-",IF(BaseLoad!N62&gt;BaseLoad!$G62,H$8*PPA!$G$5*$Z63,0))</f>
        <v>-</v>
      </c>
      <c r="I63" s="430" t="str">
        <f aca="false">IF($A$1="Peak","-",IF(BaseLoad!O62&gt;BaseLoad!$G62,I$8*PPA!$G$5*$Z63,0))</f>
        <v>-</v>
      </c>
      <c r="J63" s="430" t="str">
        <f aca="false">IF($A$1="Peak","-",IF(BaseLoad!P62&gt;BaseLoad!$G62,J$8*PPA!$G$5*$Z63,0))</f>
        <v>-</v>
      </c>
      <c r="K63" s="430" t="str">
        <f aca="false">IF($A$1="Peak","-",IF(BaseLoad!Q62&gt;BaseLoad!$G62,K$8*PPA!$G$5*$Z63,0))</f>
        <v>-</v>
      </c>
      <c r="L63" s="430" t="str">
        <f aca="false">IF($A$1="Peak","-",IF(BaseLoad!R62&gt;BaseLoad!$G62,L$8*PPA!$G$5*$Z63,0))</f>
        <v>-</v>
      </c>
      <c r="M63" s="430" t="str">
        <f aca="false">IF($A$1="Peak","-",IF(BaseLoad!S62&gt;BaseLoad!$G62,M$8*PPA!$G$5*$Z63,0))</f>
        <v>-</v>
      </c>
      <c r="N63" s="430" t="str">
        <f aca="false">IF($A$1="Peak","-",IF(BaseLoad!T62&gt;BaseLoad!$G62,N$8*PPA!$G$5*$Z63,0))</f>
        <v>-</v>
      </c>
      <c r="O63" s="430" t="str">
        <f aca="false">IF($A$1="Peak","-",IF(BaseLoad!U62&gt;BaseLoad!$G62,O$8*PPA!$G$5*$Z63,0))</f>
        <v>-</v>
      </c>
      <c r="P63" s="430" t="str">
        <f aca="false">IF($A$1="Peak","-",IF(BaseLoad!V62&gt;BaseLoad!$G62,P$8*PPA!$G$5*$Z63,0))</f>
        <v>-</v>
      </c>
      <c r="Q63" s="430" t="str">
        <f aca="false">IF($A$1="Peak","-",IF(BaseLoad!W62&gt;BaseLoad!$G62,Q$8*PPA!$G$5*$Z63,0))</f>
        <v>-</v>
      </c>
      <c r="R63" s="430" t="str">
        <f aca="false">IF($A$1="Peak","-",IF(BaseLoad!X62&gt;BaseLoad!$G62,R$8*PPA!$G$5*$Z63,0))</f>
        <v>-</v>
      </c>
      <c r="S63" s="430" t="str">
        <f aca="false">IF($A$1="Peak","-",IF(BaseLoad!Y62&gt;BaseLoad!$G62,S$8*PPA!$G$5*$Z63,0))</f>
        <v>-</v>
      </c>
      <c r="T63" s="430" t="str">
        <f aca="false">IF($A$1="Peak","-",IF(BaseLoad!Z62&gt;BaseLoad!$G62,T$8*PPA!$G$5*$Z63,0))</f>
        <v>-</v>
      </c>
      <c r="U63" s="430" t="str">
        <f aca="false">IF($A$1="Peak","-",IF(BaseLoad!AA62&gt;BaseLoad!$G62,U$8*PPA!$G$5*$Z63,0))</f>
        <v>-</v>
      </c>
      <c r="V63" s="430" t="n">
        <f aca="false">SUM(B63:U63)</f>
        <v>0</v>
      </c>
      <c r="W63" s="430" t="str">
        <f aca="false">IF($A$1="Peak","-",(730*PPA!$G$4*$Z63))</f>
        <v>-</v>
      </c>
      <c r="X63" s="430" t="n">
        <f aca="false">SUM(V63:W63)</f>
        <v>0</v>
      </c>
      <c r="Y63" s="430"/>
      <c r="Z63" s="430" t="n">
        <f aca="false">CHOOSE(QUOTIENT(MONTH($A63),3)+1,BaseLoad!$AM$9,BaseLoad!$AN$9,BaseLoad!$AL$9,BaseLoad!$AO$9,BaseLoad!$AM$9)</f>
        <v>0.966121359095586</v>
      </c>
      <c r="AA63" s="430" t="n">
        <f aca="false">CHOOSE(QUOTIENT(MONTH($A63),3)+1,BaseLoad!$AM$15,BaseLoad!$AN$15,BaseLoad!$AL$15,BaseLoad!$AO$15,BaseLoad!$AM$15)</f>
        <v>705</v>
      </c>
      <c r="AB63" s="431"/>
      <c r="AD63" s="431"/>
    </row>
    <row r="64" customFormat="false" ht="12.75" hidden="false" customHeight="false" outlineLevel="0" collapsed="false">
      <c r="A64" s="400" t="n">
        <f aca="false">A63+30.417</f>
        <v>38182.518</v>
      </c>
      <c r="B64" s="430" t="str">
        <f aca="false">IF($A$1="Peak","-",IF(BaseLoad!H63&gt;BaseLoad!$G63,B$8*PPA!$G$5*$Z64,0))</f>
        <v>-</v>
      </c>
      <c r="C64" s="430" t="str">
        <f aca="false">IF($A$1="Peak","-",IF(BaseLoad!I63&gt;BaseLoad!$G63,C$8*PPA!$G$5*$Z64,0))</f>
        <v>-</v>
      </c>
      <c r="D64" s="430" t="str">
        <f aca="false">IF($A$1="Peak","-",IF(BaseLoad!J63&gt;BaseLoad!$G63,D$8*PPA!$G$5*$Z64,0))</f>
        <v>-</v>
      </c>
      <c r="E64" s="430" t="str">
        <f aca="false">IF($A$1="Peak","-",IF(BaseLoad!K63&gt;BaseLoad!$G63,E$8*PPA!$G$5*$Z64,0))</f>
        <v>-</v>
      </c>
      <c r="F64" s="430" t="str">
        <f aca="false">IF($A$1="Peak","-",IF(BaseLoad!L63&gt;BaseLoad!$G63,F$8*PPA!$G$5*$Z64,0))</f>
        <v>-</v>
      </c>
      <c r="G64" s="430" t="str">
        <f aca="false">IF($A$1="Peak","-",IF(BaseLoad!M63&gt;BaseLoad!$G63,G$8*PPA!$G$5*$Z64,0))</f>
        <v>-</v>
      </c>
      <c r="H64" s="430" t="str">
        <f aca="false">IF($A$1="Peak","-",IF(BaseLoad!N63&gt;BaseLoad!$G63,H$8*PPA!$G$5*$Z64,0))</f>
        <v>-</v>
      </c>
      <c r="I64" s="430" t="str">
        <f aca="false">IF($A$1="Peak","-",IF(BaseLoad!O63&gt;BaseLoad!$G63,I$8*PPA!$G$5*$Z64,0))</f>
        <v>-</v>
      </c>
      <c r="J64" s="430" t="str">
        <f aca="false">IF($A$1="Peak","-",IF(BaseLoad!P63&gt;BaseLoad!$G63,J$8*PPA!$G$5*$Z64,0))</f>
        <v>-</v>
      </c>
      <c r="K64" s="430" t="str">
        <f aca="false">IF($A$1="Peak","-",IF(BaseLoad!Q63&gt;BaseLoad!$G63,K$8*PPA!$G$5*$Z64,0))</f>
        <v>-</v>
      </c>
      <c r="L64" s="430" t="str">
        <f aca="false">IF($A$1="Peak","-",IF(BaseLoad!R63&gt;BaseLoad!$G63,L$8*PPA!$G$5*$Z64,0))</f>
        <v>-</v>
      </c>
      <c r="M64" s="430" t="str">
        <f aca="false">IF($A$1="Peak","-",IF(BaseLoad!S63&gt;BaseLoad!$G63,M$8*PPA!$G$5*$Z64,0))</f>
        <v>-</v>
      </c>
      <c r="N64" s="430" t="str">
        <f aca="false">IF($A$1="Peak","-",IF(BaseLoad!T63&gt;BaseLoad!$G63,N$8*PPA!$G$5*$Z64,0))</f>
        <v>-</v>
      </c>
      <c r="O64" s="430" t="str">
        <f aca="false">IF($A$1="Peak","-",IF(BaseLoad!U63&gt;BaseLoad!$G63,O$8*PPA!$G$5*$Z64,0))</f>
        <v>-</v>
      </c>
      <c r="P64" s="430" t="str">
        <f aca="false">IF($A$1="Peak","-",IF(BaseLoad!V63&gt;BaseLoad!$G63,P$8*PPA!$G$5*$Z64,0))</f>
        <v>-</v>
      </c>
      <c r="Q64" s="430" t="str">
        <f aca="false">IF($A$1="Peak","-",IF(BaseLoad!W63&gt;BaseLoad!$G63,Q$8*PPA!$G$5*$Z64,0))</f>
        <v>-</v>
      </c>
      <c r="R64" s="430" t="str">
        <f aca="false">IF($A$1="Peak","-",IF(BaseLoad!X63&gt;BaseLoad!$G63,R$8*PPA!$G$5*$Z64,0))</f>
        <v>-</v>
      </c>
      <c r="S64" s="430" t="str">
        <f aca="false">IF($A$1="Peak","-",IF(BaseLoad!Y63&gt;BaseLoad!$G63,S$8*PPA!$G$5*$Z64,0))</f>
        <v>-</v>
      </c>
      <c r="T64" s="430" t="str">
        <f aca="false">IF($A$1="Peak","-",IF(BaseLoad!Z63&gt;BaseLoad!$G63,T$8*PPA!$G$5*$Z64,0))</f>
        <v>-</v>
      </c>
      <c r="U64" s="430" t="str">
        <f aca="false">IF($A$1="Peak","-",IF(BaseLoad!AA63&gt;BaseLoad!$G63,U$8*PPA!$G$5*$Z64,0))</f>
        <v>-</v>
      </c>
      <c r="V64" s="430" t="n">
        <f aca="false">SUM(B64:U64)</f>
        <v>0</v>
      </c>
      <c r="W64" s="430" t="str">
        <f aca="false">IF($A$1="Peak","-",(730*PPA!$G$4*$Z64))</f>
        <v>-</v>
      </c>
      <c r="X64" s="430" t="n">
        <f aca="false">SUM(V64:W64)</f>
        <v>0</v>
      </c>
      <c r="Y64" s="430"/>
      <c r="Z64" s="430" t="n">
        <f aca="false">CHOOSE(QUOTIENT(MONTH($A64),3)+1,BaseLoad!$AM$9,BaseLoad!$AN$9,BaseLoad!$AL$9,BaseLoad!$AO$9,BaseLoad!$AM$9)</f>
        <v>0.966121359095586</v>
      </c>
      <c r="AA64" s="430" t="n">
        <f aca="false">CHOOSE(QUOTIENT(MONTH($A64),3)+1,BaseLoad!$AM$15,BaseLoad!$AN$15,BaseLoad!$AL$15,BaseLoad!$AO$15,BaseLoad!$AM$15)</f>
        <v>705</v>
      </c>
      <c r="AB64" s="431"/>
      <c r="AD64" s="431"/>
    </row>
    <row r="65" customFormat="false" ht="12.75" hidden="false" customHeight="false" outlineLevel="0" collapsed="false">
      <c r="A65" s="400" t="n">
        <f aca="false">A64+30.417</f>
        <v>38212.935</v>
      </c>
      <c r="B65" s="430" t="str">
        <f aca="false">IF($A$1="Peak","-",IF(BaseLoad!H64&gt;BaseLoad!$G64,B$8*PPA!$G$5*$Z65,0))</f>
        <v>-</v>
      </c>
      <c r="C65" s="430" t="str">
        <f aca="false">IF($A$1="Peak","-",IF(BaseLoad!I64&gt;BaseLoad!$G64,C$8*PPA!$G$5*$Z65,0))</f>
        <v>-</v>
      </c>
      <c r="D65" s="430" t="str">
        <f aca="false">IF($A$1="Peak","-",IF(BaseLoad!J64&gt;BaseLoad!$G64,D$8*PPA!$G$5*$Z65,0))</f>
        <v>-</v>
      </c>
      <c r="E65" s="430" t="str">
        <f aca="false">IF($A$1="Peak","-",IF(BaseLoad!K64&gt;BaseLoad!$G64,E$8*PPA!$G$5*$Z65,0))</f>
        <v>-</v>
      </c>
      <c r="F65" s="430" t="str">
        <f aca="false">IF($A$1="Peak","-",IF(BaseLoad!L64&gt;BaseLoad!$G64,F$8*PPA!$G$5*$Z65,0))</f>
        <v>-</v>
      </c>
      <c r="G65" s="430" t="str">
        <f aca="false">IF($A$1="Peak","-",IF(BaseLoad!M64&gt;BaseLoad!$G64,G$8*PPA!$G$5*$Z65,0))</f>
        <v>-</v>
      </c>
      <c r="H65" s="430" t="str">
        <f aca="false">IF($A$1="Peak","-",IF(BaseLoad!N64&gt;BaseLoad!$G64,H$8*PPA!$G$5*$Z65,0))</f>
        <v>-</v>
      </c>
      <c r="I65" s="430" t="str">
        <f aca="false">IF($A$1="Peak","-",IF(BaseLoad!O64&gt;BaseLoad!$G64,I$8*PPA!$G$5*$Z65,0))</f>
        <v>-</v>
      </c>
      <c r="J65" s="430" t="str">
        <f aca="false">IF($A$1="Peak","-",IF(BaseLoad!P64&gt;BaseLoad!$G64,J$8*PPA!$G$5*$Z65,0))</f>
        <v>-</v>
      </c>
      <c r="K65" s="430" t="str">
        <f aca="false">IF($A$1="Peak","-",IF(BaseLoad!Q64&gt;BaseLoad!$G64,K$8*PPA!$G$5*$Z65,0))</f>
        <v>-</v>
      </c>
      <c r="L65" s="430" t="str">
        <f aca="false">IF($A$1="Peak","-",IF(BaseLoad!R64&gt;BaseLoad!$G64,L$8*PPA!$G$5*$Z65,0))</f>
        <v>-</v>
      </c>
      <c r="M65" s="430" t="str">
        <f aca="false">IF($A$1="Peak","-",IF(BaseLoad!S64&gt;BaseLoad!$G64,M$8*PPA!$G$5*$Z65,0))</f>
        <v>-</v>
      </c>
      <c r="N65" s="430" t="str">
        <f aca="false">IF($A$1="Peak","-",IF(BaseLoad!T64&gt;BaseLoad!$G64,N$8*PPA!$G$5*$Z65,0))</f>
        <v>-</v>
      </c>
      <c r="O65" s="430" t="str">
        <f aca="false">IF($A$1="Peak","-",IF(BaseLoad!U64&gt;BaseLoad!$G64,O$8*PPA!$G$5*$Z65,0))</f>
        <v>-</v>
      </c>
      <c r="P65" s="430" t="str">
        <f aca="false">IF($A$1="Peak","-",IF(BaseLoad!V64&gt;BaseLoad!$G64,P$8*PPA!$G$5*$Z65,0))</f>
        <v>-</v>
      </c>
      <c r="Q65" s="430" t="str">
        <f aca="false">IF($A$1="Peak","-",IF(BaseLoad!W64&gt;BaseLoad!$G64,Q$8*PPA!$G$5*$Z65,0))</f>
        <v>-</v>
      </c>
      <c r="R65" s="430" t="str">
        <f aca="false">IF($A$1="Peak","-",IF(BaseLoad!X64&gt;BaseLoad!$G64,R$8*PPA!$G$5*$Z65,0))</f>
        <v>-</v>
      </c>
      <c r="S65" s="430" t="str">
        <f aca="false">IF($A$1="Peak","-",IF(BaseLoad!Y64&gt;BaseLoad!$G64,S$8*PPA!$G$5*$Z65,0))</f>
        <v>-</v>
      </c>
      <c r="T65" s="430" t="str">
        <f aca="false">IF($A$1="Peak","-",IF(BaseLoad!Z64&gt;BaseLoad!$G64,T$8*PPA!$G$5*$Z65,0))</f>
        <v>-</v>
      </c>
      <c r="U65" s="430" t="str">
        <f aca="false">IF($A$1="Peak","-",IF(BaseLoad!AA64&gt;BaseLoad!$G64,U$8*PPA!$G$5*$Z65,0))</f>
        <v>-</v>
      </c>
      <c r="V65" s="430" t="n">
        <f aca="false">SUM(B65:U65)</f>
        <v>0</v>
      </c>
      <c r="W65" s="430" t="str">
        <f aca="false">IF($A$1="Peak","-",(730*PPA!$G$4*$Z65))</f>
        <v>-</v>
      </c>
      <c r="X65" s="430" t="n">
        <f aca="false">SUM(V65:W65)</f>
        <v>0</v>
      </c>
      <c r="Y65" s="430"/>
      <c r="Z65" s="430" t="n">
        <f aca="false">CHOOSE(QUOTIENT(MONTH($A65),3)+1,BaseLoad!$AM$9,BaseLoad!$AN$9,BaseLoad!$AL$9,BaseLoad!$AO$9,BaseLoad!$AM$9)</f>
        <v>0.966121359095586</v>
      </c>
      <c r="AA65" s="430" t="n">
        <f aca="false">CHOOSE(QUOTIENT(MONTH($A65),3)+1,BaseLoad!$AM$15,BaseLoad!$AN$15,BaseLoad!$AL$15,BaseLoad!$AO$15,BaseLoad!$AM$15)</f>
        <v>705</v>
      </c>
      <c r="AB65" s="431"/>
      <c r="AD65" s="431"/>
    </row>
    <row r="66" customFormat="false" ht="12.75" hidden="false" customHeight="false" outlineLevel="0" collapsed="false">
      <c r="A66" s="400" t="n">
        <f aca="false">A65+30.417</f>
        <v>38243.352</v>
      </c>
      <c r="B66" s="430" t="str">
        <f aca="false">IF($A$1="Peak","-",IF(BaseLoad!H65&gt;BaseLoad!$G65,B$8*PPA!$G$5*$Z66,0))</f>
        <v>-</v>
      </c>
      <c r="C66" s="430" t="str">
        <f aca="false">IF($A$1="Peak","-",IF(BaseLoad!I65&gt;BaseLoad!$G65,C$8*PPA!$G$5*$Z66,0))</f>
        <v>-</v>
      </c>
      <c r="D66" s="430" t="str">
        <f aca="false">IF($A$1="Peak","-",IF(BaseLoad!J65&gt;BaseLoad!$G65,D$8*PPA!$G$5*$Z66,0))</f>
        <v>-</v>
      </c>
      <c r="E66" s="430" t="str">
        <f aca="false">IF($A$1="Peak","-",IF(BaseLoad!K65&gt;BaseLoad!$G65,E$8*PPA!$G$5*$Z66,0))</f>
        <v>-</v>
      </c>
      <c r="F66" s="430" t="str">
        <f aca="false">IF($A$1="Peak","-",IF(BaseLoad!L65&gt;BaseLoad!$G65,F$8*PPA!$G$5*$Z66,0))</f>
        <v>-</v>
      </c>
      <c r="G66" s="430" t="str">
        <f aca="false">IF($A$1="Peak","-",IF(BaseLoad!M65&gt;BaseLoad!$G65,G$8*PPA!$G$5*$Z66,0))</f>
        <v>-</v>
      </c>
      <c r="H66" s="430" t="str">
        <f aca="false">IF($A$1="Peak","-",IF(BaseLoad!N65&gt;BaseLoad!$G65,H$8*PPA!$G$5*$Z66,0))</f>
        <v>-</v>
      </c>
      <c r="I66" s="430" t="str">
        <f aca="false">IF($A$1="Peak","-",IF(BaseLoad!O65&gt;BaseLoad!$G65,I$8*PPA!$G$5*$Z66,0))</f>
        <v>-</v>
      </c>
      <c r="J66" s="430" t="str">
        <f aca="false">IF($A$1="Peak","-",IF(BaseLoad!P65&gt;BaseLoad!$G65,J$8*PPA!$G$5*$Z66,0))</f>
        <v>-</v>
      </c>
      <c r="K66" s="430" t="str">
        <f aca="false">IF($A$1="Peak","-",IF(BaseLoad!Q65&gt;BaseLoad!$G65,K$8*PPA!$G$5*$Z66,0))</f>
        <v>-</v>
      </c>
      <c r="L66" s="430" t="str">
        <f aca="false">IF($A$1="Peak","-",IF(BaseLoad!R65&gt;BaseLoad!$G65,L$8*PPA!$G$5*$Z66,0))</f>
        <v>-</v>
      </c>
      <c r="M66" s="430" t="str">
        <f aca="false">IF($A$1="Peak","-",IF(BaseLoad!S65&gt;BaseLoad!$G65,M$8*PPA!$G$5*$Z66,0))</f>
        <v>-</v>
      </c>
      <c r="N66" s="430" t="str">
        <f aca="false">IF($A$1="Peak","-",IF(BaseLoad!T65&gt;BaseLoad!$G65,N$8*PPA!$G$5*$Z66,0))</f>
        <v>-</v>
      </c>
      <c r="O66" s="430" t="str">
        <f aca="false">IF($A$1="Peak","-",IF(BaseLoad!U65&gt;BaseLoad!$G65,O$8*PPA!$G$5*$Z66,0))</f>
        <v>-</v>
      </c>
      <c r="P66" s="430" t="str">
        <f aca="false">IF($A$1="Peak","-",IF(BaseLoad!V65&gt;BaseLoad!$G65,P$8*PPA!$G$5*$Z66,0))</f>
        <v>-</v>
      </c>
      <c r="Q66" s="430" t="str">
        <f aca="false">IF($A$1="Peak","-",IF(BaseLoad!W65&gt;BaseLoad!$G65,Q$8*PPA!$G$5*$Z66,0))</f>
        <v>-</v>
      </c>
      <c r="R66" s="430" t="str">
        <f aca="false">IF($A$1="Peak","-",IF(BaseLoad!X65&gt;BaseLoad!$G65,R$8*PPA!$G$5*$Z66,0))</f>
        <v>-</v>
      </c>
      <c r="S66" s="430" t="str">
        <f aca="false">IF($A$1="Peak","-",IF(BaseLoad!Y65&gt;BaseLoad!$G65,S$8*PPA!$G$5*$Z66,0))</f>
        <v>-</v>
      </c>
      <c r="T66" s="430" t="str">
        <f aca="false">IF($A$1="Peak","-",IF(BaseLoad!Z65&gt;BaseLoad!$G65,T$8*PPA!$G$5*$Z66,0))</f>
        <v>-</v>
      </c>
      <c r="U66" s="430" t="str">
        <f aca="false">IF($A$1="Peak","-",IF(BaseLoad!AA65&gt;BaseLoad!$G65,U$8*PPA!$G$5*$Z66,0))</f>
        <v>-</v>
      </c>
      <c r="V66" s="430" t="n">
        <f aca="false">SUM(B66:U66)</f>
        <v>0</v>
      </c>
      <c r="W66" s="430" t="str">
        <f aca="false">IF($A$1="Peak","-",(730*PPA!$G$4*$Z66))</f>
        <v>-</v>
      </c>
      <c r="X66" s="430" t="n">
        <f aca="false">SUM(V66:W66)</f>
        <v>0</v>
      </c>
      <c r="Y66" s="430"/>
      <c r="Z66" s="430" t="n">
        <f aca="false">CHOOSE(QUOTIENT(MONTH($A66),3)+1,BaseLoad!$AM$9,BaseLoad!$AN$9,BaseLoad!$AL$9,BaseLoad!$AO$9,BaseLoad!$AM$9)</f>
        <v>0.95</v>
      </c>
      <c r="AA66" s="430" t="n">
        <f aca="false">CHOOSE(QUOTIENT(MONTH($A66),3)+1,BaseLoad!$AM$15,BaseLoad!$AN$15,BaseLoad!$AL$15,BaseLoad!$AO$15,BaseLoad!$AM$15)</f>
        <v>705</v>
      </c>
      <c r="AB66" s="431"/>
      <c r="AD66" s="431"/>
    </row>
    <row r="67" customFormat="false" ht="12.75" hidden="false" customHeight="false" outlineLevel="0" collapsed="false">
      <c r="A67" s="400" t="n">
        <f aca="false">A66+30.417</f>
        <v>38273.769</v>
      </c>
      <c r="B67" s="430" t="str">
        <f aca="false">IF($A$1="Peak","-",IF(BaseLoad!H66&gt;BaseLoad!$G66,B$8*PPA!$G$5*$Z67,0))</f>
        <v>-</v>
      </c>
      <c r="C67" s="430" t="str">
        <f aca="false">IF($A$1="Peak","-",IF(BaseLoad!I66&gt;BaseLoad!$G66,C$8*PPA!$G$5*$Z67,0))</f>
        <v>-</v>
      </c>
      <c r="D67" s="430" t="str">
        <f aca="false">IF($A$1="Peak","-",IF(BaseLoad!J66&gt;BaseLoad!$G66,D$8*PPA!$G$5*$Z67,0))</f>
        <v>-</v>
      </c>
      <c r="E67" s="430" t="str">
        <f aca="false">IF($A$1="Peak","-",IF(BaseLoad!K66&gt;BaseLoad!$G66,E$8*PPA!$G$5*$Z67,0))</f>
        <v>-</v>
      </c>
      <c r="F67" s="430" t="str">
        <f aca="false">IF($A$1="Peak","-",IF(BaseLoad!L66&gt;BaseLoad!$G66,F$8*PPA!$G$5*$Z67,0))</f>
        <v>-</v>
      </c>
      <c r="G67" s="430" t="str">
        <f aca="false">IF($A$1="Peak","-",IF(BaseLoad!M66&gt;BaseLoad!$G66,G$8*PPA!$G$5*$Z67,0))</f>
        <v>-</v>
      </c>
      <c r="H67" s="430" t="str">
        <f aca="false">IF($A$1="Peak","-",IF(BaseLoad!N66&gt;BaseLoad!$G66,H$8*PPA!$G$5*$Z67,0))</f>
        <v>-</v>
      </c>
      <c r="I67" s="430" t="str">
        <f aca="false">IF($A$1="Peak","-",IF(BaseLoad!O66&gt;BaseLoad!$G66,I$8*PPA!$G$5*$Z67,0))</f>
        <v>-</v>
      </c>
      <c r="J67" s="430" t="str">
        <f aca="false">IF($A$1="Peak","-",IF(BaseLoad!P66&gt;BaseLoad!$G66,J$8*PPA!$G$5*$Z67,0))</f>
        <v>-</v>
      </c>
      <c r="K67" s="430" t="str">
        <f aca="false">IF($A$1="Peak","-",IF(BaseLoad!Q66&gt;BaseLoad!$G66,K$8*PPA!$G$5*$Z67,0))</f>
        <v>-</v>
      </c>
      <c r="L67" s="430" t="str">
        <f aca="false">IF($A$1="Peak","-",IF(BaseLoad!R66&gt;BaseLoad!$G66,L$8*PPA!$G$5*$Z67,0))</f>
        <v>-</v>
      </c>
      <c r="M67" s="430" t="str">
        <f aca="false">IF($A$1="Peak","-",IF(BaseLoad!S66&gt;BaseLoad!$G66,M$8*PPA!$G$5*$Z67,0))</f>
        <v>-</v>
      </c>
      <c r="N67" s="430" t="str">
        <f aca="false">IF($A$1="Peak","-",IF(BaseLoad!T66&gt;BaseLoad!$G66,N$8*PPA!$G$5*$Z67,0))</f>
        <v>-</v>
      </c>
      <c r="O67" s="430" t="str">
        <f aca="false">IF($A$1="Peak","-",IF(BaseLoad!U66&gt;BaseLoad!$G66,O$8*PPA!$G$5*$Z67,0))</f>
        <v>-</v>
      </c>
      <c r="P67" s="430" t="str">
        <f aca="false">IF($A$1="Peak","-",IF(BaseLoad!V66&gt;BaseLoad!$G66,P$8*PPA!$G$5*$Z67,0))</f>
        <v>-</v>
      </c>
      <c r="Q67" s="430" t="str">
        <f aca="false">IF($A$1="Peak","-",IF(BaseLoad!W66&gt;BaseLoad!$G66,Q$8*PPA!$G$5*$Z67,0))</f>
        <v>-</v>
      </c>
      <c r="R67" s="430" t="str">
        <f aca="false">IF($A$1="Peak","-",IF(BaseLoad!X66&gt;BaseLoad!$G66,R$8*PPA!$G$5*$Z67,0))</f>
        <v>-</v>
      </c>
      <c r="S67" s="430" t="str">
        <f aca="false">IF($A$1="Peak","-",IF(BaseLoad!Y66&gt;BaseLoad!$G66,S$8*PPA!$G$5*$Z67,0))</f>
        <v>-</v>
      </c>
      <c r="T67" s="430" t="str">
        <f aca="false">IF($A$1="Peak","-",IF(BaseLoad!Z66&gt;BaseLoad!$G66,T$8*PPA!$G$5*$Z67,0))</f>
        <v>-</v>
      </c>
      <c r="U67" s="430" t="str">
        <f aca="false">IF($A$1="Peak","-",IF(BaseLoad!AA66&gt;BaseLoad!$G66,U$8*PPA!$G$5*$Z67,0))</f>
        <v>-</v>
      </c>
      <c r="V67" s="430" t="n">
        <f aca="false">SUM(B67:U67)</f>
        <v>0</v>
      </c>
      <c r="W67" s="430" t="str">
        <f aca="false">IF($A$1="Peak","-",(730*PPA!$G$4*$Z67))</f>
        <v>-</v>
      </c>
      <c r="X67" s="430" t="n">
        <f aca="false">SUM(V67:W67)</f>
        <v>0</v>
      </c>
      <c r="Y67" s="430"/>
      <c r="Z67" s="430" t="n">
        <f aca="false">CHOOSE(QUOTIENT(MONTH($A67),3)+1,BaseLoad!$AM$9,BaseLoad!$AN$9,BaseLoad!$AL$9,BaseLoad!$AO$9,BaseLoad!$AM$9)</f>
        <v>0.95</v>
      </c>
      <c r="AA67" s="430" t="n">
        <f aca="false">CHOOSE(QUOTIENT(MONTH($A67),3)+1,BaseLoad!$AM$15,BaseLoad!$AN$15,BaseLoad!$AL$15,BaseLoad!$AO$15,BaseLoad!$AM$15)</f>
        <v>705</v>
      </c>
      <c r="AB67" s="431"/>
      <c r="AD67" s="431"/>
    </row>
    <row r="68" customFormat="false" ht="12.75" hidden="false" customHeight="false" outlineLevel="0" collapsed="false">
      <c r="A68" s="400" t="n">
        <f aca="false">A67+30.417</f>
        <v>38304.186</v>
      </c>
      <c r="B68" s="430" t="str">
        <f aca="false">IF($A$1="Peak","-",IF(BaseLoad!H67&gt;BaseLoad!$G67,B$8*PPA!$G$5*$Z68,0))</f>
        <v>-</v>
      </c>
      <c r="C68" s="430" t="str">
        <f aca="false">IF($A$1="Peak","-",IF(BaseLoad!I67&gt;BaseLoad!$G67,C$8*PPA!$G$5*$Z68,0))</f>
        <v>-</v>
      </c>
      <c r="D68" s="430" t="str">
        <f aca="false">IF($A$1="Peak","-",IF(BaseLoad!J67&gt;BaseLoad!$G67,D$8*PPA!$G$5*$Z68,0))</f>
        <v>-</v>
      </c>
      <c r="E68" s="430" t="str">
        <f aca="false">IF($A$1="Peak","-",IF(BaseLoad!K67&gt;BaseLoad!$G67,E$8*PPA!$G$5*$Z68,0))</f>
        <v>-</v>
      </c>
      <c r="F68" s="430" t="str">
        <f aca="false">IF($A$1="Peak","-",IF(BaseLoad!L67&gt;BaseLoad!$G67,F$8*PPA!$G$5*$Z68,0))</f>
        <v>-</v>
      </c>
      <c r="G68" s="430" t="str">
        <f aca="false">IF($A$1="Peak","-",IF(BaseLoad!M67&gt;BaseLoad!$G67,G$8*PPA!$G$5*$Z68,0))</f>
        <v>-</v>
      </c>
      <c r="H68" s="430" t="str">
        <f aca="false">IF($A$1="Peak","-",IF(BaseLoad!N67&gt;BaseLoad!$G67,H$8*PPA!$G$5*$Z68,0))</f>
        <v>-</v>
      </c>
      <c r="I68" s="430" t="str">
        <f aca="false">IF($A$1="Peak","-",IF(BaseLoad!O67&gt;BaseLoad!$G67,I$8*PPA!$G$5*$Z68,0))</f>
        <v>-</v>
      </c>
      <c r="J68" s="430" t="str">
        <f aca="false">IF($A$1="Peak","-",IF(BaseLoad!P67&gt;BaseLoad!$G67,J$8*PPA!$G$5*$Z68,0))</f>
        <v>-</v>
      </c>
      <c r="K68" s="430" t="str">
        <f aca="false">IF($A$1="Peak","-",IF(BaseLoad!Q67&gt;BaseLoad!$G67,K$8*PPA!$G$5*$Z68,0))</f>
        <v>-</v>
      </c>
      <c r="L68" s="430" t="str">
        <f aca="false">IF($A$1="Peak","-",IF(BaseLoad!R67&gt;BaseLoad!$G67,L$8*PPA!$G$5*$Z68,0))</f>
        <v>-</v>
      </c>
      <c r="M68" s="430" t="str">
        <f aca="false">IF($A$1="Peak","-",IF(BaseLoad!S67&gt;BaseLoad!$G67,M$8*PPA!$G$5*$Z68,0))</f>
        <v>-</v>
      </c>
      <c r="N68" s="430" t="str">
        <f aca="false">IF($A$1="Peak","-",IF(BaseLoad!T67&gt;BaseLoad!$G67,N$8*PPA!$G$5*$Z68,0))</f>
        <v>-</v>
      </c>
      <c r="O68" s="430" t="str">
        <f aca="false">IF($A$1="Peak","-",IF(BaseLoad!U67&gt;BaseLoad!$G67,O$8*PPA!$G$5*$Z68,0))</f>
        <v>-</v>
      </c>
      <c r="P68" s="430" t="str">
        <f aca="false">IF($A$1="Peak","-",IF(BaseLoad!V67&gt;BaseLoad!$G67,P$8*PPA!$G$5*$Z68,0))</f>
        <v>-</v>
      </c>
      <c r="Q68" s="430" t="str">
        <f aca="false">IF($A$1="Peak","-",IF(BaseLoad!W67&gt;BaseLoad!$G67,Q$8*PPA!$G$5*$Z68,0))</f>
        <v>-</v>
      </c>
      <c r="R68" s="430" t="str">
        <f aca="false">IF($A$1="Peak","-",IF(BaseLoad!X67&gt;BaseLoad!$G67,R$8*PPA!$G$5*$Z68,0))</f>
        <v>-</v>
      </c>
      <c r="S68" s="430" t="str">
        <f aca="false">IF($A$1="Peak","-",IF(BaseLoad!Y67&gt;BaseLoad!$G67,S$8*PPA!$G$5*$Z68,0))</f>
        <v>-</v>
      </c>
      <c r="T68" s="430" t="str">
        <f aca="false">IF($A$1="Peak","-",IF(BaseLoad!Z67&gt;BaseLoad!$G67,T$8*PPA!$G$5*$Z68,0))</f>
        <v>-</v>
      </c>
      <c r="U68" s="430" t="str">
        <f aca="false">IF($A$1="Peak","-",IF(BaseLoad!AA67&gt;BaseLoad!$G67,U$8*PPA!$G$5*$Z68,0))</f>
        <v>-</v>
      </c>
      <c r="V68" s="430" t="n">
        <f aca="false">SUM(B68:U68)</f>
        <v>0</v>
      </c>
      <c r="W68" s="430" t="str">
        <f aca="false">IF($A$1="Peak","-",(730*PPA!$G$4*$Z68))</f>
        <v>-</v>
      </c>
      <c r="X68" s="430" t="n">
        <f aca="false">SUM(V68:W68)</f>
        <v>0</v>
      </c>
      <c r="Y68" s="430"/>
      <c r="Z68" s="430" t="n">
        <f aca="false">CHOOSE(QUOTIENT(MONTH($A68),3)+1,BaseLoad!$AM$9,BaseLoad!$AN$9,BaseLoad!$AL$9,BaseLoad!$AO$9,BaseLoad!$AM$9)</f>
        <v>0.95</v>
      </c>
      <c r="AA68" s="430" t="n">
        <f aca="false">CHOOSE(QUOTIENT(MONTH($A68),3)+1,BaseLoad!$AM$15,BaseLoad!$AN$15,BaseLoad!$AL$15,BaseLoad!$AO$15,BaseLoad!$AM$15)</f>
        <v>705</v>
      </c>
      <c r="AB68" s="431"/>
      <c r="AD68" s="431"/>
    </row>
    <row r="69" customFormat="false" ht="12.75" hidden="false" customHeight="false" outlineLevel="0" collapsed="false">
      <c r="A69" s="400" t="n">
        <f aca="false">A68+30.417</f>
        <v>38334.603</v>
      </c>
      <c r="B69" s="430" t="str">
        <f aca="false">IF($A$1="Peak","-",IF(BaseLoad!H68&gt;BaseLoad!$G68,B$8*PPA!$G$5*$Z69,0))</f>
        <v>-</v>
      </c>
      <c r="C69" s="430" t="str">
        <f aca="false">IF($A$1="Peak","-",IF(BaseLoad!I68&gt;BaseLoad!$G68,C$8*PPA!$G$5*$Z69,0))</f>
        <v>-</v>
      </c>
      <c r="D69" s="430" t="str">
        <f aca="false">IF($A$1="Peak","-",IF(BaseLoad!J68&gt;BaseLoad!$G68,D$8*PPA!$G$5*$Z69,0))</f>
        <v>-</v>
      </c>
      <c r="E69" s="430" t="str">
        <f aca="false">IF($A$1="Peak","-",IF(BaseLoad!K68&gt;BaseLoad!$G68,E$8*PPA!$G$5*$Z69,0))</f>
        <v>-</v>
      </c>
      <c r="F69" s="430" t="str">
        <f aca="false">IF($A$1="Peak","-",IF(BaseLoad!L68&gt;BaseLoad!$G68,F$8*PPA!$G$5*$Z69,0))</f>
        <v>-</v>
      </c>
      <c r="G69" s="430" t="str">
        <f aca="false">IF($A$1="Peak","-",IF(BaseLoad!M68&gt;BaseLoad!$G68,G$8*PPA!$G$5*$Z69,0))</f>
        <v>-</v>
      </c>
      <c r="H69" s="430" t="str">
        <f aca="false">IF($A$1="Peak","-",IF(BaseLoad!N68&gt;BaseLoad!$G68,H$8*PPA!$G$5*$Z69,0))</f>
        <v>-</v>
      </c>
      <c r="I69" s="430" t="str">
        <f aca="false">IF($A$1="Peak","-",IF(BaseLoad!O68&gt;BaseLoad!$G68,I$8*PPA!$G$5*$Z69,0))</f>
        <v>-</v>
      </c>
      <c r="J69" s="430" t="str">
        <f aca="false">IF($A$1="Peak","-",IF(BaseLoad!P68&gt;BaseLoad!$G68,J$8*PPA!$G$5*$Z69,0))</f>
        <v>-</v>
      </c>
      <c r="K69" s="430" t="str">
        <f aca="false">IF($A$1="Peak","-",IF(BaseLoad!Q68&gt;BaseLoad!$G68,K$8*PPA!$G$5*$Z69,0))</f>
        <v>-</v>
      </c>
      <c r="L69" s="430" t="str">
        <f aca="false">IF($A$1="Peak","-",IF(BaseLoad!R68&gt;BaseLoad!$G68,L$8*PPA!$G$5*$Z69,0))</f>
        <v>-</v>
      </c>
      <c r="M69" s="430" t="str">
        <f aca="false">IF($A$1="Peak","-",IF(BaseLoad!S68&gt;BaseLoad!$G68,M$8*PPA!$G$5*$Z69,0))</f>
        <v>-</v>
      </c>
      <c r="N69" s="430" t="str">
        <f aca="false">IF($A$1="Peak","-",IF(BaseLoad!T68&gt;BaseLoad!$G68,N$8*PPA!$G$5*$Z69,0))</f>
        <v>-</v>
      </c>
      <c r="O69" s="430" t="str">
        <f aca="false">IF($A$1="Peak","-",IF(BaseLoad!U68&gt;BaseLoad!$G68,O$8*PPA!$G$5*$Z69,0))</f>
        <v>-</v>
      </c>
      <c r="P69" s="430" t="str">
        <f aca="false">IF($A$1="Peak","-",IF(BaseLoad!V68&gt;BaseLoad!$G68,P$8*PPA!$G$5*$Z69,0))</f>
        <v>-</v>
      </c>
      <c r="Q69" s="430" t="str">
        <f aca="false">IF($A$1="Peak","-",IF(BaseLoad!W68&gt;BaseLoad!$G68,Q$8*PPA!$G$5*$Z69,0))</f>
        <v>-</v>
      </c>
      <c r="R69" s="430" t="str">
        <f aca="false">IF($A$1="Peak","-",IF(BaseLoad!X68&gt;BaseLoad!$G68,R$8*PPA!$G$5*$Z69,0))</f>
        <v>-</v>
      </c>
      <c r="S69" s="430" t="str">
        <f aca="false">IF($A$1="Peak","-",IF(BaseLoad!Y68&gt;BaseLoad!$G68,S$8*PPA!$G$5*$Z69,0))</f>
        <v>-</v>
      </c>
      <c r="T69" s="430" t="str">
        <f aca="false">IF($A$1="Peak","-",IF(BaseLoad!Z68&gt;BaseLoad!$G68,T$8*PPA!$G$5*$Z69,0))</f>
        <v>-</v>
      </c>
      <c r="U69" s="430" t="str">
        <f aca="false">IF($A$1="Peak","-",IF(BaseLoad!AA68&gt;BaseLoad!$G68,U$8*PPA!$G$5*$Z69,0))</f>
        <v>-</v>
      </c>
      <c r="V69" s="430" t="n">
        <f aca="false">SUM(B69:U69)</f>
        <v>0</v>
      </c>
      <c r="W69" s="430" t="str">
        <f aca="false">IF($A$1="Peak","-",(730*PPA!$G$4*$Z69))</f>
        <v>-</v>
      </c>
      <c r="X69" s="430" t="n">
        <f aca="false">SUM(V69:W69)</f>
        <v>0</v>
      </c>
      <c r="Y69" s="430" t="n">
        <f aca="false">SUM(X58:X69)</f>
        <v>0</v>
      </c>
      <c r="Z69" s="430" t="n">
        <f aca="false">CHOOSE(QUOTIENT(MONTH($A69),3)+1,BaseLoad!$AM$9,BaseLoad!$AN$9,BaseLoad!$AL$9,BaseLoad!$AO$9,BaseLoad!$AM$9)</f>
        <v>0.924276618786118</v>
      </c>
      <c r="AA69" s="430" t="n">
        <f aca="false">CHOOSE(QUOTIENT(MONTH($A69),3)+1,BaseLoad!$AM$15,BaseLoad!$AN$15,BaseLoad!$AL$15,BaseLoad!$AO$15,BaseLoad!$AM$15)</f>
        <v>705</v>
      </c>
      <c r="AB69" s="431"/>
      <c r="AD69" s="431"/>
    </row>
    <row r="70" customFormat="false" ht="12.75" hidden="false" customHeight="false" outlineLevel="0" collapsed="false">
      <c r="A70" s="400" t="n">
        <f aca="false">A69+30.417</f>
        <v>38365.02</v>
      </c>
      <c r="B70" s="430" t="str">
        <f aca="false">IF($A$1="Peak","-",IF(BaseLoad!H69&gt;BaseLoad!$G69,B$8*PPA!$G$5*$Z70,0))</f>
        <v>-</v>
      </c>
      <c r="C70" s="430" t="str">
        <f aca="false">IF($A$1="Peak","-",IF(BaseLoad!I69&gt;BaseLoad!$G69,C$8*PPA!$G$5*$Z70,0))</f>
        <v>-</v>
      </c>
      <c r="D70" s="430" t="str">
        <f aca="false">IF($A$1="Peak","-",IF(BaseLoad!J69&gt;BaseLoad!$G69,D$8*PPA!$G$5*$Z70,0))</f>
        <v>-</v>
      </c>
      <c r="E70" s="430" t="str">
        <f aca="false">IF($A$1="Peak","-",IF(BaseLoad!K69&gt;BaseLoad!$G69,E$8*PPA!$G$5*$Z70,0))</f>
        <v>-</v>
      </c>
      <c r="F70" s="430" t="str">
        <f aca="false">IF($A$1="Peak","-",IF(BaseLoad!L69&gt;BaseLoad!$G69,F$8*PPA!$G$5*$Z70,0))</f>
        <v>-</v>
      </c>
      <c r="G70" s="430" t="str">
        <f aca="false">IF($A$1="Peak","-",IF(BaseLoad!M69&gt;BaseLoad!$G69,G$8*PPA!$G$5*$Z70,0))</f>
        <v>-</v>
      </c>
      <c r="H70" s="430" t="str">
        <f aca="false">IF($A$1="Peak","-",IF(BaseLoad!N69&gt;BaseLoad!$G69,H$8*PPA!$G$5*$Z70,0))</f>
        <v>-</v>
      </c>
      <c r="I70" s="430" t="str">
        <f aca="false">IF($A$1="Peak","-",IF(BaseLoad!O69&gt;BaseLoad!$G69,I$8*PPA!$G$5*$Z70,0))</f>
        <v>-</v>
      </c>
      <c r="J70" s="430" t="str">
        <f aca="false">IF($A$1="Peak","-",IF(BaseLoad!P69&gt;BaseLoad!$G69,J$8*PPA!$G$5*$Z70,0))</f>
        <v>-</v>
      </c>
      <c r="K70" s="430" t="str">
        <f aca="false">IF($A$1="Peak","-",IF(BaseLoad!Q69&gt;BaseLoad!$G69,K$8*PPA!$G$5*$Z70,0))</f>
        <v>-</v>
      </c>
      <c r="L70" s="430" t="str">
        <f aca="false">IF($A$1="Peak","-",IF(BaseLoad!R69&gt;BaseLoad!$G69,L$8*PPA!$G$5*$Z70,0))</f>
        <v>-</v>
      </c>
      <c r="M70" s="430" t="str">
        <f aca="false">IF($A$1="Peak","-",IF(BaseLoad!S69&gt;BaseLoad!$G69,M$8*PPA!$G$5*$Z70,0))</f>
        <v>-</v>
      </c>
      <c r="N70" s="430" t="str">
        <f aca="false">IF($A$1="Peak","-",IF(BaseLoad!T69&gt;BaseLoad!$G69,N$8*PPA!$G$5*$Z70,0))</f>
        <v>-</v>
      </c>
      <c r="O70" s="430" t="str">
        <f aca="false">IF($A$1="Peak","-",IF(BaseLoad!U69&gt;BaseLoad!$G69,O$8*PPA!$G$5*$Z70,0))</f>
        <v>-</v>
      </c>
      <c r="P70" s="430" t="str">
        <f aca="false">IF($A$1="Peak","-",IF(BaseLoad!V69&gt;BaseLoad!$G69,P$8*PPA!$G$5*$Z70,0))</f>
        <v>-</v>
      </c>
      <c r="Q70" s="430" t="str">
        <f aca="false">IF($A$1="Peak","-",IF(BaseLoad!W69&gt;BaseLoad!$G69,Q$8*PPA!$G$5*$Z70,0))</f>
        <v>-</v>
      </c>
      <c r="R70" s="430" t="str">
        <f aca="false">IF($A$1="Peak","-",IF(BaseLoad!X69&gt;BaseLoad!$G69,R$8*PPA!$G$5*$Z70,0))</f>
        <v>-</v>
      </c>
      <c r="S70" s="430" t="str">
        <f aca="false">IF($A$1="Peak","-",IF(BaseLoad!Y69&gt;BaseLoad!$G69,S$8*PPA!$G$5*$Z70,0))</f>
        <v>-</v>
      </c>
      <c r="T70" s="430" t="str">
        <f aca="false">IF($A$1="Peak","-",IF(BaseLoad!Z69&gt;BaseLoad!$G69,T$8*PPA!$G$5*$Z70,0))</f>
        <v>-</v>
      </c>
      <c r="U70" s="430" t="str">
        <f aca="false">IF($A$1="Peak","-",IF(BaseLoad!AA69&gt;BaseLoad!$G69,U$8*PPA!$G$5*$Z70,0))</f>
        <v>-</v>
      </c>
      <c r="V70" s="430" t="n">
        <f aca="false">SUM(B70:U70)</f>
        <v>0</v>
      </c>
      <c r="W70" s="430" t="str">
        <f aca="false">IF($A$1="Peak","-",(730*PPA!$G$4*$Z70))</f>
        <v>-</v>
      </c>
      <c r="X70" s="430" t="n">
        <f aca="false">SUM(V70:W70)</f>
        <v>0</v>
      </c>
      <c r="Y70" s="430"/>
      <c r="Z70" s="430" t="n">
        <f aca="false">CHOOSE(QUOTIENT(MONTH($A70),3)+1,BaseLoad!$AM$9,BaseLoad!$AN$9,BaseLoad!$AL$9,BaseLoad!$AO$9,BaseLoad!$AM$9)</f>
        <v>0.924276618786118</v>
      </c>
      <c r="AA70" s="430" t="n">
        <f aca="false">CHOOSE(QUOTIENT(MONTH($A70),3)+1,BaseLoad!$AM$15,BaseLoad!$AN$15,BaseLoad!$AL$15,BaseLoad!$AO$15,BaseLoad!$AM$15)</f>
        <v>705</v>
      </c>
      <c r="AB70" s="431"/>
      <c r="AD70" s="431"/>
    </row>
    <row r="71" customFormat="false" ht="12.75" hidden="false" customHeight="false" outlineLevel="0" collapsed="false">
      <c r="A71" s="400" t="n">
        <f aca="false">A70+30.417</f>
        <v>38395.437</v>
      </c>
      <c r="B71" s="430" t="str">
        <f aca="false">IF($A$1="Peak","-",IF(BaseLoad!H70&gt;BaseLoad!$G70,B$8*PPA!$G$5*$Z71,0))</f>
        <v>-</v>
      </c>
      <c r="C71" s="430" t="str">
        <f aca="false">IF($A$1="Peak","-",IF(BaseLoad!I70&gt;BaseLoad!$G70,C$8*PPA!$G$5*$Z71,0))</f>
        <v>-</v>
      </c>
      <c r="D71" s="430" t="str">
        <f aca="false">IF($A$1="Peak","-",IF(BaseLoad!J70&gt;BaseLoad!$G70,D$8*PPA!$G$5*$Z71,0))</f>
        <v>-</v>
      </c>
      <c r="E71" s="430" t="str">
        <f aca="false">IF($A$1="Peak","-",IF(BaseLoad!K70&gt;BaseLoad!$G70,E$8*PPA!$G$5*$Z71,0))</f>
        <v>-</v>
      </c>
      <c r="F71" s="430" t="str">
        <f aca="false">IF($A$1="Peak","-",IF(BaseLoad!L70&gt;BaseLoad!$G70,F$8*PPA!$G$5*$Z71,0))</f>
        <v>-</v>
      </c>
      <c r="G71" s="430" t="str">
        <f aca="false">IF($A$1="Peak","-",IF(BaseLoad!M70&gt;BaseLoad!$G70,G$8*PPA!$G$5*$Z71,0))</f>
        <v>-</v>
      </c>
      <c r="H71" s="430" t="str">
        <f aca="false">IF($A$1="Peak","-",IF(BaseLoad!N70&gt;BaseLoad!$G70,H$8*PPA!$G$5*$Z71,0))</f>
        <v>-</v>
      </c>
      <c r="I71" s="430" t="str">
        <f aca="false">IF($A$1="Peak","-",IF(BaseLoad!O70&gt;BaseLoad!$G70,I$8*PPA!$G$5*$Z71,0))</f>
        <v>-</v>
      </c>
      <c r="J71" s="430" t="str">
        <f aca="false">IF($A$1="Peak","-",IF(BaseLoad!P70&gt;BaseLoad!$G70,J$8*PPA!$G$5*$Z71,0))</f>
        <v>-</v>
      </c>
      <c r="K71" s="430" t="str">
        <f aca="false">IF($A$1="Peak","-",IF(BaseLoad!Q70&gt;BaseLoad!$G70,K$8*PPA!$G$5*$Z71,0))</f>
        <v>-</v>
      </c>
      <c r="L71" s="430" t="str">
        <f aca="false">IF($A$1="Peak","-",IF(BaseLoad!R70&gt;BaseLoad!$G70,L$8*PPA!$G$5*$Z71,0))</f>
        <v>-</v>
      </c>
      <c r="M71" s="430" t="str">
        <f aca="false">IF($A$1="Peak","-",IF(BaseLoad!S70&gt;BaseLoad!$G70,M$8*PPA!$G$5*$Z71,0))</f>
        <v>-</v>
      </c>
      <c r="N71" s="430" t="str">
        <f aca="false">IF($A$1="Peak","-",IF(BaseLoad!T70&gt;BaseLoad!$G70,N$8*PPA!$G$5*$Z71,0))</f>
        <v>-</v>
      </c>
      <c r="O71" s="430" t="str">
        <f aca="false">IF($A$1="Peak","-",IF(BaseLoad!U70&gt;BaseLoad!$G70,O$8*PPA!$G$5*$Z71,0))</f>
        <v>-</v>
      </c>
      <c r="P71" s="430" t="str">
        <f aca="false">IF($A$1="Peak","-",IF(BaseLoad!V70&gt;BaseLoad!$G70,P$8*PPA!$G$5*$Z71,0))</f>
        <v>-</v>
      </c>
      <c r="Q71" s="430" t="str">
        <f aca="false">IF($A$1="Peak","-",IF(BaseLoad!W70&gt;BaseLoad!$G70,Q$8*PPA!$G$5*$Z71,0))</f>
        <v>-</v>
      </c>
      <c r="R71" s="430" t="str">
        <f aca="false">IF($A$1="Peak","-",IF(BaseLoad!X70&gt;BaseLoad!$G70,R$8*PPA!$G$5*$Z71,0))</f>
        <v>-</v>
      </c>
      <c r="S71" s="430" t="str">
        <f aca="false">IF($A$1="Peak","-",IF(BaseLoad!Y70&gt;BaseLoad!$G70,S$8*PPA!$G$5*$Z71,0))</f>
        <v>-</v>
      </c>
      <c r="T71" s="430" t="str">
        <f aca="false">IF($A$1="Peak","-",IF(BaseLoad!Z70&gt;BaseLoad!$G70,T$8*PPA!$G$5*$Z71,0))</f>
        <v>-</v>
      </c>
      <c r="U71" s="430" t="str">
        <f aca="false">IF($A$1="Peak","-",IF(BaseLoad!AA70&gt;BaseLoad!$G70,U$8*PPA!$G$5*$Z71,0))</f>
        <v>-</v>
      </c>
      <c r="V71" s="430" t="n">
        <f aca="false">SUM(B71:U71)</f>
        <v>0</v>
      </c>
      <c r="W71" s="430" t="str">
        <f aca="false">IF($A$1="Peak","-",(730*PPA!$G$4*$Z71))</f>
        <v>-</v>
      </c>
      <c r="X71" s="430" t="n">
        <f aca="false">SUM(V71:W71)</f>
        <v>0</v>
      </c>
      <c r="Y71" s="430"/>
      <c r="Z71" s="430" t="n">
        <f aca="false">CHOOSE(QUOTIENT(MONTH($A71),3)+1,BaseLoad!$AM$9,BaseLoad!$AN$9,BaseLoad!$AL$9,BaseLoad!$AO$9,BaseLoad!$AM$9)</f>
        <v>0.924276618786118</v>
      </c>
      <c r="AA71" s="430" t="n">
        <f aca="false">CHOOSE(QUOTIENT(MONTH($A71),3)+1,BaseLoad!$AM$15,BaseLoad!$AN$15,BaseLoad!$AL$15,BaseLoad!$AO$15,BaseLoad!$AM$15)</f>
        <v>705</v>
      </c>
      <c r="AB71" s="431"/>
      <c r="AD71" s="431"/>
    </row>
    <row r="72" customFormat="false" ht="12.75" hidden="false" customHeight="false" outlineLevel="0" collapsed="false">
      <c r="A72" s="400" t="n">
        <f aca="false">A71+30.417</f>
        <v>38425.854</v>
      </c>
      <c r="B72" s="430" t="str">
        <f aca="false">IF($A$1="Peak","-",IF(BaseLoad!H71&gt;BaseLoad!$G71,B$8*PPA!$G$5*$Z72,0))</f>
        <v>-</v>
      </c>
      <c r="C72" s="430" t="str">
        <f aca="false">IF($A$1="Peak","-",IF(BaseLoad!I71&gt;BaseLoad!$G71,C$8*PPA!$G$5*$Z72,0))</f>
        <v>-</v>
      </c>
      <c r="D72" s="430" t="str">
        <f aca="false">IF($A$1="Peak","-",IF(BaseLoad!J71&gt;BaseLoad!$G71,D$8*PPA!$G$5*$Z72,0))</f>
        <v>-</v>
      </c>
      <c r="E72" s="430" t="str">
        <f aca="false">IF($A$1="Peak","-",IF(BaseLoad!K71&gt;BaseLoad!$G71,E$8*PPA!$G$5*$Z72,0))</f>
        <v>-</v>
      </c>
      <c r="F72" s="430" t="str">
        <f aca="false">IF($A$1="Peak","-",IF(BaseLoad!L71&gt;BaseLoad!$G71,F$8*PPA!$G$5*$Z72,0))</f>
        <v>-</v>
      </c>
      <c r="G72" s="430" t="str">
        <f aca="false">IF($A$1="Peak","-",IF(BaseLoad!M71&gt;BaseLoad!$G71,G$8*PPA!$G$5*$Z72,0))</f>
        <v>-</v>
      </c>
      <c r="H72" s="430" t="str">
        <f aca="false">IF($A$1="Peak","-",IF(BaseLoad!N71&gt;BaseLoad!$G71,H$8*PPA!$G$5*$Z72,0))</f>
        <v>-</v>
      </c>
      <c r="I72" s="430" t="str">
        <f aca="false">IF($A$1="Peak","-",IF(BaseLoad!O71&gt;BaseLoad!$G71,I$8*PPA!$G$5*$Z72,0))</f>
        <v>-</v>
      </c>
      <c r="J72" s="430" t="str">
        <f aca="false">IF($A$1="Peak","-",IF(BaseLoad!P71&gt;BaseLoad!$G71,J$8*PPA!$G$5*$Z72,0))</f>
        <v>-</v>
      </c>
      <c r="K72" s="430" t="str">
        <f aca="false">IF($A$1="Peak","-",IF(BaseLoad!Q71&gt;BaseLoad!$G71,K$8*PPA!$G$5*$Z72,0))</f>
        <v>-</v>
      </c>
      <c r="L72" s="430" t="str">
        <f aca="false">IF($A$1="Peak","-",IF(BaseLoad!R71&gt;BaseLoad!$G71,L$8*PPA!$G$5*$Z72,0))</f>
        <v>-</v>
      </c>
      <c r="M72" s="430" t="str">
        <f aca="false">IF($A$1="Peak","-",IF(BaseLoad!S71&gt;BaseLoad!$G71,M$8*PPA!$G$5*$Z72,0))</f>
        <v>-</v>
      </c>
      <c r="N72" s="430" t="str">
        <f aca="false">IF($A$1="Peak","-",IF(BaseLoad!T71&gt;BaseLoad!$G71,N$8*PPA!$G$5*$Z72,0))</f>
        <v>-</v>
      </c>
      <c r="O72" s="430" t="str">
        <f aca="false">IF($A$1="Peak","-",IF(BaseLoad!U71&gt;BaseLoad!$G71,O$8*PPA!$G$5*$Z72,0))</f>
        <v>-</v>
      </c>
      <c r="P72" s="430" t="str">
        <f aca="false">IF($A$1="Peak","-",IF(BaseLoad!V71&gt;BaseLoad!$G71,P$8*PPA!$G$5*$Z72,0))</f>
        <v>-</v>
      </c>
      <c r="Q72" s="430" t="str">
        <f aca="false">IF($A$1="Peak","-",IF(BaseLoad!W71&gt;BaseLoad!$G71,Q$8*PPA!$G$5*$Z72,0))</f>
        <v>-</v>
      </c>
      <c r="R72" s="430" t="str">
        <f aca="false">IF($A$1="Peak","-",IF(BaseLoad!X71&gt;BaseLoad!$G71,R$8*PPA!$G$5*$Z72,0))</f>
        <v>-</v>
      </c>
      <c r="S72" s="430" t="str">
        <f aca="false">IF($A$1="Peak","-",IF(BaseLoad!Y71&gt;BaseLoad!$G71,S$8*PPA!$G$5*$Z72,0))</f>
        <v>-</v>
      </c>
      <c r="T72" s="430" t="str">
        <f aca="false">IF($A$1="Peak","-",IF(BaseLoad!Z71&gt;BaseLoad!$G71,T$8*PPA!$G$5*$Z72,0))</f>
        <v>-</v>
      </c>
      <c r="U72" s="430" t="str">
        <f aca="false">IF($A$1="Peak","-",IF(BaseLoad!AA71&gt;BaseLoad!$G71,U$8*PPA!$G$5*$Z72,0))</f>
        <v>-</v>
      </c>
      <c r="V72" s="430" t="n">
        <f aca="false">SUM(B72:U72)</f>
        <v>0</v>
      </c>
      <c r="W72" s="430" t="str">
        <f aca="false">IF($A$1="Peak","-",(730*PPA!$G$4*$Z72))</f>
        <v>-</v>
      </c>
      <c r="X72" s="430" t="n">
        <f aca="false">SUM(V72:W72)</f>
        <v>0</v>
      </c>
      <c r="Y72" s="430"/>
      <c r="Z72" s="430" t="n">
        <f aca="false">CHOOSE(QUOTIENT(MONTH($A72),3)+1,BaseLoad!$AM$9,BaseLoad!$AN$9,BaseLoad!$AL$9,BaseLoad!$AO$9,BaseLoad!$AM$9)</f>
        <v>0.95</v>
      </c>
      <c r="AA72" s="430" t="n">
        <f aca="false">CHOOSE(QUOTIENT(MONTH($A72),3)+1,BaseLoad!$AM$15,BaseLoad!$AN$15,BaseLoad!$AL$15,BaseLoad!$AO$15,BaseLoad!$AM$15)</f>
        <v>705</v>
      </c>
      <c r="AB72" s="431"/>
      <c r="AD72" s="431"/>
    </row>
    <row r="73" customFormat="false" ht="12.75" hidden="false" customHeight="false" outlineLevel="0" collapsed="false">
      <c r="A73" s="400" t="n">
        <f aca="false">A72+30.417</f>
        <v>38456.271</v>
      </c>
      <c r="B73" s="430" t="str">
        <f aca="false">IF($A$1="Peak","-",IF(BaseLoad!H72&gt;BaseLoad!$G72,B$8*PPA!$G$5*$Z73,0))</f>
        <v>-</v>
      </c>
      <c r="C73" s="430" t="str">
        <f aca="false">IF($A$1="Peak","-",IF(BaseLoad!I72&gt;BaseLoad!$G72,C$8*PPA!$G$5*$Z73,0))</f>
        <v>-</v>
      </c>
      <c r="D73" s="430" t="str">
        <f aca="false">IF($A$1="Peak","-",IF(BaseLoad!J72&gt;BaseLoad!$G72,D$8*PPA!$G$5*$Z73,0))</f>
        <v>-</v>
      </c>
      <c r="E73" s="430" t="str">
        <f aca="false">IF($A$1="Peak","-",IF(BaseLoad!K72&gt;BaseLoad!$G72,E$8*PPA!$G$5*$Z73,0))</f>
        <v>-</v>
      </c>
      <c r="F73" s="430" t="str">
        <f aca="false">IF($A$1="Peak","-",IF(BaseLoad!L72&gt;BaseLoad!$G72,F$8*PPA!$G$5*$Z73,0))</f>
        <v>-</v>
      </c>
      <c r="G73" s="430" t="str">
        <f aca="false">IF($A$1="Peak","-",IF(BaseLoad!M72&gt;BaseLoad!$G72,G$8*PPA!$G$5*$Z73,0))</f>
        <v>-</v>
      </c>
      <c r="H73" s="430" t="str">
        <f aca="false">IF($A$1="Peak","-",IF(BaseLoad!N72&gt;BaseLoad!$G72,H$8*PPA!$G$5*$Z73,0))</f>
        <v>-</v>
      </c>
      <c r="I73" s="430" t="str">
        <f aca="false">IF($A$1="Peak","-",IF(BaseLoad!O72&gt;BaseLoad!$G72,I$8*PPA!$G$5*$Z73,0))</f>
        <v>-</v>
      </c>
      <c r="J73" s="430" t="str">
        <f aca="false">IF($A$1="Peak","-",IF(BaseLoad!P72&gt;BaseLoad!$G72,J$8*PPA!$G$5*$Z73,0))</f>
        <v>-</v>
      </c>
      <c r="K73" s="430" t="str">
        <f aca="false">IF($A$1="Peak","-",IF(BaseLoad!Q72&gt;BaseLoad!$G72,K$8*PPA!$G$5*$Z73,0))</f>
        <v>-</v>
      </c>
      <c r="L73" s="430" t="str">
        <f aca="false">IF($A$1="Peak","-",IF(BaseLoad!R72&gt;BaseLoad!$G72,L$8*PPA!$G$5*$Z73,0))</f>
        <v>-</v>
      </c>
      <c r="M73" s="430" t="str">
        <f aca="false">IF($A$1="Peak","-",IF(BaseLoad!S72&gt;BaseLoad!$G72,M$8*PPA!$G$5*$Z73,0))</f>
        <v>-</v>
      </c>
      <c r="N73" s="430" t="str">
        <f aca="false">IF($A$1="Peak","-",IF(BaseLoad!T72&gt;BaseLoad!$G72,N$8*PPA!$G$5*$Z73,0))</f>
        <v>-</v>
      </c>
      <c r="O73" s="430" t="str">
        <f aca="false">IF($A$1="Peak","-",IF(BaseLoad!U72&gt;BaseLoad!$G72,O$8*PPA!$G$5*$Z73,0))</f>
        <v>-</v>
      </c>
      <c r="P73" s="430" t="str">
        <f aca="false">IF($A$1="Peak","-",IF(BaseLoad!V72&gt;BaseLoad!$G72,P$8*PPA!$G$5*$Z73,0))</f>
        <v>-</v>
      </c>
      <c r="Q73" s="430" t="str">
        <f aca="false">IF($A$1="Peak","-",IF(BaseLoad!W72&gt;BaseLoad!$G72,Q$8*PPA!$G$5*$Z73,0))</f>
        <v>-</v>
      </c>
      <c r="R73" s="430" t="str">
        <f aca="false">IF($A$1="Peak","-",IF(BaseLoad!X72&gt;BaseLoad!$G72,R$8*PPA!$G$5*$Z73,0))</f>
        <v>-</v>
      </c>
      <c r="S73" s="430" t="str">
        <f aca="false">IF($A$1="Peak","-",IF(BaseLoad!Y72&gt;BaseLoad!$G72,S$8*PPA!$G$5*$Z73,0))</f>
        <v>-</v>
      </c>
      <c r="T73" s="430" t="str">
        <f aca="false">IF($A$1="Peak","-",IF(BaseLoad!Z72&gt;BaseLoad!$G72,T$8*PPA!$G$5*$Z73,0))</f>
        <v>-</v>
      </c>
      <c r="U73" s="430" t="str">
        <f aca="false">IF($A$1="Peak","-",IF(BaseLoad!AA72&gt;BaseLoad!$G72,U$8*PPA!$G$5*$Z73,0))</f>
        <v>-</v>
      </c>
      <c r="V73" s="430" t="n">
        <f aca="false">SUM(B73:U73)</f>
        <v>0</v>
      </c>
      <c r="W73" s="430" t="str">
        <f aca="false">IF($A$1="Peak","-",(730*PPA!$G$4*$Z73))</f>
        <v>-</v>
      </c>
      <c r="X73" s="430" t="n">
        <f aca="false">SUM(V73:W73)</f>
        <v>0</v>
      </c>
      <c r="Y73" s="430"/>
      <c r="Z73" s="430" t="n">
        <f aca="false">CHOOSE(QUOTIENT(MONTH($A73),3)+1,BaseLoad!$AM$9,BaseLoad!$AN$9,BaseLoad!$AL$9,BaseLoad!$AO$9,BaseLoad!$AM$9)</f>
        <v>0.95</v>
      </c>
      <c r="AA73" s="430" t="n">
        <f aca="false">CHOOSE(QUOTIENT(MONTH($A73),3)+1,BaseLoad!$AM$15,BaseLoad!$AN$15,BaseLoad!$AL$15,BaseLoad!$AO$15,BaseLoad!$AM$15)</f>
        <v>705</v>
      </c>
      <c r="AB73" s="431"/>
      <c r="AD73" s="431"/>
    </row>
    <row r="74" customFormat="false" ht="12.75" hidden="false" customHeight="false" outlineLevel="0" collapsed="false">
      <c r="A74" s="400" t="n">
        <f aca="false">A73+30.417</f>
        <v>38486.688</v>
      </c>
      <c r="B74" s="430" t="str">
        <f aca="false">IF($A$1="Peak","-",IF(BaseLoad!H73&gt;BaseLoad!$G73,B$8*PPA!$G$5*$Z74,0))</f>
        <v>-</v>
      </c>
      <c r="C74" s="430" t="str">
        <f aca="false">IF($A$1="Peak","-",IF(BaseLoad!I73&gt;BaseLoad!$G73,C$8*PPA!$G$5*$Z74,0))</f>
        <v>-</v>
      </c>
      <c r="D74" s="430" t="str">
        <f aca="false">IF($A$1="Peak","-",IF(BaseLoad!J73&gt;BaseLoad!$G73,D$8*PPA!$G$5*$Z74,0))</f>
        <v>-</v>
      </c>
      <c r="E74" s="430" t="str">
        <f aca="false">IF($A$1="Peak","-",IF(BaseLoad!K73&gt;BaseLoad!$G73,E$8*PPA!$G$5*$Z74,0))</f>
        <v>-</v>
      </c>
      <c r="F74" s="430" t="str">
        <f aca="false">IF($A$1="Peak","-",IF(BaseLoad!L73&gt;BaseLoad!$G73,F$8*PPA!$G$5*$Z74,0))</f>
        <v>-</v>
      </c>
      <c r="G74" s="430" t="str">
        <f aca="false">IF($A$1="Peak","-",IF(BaseLoad!M73&gt;BaseLoad!$G73,G$8*PPA!$G$5*$Z74,0))</f>
        <v>-</v>
      </c>
      <c r="H74" s="430" t="str">
        <f aca="false">IF($A$1="Peak","-",IF(BaseLoad!N73&gt;BaseLoad!$G73,H$8*PPA!$G$5*$Z74,0))</f>
        <v>-</v>
      </c>
      <c r="I74" s="430" t="str">
        <f aca="false">IF($A$1="Peak","-",IF(BaseLoad!O73&gt;BaseLoad!$G73,I$8*PPA!$G$5*$Z74,0))</f>
        <v>-</v>
      </c>
      <c r="J74" s="430" t="str">
        <f aca="false">IF($A$1="Peak","-",IF(BaseLoad!P73&gt;BaseLoad!$G73,J$8*PPA!$G$5*$Z74,0))</f>
        <v>-</v>
      </c>
      <c r="K74" s="430" t="str">
        <f aca="false">IF($A$1="Peak","-",IF(BaseLoad!Q73&gt;BaseLoad!$G73,K$8*PPA!$G$5*$Z74,0))</f>
        <v>-</v>
      </c>
      <c r="L74" s="430" t="str">
        <f aca="false">IF($A$1="Peak","-",IF(BaseLoad!R73&gt;BaseLoad!$G73,L$8*PPA!$G$5*$Z74,0))</f>
        <v>-</v>
      </c>
      <c r="M74" s="430" t="str">
        <f aca="false">IF($A$1="Peak","-",IF(BaseLoad!S73&gt;BaseLoad!$G73,M$8*PPA!$G$5*$Z74,0))</f>
        <v>-</v>
      </c>
      <c r="N74" s="430" t="str">
        <f aca="false">IF($A$1="Peak","-",IF(BaseLoad!T73&gt;BaseLoad!$G73,N$8*PPA!$G$5*$Z74,0))</f>
        <v>-</v>
      </c>
      <c r="O74" s="430" t="str">
        <f aca="false">IF($A$1="Peak","-",IF(BaseLoad!U73&gt;BaseLoad!$G73,O$8*PPA!$G$5*$Z74,0))</f>
        <v>-</v>
      </c>
      <c r="P74" s="430" t="str">
        <f aca="false">IF($A$1="Peak","-",IF(BaseLoad!V73&gt;BaseLoad!$G73,P$8*PPA!$G$5*$Z74,0))</f>
        <v>-</v>
      </c>
      <c r="Q74" s="430" t="str">
        <f aca="false">IF($A$1="Peak","-",IF(BaseLoad!W73&gt;BaseLoad!$G73,Q$8*PPA!$G$5*$Z74,0))</f>
        <v>-</v>
      </c>
      <c r="R74" s="430" t="str">
        <f aca="false">IF($A$1="Peak","-",IF(BaseLoad!X73&gt;BaseLoad!$G73,R$8*PPA!$G$5*$Z74,0))</f>
        <v>-</v>
      </c>
      <c r="S74" s="430" t="str">
        <f aca="false">IF($A$1="Peak","-",IF(BaseLoad!Y73&gt;BaseLoad!$G73,S$8*PPA!$G$5*$Z74,0))</f>
        <v>-</v>
      </c>
      <c r="T74" s="430" t="str">
        <f aca="false">IF($A$1="Peak","-",IF(BaseLoad!Z73&gt;BaseLoad!$G73,T$8*PPA!$G$5*$Z74,0))</f>
        <v>-</v>
      </c>
      <c r="U74" s="430" t="str">
        <f aca="false">IF($A$1="Peak","-",IF(BaseLoad!AA73&gt;BaseLoad!$G73,U$8*PPA!$G$5*$Z74,0))</f>
        <v>-</v>
      </c>
      <c r="V74" s="430" t="n">
        <f aca="false">SUM(B74:U74)</f>
        <v>0</v>
      </c>
      <c r="W74" s="430" t="str">
        <f aca="false">IF($A$1="Peak","-",(730*PPA!$G$4*$Z74))</f>
        <v>-</v>
      </c>
      <c r="X74" s="430" t="n">
        <f aca="false">SUM(V74:W74)</f>
        <v>0</v>
      </c>
      <c r="Y74" s="430"/>
      <c r="Z74" s="430" t="n">
        <f aca="false">CHOOSE(QUOTIENT(MONTH($A74),3)+1,BaseLoad!$AM$9,BaseLoad!$AN$9,BaseLoad!$AL$9,BaseLoad!$AO$9,BaseLoad!$AM$9)</f>
        <v>0.95</v>
      </c>
      <c r="AA74" s="430" t="n">
        <f aca="false">CHOOSE(QUOTIENT(MONTH($A74),3)+1,BaseLoad!$AM$15,BaseLoad!$AN$15,BaseLoad!$AL$15,BaseLoad!$AO$15,BaseLoad!$AM$15)</f>
        <v>705</v>
      </c>
      <c r="AB74" s="431"/>
      <c r="AD74" s="431"/>
    </row>
    <row r="75" customFormat="false" ht="12.75" hidden="false" customHeight="false" outlineLevel="0" collapsed="false">
      <c r="A75" s="400" t="n">
        <f aca="false">A74+30.417</f>
        <v>38517.105</v>
      </c>
      <c r="B75" s="430" t="str">
        <f aca="false">IF($A$1="Peak","-",IF(BaseLoad!H74&gt;BaseLoad!$G74,B$8*PPA!$G$5*$Z75,0))</f>
        <v>-</v>
      </c>
      <c r="C75" s="430" t="str">
        <f aca="false">IF($A$1="Peak","-",IF(BaseLoad!I74&gt;BaseLoad!$G74,C$8*PPA!$G$5*$Z75,0))</f>
        <v>-</v>
      </c>
      <c r="D75" s="430" t="str">
        <f aca="false">IF($A$1="Peak","-",IF(BaseLoad!J74&gt;BaseLoad!$G74,D$8*PPA!$G$5*$Z75,0))</f>
        <v>-</v>
      </c>
      <c r="E75" s="430" t="str">
        <f aca="false">IF($A$1="Peak","-",IF(BaseLoad!K74&gt;BaseLoad!$G74,E$8*PPA!$G$5*$Z75,0))</f>
        <v>-</v>
      </c>
      <c r="F75" s="430" t="str">
        <f aca="false">IF($A$1="Peak","-",IF(BaseLoad!L74&gt;BaseLoad!$G74,F$8*PPA!$G$5*$Z75,0))</f>
        <v>-</v>
      </c>
      <c r="G75" s="430" t="str">
        <f aca="false">IF($A$1="Peak","-",IF(BaseLoad!M74&gt;BaseLoad!$G74,G$8*PPA!$G$5*$Z75,0))</f>
        <v>-</v>
      </c>
      <c r="H75" s="430" t="str">
        <f aca="false">IF($A$1="Peak","-",IF(BaseLoad!N74&gt;BaseLoad!$G74,H$8*PPA!$G$5*$Z75,0))</f>
        <v>-</v>
      </c>
      <c r="I75" s="430" t="str">
        <f aca="false">IF($A$1="Peak","-",IF(BaseLoad!O74&gt;BaseLoad!$G74,I$8*PPA!$G$5*$Z75,0))</f>
        <v>-</v>
      </c>
      <c r="J75" s="430" t="str">
        <f aca="false">IF($A$1="Peak","-",IF(BaseLoad!P74&gt;BaseLoad!$G74,J$8*PPA!$G$5*$Z75,0))</f>
        <v>-</v>
      </c>
      <c r="K75" s="430" t="str">
        <f aca="false">IF($A$1="Peak","-",IF(BaseLoad!Q74&gt;BaseLoad!$G74,K$8*PPA!$G$5*$Z75,0))</f>
        <v>-</v>
      </c>
      <c r="L75" s="430" t="str">
        <f aca="false">IF($A$1="Peak","-",IF(BaseLoad!R74&gt;BaseLoad!$G74,L$8*PPA!$G$5*$Z75,0))</f>
        <v>-</v>
      </c>
      <c r="M75" s="430" t="str">
        <f aca="false">IF($A$1="Peak","-",IF(BaseLoad!S74&gt;BaseLoad!$G74,M$8*PPA!$G$5*$Z75,0))</f>
        <v>-</v>
      </c>
      <c r="N75" s="430" t="str">
        <f aca="false">IF($A$1="Peak","-",IF(BaseLoad!T74&gt;BaseLoad!$G74,N$8*PPA!$G$5*$Z75,0))</f>
        <v>-</v>
      </c>
      <c r="O75" s="430" t="str">
        <f aca="false">IF($A$1="Peak","-",IF(BaseLoad!U74&gt;BaseLoad!$G74,O$8*PPA!$G$5*$Z75,0))</f>
        <v>-</v>
      </c>
      <c r="P75" s="430" t="str">
        <f aca="false">IF($A$1="Peak","-",IF(BaseLoad!V74&gt;BaseLoad!$G74,P$8*PPA!$G$5*$Z75,0))</f>
        <v>-</v>
      </c>
      <c r="Q75" s="430" t="str">
        <f aca="false">IF($A$1="Peak","-",IF(BaseLoad!W74&gt;BaseLoad!$G74,Q$8*PPA!$G$5*$Z75,0))</f>
        <v>-</v>
      </c>
      <c r="R75" s="430" t="str">
        <f aca="false">IF($A$1="Peak","-",IF(BaseLoad!X74&gt;BaseLoad!$G74,R$8*PPA!$G$5*$Z75,0))</f>
        <v>-</v>
      </c>
      <c r="S75" s="430" t="str">
        <f aca="false">IF($A$1="Peak","-",IF(BaseLoad!Y74&gt;BaseLoad!$G74,S$8*PPA!$G$5*$Z75,0))</f>
        <v>-</v>
      </c>
      <c r="T75" s="430" t="str">
        <f aca="false">IF($A$1="Peak","-",IF(BaseLoad!Z74&gt;BaseLoad!$G74,T$8*PPA!$G$5*$Z75,0))</f>
        <v>-</v>
      </c>
      <c r="U75" s="430" t="str">
        <f aca="false">IF($A$1="Peak","-",IF(BaseLoad!AA74&gt;BaseLoad!$G74,U$8*PPA!$G$5*$Z75,0))</f>
        <v>-</v>
      </c>
      <c r="V75" s="430" t="n">
        <f aca="false">SUM(B75:U75)</f>
        <v>0</v>
      </c>
      <c r="W75" s="430" t="str">
        <f aca="false">IF($A$1="Peak","-",(730*PPA!$G$4*$Z75))</f>
        <v>-</v>
      </c>
      <c r="X75" s="430" t="n">
        <f aca="false">SUM(V75:W75)</f>
        <v>0</v>
      </c>
      <c r="Y75" s="430"/>
      <c r="Z75" s="430" t="n">
        <f aca="false">CHOOSE(QUOTIENT(MONTH($A75),3)+1,BaseLoad!$AM$9,BaseLoad!$AN$9,BaseLoad!$AL$9,BaseLoad!$AO$9,BaseLoad!$AM$9)</f>
        <v>0.966121359095586</v>
      </c>
      <c r="AA75" s="430" t="n">
        <f aca="false">CHOOSE(QUOTIENT(MONTH($A75),3)+1,BaseLoad!$AM$15,BaseLoad!$AN$15,BaseLoad!$AL$15,BaseLoad!$AO$15,BaseLoad!$AM$15)</f>
        <v>705</v>
      </c>
      <c r="AB75" s="431"/>
      <c r="AD75" s="431"/>
    </row>
    <row r="76" customFormat="false" ht="12.75" hidden="false" customHeight="false" outlineLevel="0" collapsed="false">
      <c r="A76" s="400" t="n">
        <f aca="false">A75+30.417</f>
        <v>38547.522</v>
      </c>
      <c r="B76" s="430" t="str">
        <f aca="false">IF($A$1="Peak","-",IF(BaseLoad!H75&gt;BaseLoad!$G75,B$8*PPA!$G$5*$Z76,0))</f>
        <v>-</v>
      </c>
      <c r="C76" s="430" t="str">
        <f aca="false">IF($A$1="Peak","-",IF(BaseLoad!I75&gt;BaseLoad!$G75,C$8*PPA!$G$5*$Z76,0))</f>
        <v>-</v>
      </c>
      <c r="D76" s="430" t="str">
        <f aca="false">IF($A$1="Peak","-",IF(BaseLoad!J75&gt;BaseLoad!$G75,D$8*PPA!$G$5*$Z76,0))</f>
        <v>-</v>
      </c>
      <c r="E76" s="430" t="str">
        <f aca="false">IF($A$1="Peak","-",IF(BaseLoad!K75&gt;BaseLoad!$G75,E$8*PPA!$G$5*$Z76,0))</f>
        <v>-</v>
      </c>
      <c r="F76" s="430" t="str">
        <f aca="false">IF($A$1="Peak","-",IF(BaseLoad!L75&gt;BaseLoad!$G75,F$8*PPA!$G$5*$Z76,0))</f>
        <v>-</v>
      </c>
      <c r="G76" s="430" t="str">
        <f aca="false">IF($A$1="Peak","-",IF(BaseLoad!M75&gt;BaseLoad!$G75,G$8*PPA!$G$5*$Z76,0))</f>
        <v>-</v>
      </c>
      <c r="H76" s="430" t="str">
        <f aca="false">IF($A$1="Peak","-",IF(BaseLoad!N75&gt;BaseLoad!$G75,H$8*PPA!$G$5*$Z76,0))</f>
        <v>-</v>
      </c>
      <c r="I76" s="430" t="str">
        <f aca="false">IF($A$1="Peak","-",IF(BaseLoad!O75&gt;BaseLoad!$G75,I$8*PPA!$G$5*$Z76,0))</f>
        <v>-</v>
      </c>
      <c r="J76" s="430" t="str">
        <f aca="false">IF($A$1="Peak","-",IF(BaseLoad!P75&gt;BaseLoad!$G75,J$8*PPA!$G$5*$Z76,0))</f>
        <v>-</v>
      </c>
      <c r="K76" s="430" t="str">
        <f aca="false">IF($A$1="Peak","-",IF(BaseLoad!Q75&gt;BaseLoad!$G75,K$8*PPA!$G$5*$Z76,0))</f>
        <v>-</v>
      </c>
      <c r="L76" s="430" t="str">
        <f aca="false">IF($A$1="Peak","-",IF(BaseLoad!R75&gt;BaseLoad!$G75,L$8*PPA!$G$5*$Z76,0))</f>
        <v>-</v>
      </c>
      <c r="M76" s="430" t="str">
        <f aca="false">IF($A$1="Peak","-",IF(BaseLoad!S75&gt;BaseLoad!$G75,M$8*PPA!$G$5*$Z76,0))</f>
        <v>-</v>
      </c>
      <c r="N76" s="430" t="str">
        <f aca="false">IF($A$1="Peak","-",IF(BaseLoad!T75&gt;BaseLoad!$G75,N$8*PPA!$G$5*$Z76,0))</f>
        <v>-</v>
      </c>
      <c r="O76" s="430" t="str">
        <f aca="false">IF($A$1="Peak","-",IF(BaseLoad!U75&gt;BaseLoad!$G75,O$8*PPA!$G$5*$Z76,0))</f>
        <v>-</v>
      </c>
      <c r="P76" s="430" t="str">
        <f aca="false">IF($A$1="Peak","-",IF(BaseLoad!V75&gt;BaseLoad!$G75,P$8*PPA!$G$5*$Z76,0))</f>
        <v>-</v>
      </c>
      <c r="Q76" s="430" t="str">
        <f aca="false">IF($A$1="Peak","-",IF(BaseLoad!W75&gt;BaseLoad!$G75,Q$8*PPA!$G$5*$Z76,0))</f>
        <v>-</v>
      </c>
      <c r="R76" s="430" t="str">
        <f aca="false">IF($A$1="Peak","-",IF(BaseLoad!X75&gt;BaseLoad!$G75,R$8*PPA!$G$5*$Z76,0))</f>
        <v>-</v>
      </c>
      <c r="S76" s="430" t="str">
        <f aca="false">IF($A$1="Peak","-",IF(BaseLoad!Y75&gt;BaseLoad!$G75,S$8*PPA!$G$5*$Z76,0))</f>
        <v>-</v>
      </c>
      <c r="T76" s="430" t="str">
        <f aca="false">IF($A$1="Peak","-",IF(BaseLoad!Z75&gt;BaseLoad!$G75,T$8*PPA!$G$5*$Z76,0))</f>
        <v>-</v>
      </c>
      <c r="U76" s="430" t="str">
        <f aca="false">IF($A$1="Peak","-",IF(BaseLoad!AA75&gt;BaseLoad!$G75,U$8*PPA!$G$5*$Z76,0))</f>
        <v>-</v>
      </c>
      <c r="V76" s="430" t="n">
        <f aca="false">SUM(B76:U76)</f>
        <v>0</v>
      </c>
      <c r="W76" s="430" t="str">
        <f aca="false">IF($A$1="Peak","-",(730*PPA!$G$4*$Z76))</f>
        <v>-</v>
      </c>
      <c r="X76" s="430" t="n">
        <f aca="false">SUM(V76:W76)</f>
        <v>0</v>
      </c>
      <c r="Y76" s="430"/>
      <c r="Z76" s="430" t="n">
        <f aca="false">CHOOSE(QUOTIENT(MONTH($A76),3)+1,BaseLoad!$AM$9,BaseLoad!$AN$9,BaseLoad!$AL$9,BaseLoad!$AO$9,BaseLoad!$AM$9)</f>
        <v>0.966121359095586</v>
      </c>
      <c r="AA76" s="430" t="n">
        <f aca="false">CHOOSE(QUOTIENT(MONTH($A76),3)+1,BaseLoad!$AM$15,BaseLoad!$AN$15,BaseLoad!$AL$15,BaseLoad!$AO$15,BaseLoad!$AM$15)</f>
        <v>705</v>
      </c>
      <c r="AB76" s="431"/>
      <c r="AD76" s="431"/>
    </row>
    <row r="77" customFormat="false" ht="12.75" hidden="false" customHeight="false" outlineLevel="0" collapsed="false">
      <c r="A77" s="400" t="n">
        <f aca="false">A76+30.417</f>
        <v>38577.939</v>
      </c>
      <c r="B77" s="430" t="str">
        <f aca="false">IF($A$1="Peak","-",IF(BaseLoad!H76&gt;BaseLoad!$G76,B$8*PPA!$G$5*$Z77,0))</f>
        <v>-</v>
      </c>
      <c r="C77" s="430" t="str">
        <f aca="false">IF($A$1="Peak","-",IF(BaseLoad!I76&gt;BaseLoad!$G76,C$8*PPA!$G$5*$Z77,0))</f>
        <v>-</v>
      </c>
      <c r="D77" s="430" t="str">
        <f aca="false">IF($A$1="Peak","-",IF(BaseLoad!J76&gt;BaseLoad!$G76,D$8*PPA!$G$5*$Z77,0))</f>
        <v>-</v>
      </c>
      <c r="E77" s="430" t="str">
        <f aca="false">IF($A$1="Peak","-",IF(BaseLoad!K76&gt;BaseLoad!$G76,E$8*PPA!$G$5*$Z77,0))</f>
        <v>-</v>
      </c>
      <c r="F77" s="430" t="str">
        <f aca="false">IF($A$1="Peak","-",IF(BaseLoad!L76&gt;BaseLoad!$G76,F$8*PPA!$G$5*$Z77,0))</f>
        <v>-</v>
      </c>
      <c r="G77" s="430" t="str">
        <f aca="false">IF($A$1="Peak","-",IF(BaseLoad!M76&gt;BaseLoad!$G76,G$8*PPA!$G$5*$Z77,0))</f>
        <v>-</v>
      </c>
      <c r="H77" s="430" t="str">
        <f aca="false">IF($A$1="Peak","-",IF(BaseLoad!N76&gt;BaseLoad!$G76,H$8*PPA!$G$5*$Z77,0))</f>
        <v>-</v>
      </c>
      <c r="I77" s="430" t="str">
        <f aca="false">IF($A$1="Peak","-",IF(BaseLoad!O76&gt;BaseLoad!$G76,I$8*PPA!$G$5*$Z77,0))</f>
        <v>-</v>
      </c>
      <c r="J77" s="430" t="str">
        <f aca="false">IF($A$1="Peak","-",IF(BaseLoad!P76&gt;BaseLoad!$G76,J$8*PPA!$G$5*$Z77,0))</f>
        <v>-</v>
      </c>
      <c r="K77" s="430" t="str">
        <f aca="false">IF($A$1="Peak","-",IF(BaseLoad!Q76&gt;BaseLoad!$G76,K$8*PPA!$G$5*$Z77,0))</f>
        <v>-</v>
      </c>
      <c r="L77" s="430" t="str">
        <f aca="false">IF($A$1="Peak","-",IF(BaseLoad!R76&gt;BaseLoad!$G76,L$8*PPA!$G$5*$Z77,0))</f>
        <v>-</v>
      </c>
      <c r="M77" s="430" t="str">
        <f aca="false">IF($A$1="Peak","-",IF(BaseLoad!S76&gt;BaseLoad!$G76,M$8*PPA!$G$5*$Z77,0))</f>
        <v>-</v>
      </c>
      <c r="N77" s="430" t="str">
        <f aca="false">IF($A$1="Peak","-",IF(BaseLoad!T76&gt;BaseLoad!$G76,N$8*PPA!$G$5*$Z77,0))</f>
        <v>-</v>
      </c>
      <c r="O77" s="430" t="str">
        <f aca="false">IF($A$1="Peak","-",IF(BaseLoad!U76&gt;BaseLoad!$G76,O$8*PPA!$G$5*$Z77,0))</f>
        <v>-</v>
      </c>
      <c r="P77" s="430" t="str">
        <f aca="false">IF($A$1="Peak","-",IF(BaseLoad!V76&gt;BaseLoad!$G76,P$8*PPA!$G$5*$Z77,0))</f>
        <v>-</v>
      </c>
      <c r="Q77" s="430" t="str">
        <f aca="false">IF($A$1="Peak","-",IF(BaseLoad!W76&gt;BaseLoad!$G76,Q$8*PPA!$G$5*$Z77,0))</f>
        <v>-</v>
      </c>
      <c r="R77" s="430" t="str">
        <f aca="false">IF($A$1="Peak","-",IF(BaseLoad!X76&gt;BaseLoad!$G76,R$8*PPA!$G$5*$Z77,0))</f>
        <v>-</v>
      </c>
      <c r="S77" s="430" t="str">
        <f aca="false">IF($A$1="Peak","-",IF(BaseLoad!Y76&gt;BaseLoad!$G76,S$8*PPA!$G$5*$Z77,0))</f>
        <v>-</v>
      </c>
      <c r="T77" s="430" t="str">
        <f aca="false">IF($A$1="Peak","-",IF(BaseLoad!Z76&gt;BaseLoad!$G76,T$8*PPA!$G$5*$Z77,0))</f>
        <v>-</v>
      </c>
      <c r="U77" s="430" t="str">
        <f aca="false">IF($A$1="Peak","-",IF(BaseLoad!AA76&gt;BaseLoad!$G76,U$8*PPA!$G$5*$Z77,0))</f>
        <v>-</v>
      </c>
      <c r="V77" s="430" t="n">
        <f aca="false">SUM(B77:U77)</f>
        <v>0</v>
      </c>
      <c r="W77" s="430" t="str">
        <f aca="false">IF($A$1="Peak","-",(730*PPA!$G$4*$Z77))</f>
        <v>-</v>
      </c>
      <c r="X77" s="430" t="n">
        <f aca="false">SUM(V77:W77)</f>
        <v>0</v>
      </c>
      <c r="Y77" s="430"/>
      <c r="Z77" s="430" t="n">
        <f aca="false">CHOOSE(QUOTIENT(MONTH($A77),3)+1,BaseLoad!$AM$9,BaseLoad!$AN$9,BaseLoad!$AL$9,BaseLoad!$AO$9,BaseLoad!$AM$9)</f>
        <v>0.966121359095586</v>
      </c>
      <c r="AA77" s="430" t="n">
        <f aca="false">CHOOSE(QUOTIENT(MONTH($A77),3)+1,BaseLoad!$AM$15,BaseLoad!$AN$15,BaseLoad!$AL$15,BaseLoad!$AO$15,BaseLoad!$AM$15)</f>
        <v>705</v>
      </c>
      <c r="AB77" s="431"/>
      <c r="AD77" s="431"/>
    </row>
    <row r="78" customFormat="false" ht="12.75" hidden="false" customHeight="false" outlineLevel="0" collapsed="false">
      <c r="A78" s="400" t="n">
        <f aca="false">A77+30.417</f>
        <v>38608.356</v>
      </c>
      <c r="B78" s="430" t="str">
        <f aca="false">IF($A$1="Peak","-",IF(BaseLoad!H77&gt;BaseLoad!$G77,B$8*PPA!$G$5*$Z78,0))</f>
        <v>-</v>
      </c>
      <c r="C78" s="430" t="str">
        <f aca="false">IF($A$1="Peak","-",IF(BaseLoad!I77&gt;BaseLoad!$G77,C$8*PPA!$G$5*$Z78,0))</f>
        <v>-</v>
      </c>
      <c r="D78" s="430" t="str">
        <f aca="false">IF($A$1="Peak","-",IF(BaseLoad!J77&gt;BaseLoad!$G77,D$8*PPA!$G$5*$Z78,0))</f>
        <v>-</v>
      </c>
      <c r="E78" s="430" t="str">
        <f aca="false">IF($A$1="Peak","-",IF(BaseLoad!K77&gt;BaseLoad!$G77,E$8*PPA!$G$5*$Z78,0))</f>
        <v>-</v>
      </c>
      <c r="F78" s="430" t="str">
        <f aca="false">IF($A$1="Peak","-",IF(BaseLoad!L77&gt;BaseLoad!$G77,F$8*PPA!$G$5*$Z78,0))</f>
        <v>-</v>
      </c>
      <c r="G78" s="430" t="str">
        <f aca="false">IF($A$1="Peak","-",IF(BaseLoad!M77&gt;BaseLoad!$G77,G$8*PPA!$G$5*$Z78,0))</f>
        <v>-</v>
      </c>
      <c r="H78" s="430" t="str">
        <f aca="false">IF($A$1="Peak","-",IF(BaseLoad!N77&gt;BaseLoad!$G77,H$8*PPA!$G$5*$Z78,0))</f>
        <v>-</v>
      </c>
      <c r="I78" s="430" t="str">
        <f aca="false">IF($A$1="Peak","-",IF(BaseLoad!O77&gt;BaseLoad!$G77,I$8*PPA!$G$5*$Z78,0))</f>
        <v>-</v>
      </c>
      <c r="J78" s="430" t="str">
        <f aca="false">IF($A$1="Peak","-",IF(BaseLoad!P77&gt;BaseLoad!$G77,J$8*PPA!$G$5*$Z78,0))</f>
        <v>-</v>
      </c>
      <c r="K78" s="430" t="str">
        <f aca="false">IF($A$1="Peak","-",IF(BaseLoad!Q77&gt;BaseLoad!$G77,K$8*PPA!$G$5*$Z78,0))</f>
        <v>-</v>
      </c>
      <c r="L78" s="430" t="str">
        <f aca="false">IF($A$1="Peak","-",IF(BaseLoad!R77&gt;BaseLoad!$G77,L$8*PPA!$G$5*$Z78,0))</f>
        <v>-</v>
      </c>
      <c r="M78" s="430" t="str">
        <f aca="false">IF($A$1="Peak","-",IF(BaseLoad!S77&gt;BaseLoad!$G77,M$8*PPA!$G$5*$Z78,0))</f>
        <v>-</v>
      </c>
      <c r="N78" s="430" t="str">
        <f aca="false">IF($A$1="Peak","-",IF(BaseLoad!T77&gt;BaseLoad!$G77,N$8*PPA!$G$5*$Z78,0))</f>
        <v>-</v>
      </c>
      <c r="O78" s="430" t="str">
        <f aca="false">IF($A$1="Peak","-",IF(BaseLoad!U77&gt;BaseLoad!$G77,O$8*PPA!$G$5*$Z78,0))</f>
        <v>-</v>
      </c>
      <c r="P78" s="430" t="str">
        <f aca="false">IF($A$1="Peak","-",IF(BaseLoad!V77&gt;BaseLoad!$G77,P$8*PPA!$G$5*$Z78,0))</f>
        <v>-</v>
      </c>
      <c r="Q78" s="430" t="str">
        <f aca="false">IF($A$1="Peak","-",IF(BaseLoad!W77&gt;BaseLoad!$G77,Q$8*PPA!$G$5*$Z78,0))</f>
        <v>-</v>
      </c>
      <c r="R78" s="430" t="str">
        <f aca="false">IF($A$1="Peak","-",IF(BaseLoad!X77&gt;BaseLoad!$G77,R$8*PPA!$G$5*$Z78,0))</f>
        <v>-</v>
      </c>
      <c r="S78" s="430" t="str">
        <f aca="false">IF($A$1="Peak","-",IF(BaseLoad!Y77&gt;BaseLoad!$G77,S$8*PPA!$G$5*$Z78,0))</f>
        <v>-</v>
      </c>
      <c r="T78" s="430" t="str">
        <f aca="false">IF($A$1="Peak","-",IF(BaseLoad!Z77&gt;BaseLoad!$G77,T$8*PPA!$G$5*$Z78,0))</f>
        <v>-</v>
      </c>
      <c r="U78" s="430" t="str">
        <f aca="false">IF($A$1="Peak","-",IF(BaseLoad!AA77&gt;BaseLoad!$G77,U$8*PPA!$G$5*$Z78,0))</f>
        <v>-</v>
      </c>
      <c r="V78" s="430" t="n">
        <f aca="false">SUM(B78:U78)</f>
        <v>0</v>
      </c>
      <c r="W78" s="430" t="str">
        <f aca="false">IF($A$1="Peak","-",(730*PPA!$G$4*$Z78))</f>
        <v>-</v>
      </c>
      <c r="X78" s="430" t="n">
        <f aca="false">SUM(V78:W78)</f>
        <v>0</v>
      </c>
      <c r="Y78" s="430"/>
      <c r="Z78" s="430" t="n">
        <f aca="false">CHOOSE(QUOTIENT(MONTH($A78),3)+1,BaseLoad!$AM$9,BaseLoad!$AN$9,BaseLoad!$AL$9,BaseLoad!$AO$9,BaseLoad!$AM$9)</f>
        <v>0.95</v>
      </c>
      <c r="AA78" s="430" t="n">
        <f aca="false">CHOOSE(QUOTIENT(MONTH($A78),3)+1,BaseLoad!$AM$15,BaseLoad!$AN$15,BaseLoad!$AL$15,BaseLoad!$AO$15,BaseLoad!$AM$15)</f>
        <v>705</v>
      </c>
      <c r="AB78" s="431"/>
      <c r="AD78" s="431"/>
    </row>
    <row r="79" customFormat="false" ht="12.75" hidden="false" customHeight="false" outlineLevel="0" collapsed="false">
      <c r="A79" s="400" t="n">
        <f aca="false">A78+30.417</f>
        <v>38638.773</v>
      </c>
      <c r="B79" s="430" t="str">
        <f aca="false">IF($A$1="Peak","-",IF(BaseLoad!H78&gt;BaseLoad!$G78,B$8*PPA!$G$5*$Z79,0))</f>
        <v>-</v>
      </c>
      <c r="C79" s="430" t="str">
        <f aca="false">IF($A$1="Peak","-",IF(BaseLoad!I78&gt;BaseLoad!$G78,C$8*PPA!$G$5*$Z79,0))</f>
        <v>-</v>
      </c>
      <c r="D79" s="430" t="str">
        <f aca="false">IF($A$1="Peak","-",IF(BaseLoad!J78&gt;BaseLoad!$G78,D$8*PPA!$G$5*$Z79,0))</f>
        <v>-</v>
      </c>
      <c r="E79" s="430" t="str">
        <f aca="false">IF($A$1="Peak","-",IF(BaseLoad!K78&gt;BaseLoad!$G78,E$8*PPA!$G$5*$Z79,0))</f>
        <v>-</v>
      </c>
      <c r="F79" s="430" t="str">
        <f aca="false">IF($A$1="Peak","-",IF(BaseLoad!L78&gt;BaseLoad!$G78,F$8*PPA!$G$5*$Z79,0))</f>
        <v>-</v>
      </c>
      <c r="G79" s="430" t="str">
        <f aca="false">IF($A$1="Peak","-",IF(BaseLoad!M78&gt;BaseLoad!$G78,G$8*PPA!$G$5*$Z79,0))</f>
        <v>-</v>
      </c>
      <c r="H79" s="430" t="str">
        <f aca="false">IF($A$1="Peak","-",IF(BaseLoad!N78&gt;BaseLoad!$G78,H$8*PPA!$G$5*$Z79,0))</f>
        <v>-</v>
      </c>
      <c r="I79" s="430" t="str">
        <f aca="false">IF($A$1="Peak","-",IF(BaseLoad!O78&gt;BaseLoad!$G78,I$8*PPA!$G$5*$Z79,0))</f>
        <v>-</v>
      </c>
      <c r="J79" s="430" t="str">
        <f aca="false">IF($A$1="Peak","-",IF(BaseLoad!P78&gt;BaseLoad!$G78,J$8*PPA!$G$5*$Z79,0))</f>
        <v>-</v>
      </c>
      <c r="K79" s="430" t="str">
        <f aca="false">IF($A$1="Peak","-",IF(BaseLoad!Q78&gt;BaseLoad!$G78,K$8*PPA!$G$5*$Z79,0))</f>
        <v>-</v>
      </c>
      <c r="L79" s="430" t="str">
        <f aca="false">IF($A$1="Peak","-",IF(BaseLoad!R78&gt;BaseLoad!$G78,L$8*PPA!$G$5*$Z79,0))</f>
        <v>-</v>
      </c>
      <c r="M79" s="430" t="str">
        <f aca="false">IF($A$1="Peak","-",IF(BaseLoad!S78&gt;BaseLoad!$G78,M$8*PPA!$G$5*$Z79,0))</f>
        <v>-</v>
      </c>
      <c r="N79" s="430" t="str">
        <f aca="false">IF($A$1="Peak","-",IF(BaseLoad!T78&gt;BaseLoad!$G78,N$8*PPA!$G$5*$Z79,0))</f>
        <v>-</v>
      </c>
      <c r="O79" s="430" t="str">
        <f aca="false">IF($A$1="Peak","-",IF(BaseLoad!U78&gt;BaseLoad!$G78,O$8*PPA!$G$5*$Z79,0))</f>
        <v>-</v>
      </c>
      <c r="P79" s="430" t="str">
        <f aca="false">IF($A$1="Peak","-",IF(BaseLoad!V78&gt;BaseLoad!$G78,P$8*PPA!$G$5*$Z79,0))</f>
        <v>-</v>
      </c>
      <c r="Q79" s="430" t="str">
        <f aca="false">IF($A$1="Peak","-",IF(BaseLoad!W78&gt;BaseLoad!$G78,Q$8*PPA!$G$5*$Z79,0))</f>
        <v>-</v>
      </c>
      <c r="R79" s="430" t="str">
        <f aca="false">IF($A$1="Peak","-",IF(BaseLoad!X78&gt;BaseLoad!$G78,R$8*PPA!$G$5*$Z79,0))</f>
        <v>-</v>
      </c>
      <c r="S79" s="430" t="str">
        <f aca="false">IF($A$1="Peak","-",IF(BaseLoad!Y78&gt;BaseLoad!$G78,S$8*PPA!$G$5*$Z79,0))</f>
        <v>-</v>
      </c>
      <c r="T79" s="430" t="str">
        <f aca="false">IF($A$1="Peak","-",IF(BaseLoad!Z78&gt;BaseLoad!$G78,T$8*PPA!$G$5*$Z79,0))</f>
        <v>-</v>
      </c>
      <c r="U79" s="430" t="str">
        <f aca="false">IF($A$1="Peak","-",IF(BaseLoad!AA78&gt;BaseLoad!$G78,U$8*PPA!$G$5*$Z79,0))</f>
        <v>-</v>
      </c>
      <c r="V79" s="430" t="n">
        <f aca="false">SUM(B79:U79)</f>
        <v>0</v>
      </c>
      <c r="W79" s="430" t="str">
        <f aca="false">IF($A$1="Peak","-",(730*PPA!$G$4*$Z79))</f>
        <v>-</v>
      </c>
      <c r="X79" s="430" t="n">
        <f aca="false">SUM(V79:W79)</f>
        <v>0</v>
      </c>
      <c r="Y79" s="430"/>
      <c r="Z79" s="430" t="n">
        <f aca="false">CHOOSE(QUOTIENT(MONTH($A79),3)+1,BaseLoad!$AM$9,BaseLoad!$AN$9,BaseLoad!$AL$9,BaseLoad!$AO$9,BaseLoad!$AM$9)</f>
        <v>0.95</v>
      </c>
      <c r="AA79" s="430" t="n">
        <f aca="false">CHOOSE(QUOTIENT(MONTH($A79),3)+1,BaseLoad!$AM$15,BaseLoad!$AN$15,BaseLoad!$AL$15,BaseLoad!$AO$15,BaseLoad!$AM$15)</f>
        <v>705</v>
      </c>
      <c r="AB79" s="431"/>
      <c r="AD79" s="431"/>
    </row>
    <row r="80" customFormat="false" ht="12.75" hidden="false" customHeight="false" outlineLevel="0" collapsed="false">
      <c r="A80" s="400" t="n">
        <f aca="false">A79+30.417</f>
        <v>38669.19</v>
      </c>
      <c r="B80" s="430" t="str">
        <f aca="false">IF($A$1="Peak","-",IF(BaseLoad!H79&gt;BaseLoad!$G79,B$8*PPA!$G$5*$Z80,0))</f>
        <v>-</v>
      </c>
      <c r="C80" s="430" t="str">
        <f aca="false">IF($A$1="Peak","-",IF(BaseLoad!I79&gt;BaseLoad!$G79,C$8*PPA!$G$5*$Z80,0))</f>
        <v>-</v>
      </c>
      <c r="D80" s="430" t="str">
        <f aca="false">IF($A$1="Peak","-",IF(BaseLoad!J79&gt;BaseLoad!$G79,D$8*PPA!$G$5*$Z80,0))</f>
        <v>-</v>
      </c>
      <c r="E80" s="430" t="str">
        <f aca="false">IF($A$1="Peak","-",IF(BaseLoad!K79&gt;BaseLoad!$G79,E$8*PPA!$G$5*$Z80,0))</f>
        <v>-</v>
      </c>
      <c r="F80" s="430" t="str">
        <f aca="false">IF($A$1="Peak","-",IF(BaseLoad!L79&gt;BaseLoad!$G79,F$8*PPA!$G$5*$Z80,0))</f>
        <v>-</v>
      </c>
      <c r="G80" s="430" t="str">
        <f aca="false">IF($A$1="Peak","-",IF(BaseLoad!M79&gt;BaseLoad!$G79,G$8*PPA!$G$5*$Z80,0))</f>
        <v>-</v>
      </c>
      <c r="H80" s="430" t="str">
        <f aca="false">IF($A$1="Peak","-",IF(BaseLoad!N79&gt;BaseLoad!$G79,H$8*PPA!$G$5*$Z80,0))</f>
        <v>-</v>
      </c>
      <c r="I80" s="430" t="str">
        <f aca="false">IF($A$1="Peak","-",IF(BaseLoad!O79&gt;BaseLoad!$G79,I$8*PPA!$G$5*$Z80,0))</f>
        <v>-</v>
      </c>
      <c r="J80" s="430" t="str">
        <f aca="false">IF($A$1="Peak","-",IF(BaseLoad!P79&gt;BaseLoad!$G79,J$8*PPA!$G$5*$Z80,0))</f>
        <v>-</v>
      </c>
      <c r="K80" s="430" t="str">
        <f aca="false">IF($A$1="Peak","-",IF(BaseLoad!Q79&gt;BaseLoad!$G79,K$8*PPA!$G$5*$Z80,0))</f>
        <v>-</v>
      </c>
      <c r="L80" s="430" t="str">
        <f aca="false">IF($A$1="Peak","-",IF(BaseLoad!R79&gt;BaseLoad!$G79,L$8*PPA!$G$5*$Z80,0))</f>
        <v>-</v>
      </c>
      <c r="M80" s="430" t="str">
        <f aca="false">IF($A$1="Peak","-",IF(BaseLoad!S79&gt;BaseLoad!$G79,M$8*PPA!$G$5*$Z80,0))</f>
        <v>-</v>
      </c>
      <c r="N80" s="430" t="str">
        <f aca="false">IF($A$1="Peak","-",IF(BaseLoad!T79&gt;BaseLoad!$G79,N$8*PPA!$G$5*$Z80,0))</f>
        <v>-</v>
      </c>
      <c r="O80" s="430" t="str">
        <f aca="false">IF($A$1="Peak","-",IF(BaseLoad!U79&gt;BaseLoad!$G79,O$8*PPA!$G$5*$Z80,0))</f>
        <v>-</v>
      </c>
      <c r="P80" s="430" t="str">
        <f aca="false">IF($A$1="Peak","-",IF(BaseLoad!V79&gt;BaseLoad!$G79,P$8*PPA!$G$5*$Z80,0))</f>
        <v>-</v>
      </c>
      <c r="Q80" s="430" t="str">
        <f aca="false">IF($A$1="Peak","-",IF(BaseLoad!W79&gt;BaseLoad!$G79,Q$8*PPA!$G$5*$Z80,0))</f>
        <v>-</v>
      </c>
      <c r="R80" s="430" t="str">
        <f aca="false">IF($A$1="Peak","-",IF(BaseLoad!X79&gt;BaseLoad!$G79,R$8*PPA!$G$5*$Z80,0))</f>
        <v>-</v>
      </c>
      <c r="S80" s="430" t="str">
        <f aca="false">IF($A$1="Peak","-",IF(BaseLoad!Y79&gt;BaseLoad!$G79,S$8*PPA!$G$5*$Z80,0))</f>
        <v>-</v>
      </c>
      <c r="T80" s="430" t="str">
        <f aca="false">IF($A$1="Peak","-",IF(BaseLoad!Z79&gt;BaseLoad!$G79,T$8*PPA!$G$5*$Z80,0))</f>
        <v>-</v>
      </c>
      <c r="U80" s="430" t="str">
        <f aca="false">IF($A$1="Peak","-",IF(BaseLoad!AA79&gt;BaseLoad!$G79,U$8*PPA!$G$5*$Z80,0))</f>
        <v>-</v>
      </c>
      <c r="V80" s="430" t="n">
        <f aca="false">SUM(B80:U80)</f>
        <v>0</v>
      </c>
      <c r="W80" s="430" t="str">
        <f aca="false">IF($A$1="Peak","-",(730*PPA!$G$4*$Z80))</f>
        <v>-</v>
      </c>
      <c r="X80" s="430" t="n">
        <f aca="false">SUM(V80:W80)</f>
        <v>0</v>
      </c>
      <c r="Y80" s="430"/>
      <c r="Z80" s="430" t="n">
        <f aca="false">CHOOSE(QUOTIENT(MONTH($A80),3)+1,BaseLoad!$AM$9,BaseLoad!$AN$9,BaseLoad!$AL$9,BaseLoad!$AO$9,BaseLoad!$AM$9)</f>
        <v>0.95</v>
      </c>
      <c r="AA80" s="430" t="n">
        <f aca="false">CHOOSE(QUOTIENT(MONTH($A80),3)+1,BaseLoad!$AM$15,BaseLoad!$AN$15,BaseLoad!$AL$15,BaseLoad!$AO$15,BaseLoad!$AM$15)</f>
        <v>705</v>
      </c>
      <c r="AB80" s="431"/>
      <c r="AD80" s="431"/>
    </row>
    <row r="81" customFormat="false" ht="12.75" hidden="false" customHeight="false" outlineLevel="0" collapsed="false">
      <c r="A81" s="400" t="n">
        <f aca="false">A80+30.417</f>
        <v>38699.607</v>
      </c>
      <c r="B81" s="430" t="str">
        <f aca="false">IF($A$1="Peak","-",IF(BaseLoad!H80&gt;BaseLoad!$G80,B$8*PPA!$G$5*$Z81,0))</f>
        <v>-</v>
      </c>
      <c r="C81" s="430" t="str">
        <f aca="false">IF($A$1="Peak","-",IF(BaseLoad!I80&gt;BaseLoad!$G80,C$8*PPA!$G$5*$Z81,0))</f>
        <v>-</v>
      </c>
      <c r="D81" s="430" t="str">
        <f aca="false">IF($A$1="Peak","-",IF(BaseLoad!J80&gt;BaseLoad!$G80,D$8*PPA!$G$5*$Z81,0))</f>
        <v>-</v>
      </c>
      <c r="E81" s="430" t="str">
        <f aca="false">IF($A$1="Peak","-",IF(BaseLoad!K80&gt;BaseLoad!$G80,E$8*PPA!$G$5*$Z81,0))</f>
        <v>-</v>
      </c>
      <c r="F81" s="430" t="str">
        <f aca="false">IF($A$1="Peak","-",IF(BaseLoad!L80&gt;BaseLoad!$G80,F$8*PPA!$G$5*$Z81,0))</f>
        <v>-</v>
      </c>
      <c r="G81" s="430" t="str">
        <f aca="false">IF($A$1="Peak","-",IF(BaseLoad!M80&gt;BaseLoad!$G80,G$8*PPA!$G$5*$Z81,0))</f>
        <v>-</v>
      </c>
      <c r="H81" s="430" t="str">
        <f aca="false">IF($A$1="Peak","-",IF(BaseLoad!N80&gt;BaseLoad!$G80,H$8*PPA!$G$5*$Z81,0))</f>
        <v>-</v>
      </c>
      <c r="I81" s="430" t="str">
        <f aca="false">IF($A$1="Peak","-",IF(BaseLoad!O80&gt;BaseLoad!$G80,I$8*PPA!$G$5*$Z81,0))</f>
        <v>-</v>
      </c>
      <c r="J81" s="430" t="str">
        <f aca="false">IF($A$1="Peak","-",IF(BaseLoad!P80&gt;BaseLoad!$G80,J$8*PPA!$G$5*$Z81,0))</f>
        <v>-</v>
      </c>
      <c r="K81" s="430" t="str">
        <f aca="false">IF($A$1="Peak","-",IF(BaseLoad!Q80&gt;BaseLoad!$G80,K$8*PPA!$G$5*$Z81,0))</f>
        <v>-</v>
      </c>
      <c r="L81" s="430" t="str">
        <f aca="false">IF($A$1="Peak","-",IF(BaseLoad!R80&gt;BaseLoad!$G80,L$8*PPA!$G$5*$Z81,0))</f>
        <v>-</v>
      </c>
      <c r="M81" s="430" t="str">
        <f aca="false">IF($A$1="Peak","-",IF(BaseLoad!S80&gt;BaseLoad!$G80,M$8*PPA!$G$5*$Z81,0))</f>
        <v>-</v>
      </c>
      <c r="N81" s="430" t="str">
        <f aca="false">IF($A$1="Peak","-",IF(BaseLoad!T80&gt;BaseLoad!$G80,N$8*PPA!$G$5*$Z81,0))</f>
        <v>-</v>
      </c>
      <c r="O81" s="430" t="str">
        <f aca="false">IF($A$1="Peak","-",IF(BaseLoad!U80&gt;BaseLoad!$G80,O$8*PPA!$G$5*$Z81,0))</f>
        <v>-</v>
      </c>
      <c r="P81" s="430" t="str">
        <f aca="false">IF($A$1="Peak","-",IF(BaseLoad!V80&gt;BaseLoad!$G80,P$8*PPA!$G$5*$Z81,0))</f>
        <v>-</v>
      </c>
      <c r="Q81" s="430" t="str">
        <f aca="false">IF($A$1="Peak","-",IF(BaseLoad!W80&gt;BaseLoad!$G80,Q$8*PPA!$G$5*$Z81,0))</f>
        <v>-</v>
      </c>
      <c r="R81" s="430" t="str">
        <f aca="false">IF($A$1="Peak","-",IF(BaseLoad!X80&gt;BaseLoad!$G80,R$8*PPA!$G$5*$Z81,0))</f>
        <v>-</v>
      </c>
      <c r="S81" s="430" t="str">
        <f aca="false">IF($A$1="Peak","-",IF(BaseLoad!Y80&gt;BaseLoad!$G80,S$8*PPA!$G$5*$Z81,0))</f>
        <v>-</v>
      </c>
      <c r="T81" s="430" t="str">
        <f aca="false">IF($A$1="Peak","-",IF(BaseLoad!Z80&gt;BaseLoad!$G80,T$8*PPA!$G$5*$Z81,0))</f>
        <v>-</v>
      </c>
      <c r="U81" s="430" t="str">
        <f aca="false">IF($A$1="Peak","-",IF(BaseLoad!AA80&gt;BaseLoad!$G80,U$8*PPA!$G$5*$Z81,0))</f>
        <v>-</v>
      </c>
      <c r="V81" s="430" t="n">
        <f aca="false">SUM(B81:U81)</f>
        <v>0</v>
      </c>
      <c r="W81" s="430" t="str">
        <f aca="false">IF($A$1="Peak","-",(730*PPA!$G$4*$Z81))</f>
        <v>-</v>
      </c>
      <c r="X81" s="430" t="n">
        <f aca="false">SUM(V81:W81)</f>
        <v>0</v>
      </c>
      <c r="Y81" s="430" t="n">
        <f aca="false">SUM(X70:X81)</f>
        <v>0</v>
      </c>
      <c r="Z81" s="430" t="n">
        <f aca="false">CHOOSE(QUOTIENT(MONTH($A81),3)+1,BaseLoad!$AM$9,BaseLoad!$AN$9,BaseLoad!$AL$9,BaseLoad!$AO$9,BaseLoad!$AM$9)</f>
        <v>0.924276618786118</v>
      </c>
      <c r="AA81" s="430" t="n">
        <f aca="false">CHOOSE(QUOTIENT(MONTH($A81),3)+1,BaseLoad!$AM$15,BaseLoad!$AN$15,BaseLoad!$AL$15,BaseLoad!$AO$15,BaseLoad!$AM$15)</f>
        <v>705</v>
      </c>
      <c r="AB81" s="431"/>
      <c r="AD81" s="431"/>
    </row>
    <row r="82" customFormat="false" ht="12.75" hidden="false" customHeight="false" outlineLevel="0" collapsed="false">
      <c r="A82" s="400" t="n">
        <f aca="false">A81+30.417</f>
        <v>38730.024</v>
      </c>
      <c r="B82" s="432" t="str">
        <f aca="false">IF($A$1="Peak","-",IF(BaseLoad!H81&gt;BaseLoad!$G81,B$8*$Z82,0))</f>
        <v>-</v>
      </c>
      <c r="C82" s="432" t="str">
        <f aca="false">IF($A$1="Peak","-",IF(BaseLoad!I81&gt;BaseLoad!$G81,C$8*$Z82,0))</f>
        <v>-</v>
      </c>
      <c r="D82" s="432" t="str">
        <f aca="false">IF($A$1="Peak","-",IF(BaseLoad!J81&gt;BaseLoad!$G81,D$8*$Z82,0))</f>
        <v>-</v>
      </c>
      <c r="E82" s="432" t="str">
        <f aca="false">IF($A$1="Peak","-",IF(BaseLoad!K81&gt;BaseLoad!$G81,E$8*$Z82,0))</f>
        <v>-</v>
      </c>
      <c r="F82" s="432" t="str">
        <f aca="false">IF($A$1="Peak","-",IF(BaseLoad!L81&gt;BaseLoad!$G81,F$8*$Z82,0))</f>
        <v>-</v>
      </c>
      <c r="G82" s="432" t="str">
        <f aca="false">IF($A$1="Peak","-",IF(BaseLoad!M81&gt;BaseLoad!$G81,G$8*$Z82,0))</f>
        <v>-</v>
      </c>
      <c r="H82" s="432" t="str">
        <f aca="false">IF($A$1="Peak","-",IF(BaseLoad!N81&gt;BaseLoad!$G81,H$8*$Z82,0))</f>
        <v>-</v>
      </c>
      <c r="I82" s="432" t="str">
        <f aca="false">IF($A$1="Peak","-",IF(BaseLoad!O81&gt;BaseLoad!$G81,I$8*$Z82,0))</f>
        <v>-</v>
      </c>
      <c r="J82" s="432" t="str">
        <f aca="false">IF($A$1="Peak","-",IF(BaseLoad!P81&gt;BaseLoad!$G81,J$8*$Z82,0))</f>
        <v>-</v>
      </c>
      <c r="K82" s="432" t="str">
        <f aca="false">IF($A$1="Peak","-",IF(BaseLoad!Q81&gt;BaseLoad!$G81,K$8*$Z82,0))</f>
        <v>-</v>
      </c>
      <c r="L82" s="432" t="str">
        <f aca="false">IF($A$1="Peak","-",IF(BaseLoad!R81&gt;BaseLoad!$G81,L$8*$Z82,0))</f>
        <v>-</v>
      </c>
      <c r="M82" s="432" t="str">
        <f aca="false">IF($A$1="Peak","-",IF(BaseLoad!S81&gt;BaseLoad!$G81,M$8*$Z82,0))</f>
        <v>-</v>
      </c>
      <c r="N82" s="432" t="str">
        <f aca="false">IF($A$1="Peak","-",IF(BaseLoad!T81&gt;BaseLoad!$G81,N$8*$Z82,0))</f>
        <v>-</v>
      </c>
      <c r="O82" s="432" t="str">
        <f aca="false">IF($A$1="Peak","-",IF(BaseLoad!U81&gt;BaseLoad!$G81,O$8*$Z82,0))</f>
        <v>-</v>
      </c>
      <c r="P82" s="432" t="str">
        <f aca="false">IF($A$1="Peak","-",IF(BaseLoad!V81&gt;BaseLoad!$G81,P$8*$Z82,0))</f>
        <v>-</v>
      </c>
      <c r="Q82" s="432" t="str">
        <f aca="false">IF($A$1="Peak","-",IF(BaseLoad!W81&gt;BaseLoad!$G81,Q$8*$Z82,0))</f>
        <v>-</v>
      </c>
      <c r="R82" s="432" t="str">
        <f aca="false">IF($A$1="Peak","-",IF(BaseLoad!X81&gt;BaseLoad!$G81,R$8*$Z82,0))</f>
        <v>-</v>
      </c>
      <c r="S82" s="432" t="str">
        <f aca="false">IF($A$1="Peak","-",IF(BaseLoad!Y81&gt;BaseLoad!$G81,S$8*$Z82,0))</f>
        <v>-</v>
      </c>
      <c r="T82" s="432" t="str">
        <f aca="false">IF($A$1="Peak","-",IF(BaseLoad!Z81&gt;BaseLoad!$G81,T$8*$Z82,0))</f>
        <v>-</v>
      </c>
      <c r="U82" s="432" t="str">
        <f aca="false">IF($A$1="Peak","-",IF(BaseLoad!AA81&gt;BaseLoad!$G81,U$8*$Z82,0))</f>
        <v>-</v>
      </c>
      <c r="V82" s="432" t="n">
        <f aca="false">SUM(B82:U82)</f>
        <v>0</v>
      </c>
      <c r="W82" s="432"/>
      <c r="X82" s="432"/>
      <c r="Y82" s="432"/>
      <c r="Z82" s="432" t="n">
        <f aca="false">CHOOSE(QUOTIENT(MONTH($A82),3)+1,BaseLoad!$AM$9,BaseLoad!$AN$9,BaseLoad!$AL$9,BaseLoad!$AO$9,BaseLoad!$AM$9)</f>
        <v>0.924276618786118</v>
      </c>
      <c r="AA82" s="432" t="n">
        <f aca="false">CHOOSE(QUOTIENT(MONTH($A82),3)+1,BaseLoad!$AM$15,BaseLoad!$AN$15,BaseLoad!$AL$15,BaseLoad!$AO$15,BaseLoad!$AM$15)</f>
        <v>705</v>
      </c>
      <c r="AB82" s="431"/>
      <c r="AD82" s="431"/>
    </row>
    <row r="83" customFormat="false" ht="12.75" hidden="false" customHeight="false" outlineLevel="0" collapsed="false">
      <c r="A83" s="400" t="n">
        <f aca="false">A82+30.417</f>
        <v>38760.441</v>
      </c>
      <c r="B83" s="432" t="str">
        <f aca="false">IF($A$1="Peak","-",IF(BaseLoad!H82&gt;BaseLoad!$G82,B$8*$Z83,0))</f>
        <v>-</v>
      </c>
      <c r="C83" s="432" t="str">
        <f aca="false">IF($A$1="Peak","-",IF(BaseLoad!I82&gt;BaseLoad!$G82,C$8*$Z83,0))</f>
        <v>-</v>
      </c>
      <c r="D83" s="432" t="str">
        <f aca="false">IF($A$1="Peak","-",IF(BaseLoad!J82&gt;BaseLoad!$G82,D$8*$Z83,0))</f>
        <v>-</v>
      </c>
      <c r="E83" s="432" t="str">
        <f aca="false">IF($A$1="Peak","-",IF(BaseLoad!K82&gt;BaseLoad!$G82,E$8*$Z83,0))</f>
        <v>-</v>
      </c>
      <c r="F83" s="432" t="str">
        <f aca="false">IF($A$1="Peak","-",IF(BaseLoad!L82&gt;BaseLoad!$G82,F$8*$Z83,0))</f>
        <v>-</v>
      </c>
      <c r="G83" s="432" t="str">
        <f aca="false">IF($A$1="Peak","-",IF(BaseLoad!M82&gt;BaseLoad!$G82,G$8*$Z83,0))</f>
        <v>-</v>
      </c>
      <c r="H83" s="432" t="str">
        <f aca="false">IF($A$1="Peak","-",IF(BaseLoad!N82&gt;BaseLoad!$G82,H$8*$Z83,0))</f>
        <v>-</v>
      </c>
      <c r="I83" s="432" t="str">
        <f aca="false">IF($A$1="Peak","-",IF(BaseLoad!O82&gt;BaseLoad!$G82,I$8*$Z83,0))</f>
        <v>-</v>
      </c>
      <c r="J83" s="432" t="str">
        <f aca="false">IF($A$1="Peak","-",IF(BaseLoad!P82&gt;BaseLoad!$G82,J$8*$Z83,0))</f>
        <v>-</v>
      </c>
      <c r="K83" s="432" t="str">
        <f aca="false">IF($A$1="Peak","-",IF(BaseLoad!Q82&gt;BaseLoad!$G82,K$8*$Z83,0))</f>
        <v>-</v>
      </c>
      <c r="L83" s="432" t="str">
        <f aca="false">IF($A$1="Peak","-",IF(BaseLoad!R82&gt;BaseLoad!$G82,L$8*$Z83,0))</f>
        <v>-</v>
      </c>
      <c r="M83" s="432" t="str">
        <f aca="false">IF($A$1="Peak","-",IF(BaseLoad!S82&gt;BaseLoad!$G82,M$8*$Z83,0))</f>
        <v>-</v>
      </c>
      <c r="N83" s="432" t="str">
        <f aca="false">IF($A$1="Peak","-",IF(BaseLoad!T82&gt;BaseLoad!$G82,N$8*$Z83,0))</f>
        <v>-</v>
      </c>
      <c r="O83" s="432" t="str">
        <f aca="false">IF($A$1="Peak","-",IF(BaseLoad!U82&gt;BaseLoad!$G82,O$8*$Z83,0))</f>
        <v>-</v>
      </c>
      <c r="P83" s="432" t="str">
        <f aca="false">IF($A$1="Peak","-",IF(BaseLoad!V82&gt;BaseLoad!$G82,P$8*$Z83,0))</f>
        <v>-</v>
      </c>
      <c r="Q83" s="432" t="str">
        <f aca="false">IF($A$1="Peak","-",IF(BaseLoad!W82&gt;BaseLoad!$G82,Q$8*$Z83,0))</f>
        <v>-</v>
      </c>
      <c r="R83" s="432" t="str">
        <f aca="false">IF($A$1="Peak","-",IF(BaseLoad!X82&gt;BaseLoad!$G82,R$8*$Z83,0))</f>
        <v>-</v>
      </c>
      <c r="S83" s="432" t="str">
        <f aca="false">IF($A$1="Peak","-",IF(BaseLoad!Y82&gt;BaseLoad!$G82,S$8*$Z83,0))</f>
        <v>-</v>
      </c>
      <c r="T83" s="432" t="str">
        <f aca="false">IF($A$1="Peak","-",IF(BaseLoad!Z82&gt;BaseLoad!$G82,T$8*$Z83,0))</f>
        <v>-</v>
      </c>
      <c r="U83" s="432" t="str">
        <f aca="false">IF($A$1="Peak","-",IF(BaseLoad!AA82&gt;BaseLoad!$G82,U$8*$Z83,0))</f>
        <v>-</v>
      </c>
      <c r="V83" s="432" t="n">
        <f aca="false">SUM(B83:U83)</f>
        <v>0</v>
      </c>
      <c r="W83" s="432"/>
      <c r="X83" s="432"/>
      <c r="Y83" s="432"/>
      <c r="Z83" s="432" t="n">
        <f aca="false">CHOOSE(QUOTIENT(MONTH($A83),3)+1,BaseLoad!$AM$9,BaseLoad!$AN$9,BaseLoad!$AL$9,BaseLoad!$AO$9,BaseLoad!$AM$9)</f>
        <v>0.924276618786118</v>
      </c>
      <c r="AA83" s="432" t="n">
        <f aca="false">CHOOSE(QUOTIENT(MONTH($A83),3)+1,BaseLoad!$AM$15,BaseLoad!$AN$15,BaseLoad!$AL$15,BaseLoad!$AO$15,BaseLoad!$AM$15)</f>
        <v>705</v>
      </c>
      <c r="AB83" s="431"/>
      <c r="AD83" s="431"/>
    </row>
    <row r="84" customFormat="false" ht="12.75" hidden="false" customHeight="false" outlineLevel="0" collapsed="false">
      <c r="A84" s="400" t="n">
        <f aca="false">A83+30.417</f>
        <v>38790.858</v>
      </c>
      <c r="B84" s="432" t="str">
        <f aca="false">IF($A$1="Peak","-",IF(BaseLoad!H83&gt;BaseLoad!$G83,B$8*$Z84,0))</f>
        <v>-</v>
      </c>
      <c r="C84" s="432" t="str">
        <f aca="false">IF($A$1="Peak","-",IF(BaseLoad!I83&gt;BaseLoad!$G83,C$8*$Z84,0))</f>
        <v>-</v>
      </c>
      <c r="D84" s="432" t="str">
        <f aca="false">IF($A$1="Peak","-",IF(BaseLoad!J83&gt;BaseLoad!$G83,D$8*$Z84,0))</f>
        <v>-</v>
      </c>
      <c r="E84" s="432" t="str">
        <f aca="false">IF($A$1="Peak","-",IF(BaseLoad!K83&gt;BaseLoad!$G83,E$8*$Z84,0))</f>
        <v>-</v>
      </c>
      <c r="F84" s="432" t="str">
        <f aca="false">IF($A$1="Peak","-",IF(BaseLoad!L83&gt;BaseLoad!$G83,F$8*$Z84,0))</f>
        <v>-</v>
      </c>
      <c r="G84" s="432" t="str">
        <f aca="false">IF($A$1="Peak","-",IF(BaseLoad!M83&gt;BaseLoad!$G83,G$8*$Z84,0))</f>
        <v>-</v>
      </c>
      <c r="H84" s="432" t="str">
        <f aca="false">IF($A$1="Peak","-",IF(BaseLoad!N83&gt;BaseLoad!$G83,H$8*$Z84,0))</f>
        <v>-</v>
      </c>
      <c r="I84" s="432" t="str">
        <f aca="false">IF($A$1="Peak","-",IF(BaseLoad!O83&gt;BaseLoad!$G83,I$8*$Z84,0))</f>
        <v>-</v>
      </c>
      <c r="J84" s="432" t="str">
        <f aca="false">IF($A$1="Peak","-",IF(BaseLoad!P83&gt;BaseLoad!$G83,J$8*$Z84,0))</f>
        <v>-</v>
      </c>
      <c r="K84" s="432" t="str">
        <f aca="false">IF($A$1="Peak","-",IF(BaseLoad!Q83&gt;BaseLoad!$G83,K$8*$Z84,0))</f>
        <v>-</v>
      </c>
      <c r="L84" s="432" t="str">
        <f aca="false">IF($A$1="Peak","-",IF(BaseLoad!R83&gt;BaseLoad!$G83,L$8*$Z84,0))</f>
        <v>-</v>
      </c>
      <c r="M84" s="432" t="str">
        <f aca="false">IF($A$1="Peak","-",IF(BaseLoad!S83&gt;BaseLoad!$G83,M$8*$Z84,0))</f>
        <v>-</v>
      </c>
      <c r="N84" s="432" t="str">
        <f aca="false">IF($A$1="Peak","-",IF(BaseLoad!T83&gt;BaseLoad!$G83,N$8*$Z84,0))</f>
        <v>-</v>
      </c>
      <c r="O84" s="432" t="str">
        <f aca="false">IF($A$1="Peak","-",IF(BaseLoad!U83&gt;BaseLoad!$G83,O$8*$Z84,0))</f>
        <v>-</v>
      </c>
      <c r="P84" s="432" t="str">
        <f aca="false">IF($A$1="Peak","-",IF(BaseLoad!V83&gt;BaseLoad!$G83,P$8*$Z84,0))</f>
        <v>-</v>
      </c>
      <c r="Q84" s="432" t="str">
        <f aca="false">IF($A$1="Peak","-",IF(BaseLoad!W83&gt;BaseLoad!$G83,Q$8*$Z84,0))</f>
        <v>-</v>
      </c>
      <c r="R84" s="432" t="str">
        <f aca="false">IF($A$1="Peak","-",IF(BaseLoad!X83&gt;BaseLoad!$G83,R$8*$Z84,0))</f>
        <v>-</v>
      </c>
      <c r="S84" s="432" t="str">
        <f aca="false">IF($A$1="Peak","-",IF(BaseLoad!Y83&gt;BaseLoad!$G83,S$8*$Z84,0))</f>
        <v>-</v>
      </c>
      <c r="T84" s="432" t="str">
        <f aca="false">IF($A$1="Peak","-",IF(BaseLoad!Z83&gt;BaseLoad!$G83,T$8*$Z84,0))</f>
        <v>-</v>
      </c>
      <c r="U84" s="432" t="str">
        <f aca="false">IF($A$1="Peak","-",IF(BaseLoad!AA83&gt;BaseLoad!$G83,U$8*$Z84,0))</f>
        <v>-</v>
      </c>
      <c r="V84" s="432" t="n">
        <f aca="false">SUM(B84:U84)</f>
        <v>0</v>
      </c>
      <c r="W84" s="432"/>
      <c r="X84" s="432"/>
      <c r="Y84" s="432"/>
      <c r="Z84" s="432" t="n">
        <f aca="false">CHOOSE(QUOTIENT(MONTH($A84),3)+1,BaseLoad!$AM$9,BaseLoad!$AN$9,BaseLoad!$AL$9,BaseLoad!$AO$9,BaseLoad!$AM$9)</f>
        <v>0.95</v>
      </c>
      <c r="AA84" s="432" t="n">
        <f aca="false">CHOOSE(QUOTIENT(MONTH($A84),3)+1,BaseLoad!$AM$15,BaseLoad!$AN$15,BaseLoad!$AL$15,BaseLoad!$AO$15,BaseLoad!$AM$15)</f>
        <v>705</v>
      </c>
      <c r="AB84" s="431"/>
      <c r="AD84" s="431"/>
    </row>
    <row r="85" customFormat="false" ht="12.75" hidden="false" customHeight="false" outlineLevel="0" collapsed="false">
      <c r="A85" s="400" t="n">
        <f aca="false">A84+30.417</f>
        <v>38821.275</v>
      </c>
      <c r="B85" s="432" t="str">
        <f aca="false">IF($A$1="Peak","-",IF(BaseLoad!H84&gt;BaseLoad!$G84,B$8*$Z85,0))</f>
        <v>-</v>
      </c>
      <c r="C85" s="432" t="str">
        <f aca="false">IF($A$1="Peak","-",IF(BaseLoad!I84&gt;BaseLoad!$G84,C$8*$Z85,0))</f>
        <v>-</v>
      </c>
      <c r="D85" s="432" t="str">
        <f aca="false">IF($A$1="Peak","-",IF(BaseLoad!J84&gt;BaseLoad!$G84,D$8*$Z85,0))</f>
        <v>-</v>
      </c>
      <c r="E85" s="432" t="str">
        <f aca="false">IF($A$1="Peak","-",IF(BaseLoad!K84&gt;BaseLoad!$G84,E$8*$Z85,0))</f>
        <v>-</v>
      </c>
      <c r="F85" s="432" t="str">
        <f aca="false">IF($A$1="Peak","-",IF(BaseLoad!L84&gt;BaseLoad!$G84,F$8*$Z85,0))</f>
        <v>-</v>
      </c>
      <c r="G85" s="432" t="str">
        <f aca="false">IF($A$1="Peak","-",IF(BaseLoad!M84&gt;BaseLoad!$G84,G$8*$Z85,0))</f>
        <v>-</v>
      </c>
      <c r="H85" s="432" t="str">
        <f aca="false">IF($A$1="Peak","-",IF(BaseLoad!N84&gt;BaseLoad!$G84,H$8*$Z85,0))</f>
        <v>-</v>
      </c>
      <c r="I85" s="432" t="str">
        <f aca="false">IF($A$1="Peak","-",IF(BaseLoad!O84&gt;BaseLoad!$G84,I$8*$Z85,0))</f>
        <v>-</v>
      </c>
      <c r="J85" s="432" t="str">
        <f aca="false">IF($A$1="Peak","-",IF(BaseLoad!P84&gt;BaseLoad!$G84,J$8*$Z85,0))</f>
        <v>-</v>
      </c>
      <c r="K85" s="432" t="str">
        <f aca="false">IF($A$1="Peak","-",IF(BaseLoad!Q84&gt;BaseLoad!$G84,K$8*$Z85,0))</f>
        <v>-</v>
      </c>
      <c r="L85" s="432" t="str">
        <f aca="false">IF($A$1="Peak","-",IF(BaseLoad!R84&gt;BaseLoad!$G84,L$8*$Z85,0))</f>
        <v>-</v>
      </c>
      <c r="M85" s="432" t="str">
        <f aca="false">IF($A$1="Peak","-",IF(BaseLoad!S84&gt;BaseLoad!$G84,M$8*$Z85,0))</f>
        <v>-</v>
      </c>
      <c r="N85" s="432" t="str">
        <f aca="false">IF($A$1="Peak","-",IF(BaseLoad!T84&gt;BaseLoad!$G84,N$8*$Z85,0))</f>
        <v>-</v>
      </c>
      <c r="O85" s="432" t="str">
        <f aca="false">IF($A$1="Peak","-",IF(BaseLoad!U84&gt;BaseLoad!$G84,O$8*$Z85,0))</f>
        <v>-</v>
      </c>
      <c r="P85" s="432" t="str">
        <f aca="false">IF($A$1="Peak","-",IF(BaseLoad!V84&gt;BaseLoad!$G84,P$8*$Z85,0))</f>
        <v>-</v>
      </c>
      <c r="Q85" s="432" t="str">
        <f aca="false">IF($A$1="Peak","-",IF(BaseLoad!W84&gt;BaseLoad!$G84,Q$8*$Z85,0))</f>
        <v>-</v>
      </c>
      <c r="R85" s="432" t="str">
        <f aca="false">IF($A$1="Peak","-",IF(BaseLoad!X84&gt;BaseLoad!$G84,R$8*$Z85,0))</f>
        <v>-</v>
      </c>
      <c r="S85" s="432" t="str">
        <f aca="false">IF($A$1="Peak","-",IF(BaseLoad!Y84&gt;BaseLoad!$G84,S$8*$Z85,0))</f>
        <v>-</v>
      </c>
      <c r="T85" s="432" t="str">
        <f aca="false">IF($A$1="Peak","-",IF(BaseLoad!Z84&gt;BaseLoad!$G84,T$8*$Z85,0))</f>
        <v>-</v>
      </c>
      <c r="U85" s="432" t="str">
        <f aca="false">IF($A$1="Peak","-",IF(BaseLoad!AA84&gt;BaseLoad!$G84,U$8*$Z85,0))</f>
        <v>-</v>
      </c>
      <c r="V85" s="432" t="n">
        <f aca="false">SUM(B85:U85)</f>
        <v>0</v>
      </c>
      <c r="W85" s="432"/>
      <c r="X85" s="432"/>
      <c r="Y85" s="432"/>
      <c r="Z85" s="432" t="n">
        <f aca="false">CHOOSE(QUOTIENT(MONTH($A85),3)+1,BaseLoad!$AM$9,BaseLoad!$AN$9,BaseLoad!$AL$9,BaseLoad!$AO$9,BaseLoad!$AM$9)</f>
        <v>0.95</v>
      </c>
      <c r="AA85" s="432" t="n">
        <f aca="false">CHOOSE(QUOTIENT(MONTH($A85),3)+1,BaseLoad!$AM$15,BaseLoad!$AN$15,BaseLoad!$AL$15,BaseLoad!$AO$15,BaseLoad!$AM$15)</f>
        <v>705</v>
      </c>
      <c r="AB85" s="431"/>
      <c r="AD85" s="431"/>
    </row>
    <row r="86" customFormat="false" ht="12.75" hidden="false" customHeight="false" outlineLevel="0" collapsed="false">
      <c r="A86" s="400" t="n">
        <f aca="false">A85+30.417</f>
        <v>38851.692</v>
      </c>
      <c r="B86" s="432" t="str">
        <f aca="false">IF($A$1="Peak","-",IF(BaseLoad!H85&gt;BaseLoad!$G85,B$8*$Z86,0))</f>
        <v>-</v>
      </c>
      <c r="C86" s="432" t="str">
        <f aca="false">IF($A$1="Peak","-",IF(BaseLoad!I85&gt;BaseLoad!$G85,C$8*$Z86,0))</f>
        <v>-</v>
      </c>
      <c r="D86" s="432" t="str">
        <f aca="false">IF($A$1="Peak","-",IF(BaseLoad!J85&gt;BaseLoad!$G85,D$8*$Z86,0))</f>
        <v>-</v>
      </c>
      <c r="E86" s="432" t="str">
        <f aca="false">IF($A$1="Peak","-",IF(BaseLoad!K85&gt;BaseLoad!$G85,E$8*$Z86,0))</f>
        <v>-</v>
      </c>
      <c r="F86" s="432" t="str">
        <f aca="false">IF($A$1="Peak","-",IF(BaseLoad!L85&gt;BaseLoad!$G85,F$8*$Z86,0))</f>
        <v>-</v>
      </c>
      <c r="G86" s="432" t="str">
        <f aca="false">IF($A$1="Peak","-",IF(BaseLoad!M85&gt;BaseLoad!$G85,G$8*$Z86,0))</f>
        <v>-</v>
      </c>
      <c r="H86" s="432" t="str">
        <f aca="false">IF($A$1="Peak","-",IF(BaseLoad!N85&gt;BaseLoad!$G85,H$8*$Z86,0))</f>
        <v>-</v>
      </c>
      <c r="I86" s="432" t="str">
        <f aca="false">IF($A$1="Peak","-",IF(BaseLoad!O85&gt;BaseLoad!$G85,I$8*$Z86,0))</f>
        <v>-</v>
      </c>
      <c r="J86" s="432" t="str">
        <f aca="false">IF($A$1="Peak","-",IF(BaseLoad!P85&gt;BaseLoad!$G85,J$8*$Z86,0))</f>
        <v>-</v>
      </c>
      <c r="K86" s="432" t="str">
        <f aca="false">IF($A$1="Peak","-",IF(BaseLoad!Q85&gt;BaseLoad!$G85,K$8*$Z86,0))</f>
        <v>-</v>
      </c>
      <c r="L86" s="432" t="str">
        <f aca="false">IF($A$1="Peak","-",IF(BaseLoad!R85&gt;BaseLoad!$G85,L$8*$Z86,0))</f>
        <v>-</v>
      </c>
      <c r="M86" s="432" t="str">
        <f aca="false">IF($A$1="Peak","-",IF(BaseLoad!S85&gt;BaseLoad!$G85,M$8*$Z86,0))</f>
        <v>-</v>
      </c>
      <c r="N86" s="432" t="str">
        <f aca="false">IF($A$1="Peak","-",IF(BaseLoad!T85&gt;BaseLoad!$G85,N$8*$Z86,0))</f>
        <v>-</v>
      </c>
      <c r="O86" s="432" t="str">
        <f aca="false">IF($A$1="Peak","-",IF(BaseLoad!U85&gt;BaseLoad!$G85,O$8*$Z86,0))</f>
        <v>-</v>
      </c>
      <c r="P86" s="432" t="str">
        <f aca="false">IF($A$1="Peak","-",IF(BaseLoad!V85&gt;BaseLoad!$G85,P$8*$Z86,0))</f>
        <v>-</v>
      </c>
      <c r="Q86" s="432" t="str">
        <f aca="false">IF($A$1="Peak","-",IF(BaseLoad!W85&gt;BaseLoad!$G85,Q$8*$Z86,0))</f>
        <v>-</v>
      </c>
      <c r="R86" s="432" t="str">
        <f aca="false">IF($A$1="Peak","-",IF(BaseLoad!X85&gt;BaseLoad!$G85,R$8*$Z86,0))</f>
        <v>-</v>
      </c>
      <c r="S86" s="432" t="str">
        <f aca="false">IF($A$1="Peak","-",IF(BaseLoad!Y85&gt;BaseLoad!$G85,S$8*$Z86,0))</f>
        <v>-</v>
      </c>
      <c r="T86" s="432" t="str">
        <f aca="false">IF($A$1="Peak","-",IF(BaseLoad!Z85&gt;BaseLoad!$G85,T$8*$Z86,0))</f>
        <v>-</v>
      </c>
      <c r="U86" s="432" t="str">
        <f aca="false">IF($A$1="Peak","-",IF(BaseLoad!AA85&gt;BaseLoad!$G85,U$8*$Z86,0))</f>
        <v>-</v>
      </c>
      <c r="V86" s="432" t="n">
        <f aca="false">SUM(B86:U86)</f>
        <v>0</v>
      </c>
      <c r="W86" s="432"/>
      <c r="X86" s="432"/>
      <c r="Y86" s="432"/>
      <c r="Z86" s="432" t="n">
        <f aca="false">CHOOSE(QUOTIENT(MONTH($A86),3)+1,BaseLoad!$AM$9,BaseLoad!$AN$9,BaseLoad!$AL$9,BaseLoad!$AO$9,BaseLoad!$AM$9)</f>
        <v>0.95</v>
      </c>
      <c r="AA86" s="432" t="n">
        <f aca="false">CHOOSE(QUOTIENT(MONTH($A86),3)+1,BaseLoad!$AM$15,BaseLoad!$AN$15,BaseLoad!$AL$15,BaseLoad!$AO$15,BaseLoad!$AM$15)</f>
        <v>705</v>
      </c>
      <c r="AB86" s="431"/>
      <c r="AD86" s="431"/>
    </row>
    <row r="87" customFormat="false" ht="12.75" hidden="false" customHeight="false" outlineLevel="0" collapsed="false">
      <c r="A87" s="400" t="n">
        <f aca="false">A86+30.417</f>
        <v>38882.109</v>
      </c>
      <c r="B87" s="432" t="str">
        <f aca="false">IF($A$1="Peak","-",IF(BaseLoad!H86&gt;BaseLoad!$G86,B$8*$Z87,0))</f>
        <v>-</v>
      </c>
      <c r="C87" s="432" t="str">
        <f aca="false">IF($A$1="Peak","-",IF(BaseLoad!I86&gt;BaseLoad!$G86,C$8*$Z87,0))</f>
        <v>-</v>
      </c>
      <c r="D87" s="432" t="str">
        <f aca="false">IF($A$1="Peak","-",IF(BaseLoad!J86&gt;BaseLoad!$G86,D$8*$Z87,0))</f>
        <v>-</v>
      </c>
      <c r="E87" s="432" t="str">
        <f aca="false">IF($A$1="Peak","-",IF(BaseLoad!K86&gt;BaseLoad!$G86,E$8*$Z87,0))</f>
        <v>-</v>
      </c>
      <c r="F87" s="432" t="str">
        <f aca="false">IF($A$1="Peak","-",IF(BaseLoad!L86&gt;BaseLoad!$G86,F$8*$Z87,0))</f>
        <v>-</v>
      </c>
      <c r="G87" s="432" t="str">
        <f aca="false">IF($A$1="Peak","-",IF(BaseLoad!M86&gt;BaseLoad!$G86,G$8*$Z87,0))</f>
        <v>-</v>
      </c>
      <c r="H87" s="432" t="str">
        <f aca="false">IF($A$1="Peak","-",IF(BaseLoad!N86&gt;BaseLoad!$G86,H$8*$Z87,0))</f>
        <v>-</v>
      </c>
      <c r="I87" s="432" t="str">
        <f aca="false">IF($A$1="Peak","-",IF(BaseLoad!O86&gt;BaseLoad!$G86,I$8*$Z87,0))</f>
        <v>-</v>
      </c>
      <c r="J87" s="432" t="str">
        <f aca="false">IF($A$1="Peak","-",IF(BaseLoad!P86&gt;BaseLoad!$G86,J$8*$Z87,0))</f>
        <v>-</v>
      </c>
      <c r="K87" s="432" t="str">
        <f aca="false">IF($A$1="Peak","-",IF(BaseLoad!Q86&gt;BaseLoad!$G86,K$8*$Z87,0))</f>
        <v>-</v>
      </c>
      <c r="L87" s="432" t="str">
        <f aca="false">IF($A$1="Peak","-",IF(BaseLoad!R86&gt;BaseLoad!$G86,L$8*$Z87,0))</f>
        <v>-</v>
      </c>
      <c r="M87" s="432" t="str">
        <f aca="false">IF($A$1="Peak","-",IF(BaseLoad!S86&gt;BaseLoad!$G86,M$8*$Z87,0))</f>
        <v>-</v>
      </c>
      <c r="N87" s="432" t="str">
        <f aca="false">IF($A$1="Peak","-",IF(BaseLoad!T86&gt;BaseLoad!$G86,N$8*$Z87,0))</f>
        <v>-</v>
      </c>
      <c r="O87" s="432" t="str">
        <f aca="false">IF($A$1="Peak","-",IF(BaseLoad!U86&gt;BaseLoad!$G86,O$8*$Z87,0))</f>
        <v>-</v>
      </c>
      <c r="P87" s="432" t="str">
        <f aca="false">IF($A$1="Peak","-",IF(BaseLoad!V86&gt;BaseLoad!$G86,P$8*$Z87,0))</f>
        <v>-</v>
      </c>
      <c r="Q87" s="432" t="str">
        <f aca="false">IF($A$1="Peak","-",IF(BaseLoad!W86&gt;BaseLoad!$G86,Q$8*$Z87,0))</f>
        <v>-</v>
      </c>
      <c r="R87" s="432" t="str">
        <f aca="false">IF($A$1="Peak","-",IF(BaseLoad!X86&gt;BaseLoad!$G86,R$8*$Z87,0))</f>
        <v>-</v>
      </c>
      <c r="S87" s="432" t="str">
        <f aca="false">IF($A$1="Peak","-",IF(BaseLoad!Y86&gt;BaseLoad!$G86,S$8*$Z87,0))</f>
        <v>-</v>
      </c>
      <c r="T87" s="432" t="str">
        <f aca="false">IF($A$1="Peak","-",IF(BaseLoad!Z86&gt;BaseLoad!$G86,T$8*$Z87,0))</f>
        <v>-</v>
      </c>
      <c r="U87" s="432" t="str">
        <f aca="false">IF($A$1="Peak","-",IF(BaseLoad!AA86&gt;BaseLoad!$G86,U$8*$Z87,0))</f>
        <v>-</v>
      </c>
      <c r="V87" s="432" t="n">
        <f aca="false">SUM(B87:U87)</f>
        <v>0</v>
      </c>
      <c r="W87" s="432"/>
      <c r="X87" s="432"/>
      <c r="Y87" s="432"/>
      <c r="Z87" s="432" t="n">
        <f aca="false">CHOOSE(QUOTIENT(MONTH($A87),3)+1,BaseLoad!$AM$9,BaseLoad!$AN$9,BaseLoad!$AL$9,BaseLoad!$AO$9,BaseLoad!$AM$9)</f>
        <v>0.966121359095586</v>
      </c>
      <c r="AA87" s="432" t="n">
        <f aca="false">CHOOSE(QUOTIENT(MONTH($A87),3)+1,BaseLoad!$AM$15,BaseLoad!$AN$15,BaseLoad!$AL$15,BaseLoad!$AO$15,BaseLoad!$AM$15)</f>
        <v>705</v>
      </c>
      <c r="AB87" s="431"/>
      <c r="AD87" s="431"/>
    </row>
    <row r="88" customFormat="false" ht="12.75" hidden="false" customHeight="false" outlineLevel="0" collapsed="false">
      <c r="A88" s="400" t="n">
        <f aca="false">A87+30.417</f>
        <v>38912.526</v>
      </c>
      <c r="B88" s="432" t="str">
        <f aca="false">IF($A$1="Peak","-",IF(BaseLoad!H87&gt;BaseLoad!$G87,B$8*$Z88,0))</f>
        <v>-</v>
      </c>
      <c r="C88" s="432" t="str">
        <f aca="false">IF($A$1="Peak","-",IF(BaseLoad!I87&gt;BaseLoad!$G87,C$8*$Z88,0))</f>
        <v>-</v>
      </c>
      <c r="D88" s="432" t="str">
        <f aca="false">IF($A$1="Peak","-",IF(BaseLoad!J87&gt;BaseLoad!$G87,D$8*$Z88,0))</f>
        <v>-</v>
      </c>
      <c r="E88" s="432" t="str">
        <f aca="false">IF($A$1="Peak","-",IF(BaseLoad!K87&gt;BaseLoad!$G87,E$8*$Z88,0))</f>
        <v>-</v>
      </c>
      <c r="F88" s="432" t="str">
        <f aca="false">IF($A$1="Peak","-",IF(BaseLoad!L87&gt;BaseLoad!$G87,F$8*$Z88,0))</f>
        <v>-</v>
      </c>
      <c r="G88" s="432" t="str">
        <f aca="false">IF($A$1="Peak","-",IF(BaseLoad!M87&gt;BaseLoad!$G87,G$8*$Z88,0))</f>
        <v>-</v>
      </c>
      <c r="H88" s="432" t="str">
        <f aca="false">IF($A$1="Peak","-",IF(BaseLoad!N87&gt;BaseLoad!$G87,H$8*$Z88,0))</f>
        <v>-</v>
      </c>
      <c r="I88" s="432" t="str">
        <f aca="false">IF($A$1="Peak","-",IF(BaseLoad!O87&gt;BaseLoad!$G87,I$8*$Z88,0))</f>
        <v>-</v>
      </c>
      <c r="J88" s="432" t="str">
        <f aca="false">IF($A$1="Peak","-",IF(BaseLoad!P87&gt;BaseLoad!$G87,J$8*$Z88,0))</f>
        <v>-</v>
      </c>
      <c r="K88" s="432" t="str">
        <f aca="false">IF($A$1="Peak","-",IF(BaseLoad!Q87&gt;BaseLoad!$G87,K$8*$Z88,0))</f>
        <v>-</v>
      </c>
      <c r="L88" s="432" t="str">
        <f aca="false">IF($A$1="Peak","-",IF(BaseLoad!R87&gt;BaseLoad!$G87,L$8*$Z88,0))</f>
        <v>-</v>
      </c>
      <c r="M88" s="432" t="str">
        <f aca="false">IF($A$1="Peak","-",IF(BaseLoad!S87&gt;BaseLoad!$G87,M$8*$Z88,0))</f>
        <v>-</v>
      </c>
      <c r="N88" s="432" t="str">
        <f aca="false">IF($A$1="Peak","-",IF(BaseLoad!T87&gt;BaseLoad!$G87,N$8*$Z88,0))</f>
        <v>-</v>
      </c>
      <c r="O88" s="432" t="str">
        <f aca="false">IF($A$1="Peak","-",IF(BaseLoad!U87&gt;BaseLoad!$G87,O$8*$Z88,0))</f>
        <v>-</v>
      </c>
      <c r="P88" s="432" t="str">
        <f aca="false">IF($A$1="Peak","-",IF(BaseLoad!V87&gt;BaseLoad!$G87,P$8*$Z88,0))</f>
        <v>-</v>
      </c>
      <c r="Q88" s="432" t="str">
        <f aca="false">IF($A$1="Peak","-",IF(BaseLoad!W87&gt;BaseLoad!$G87,Q$8*$Z88,0))</f>
        <v>-</v>
      </c>
      <c r="R88" s="432" t="str">
        <f aca="false">IF($A$1="Peak","-",IF(BaseLoad!X87&gt;BaseLoad!$G87,R$8*$Z88,0))</f>
        <v>-</v>
      </c>
      <c r="S88" s="432" t="str">
        <f aca="false">IF($A$1="Peak","-",IF(BaseLoad!Y87&gt;BaseLoad!$G87,S$8*$Z88,0))</f>
        <v>-</v>
      </c>
      <c r="T88" s="432" t="str">
        <f aca="false">IF($A$1="Peak","-",IF(BaseLoad!Z87&gt;BaseLoad!$G87,T$8*$Z88,0))</f>
        <v>-</v>
      </c>
      <c r="U88" s="432" t="str">
        <f aca="false">IF($A$1="Peak","-",IF(BaseLoad!AA87&gt;BaseLoad!$G87,U$8*$Z88,0))</f>
        <v>-</v>
      </c>
      <c r="V88" s="432" t="n">
        <f aca="false">SUM(B88:U88)</f>
        <v>0</v>
      </c>
      <c r="W88" s="432"/>
      <c r="X88" s="432"/>
      <c r="Y88" s="432"/>
      <c r="Z88" s="432" t="n">
        <f aca="false">CHOOSE(QUOTIENT(MONTH($A88),3)+1,BaseLoad!$AM$9,BaseLoad!$AN$9,BaseLoad!$AL$9,BaseLoad!$AO$9,BaseLoad!$AM$9)</f>
        <v>0.966121359095586</v>
      </c>
      <c r="AA88" s="432" t="n">
        <f aca="false">CHOOSE(QUOTIENT(MONTH($A88),3)+1,BaseLoad!$AM$15,BaseLoad!$AN$15,BaseLoad!$AL$15,BaseLoad!$AO$15,BaseLoad!$AM$15)</f>
        <v>705</v>
      </c>
      <c r="AB88" s="431"/>
      <c r="AD88" s="431"/>
    </row>
    <row r="89" customFormat="false" ht="12.75" hidden="false" customHeight="false" outlineLevel="0" collapsed="false">
      <c r="A89" s="400" t="n">
        <f aca="false">A88+30.417</f>
        <v>38942.943</v>
      </c>
      <c r="B89" s="432" t="str">
        <f aca="false">IF($A$1="Peak","-",IF(BaseLoad!H88&gt;BaseLoad!$G88,B$8*$Z89,0))</f>
        <v>-</v>
      </c>
      <c r="C89" s="432" t="str">
        <f aca="false">IF($A$1="Peak","-",IF(BaseLoad!I88&gt;BaseLoad!$G88,C$8*$Z89,0))</f>
        <v>-</v>
      </c>
      <c r="D89" s="432" t="str">
        <f aca="false">IF($A$1="Peak","-",IF(BaseLoad!J88&gt;BaseLoad!$G88,D$8*$Z89,0))</f>
        <v>-</v>
      </c>
      <c r="E89" s="432" t="str">
        <f aca="false">IF($A$1="Peak","-",IF(BaseLoad!K88&gt;BaseLoad!$G88,E$8*$Z89,0))</f>
        <v>-</v>
      </c>
      <c r="F89" s="432" t="str">
        <f aca="false">IF($A$1="Peak","-",IF(BaseLoad!L88&gt;BaseLoad!$G88,F$8*$Z89,0))</f>
        <v>-</v>
      </c>
      <c r="G89" s="432" t="str">
        <f aca="false">IF($A$1="Peak","-",IF(BaseLoad!M88&gt;BaseLoad!$G88,G$8*$Z89,0))</f>
        <v>-</v>
      </c>
      <c r="H89" s="432" t="str">
        <f aca="false">IF($A$1="Peak","-",IF(BaseLoad!N88&gt;BaseLoad!$G88,H$8*$Z89,0))</f>
        <v>-</v>
      </c>
      <c r="I89" s="432" t="str">
        <f aca="false">IF($A$1="Peak","-",IF(BaseLoad!O88&gt;BaseLoad!$G88,I$8*$Z89,0))</f>
        <v>-</v>
      </c>
      <c r="J89" s="432" t="str">
        <f aca="false">IF($A$1="Peak","-",IF(BaseLoad!P88&gt;BaseLoad!$G88,J$8*$Z89,0))</f>
        <v>-</v>
      </c>
      <c r="K89" s="432" t="str">
        <f aca="false">IF($A$1="Peak","-",IF(BaseLoad!Q88&gt;BaseLoad!$G88,K$8*$Z89,0))</f>
        <v>-</v>
      </c>
      <c r="L89" s="432" t="str">
        <f aca="false">IF($A$1="Peak","-",IF(BaseLoad!R88&gt;BaseLoad!$G88,L$8*$Z89,0))</f>
        <v>-</v>
      </c>
      <c r="M89" s="432" t="str">
        <f aca="false">IF($A$1="Peak","-",IF(BaseLoad!S88&gt;BaseLoad!$G88,M$8*$Z89,0))</f>
        <v>-</v>
      </c>
      <c r="N89" s="432" t="str">
        <f aca="false">IF($A$1="Peak","-",IF(BaseLoad!T88&gt;BaseLoad!$G88,N$8*$Z89,0))</f>
        <v>-</v>
      </c>
      <c r="O89" s="432" t="str">
        <f aca="false">IF($A$1="Peak","-",IF(BaseLoad!U88&gt;BaseLoad!$G88,O$8*$Z89,0))</f>
        <v>-</v>
      </c>
      <c r="P89" s="432" t="str">
        <f aca="false">IF($A$1="Peak","-",IF(BaseLoad!V88&gt;BaseLoad!$G88,P$8*$Z89,0))</f>
        <v>-</v>
      </c>
      <c r="Q89" s="432" t="str">
        <f aca="false">IF($A$1="Peak","-",IF(BaseLoad!W88&gt;BaseLoad!$G88,Q$8*$Z89,0))</f>
        <v>-</v>
      </c>
      <c r="R89" s="432" t="str">
        <f aca="false">IF($A$1="Peak","-",IF(BaseLoad!X88&gt;BaseLoad!$G88,R$8*$Z89,0))</f>
        <v>-</v>
      </c>
      <c r="S89" s="432" t="str">
        <f aca="false">IF($A$1="Peak","-",IF(BaseLoad!Y88&gt;BaseLoad!$G88,S$8*$Z89,0))</f>
        <v>-</v>
      </c>
      <c r="T89" s="432" t="str">
        <f aca="false">IF($A$1="Peak","-",IF(BaseLoad!Z88&gt;BaseLoad!$G88,T$8*$Z89,0))</f>
        <v>-</v>
      </c>
      <c r="U89" s="432" t="str">
        <f aca="false">IF($A$1="Peak","-",IF(BaseLoad!AA88&gt;BaseLoad!$G88,U$8*$Z89,0))</f>
        <v>-</v>
      </c>
      <c r="V89" s="432" t="n">
        <f aca="false">SUM(B89:U89)</f>
        <v>0</v>
      </c>
      <c r="W89" s="432"/>
      <c r="X89" s="432"/>
      <c r="Y89" s="432"/>
      <c r="Z89" s="432" t="n">
        <f aca="false">CHOOSE(QUOTIENT(MONTH($A89),3)+1,BaseLoad!$AM$9,BaseLoad!$AN$9,BaseLoad!$AL$9,BaseLoad!$AO$9,BaseLoad!$AM$9)</f>
        <v>0.966121359095586</v>
      </c>
      <c r="AA89" s="432" t="n">
        <f aca="false">CHOOSE(QUOTIENT(MONTH($A89),3)+1,BaseLoad!$AM$15,BaseLoad!$AN$15,BaseLoad!$AL$15,BaseLoad!$AO$15,BaseLoad!$AM$15)</f>
        <v>705</v>
      </c>
      <c r="AB89" s="431"/>
      <c r="AD89" s="431"/>
    </row>
    <row r="90" customFormat="false" ht="12.75" hidden="false" customHeight="false" outlineLevel="0" collapsed="false">
      <c r="A90" s="400" t="n">
        <f aca="false">A89+30.417</f>
        <v>38973.36</v>
      </c>
      <c r="B90" s="432" t="str">
        <f aca="false">IF($A$1="Peak","-",IF(BaseLoad!H89&gt;BaseLoad!$G89,B$8*$Z90,0))</f>
        <v>-</v>
      </c>
      <c r="C90" s="432" t="str">
        <f aca="false">IF($A$1="Peak","-",IF(BaseLoad!I89&gt;BaseLoad!$G89,C$8*$Z90,0))</f>
        <v>-</v>
      </c>
      <c r="D90" s="432" t="str">
        <f aca="false">IF($A$1="Peak","-",IF(BaseLoad!J89&gt;BaseLoad!$G89,D$8*$Z90,0))</f>
        <v>-</v>
      </c>
      <c r="E90" s="432" t="str">
        <f aca="false">IF($A$1="Peak","-",IF(BaseLoad!K89&gt;BaseLoad!$G89,E$8*$Z90,0))</f>
        <v>-</v>
      </c>
      <c r="F90" s="432" t="str">
        <f aca="false">IF($A$1="Peak","-",IF(BaseLoad!L89&gt;BaseLoad!$G89,F$8*$Z90,0))</f>
        <v>-</v>
      </c>
      <c r="G90" s="432" t="str">
        <f aca="false">IF($A$1="Peak","-",IF(BaseLoad!M89&gt;BaseLoad!$G89,G$8*$Z90,0))</f>
        <v>-</v>
      </c>
      <c r="H90" s="432" t="str">
        <f aca="false">IF($A$1="Peak","-",IF(BaseLoad!N89&gt;BaseLoad!$G89,H$8*$Z90,0))</f>
        <v>-</v>
      </c>
      <c r="I90" s="432" t="str">
        <f aca="false">IF($A$1="Peak","-",IF(BaseLoad!O89&gt;BaseLoad!$G89,I$8*$Z90,0))</f>
        <v>-</v>
      </c>
      <c r="J90" s="432" t="str">
        <f aca="false">IF($A$1="Peak","-",IF(BaseLoad!P89&gt;BaseLoad!$G89,J$8*$Z90,0))</f>
        <v>-</v>
      </c>
      <c r="K90" s="432" t="str">
        <f aca="false">IF($A$1="Peak","-",IF(BaseLoad!Q89&gt;BaseLoad!$G89,K$8*$Z90,0))</f>
        <v>-</v>
      </c>
      <c r="L90" s="432" t="str">
        <f aca="false">IF($A$1="Peak","-",IF(BaseLoad!R89&gt;BaseLoad!$G89,L$8*$Z90,0))</f>
        <v>-</v>
      </c>
      <c r="M90" s="432" t="str">
        <f aca="false">IF($A$1="Peak","-",IF(BaseLoad!S89&gt;BaseLoad!$G89,M$8*$Z90,0))</f>
        <v>-</v>
      </c>
      <c r="N90" s="432" t="str">
        <f aca="false">IF($A$1="Peak","-",IF(BaseLoad!T89&gt;BaseLoad!$G89,N$8*$Z90,0))</f>
        <v>-</v>
      </c>
      <c r="O90" s="432" t="str">
        <f aca="false">IF($A$1="Peak","-",IF(BaseLoad!U89&gt;BaseLoad!$G89,O$8*$Z90,0))</f>
        <v>-</v>
      </c>
      <c r="P90" s="432" t="str">
        <f aca="false">IF($A$1="Peak","-",IF(BaseLoad!V89&gt;BaseLoad!$G89,P$8*$Z90,0))</f>
        <v>-</v>
      </c>
      <c r="Q90" s="432" t="str">
        <f aca="false">IF($A$1="Peak","-",IF(BaseLoad!W89&gt;BaseLoad!$G89,Q$8*$Z90,0))</f>
        <v>-</v>
      </c>
      <c r="R90" s="432" t="str">
        <f aca="false">IF($A$1="Peak","-",IF(BaseLoad!X89&gt;BaseLoad!$G89,R$8*$Z90,0))</f>
        <v>-</v>
      </c>
      <c r="S90" s="432" t="str">
        <f aca="false">IF($A$1="Peak","-",IF(BaseLoad!Y89&gt;BaseLoad!$G89,S$8*$Z90,0))</f>
        <v>-</v>
      </c>
      <c r="T90" s="432" t="str">
        <f aca="false">IF($A$1="Peak","-",IF(BaseLoad!Z89&gt;BaseLoad!$G89,T$8*$Z90,0))</f>
        <v>-</v>
      </c>
      <c r="U90" s="432" t="str">
        <f aca="false">IF($A$1="Peak","-",IF(BaseLoad!AA89&gt;BaseLoad!$G89,U$8*$Z90,0))</f>
        <v>-</v>
      </c>
      <c r="V90" s="432" t="n">
        <f aca="false">SUM(B90:U90)</f>
        <v>0</v>
      </c>
      <c r="W90" s="432"/>
      <c r="X90" s="432"/>
      <c r="Y90" s="432"/>
      <c r="Z90" s="432" t="n">
        <f aca="false">CHOOSE(QUOTIENT(MONTH($A90),3)+1,BaseLoad!$AM$9,BaseLoad!$AN$9,BaseLoad!$AL$9,BaseLoad!$AO$9,BaseLoad!$AM$9)</f>
        <v>0.95</v>
      </c>
      <c r="AA90" s="432" t="n">
        <f aca="false">CHOOSE(QUOTIENT(MONTH($A90),3)+1,BaseLoad!$AM$15,BaseLoad!$AN$15,BaseLoad!$AL$15,BaseLoad!$AO$15,BaseLoad!$AM$15)</f>
        <v>705</v>
      </c>
      <c r="AB90" s="431"/>
      <c r="AD90" s="431"/>
    </row>
    <row r="91" customFormat="false" ht="12.75" hidden="false" customHeight="false" outlineLevel="0" collapsed="false">
      <c r="A91" s="400" t="n">
        <f aca="false">A90+30.417</f>
        <v>39003.777</v>
      </c>
      <c r="B91" s="432" t="str">
        <f aca="false">IF($A$1="Peak","-",IF(BaseLoad!H90&gt;BaseLoad!$G90,B$8*$Z91,0))</f>
        <v>-</v>
      </c>
      <c r="C91" s="432" t="str">
        <f aca="false">IF($A$1="Peak","-",IF(BaseLoad!I90&gt;BaseLoad!$G90,C$8*$Z91,0))</f>
        <v>-</v>
      </c>
      <c r="D91" s="432" t="str">
        <f aca="false">IF($A$1="Peak","-",IF(BaseLoad!J90&gt;BaseLoad!$G90,D$8*$Z91,0))</f>
        <v>-</v>
      </c>
      <c r="E91" s="432" t="str">
        <f aca="false">IF($A$1="Peak","-",IF(BaseLoad!K90&gt;BaseLoad!$G90,E$8*$Z91,0))</f>
        <v>-</v>
      </c>
      <c r="F91" s="432" t="str">
        <f aca="false">IF($A$1="Peak","-",IF(BaseLoad!L90&gt;BaseLoad!$G90,F$8*$Z91,0))</f>
        <v>-</v>
      </c>
      <c r="G91" s="432" t="str">
        <f aca="false">IF($A$1="Peak","-",IF(BaseLoad!M90&gt;BaseLoad!$G90,G$8*$Z91,0))</f>
        <v>-</v>
      </c>
      <c r="H91" s="432" t="str">
        <f aca="false">IF($A$1="Peak","-",IF(BaseLoad!N90&gt;BaseLoad!$G90,H$8*$Z91,0))</f>
        <v>-</v>
      </c>
      <c r="I91" s="432" t="str">
        <f aca="false">IF($A$1="Peak","-",IF(BaseLoad!O90&gt;BaseLoad!$G90,I$8*$Z91,0))</f>
        <v>-</v>
      </c>
      <c r="J91" s="432" t="str">
        <f aca="false">IF($A$1="Peak","-",IF(BaseLoad!P90&gt;BaseLoad!$G90,J$8*$Z91,0))</f>
        <v>-</v>
      </c>
      <c r="K91" s="432" t="str">
        <f aca="false">IF($A$1="Peak","-",IF(BaseLoad!Q90&gt;BaseLoad!$G90,K$8*$Z91,0))</f>
        <v>-</v>
      </c>
      <c r="L91" s="432" t="str">
        <f aca="false">IF($A$1="Peak","-",IF(BaseLoad!R90&gt;BaseLoad!$G90,L$8*$Z91,0))</f>
        <v>-</v>
      </c>
      <c r="M91" s="432" t="str">
        <f aca="false">IF($A$1="Peak","-",IF(BaseLoad!S90&gt;BaseLoad!$G90,M$8*$Z91,0))</f>
        <v>-</v>
      </c>
      <c r="N91" s="432" t="str">
        <f aca="false">IF($A$1="Peak","-",IF(BaseLoad!T90&gt;BaseLoad!$G90,N$8*$Z91,0))</f>
        <v>-</v>
      </c>
      <c r="O91" s="432" t="str">
        <f aca="false">IF($A$1="Peak","-",IF(BaseLoad!U90&gt;BaseLoad!$G90,O$8*$Z91,0))</f>
        <v>-</v>
      </c>
      <c r="P91" s="432" t="str">
        <f aca="false">IF($A$1="Peak","-",IF(BaseLoad!V90&gt;BaseLoad!$G90,P$8*$Z91,0))</f>
        <v>-</v>
      </c>
      <c r="Q91" s="432" t="str">
        <f aca="false">IF($A$1="Peak","-",IF(BaseLoad!W90&gt;BaseLoad!$G90,Q$8*$Z91,0))</f>
        <v>-</v>
      </c>
      <c r="R91" s="432" t="str">
        <f aca="false">IF($A$1="Peak","-",IF(BaseLoad!X90&gt;BaseLoad!$G90,R$8*$Z91,0))</f>
        <v>-</v>
      </c>
      <c r="S91" s="432" t="str">
        <f aca="false">IF($A$1="Peak","-",IF(BaseLoad!Y90&gt;BaseLoad!$G90,S$8*$Z91,0))</f>
        <v>-</v>
      </c>
      <c r="T91" s="432" t="str">
        <f aca="false">IF($A$1="Peak","-",IF(BaseLoad!Z90&gt;BaseLoad!$G90,T$8*$Z91,0))</f>
        <v>-</v>
      </c>
      <c r="U91" s="432" t="str">
        <f aca="false">IF($A$1="Peak","-",IF(BaseLoad!AA90&gt;BaseLoad!$G90,U$8*$Z91,0))</f>
        <v>-</v>
      </c>
      <c r="V91" s="432" t="n">
        <f aca="false">SUM(B91:U91)</f>
        <v>0</v>
      </c>
      <c r="W91" s="432"/>
      <c r="X91" s="432"/>
      <c r="Y91" s="432"/>
      <c r="Z91" s="432" t="n">
        <f aca="false">CHOOSE(QUOTIENT(MONTH($A91),3)+1,BaseLoad!$AM$9,BaseLoad!$AN$9,BaseLoad!$AL$9,BaseLoad!$AO$9,BaseLoad!$AM$9)</f>
        <v>0.95</v>
      </c>
      <c r="AA91" s="432" t="n">
        <f aca="false">CHOOSE(QUOTIENT(MONTH($A91),3)+1,BaseLoad!$AM$15,BaseLoad!$AN$15,BaseLoad!$AL$15,BaseLoad!$AO$15,BaseLoad!$AM$15)</f>
        <v>705</v>
      </c>
      <c r="AB91" s="431"/>
      <c r="AD91" s="431"/>
    </row>
    <row r="92" customFormat="false" ht="12.75" hidden="false" customHeight="false" outlineLevel="0" collapsed="false">
      <c r="A92" s="400" t="n">
        <f aca="false">A91+30.417</f>
        <v>39034.194</v>
      </c>
      <c r="B92" s="432" t="str">
        <f aca="false">IF($A$1="Peak","-",IF(BaseLoad!H91&gt;BaseLoad!$G91,B$8*$Z92,0))</f>
        <v>-</v>
      </c>
      <c r="C92" s="432" t="str">
        <f aca="false">IF($A$1="Peak","-",IF(BaseLoad!I91&gt;BaseLoad!$G91,C$8*$Z92,0))</f>
        <v>-</v>
      </c>
      <c r="D92" s="432" t="str">
        <f aca="false">IF($A$1="Peak","-",IF(BaseLoad!J91&gt;BaseLoad!$G91,D$8*$Z92,0))</f>
        <v>-</v>
      </c>
      <c r="E92" s="432" t="str">
        <f aca="false">IF($A$1="Peak","-",IF(BaseLoad!K91&gt;BaseLoad!$G91,E$8*$Z92,0))</f>
        <v>-</v>
      </c>
      <c r="F92" s="432" t="str">
        <f aca="false">IF($A$1="Peak","-",IF(BaseLoad!L91&gt;BaseLoad!$G91,F$8*$Z92,0))</f>
        <v>-</v>
      </c>
      <c r="G92" s="432" t="str">
        <f aca="false">IF($A$1="Peak","-",IF(BaseLoad!M91&gt;BaseLoad!$G91,G$8*$Z92,0))</f>
        <v>-</v>
      </c>
      <c r="H92" s="432" t="str">
        <f aca="false">IF($A$1="Peak","-",IF(BaseLoad!N91&gt;BaseLoad!$G91,H$8*$Z92,0))</f>
        <v>-</v>
      </c>
      <c r="I92" s="432" t="str">
        <f aca="false">IF($A$1="Peak","-",IF(BaseLoad!O91&gt;BaseLoad!$G91,I$8*$Z92,0))</f>
        <v>-</v>
      </c>
      <c r="J92" s="432" t="str">
        <f aca="false">IF($A$1="Peak","-",IF(BaseLoad!P91&gt;BaseLoad!$G91,J$8*$Z92,0))</f>
        <v>-</v>
      </c>
      <c r="K92" s="432" t="str">
        <f aca="false">IF($A$1="Peak","-",IF(BaseLoad!Q91&gt;BaseLoad!$G91,K$8*$Z92,0))</f>
        <v>-</v>
      </c>
      <c r="L92" s="432" t="str">
        <f aca="false">IF($A$1="Peak","-",IF(BaseLoad!R91&gt;BaseLoad!$G91,L$8*$Z92,0))</f>
        <v>-</v>
      </c>
      <c r="M92" s="432" t="str">
        <f aca="false">IF($A$1="Peak","-",IF(BaseLoad!S91&gt;BaseLoad!$G91,M$8*$Z92,0))</f>
        <v>-</v>
      </c>
      <c r="N92" s="432" t="str">
        <f aca="false">IF($A$1="Peak","-",IF(BaseLoad!T91&gt;BaseLoad!$G91,N$8*$Z92,0))</f>
        <v>-</v>
      </c>
      <c r="O92" s="432" t="str">
        <f aca="false">IF($A$1="Peak","-",IF(BaseLoad!U91&gt;BaseLoad!$G91,O$8*$Z92,0))</f>
        <v>-</v>
      </c>
      <c r="P92" s="432" t="str">
        <f aca="false">IF($A$1="Peak","-",IF(BaseLoad!V91&gt;BaseLoad!$G91,P$8*$Z92,0))</f>
        <v>-</v>
      </c>
      <c r="Q92" s="432" t="str">
        <f aca="false">IF($A$1="Peak","-",IF(BaseLoad!W91&gt;BaseLoad!$G91,Q$8*$Z92,0))</f>
        <v>-</v>
      </c>
      <c r="R92" s="432" t="str">
        <f aca="false">IF($A$1="Peak","-",IF(BaseLoad!X91&gt;BaseLoad!$G91,R$8*$Z92,0))</f>
        <v>-</v>
      </c>
      <c r="S92" s="432" t="str">
        <f aca="false">IF($A$1="Peak","-",IF(BaseLoad!Y91&gt;BaseLoad!$G91,S$8*$Z92,0))</f>
        <v>-</v>
      </c>
      <c r="T92" s="432" t="str">
        <f aca="false">IF($A$1="Peak","-",IF(BaseLoad!Z91&gt;BaseLoad!$G91,T$8*$Z92,0))</f>
        <v>-</v>
      </c>
      <c r="U92" s="432" t="str">
        <f aca="false">IF($A$1="Peak","-",IF(BaseLoad!AA91&gt;BaseLoad!$G91,U$8*$Z92,0))</f>
        <v>-</v>
      </c>
      <c r="V92" s="432" t="n">
        <f aca="false">SUM(B92:U92)</f>
        <v>0</v>
      </c>
      <c r="W92" s="432"/>
      <c r="X92" s="432"/>
      <c r="Y92" s="432"/>
      <c r="Z92" s="432" t="n">
        <f aca="false">CHOOSE(QUOTIENT(MONTH($A92),3)+1,BaseLoad!$AM$9,BaseLoad!$AN$9,BaseLoad!$AL$9,BaseLoad!$AO$9,BaseLoad!$AM$9)</f>
        <v>0.95</v>
      </c>
      <c r="AA92" s="432" t="n">
        <f aca="false">CHOOSE(QUOTIENT(MONTH($A92),3)+1,BaseLoad!$AM$15,BaseLoad!$AN$15,BaseLoad!$AL$15,BaseLoad!$AO$15,BaseLoad!$AM$15)</f>
        <v>705</v>
      </c>
      <c r="AB92" s="431"/>
      <c r="AD92" s="431"/>
    </row>
    <row r="93" customFormat="false" ht="12.75" hidden="false" customHeight="false" outlineLevel="0" collapsed="false">
      <c r="A93" s="400" t="n">
        <f aca="false">A92+30.417</f>
        <v>39064.611</v>
      </c>
      <c r="B93" s="432" t="str">
        <f aca="false">IF($A$1="Peak","-",IF(BaseLoad!H92&gt;BaseLoad!$G92,B$8*$Z93,0))</f>
        <v>-</v>
      </c>
      <c r="C93" s="432" t="str">
        <f aca="false">IF($A$1="Peak","-",IF(BaseLoad!I92&gt;BaseLoad!$G92,C$8*$Z93,0))</f>
        <v>-</v>
      </c>
      <c r="D93" s="432" t="str">
        <f aca="false">IF($A$1="Peak","-",IF(BaseLoad!J92&gt;BaseLoad!$G92,D$8*$Z93,0))</f>
        <v>-</v>
      </c>
      <c r="E93" s="432" t="str">
        <f aca="false">IF($A$1="Peak","-",IF(BaseLoad!K92&gt;BaseLoad!$G92,E$8*$Z93,0))</f>
        <v>-</v>
      </c>
      <c r="F93" s="432" t="str">
        <f aca="false">IF($A$1="Peak","-",IF(BaseLoad!L92&gt;BaseLoad!$G92,F$8*$Z93,0))</f>
        <v>-</v>
      </c>
      <c r="G93" s="432" t="str">
        <f aca="false">IF($A$1="Peak","-",IF(BaseLoad!M92&gt;BaseLoad!$G92,G$8*$Z93,0))</f>
        <v>-</v>
      </c>
      <c r="H93" s="432" t="str">
        <f aca="false">IF($A$1="Peak","-",IF(BaseLoad!N92&gt;BaseLoad!$G92,H$8*$Z93,0))</f>
        <v>-</v>
      </c>
      <c r="I93" s="432" t="str">
        <f aca="false">IF($A$1="Peak","-",IF(BaseLoad!O92&gt;BaseLoad!$G92,I$8*$Z93,0))</f>
        <v>-</v>
      </c>
      <c r="J93" s="432" t="str">
        <f aca="false">IF($A$1="Peak","-",IF(BaseLoad!P92&gt;BaseLoad!$G92,J$8*$Z93,0))</f>
        <v>-</v>
      </c>
      <c r="K93" s="432" t="str">
        <f aca="false">IF($A$1="Peak","-",IF(BaseLoad!Q92&gt;BaseLoad!$G92,K$8*$Z93,0))</f>
        <v>-</v>
      </c>
      <c r="L93" s="432" t="str">
        <f aca="false">IF($A$1="Peak","-",IF(BaseLoad!R92&gt;BaseLoad!$G92,L$8*$Z93,0))</f>
        <v>-</v>
      </c>
      <c r="M93" s="432" t="str">
        <f aca="false">IF($A$1="Peak","-",IF(BaseLoad!S92&gt;BaseLoad!$G92,M$8*$Z93,0))</f>
        <v>-</v>
      </c>
      <c r="N93" s="432" t="str">
        <f aca="false">IF($A$1="Peak","-",IF(BaseLoad!T92&gt;BaseLoad!$G92,N$8*$Z93,0))</f>
        <v>-</v>
      </c>
      <c r="O93" s="432" t="str">
        <f aca="false">IF($A$1="Peak","-",IF(BaseLoad!U92&gt;BaseLoad!$G92,O$8*$Z93,0))</f>
        <v>-</v>
      </c>
      <c r="P93" s="432" t="str">
        <f aca="false">IF($A$1="Peak","-",IF(BaseLoad!V92&gt;BaseLoad!$G92,P$8*$Z93,0))</f>
        <v>-</v>
      </c>
      <c r="Q93" s="432" t="str">
        <f aca="false">IF($A$1="Peak","-",IF(BaseLoad!W92&gt;BaseLoad!$G92,Q$8*$Z93,0))</f>
        <v>-</v>
      </c>
      <c r="R93" s="432" t="str">
        <f aca="false">IF($A$1="Peak","-",IF(BaseLoad!X92&gt;BaseLoad!$G92,R$8*$Z93,0))</f>
        <v>-</v>
      </c>
      <c r="S93" s="432" t="str">
        <f aca="false">IF($A$1="Peak","-",IF(BaseLoad!Y92&gt;BaseLoad!$G92,S$8*$Z93,0))</f>
        <v>-</v>
      </c>
      <c r="T93" s="432" t="str">
        <f aca="false">IF($A$1="Peak","-",IF(BaseLoad!Z92&gt;BaseLoad!$G92,T$8*$Z93,0))</f>
        <v>-</v>
      </c>
      <c r="U93" s="432" t="str">
        <f aca="false">IF($A$1="Peak","-",IF(BaseLoad!AA92&gt;BaseLoad!$G92,U$8*$Z93,0))</f>
        <v>-</v>
      </c>
      <c r="V93" s="432" t="n">
        <f aca="false">SUM(B93:U93)</f>
        <v>0</v>
      </c>
      <c r="W93" s="432"/>
      <c r="X93" s="432"/>
      <c r="Y93" s="432" t="n">
        <f aca="false">SUM(V82:V93)</f>
        <v>0</v>
      </c>
      <c r="Z93" s="432" t="n">
        <f aca="false">CHOOSE(QUOTIENT(MONTH($A93),3)+1,BaseLoad!$AM$9,BaseLoad!$AN$9,BaseLoad!$AL$9,BaseLoad!$AO$9,BaseLoad!$AM$9)</f>
        <v>0.924276618786118</v>
      </c>
      <c r="AA93" s="432" t="n">
        <f aca="false">CHOOSE(QUOTIENT(MONTH($A93),3)+1,BaseLoad!$AM$15,BaseLoad!$AN$15,BaseLoad!$AL$15,BaseLoad!$AO$15,BaseLoad!$AM$15)</f>
        <v>705</v>
      </c>
      <c r="AB93" s="431"/>
      <c r="AD93" s="431"/>
    </row>
    <row r="94" customFormat="false" ht="12.75" hidden="false" customHeight="false" outlineLevel="0" collapsed="false">
      <c r="A94" s="400" t="n">
        <f aca="false">A93+30.417</f>
        <v>39095.028</v>
      </c>
      <c r="B94" s="432" t="str">
        <f aca="false">IF($A$1="Peak","-",IF(BaseLoad!H93&gt;BaseLoad!$G93,B$8*$Z94,0))</f>
        <v>-</v>
      </c>
      <c r="C94" s="432" t="str">
        <f aca="false">IF($A$1="Peak","-",IF(BaseLoad!I93&gt;BaseLoad!$G93,C$8*$Z94,0))</f>
        <v>-</v>
      </c>
      <c r="D94" s="432" t="str">
        <f aca="false">IF($A$1="Peak","-",IF(BaseLoad!J93&gt;BaseLoad!$G93,D$8*$Z94,0))</f>
        <v>-</v>
      </c>
      <c r="E94" s="432" t="str">
        <f aca="false">IF($A$1="Peak","-",IF(BaseLoad!K93&gt;BaseLoad!$G93,E$8*$Z94,0))</f>
        <v>-</v>
      </c>
      <c r="F94" s="432" t="str">
        <f aca="false">IF($A$1="Peak","-",IF(BaseLoad!L93&gt;BaseLoad!$G93,F$8*$Z94,0))</f>
        <v>-</v>
      </c>
      <c r="G94" s="432" t="str">
        <f aca="false">IF($A$1="Peak","-",IF(BaseLoad!M93&gt;BaseLoad!$G93,G$8*$Z94,0))</f>
        <v>-</v>
      </c>
      <c r="H94" s="432" t="str">
        <f aca="false">IF($A$1="Peak","-",IF(BaseLoad!N93&gt;BaseLoad!$G93,H$8*$Z94,0))</f>
        <v>-</v>
      </c>
      <c r="I94" s="432" t="str">
        <f aca="false">IF($A$1="Peak","-",IF(BaseLoad!O93&gt;BaseLoad!$G93,I$8*$Z94,0))</f>
        <v>-</v>
      </c>
      <c r="J94" s="432" t="str">
        <f aca="false">IF($A$1="Peak","-",IF(BaseLoad!P93&gt;BaseLoad!$G93,J$8*$Z94,0))</f>
        <v>-</v>
      </c>
      <c r="K94" s="432" t="str">
        <f aca="false">IF($A$1="Peak","-",IF(BaseLoad!Q93&gt;BaseLoad!$G93,K$8*$Z94,0))</f>
        <v>-</v>
      </c>
      <c r="L94" s="432" t="str">
        <f aca="false">IF($A$1="Peak","-",IF(BaseLoad!R93&gt;BaseLoad!$G93,L$8*$Z94,0))</f>
        <v>-</v>
      </c>
      <c r="M94" s="432" t="str">
        <f aca="false">IF($A$1="Peak","-",IF(BaseLoad!S93&gt;BaseLoad!$G93,M$8*$Z94,0))</f>
        <v>-</v>
      </c>
      <c r="N94" s="432" t="str">
        <f aca="false">IF($A$1="Peak","-",IF(BaseLoad!T93&gt;BaseLoad!$G93,N$8*$Z94,0))</f>
        <v>-</v>
      </c>
      <c r="O94" s="432" t="str">
        <f aca="false">IF($A$1="Peak","-",IF(BaseLoad!U93&gt;BaseLoad!$G93,O$8*$Z94,0))</f>
        <v>-</v>
      </c>
      <c r="P94" s="432" t="str">
        <f aca="false">IF($A$1="Peak","-",IF(BaseLoad!V93&gt;BaseLoad!$G93,P$8*$Z94,0))</f>
        <v>-</v>
      </c>
      <c r="Q94" s="432" t="str">
        <f aca="false">IF($A$1="Peak","-",IF(BaseLoad!W93&gt;BaseLoad!$G93,Q$8*$Z94,0))</f>
        <v>-</v>
      </c>
      <c r="R94" s="432" t="str">
        <f aca="false">IF($A$1="Peak","-",IF(BaseLoad!X93&gt;BaseLoad!$G93,R$8*$Z94,0))</f>
        <v>-</v>
      </c>
      <c r="S94" s="432" t="str">
        <f aca="false">IF($A$1="Peak","-",IF(BaseLoad!Y93&gt;BaseLoad!$G93,S$8*$Z94,0))</f>
        <v>-</v>
      </c>
      <c r="T94" s="432" t="str">
        <f aca="false">IF($A$1="Peak","-",IF(BaseLoad!Z93&gt;BaseLoad!$G93,T$8*$Z94,0))</f>
        <v>-</v>
      </c>
      <c r="U94" s="432" t="str">
        <f aca="false">IF($A$1="Peak","-",IF(BaseLoad!AA93&gt;BaseLoad!$G93,U$8*$Z94,0))</f>
        <v>-</v>
      </c>
      <c r="V94" s="432" t="n">
        <f aca="false">SUM(B94:U94)</f>
        <v>0</v>
      </c>
      <c r="W94" s="432"/>
      <c r="X94" s="432"/>
      <c r="Y94" s="432"/>
      <c r="Z94" s="432" t="n">
        <f aca="false">CHOOSE(QUOTIENT(MONTH($A94),3)+1,BaseLoad!$AM$9,BaseLoad!$AN$9,BaseLoad!$AL$9,BaseLoad!$AO$9,BaseLoad!$AM$9)</f>
        <v>0.924276618786118</v>
      </c>
      <c r="AA94" s="432" t="n">
        <f aca="false">CHOOSE(QUOTIENT(MONTH($A94),3)+1,BaseLoad!$AM$15,BaseLoad!$AN$15,BaseLoad!$AL$15,BaseLoad!$AO$15,BaseLoad!$AM$15)</f>
        <v>705</v>
      </c>
      <c r="AB94" s="431"/>
      <c r="AD94" s="431"/>
    </row>
    <row r="95" customFormat="false" ht="12.75" hidden="false" customHeight="false" outlineLevel="0" collapsed="false">
      <c r="A95" s="400" t="n">
        <f aca="false">A94+30.417</f>
        <v>39125.445</v>
      </c>
      <c r="B95" s="432" t="str">
        <f aca="false">IF($A$1="Peak","-",IF(BaseLoad!H94&gt;BaseLoad!$G94,B$8*$Z95,0))</f>
        <v>-</v>
      </c>
      <c r="C95" s="432" t="str">
        <f aca="false">IF($A$1="Peak","-",IF(BaseLoad!I94&gt;BaseLoad!$G94,C$8*$Z95,0))</f>
        <v>-</v>
      </c>
      <c r="D95" s="432" t="str">
        <f aca="false">IF($A$1="Peak","-",IF(BaseLoad!J94&gt;BaseLoad!$G94,D$8*$Z95,0))</f>
        <v>-</v>
      </c>
      <c r="E95" s="432" t="str">
        <f aca="false">IF($A$1="Peak","-",IF(BaseLoad!K94&gt;BaseLoad!$G94,E$8*$Z95,0))</f>
        <v>-</v>
      </c>
      <c r="F95" s="432" t="str">
        <f aca="false">IF($A$1="Peak","-",IF(BaseLoad!L94&gt;BaseLoad!$G94,F$8*$Z95,0))</f>
        <v>-</v>
      </c>
      <c r="G95" s="432" t="str">
        <f aca="false">IF($A$1="Peak","-",IF(BaseLoad!M94&gt;BaseLoad!$G94,G$8*$Z95,0))</f>
        <v>-</v>
      </c>
      <c r="H95" s="432" t="str">
        <f aca="false">IF($A$1="Peak","-",IF(BaseLoad!N94&gt;BaseLoad!$G94,H$8*$Z95,0))</f>
        <v>-</v>
      </c>
      <c r="I95" s="432" t="str">
        <f aca="false">IF($A$1="Peak","-",IF(BaseLoad!O94&gt;BaseLoad!$G94,I$8*$Z95,0))</f>
        <v>-</v>
      </c>
      <c r="J95" s="432" t="str">
        <f aca="false">IF($A$1="Peak","-",IF(BaseLoad!P94&gt;BaseLoad!$G94,J$8*$Z95,0))</f>
        <v>-</v>
      </c>
      <c r="K95" s="432" t="str">
        <f aca="false">IF($A$1="Peak","-",IF(BaseLoad!Q94&gt;BaseLoad!$G94,K$8*$Z95,0))</f>
        <v>-</v>
      </c>
      <c r="L95" s="432" t="str">
        <f aca="false">IF($A$1="Peak","-",IF(BaseLoad!R94&gt;BaseLoad!$G94,L$8*$Z95,0))</f>
        <v>-</v>
      </c>
      <c r="M95" s="432" t="str">
        <f aca="false">IF($A$1="Peak","-",IF(BaseLoad!S94&gt;BaseLoad!$G94,M$8*$Z95,0))</f>
        <v>-</v>
      </c>
      <c r="N95" s="432" t="str">
        <f aca="false">IF($A$1="Peak","-",IF(BaseLoad!T94&gt;BaseLoad!$G94,N$8*$Z95,0))</f>
        <v>-</v>
      </c>
      <c r="O95" s="432" t="str">
        <f aca="false">IF($A$1="Peak","-",IF(BaseLoad!U94&gt;BaseLoad!$G94,O$8*$Z95,0))</f>
        <v>-</v>
      </c>
      <c r="P95" s="432" t="str">
        <f aca="false">IF($A$1="Peak","-",IF(BaseLoad!V94&gt;BaseLoad!$G94,P$8*$Z95,0))</f>
        <v>-</v>
      </c>
      <c r="Q95" s="432" t="str">
        <f aca="false">IF($A$1="Peak","-",IF(BaseLoad!W94&gt;BaseLoad!$G94,Q$8*$Z95,0))</f>
        <v>-</v>
      </c>
      <c r="R95" s="432" t="str">
        <f aca="false">IF($A$1="Peak","-",IF(BaseLoad!X94&gt;BaseLoad!$G94,R$8*$Z95,0))</f>
        <v>-</v>
      </c>
      <c r="S95" s="432" t="str">
        <f aca="false">IF($A$1="Peak","-",IF(BaseLoad!Y94&gt;BaseLoad!$G94,S$8*$Z95,0))</f>
        <v>-</v>
      </c>
      <c r="T95" s="432" t="str">
        <f aca="false">IF($A$1="Peak","-",IF(BaseLoad!Z94&gt;BaseLoad!$G94,T$8*$Z95,0))</f>
        <v>-</v>
      </c>
      <c r="U95" s="432" t="str">
        <f aca="false">IF($A$1="Peak","-",IF(BaseLoad!AA94&gt;BaseLoad!$G94,U$8*$Z95,0))</f>
        <v>-</v>
      </c>
      <c r="V95" s="432" t="n">
        <f aca="false">SUM(B95:U95)</f>
        <v>0</v>
      </c>
      <c r="W95" s="432"/>
      <c r="X95" s="432"/>
      <c r="Y95" s="432"/>
      <c r="Z95" s="432" t="n">
        <f aca="false">CHOOSE(QUOTIENT(MONTH($A95),3)+1,BaseLoad!$AM$9,BaseLoad!$AN$9,BaseLoad!$AL$9,BaseLoad!$AO$9,BaseLoad!$AM$9)</f>
        <v>0.924276618786118</v>
      </c>
      <c r="AA95" s="432" t="n">
        <f aca="false">CHOOSE(QUOTIENT(MONTH($A95),3)+1,BaseLoad!$AM$15,BaseLoad!$AN$15,BaseLoad!$AL$15,BaseLoad!$AO$15,BaseLoad!$AM$15)</f>
        <v>705</v>
      </c>
      <c r="AB95" s="431"/>
      <c r="AD95" s="431"/>
    </row>
    <row r="96" customFormat="false" ht="12.75" hidden="false" customHeight="false" outlineLevel="0" collapsed="false">
      <c r="A96" s="400" t="n">
        <f aca="false">A95+30.417</f>
        <v>39155.862</v>
      </c>
      <c r="B96" s="432" t="str">
        <f aca="false">IF($A$1="Peak","-",IF(BaseLoad!H95&gt;BaseLoad!$G95,B$8*$Z96,0))</f>
        <v>-</v>
      </c>
      <c r="C96" s="432" t="str">
        <f aca="false">IF($A$1="Peak","-",IF(BaseLoad!I95&gt;BaseLoad!$G95,C$8*$Z96,0))</f>
        <v>-</v>
      </c>
      <c r="D96" s="432" t="str">
        <f aca="false">IF($A$1="Peak","-",IF(BaseLoad!J95&gt;BaseLoad!$G95,D$8*$Z96,0))</f>
        <v>-</v>
      </c>
      <c r="E96" s="432" t="str">
        <f aca="false">IF($A$1="Peak","-",IF(BaseLoad!K95&gt;BaseLoad!$G95,E$8*$Z96,0))</f>
        <v>-</v>
      </c>
      <c r="F96" s="432" t="str">
        <f aca="false">IF($A$1="Peak","-",IF(BaseLoad!L95&gt;BaseLoad!$G95,F$8*$Z96,0))</f>
        <v>-</v>
      </c>
      <c r="G96" s="432" t="str">
        <f aca="false">IF($A$1="Peak","-",IF(BaseLoad!M95&gt;BaseLoad!$G95,G$8*$Z96,0))</f>
        <v>-</v>
      </c>
      <c r="H96" s="432" t="str">
        <f aca="false">IF($A$1="Peak","-",IF(BaseLoad!N95&gt;BaseLoad!$G95,H$8*$Z96,0))</f>
        <v>-</v>
      </c>
      <c r="I96" s="432" t="str">
        <f aca="false">IF($A$1="Peak","-",IF(BaseLoad!O95&gt;BaseLoad!$G95,I$8*$Z96,0))</f>
        <v>-</v>
      </c>
      <c r="J96" s="432" t="str">
        <f aca="false">IF($A$1="Peak","-",IF(BaseLoad!P95&gt;BaseLoad!$G95,J$8*$Z96,0))</f>
        <v>-</v>
      </c>
      <c r="K96" s="432" t="str">
        <f aca="false">IF($A$1="Peak","-",IF(BaseLoad!Q95&gt;BaseLoad!$G95,K$8*$Z96,0))</f>
        <v>-</v>
      </c>
      <c r="L96" s="432" t="str">
        <f aca="false">IF($A$1="Peak","-",IF(BaseLoad!R95&gt;BaseLoad!$G95,L$8*$Z96,0))</f>
        <v>-</v>
      </c>
      <c r="M96" s="432" t="str">
        <f aca="false">IF($A$1="Peak","-",IF(BaseLoad!S95&gt;BaseLoad!$G95,M$8*$Z96,0))</f>
        <v>-</v>
      </c>
      <c r="N96" s="432" t="str">
        <f aca="false">IF($A$1="Peak","-",IF(BaseLoad!T95&gt;BaseLoad!$G95,N$8*$Z96,0))</f>
        <v>-</v>
      </c>
      <c r="O96" s="432" t="str">
        <f aca="false">IF($A$1="Peak","-",IF(BaseLoad!U95&gt;BaseLoad!$G95,O$8*$Z96,0))</f>
        <v>-</v>
      </c>
      <c r="P96" s="432" t="str">
        <f aca="false">IF($A$1="Peak","-",IF(BaseLoad!V95&gt;BaseLoad!$G95,P$8*$Z96,0))</f>
        <v>-</v>
      </c>
      <c r="Q96" s="432" t="str">
        <f aca="false">IF($A$1="Peak","-",IF(BaseLoad!W95&gt;BaseLoad!$G95,Q$8*$Z96,0))</f>
        <v>-</v>
      </c>
      <c r="R96" s="432" t="str">
        <f aca="false">IF($A$1="Peak","-",IF(BaseLoad!X95&gt;BaseLoad!$G95,R$8*$Z96,0))</f>
        <v>-</v>
      </c>
      <c r="S96" s="432" t="str">
        <f aca="false">IF($A$1="Peak","-",IF(BaseLoad!Y95&gt;BaseLoad!$G95,S$8*$Z96,0))</f>
        <v>-</v>
      </c>
      <c r="T96" s="432" t="str">
        <f aca="false">IF($A$1="Peak","-",IF(BaseLoad!Z95&gt;BaseLoad!$G95,T$8*$Z96,0))</f>
        <v>-</v>
      </c>
      <c r="U96" s="432" t="str">
        <f aca="false">IF($A$1="Peak","-",IF(BaseLoad!AA95&gt;BaseLoad!$G95,U$8*$Z96,0))</f>
        <v>-</v>
      </c>
      <c r="V96" s="432" t="n">
        <f aca="false">SUM(B96:U96)</f>
        <v>0</v>
      </c>
      <c r="W96" s="432"/>
      <c r="X96" s="432"/>
      <c r="Y96" s="432"/>
      <c r="Z96" s="432" t="n">
        <f aca="false">CHOOSE(QUOTIENT(MONTH($A96),3)+1,BaseLoad!$AM$9,BaseLoad!$AN$9,BaseLoad!$AL$9,BaseLoad!$AO$9,BaseLoad!$AM$9)</f>
        <v>0.95</v>
      </c>
      <c r="AA96" s="432" t="n">
        <f aca="false">CHOOSE(QUOTIENT(MONTH($A96),3)+1,BaseLoad!$AM$15,BaseLoad!$AN$15,BaseLoad!$AL$15,BaseLoad!$AO$15,BaseLoad!$AM$15)</f>
        <v>705</v>
      </c>
      <c r="AB96" s="431"/>
      <c r="AD96" s="431"/>
    </row>
    <row r="97" customFormat="false" ht="12.75" hidden="false" customHeight="false" outlineLevel="0" collapsed="false">
      <c r="A97" s="400" t="n">
        <f aca="false">A96+30.417</f>
        <v>39186.279</v>
      </c>
      <c r="B97" s="432" t="str">
        <f aca="false">IF($A$1="Peak","-",IF(BaseLoad!H96&gt;BaseLoad!$G96,B$8*$Z97,0))</f>
        <v>-</v>
      </c>
      <c r="C97" s="432" t="str">
        <f aca="false">IF($A$1="Peak","-",IF(BaseLoad!I96&gt;BaseLoad!$G96,C$8*$Z97,0))</f>
        <v>-</v>
      </c>
      <c r="D97" s="432" t="str">
        <f aca="false">IF($A$1="Peak","-",IF(BaseLoad!J96&gt;BaseLoad!$G96,D$8*$Z97,0))</f>
        <v>-</v>
      </c>
      <c r="E97" s="432" t="str">
        <f aca="false">IF($A$1="Peak","-",IF(BaseLoad!K96&gt;BaseLoad!$G96,E$8*$Z97,0))</f>
        <v>-</v>
      </c>
      <c r="F97" s="432" t="str">
        <f aca="false">IF($A$1="Peak","-",IF(BaseLoad!L96&gt;BaseLoad!$G96,F$8*$Z97,0))</f>
        <v>-</v>
      </c>
      <c r="G97" s="432" t="str">
        <f aca="false">IF($A$1="Peak","-",IF(BaseLoad!M96&gt;BaseLoad!$G96,G$8*$Z97,0))</f>
        <v>-</v>
      </c>
      <c r="H97" s="432" t="str">
        <f aca="false">IF($A$1="Peak","-",IF(BaseLoad!N96&gt;BaseLoad!$G96,H$8*$Z97,0))</f>
        <v>-</v>
      </c>
      <c r="I97" s="432" t="str">
        <f aca="false">IF($A$1="Peak","-",IF(BaseLoad!O96&gt;BaseLoad!$G96,I$8*$Z97,0))</f>
        <v>-</v>
      </c>
      <c r="J97" s="432" t="str">
        <f aca="false">IF($A$1="Peak","-",IF(BaseLoad!P96&gt;BaseLoad!$G96,J$8*$Z97,0))</f>
        <v>-</v>
      </c>
      <c r="K97" s="432" t="str">
        <f aca="false">IF($A$1="Peak","-",IF(BaseLoad!Q96&gt;BaseLoad!$G96,K$8*$Z97,0))</f>
        <v>-</v>
      </c>
      <c r="L97" s="432" t="str">
        <f aca="false">IF($A$1="Peak","-",IF(BaseLoad!R96&gt;BaseLoad!$G96,L$8*$Z97,0))</f>
        <v>-</v>
      </c>
      <c r="M97" s="432" t="str">
        <f aca="false">IF($A$1="Peak","-",IF(BaseLoad!S96&gt;BaseLoad!$G96,M$8*$Z97,0))</f>
        <v>-</v>
      </c>
      <c r="N97" s="432" t="str">
        <f aca="false">IF($A$1="Peak","-",IF(BaseLoad!T96&gt;BaseLoad!$G96,N$8*$Z97,0))</f>
        <v>-</v>
      </c>
      <c r="O97" s="432" t="str">
        <f aca="false">IF($A$1="Peak","-",IF(BaseLoad!U96&gt;BaseLoad!$G96,O$8*$Z97,0))</f>
        <v>-</v>
      </c>
      <c r="P97" s="432" t="str">
        <f aca="false">IF($A$1="Peak","-",IF(BaseLoad!V96&gt;BaseLoad!$G96,P$8*$Z97,0))</f>
        <v>-</v>
      </c>
      <c r="Q97" s="432" t="str">
        <f aca="false">IF($A$1="Peak","-",IF(BaseLoad!W96&gt;BaseLoad!$G96,Q$8*$Z97,0))</f>
        <v>-</v>
      </c>
      <c r="R97" s="432" t="str">
        <f aca="false">IF($A$1="Peak","-",IF(BaseLoad!X96&gt;BaseLoad!$G96,R$8*$Z97,0))</f>
        <v>-</v>
      </c>
      <c r="S97" s="432" t="str">
        <f aca="false">IF($A$1="Peak","-",IF(BaseLoad!Y96&gt;BaseLoad!$G96,S$8*$Z97,0))</f>
        <v>-</v>
      </c>
      <c r="T97" s="432" t="str">
        <f aca="false">IF($A$1="Peak","-",IF(BaseLoad!Z96&gt;BaseLoad!$G96,T$8*$Z97,0))</f>
        <v>-</v>
      </c>
      <c r="U97" s="432" t="str">
        <f aca="false">IF($A$1="Peak","-",IF(BaseLoad!AA96&gt;BaseLoad!$G96,U$8*$Z97,0))</f>
        <v>-</v>
      </c>
      <c r="V97" s="432" t="n">
        <f aca="false">SUM(B97:U97)</f>
        <v>0</v>
      </c>
      <c r="W97" s="432"/>
      <c r="X97" s="432"/>
      <c r="Y97" s="432"/>
      <c r="Z97" s="432" t="n">
        <f aca="false">CHOOSE(QUOTIENT(MONTH($A97),3)+1,BaseLoad!$AM$9,BaseLoad!$AN$9,BaseLoad!$AL$9,BaseLoad!$AO$9,BaseLoad!$AM$9)</f>
        <v>0.95</v>
      </c>
      <c r="AA97" s="432" t="n">
        <f aca="false">CHOOSE(QUOTIENT(MONTH($A97),3)+1,BaseLoad!$AM$15,BaseLoad!$AN$15,BaseLoad!$AL$15,BaseLoad!$AO$15,BaseLoad!$AM$15)</f>
        <v>705</v>
      </c>
      <c r="AB97" s="431"/>
      <c r="AD97" s="431"/>
    </row>
    <row r="98" customFormat="false" ht="12.75" hidden="false" customHeight="false" outlineLevel="0" collapsed="false">
      <c r="A98" s="400" t="n">
        <f aca="false">A97+30.417</f>
        <v>39216.696</v>
      </c>
      <c r="B98" s="432" t="str">
        <f aca="false">IF($A$1="Peak","-",IF(BaseLoad!H97&gt;BaseLoad!$G97,B$8*$Z98,0))</f>
        <v>-</v>
      </c>
      <c r="C98" s="432" t="str">
        <f aca="false">IF($A$1="Peak","-",IF(BaseLoad!I97&gt;BaseLoad!$G97,C$8*$Z98,0))</f>
        <v>-</v>
      </c>
      <c r="D98" s="432" t="str">
        <f aca="false">IF($A$1="Peak","-",IF(BaseLoad!J97&gt;BaseLoad!$G97,D$8*$Z98,0))</f>
        <v>-</v>
      </c>
      <c r="E98" s="432" t="str">
        <f aca="false">IF($A$1="Peak","-",IF(BaseLoad!K97&gt;BaseLoad!$G97,E$8*$Z98,0))</f>
        <v>-</v>
      </c>
      <c r="F98" s="432" t="str">
        <f aca="false">IF($A$1="Peak","-",IF(BaseLoad!L97&gt;BaseLoad!$G97,F$8*$Z98,0))</f>
        <v>-</v>
      </c>
      <c r="G98" s="432" t="str">
        <f aca="false">IF($A$1="Peak","-",IF(BaseLoad!M97&gt;BaseLoad!$G97,G$8*$Z98,0))</f>
        <v>-</v>
      </c>
      <c r="H98" s="432" t="str">
        <f aca="false">IF($A$1="Peak","-",IF(BaseLoad!N97&gt;BaseLoad!$G97,H$8*$Z98,0))</f>
        <v>-</v>
      </c>
      <c r="I98" s="432" t="str">
        <f aca="false">IF($A$1="Peak","-",IF(BaseLoad!O97&gt;BaseLoad!$G97,I$8*$Z98,0))</f>
        <v>-</v>
      </c>
      <c r="J98" s="432" t="str">
        <f aca="false">IF($A$1="Peak","-",IF(BaseLoad!P97&gt;BaseLoad!$G97,J$8*$Z98,0))</f>
        <v>-</v>
      </c>
      <c r="K98" s="432" t="str">
        <f aca="false">IF($A$1="Peak","-",IF(BaseLoad!Q97&gt;BaseLoad!$G97,K$8*$Z98,0))</f>
        <v>-</v>
      </c>
      <c r="L98" s="432" t="str">
        <f aca="false">IF($A$1="Peak","-",IF(BaseLoad!R97&gt;BaseLoad!$G97,L$8*$Z98,0))</f>
        <v>-</v>
      </c>
      <c r="M98" s="432" t="str">
        <f aca="false">IF($A$1="Peak","-",IF(BaseLoad!S97&gt;BaseLoad!$G97,M$8*$Z98,0))</f>
        <v>-</v>
      </c>
      <c r="N98" s="432" t="str">
        <f aca="false">IF($A$1="Peak","-",IF(BaseLoad!T97&gt;BaseLoad!$G97,N$8*$Z98,0))</f>
        <v>-</v>
      </c>
      <c r="O98" s="432" t="str">
        <f aca="false">IF($A$1="Peak","-",IF(BaseLoad!U97&gt;BaseLoad!$G97,O$8*$Z98,0))</f>
        <v>-</v>
      </c>
      <c r="P98" s="432" t="str">
        <f aca="false">IF($A$1="Peak","-",IF(BaseLoad!V97&gt;BaseLoad!$G97,P$8*$Z98,0))</f>
        <v>-</v>
      </c>
      <c r="Q98" s="432" t="str">
        <f aca="false">IF($A$1="Peak","-",IF(BaseLoad!W97&gt;BaseLoad!$G97,Q$8*$Z98,0))</f>
        <v>-</v>
      </c>
      <c r="R98" s="432" t="str">
        <f aca="false">IF($A$1="Peak","-",IF(BaseLoad!X97&gt;BaseLoad!$G97,R$8*$Z98,0))</f>
        <v>-</v>
      </c>
      <c r="S98" s="432" t="str">
        <f aca="false">IF($A$1="Peak","-",IF(BaseLoad!Y97&gt;BaseLoad!$G97,S$8*$Z98,0))</f>
        <v>-</v>
      </c>
      <c r="T98" s="432" t="str">
        <f aca="false">IF($A$1="Peak","-",IF(BaseLoad!Z97&gt;BaseLoad!$G97,T$8*$Z98,0))</f>
        <v>-</v>
      </c>
      <c r="U98" s="432" t="str">
        <f aca="false">IF($A$1="Peak","-",IF(BaseLoad!AA97&gt;BaseLoad!$G97,U$8*$Z98,0))</f>
        <v>-</v>
      </c>
      <c r="V98" s="432" t="n">
        <f aca="false">SUM(B98:U98)</f>
        <v>0</v>
      </c>
      <c r="W98" s="432"/>
      <c r="X98" s="432"/>
      <c r="Y98" s="432"/>
      <c r="Z98" s="432" t="n">
        <f aca="false">CHOOSE(QUOTIENT(MONTH($A98),3)+1,BaseLoad!$AM$9,BaseLoad!$AN$9,BaseLoad!$AL$9,BaseLoad!$AO$9,BaseLoad!$AM$9)</f>
        <v>0.95</v>
      </c>
      <c r="AA98" s="432" t="n">
        <f aca="false">CHOOSE(QUOTIENT(MONTH($A98),3)+1,BaseLoad!$AM$15,BaseLoad!$AN$15,BaseLoad!$AL$15,BaseLoad!$AO$15,BaseLoad!$AM$15)</f>
        <v>705</v>
      </c>
      <c r="AB98" s="431"/>
      <c r="AD98" s="431"/>
    </row>
    <row r="99" customFormat="false" ht="12.75" hidden="false" customHeight="false" outlineLevel="0" collapsed="false">
      <c r="A99" s="400" t="n">
        <f aca="false">A98+30.417</f>
        <v>39247.113</v>
      </c>
      <c r="B99" s="432" t="str">
        <f aca="false">IF($A$1="Peak","-",IF(BaseLoad!H98&gt;BaseLoad!$G98,B$8*$Z99,0))</f>
        <v>-</v>
      </c>
      <c r="C99" s="432" t="str">
        <f aca="false">IF($A$1="Peak","-",IF(BaseLoad!I98&gt;BaseLoad!$G98,C$8*$Z99,0))</f>
        <v>-</v>
      </c>
      <c r="D99" s="432" t="str">
        <f aca="false">IF($A$1="Peak","-",IF(BaseLoad!J98&gt;BaseLoad!$G98,D$8*$Z99,0))</f>
        <v>-</v>
      </c>
      <c r="E99" s="432" t="str">
        <f aca="false">IF($A$1="Peak","-",IF(BaseLoad!K98&gt;BaseLoad!$G98,E$8*$Z99,0))</f>
        <v>-</v>
      </c>
      <c r="F99" s="432" t="str">
        <f aca="false">IF($A$1="Peak","-",IF(BaseLoad!L98&gt;BaseLoad!$G98,F$8*$Z99,0))</f>
        <v>-</v>
      </c>
      <c r="G99" s="432" t="str">
        <f aca="false">IF($A$1="Peak","-",IF(BaseLoad!M98&gt;BaseLoad!$G98,G$8*$Z99,0))</f>
        <v>-</v>
      </c>
      <c r="H99" s="432" t="str">
        <f aca="false">IF($A$1="Peak","-",IF(BaseLoad!N98&gt;BaseLoad!$G98,H$8*$Z99,0))</f>
        <v>-</v>
      </c>
      <c r="I99" s="432" t="str">
        <f aca="false">IF($A$1="Peak","-",IF(BaseLoad!O98&gt;BaseLoad!$G98,I$8*$Z99,0))</f>
        <v>-</v>
      </c>
      <c r="J99" s="432" t="str">
        <f aca="false">IF($A$1="Peak","-",IF(BaseLoad!P98&gt;BaseLoad!$G98,J$8*$Z99,0))</f>
        <v>-</v>
      </c>
      <c r="K99" s="432" t="str">
        <f aca="false">IF($A$1="Peak","-",IF(BaseLoad!Q98&gt;BaseLoad!$G98,K$8*$Z99,0))</f>
        <v>-</v>
      </c>
      <c r="L99" s="432" t="str">
        <f aca="false">IF($A$1="Peak","-",IF(BaseLoad!R98&gt;BaseLoad!$G98,L$8*$Z99,0))</f>
        <v>-</v>
      </c>
      <c r="M99" s="432" t="str">
        <f aca="false">IF($A$1="Peak","-",IF(BaseLoad!S98&gt;BaseLoad!$G98,M$8*$Z99,0))</f>
        <v>-</v>
      </c>
      <c r="N99" s="432" t="str">
        <f aca="false">IF($A$1="Peak","-",IF(BaseLoad!T98&gt;BaseLoad!$G98,N$8*$Z99,0))</f>
        <v>-</v>
      </c>
      <c r="O99" s="432" t="str">
        <f aca="false">IF($A$1="Peak","-",IF(BaseLoad!U98&gt;BaseLoad!$G98,O$8*$Z99,0))</f>
        <v>-</v>
      </c>
      <c r="P99" s="432" t="str">
        <f aca="false">IF($A$1="Peak","-",IF(BaseLoad!V98&gt;BaseLoad!$G98,P$8*$Z99,0))</f>
        <v>-</v>
      </c>
      <c r="Q99" s="432" t="str">
        <f aca="false">IF($A$1="Peak","-",IF(BaseLoad!W98&gt;BaseLoad!$G98,Q$8*$Z99,0))</f>
        <v>-</v>
      </c>
      <c r="R99" s="432" t="str">
        <f aca="false">IF($A$1="Peak","-",IF(BaseLoad!X98&gt;BaseLoad!$G98,R$8*$Z99,0))</f>
        <v>-</v>
      </c>
      <c r="S99" s="432" t="str">
        <f aca="false">IF($A$1="Peak","-",IF(BaseLoad!Y98&gt;BaseLoad!$G98,S$8*$Z99,0))</f>
        <v>-</v>
      </c>
      <c r="T99" s="432" t="str">
        <f aca="false">IF($A$1="Peak","-",IF(BaseLoad!Z98&gt;BaseLoad!$G98,T$8*$Z99,0))</f>
        <v>-</v>
      </c>
      <c r="U99" s="432" t="str">
        <f aca="false">IF($A$1="Peak","-",IF(BaseLoad!AA98&gt;BaseLoad!$G98,U$8*$Z99,0))</f>
        <v>-</v>
      </c>
      <c r="V99" s="432" t="n">
        <f aca="false">SUM(B99:U99)</f>
        <v>0</v>
      </c>
      <c r="W99" s="432"/>
      <c r="X99" s="432"/>
      <c r="Y99" s="432"/>
      <c r="Z99" s="432" t="n">
        <f aca="false">CHOOSE(QUOTIENT(MONTH($A99),3)+1,BaseLoad!$AM$9,BaseLoad!$AN$9,BaseLoad!$AL$9,BaseLoad!$AO$9,BaseLoad!$AM$9)</f>
        <v>0.966121359095586</v>
      </c>
      <c r="AA99" s="432" t="n">
        <f aca="false">CHOOSE(QUOTIENT(MONTH($A99),3)+1,BaseLoad!$AM$15,BaseLoad!$AN$15,BaseLoad!$AL$15,BaseLoad!$AO$15,BaseLoad!$AM$15)</f>
        <v>705</v>
      </c>
      <c r="AB99" s="431"/>
      <c r="AD99" s="431"/>
    </row>
    <row r="100" customFormat="false" ht="12.75" hidden="false" customHeight="false" outlineLevel="0" collapsed="false">
      <c r="A100" s="400" t="n">
        <f aca="false">A99+30.417</f>
        <v>39277.53</v>
      </c>
      <c r="B100" s="432" t="str">
        <f aca="false">IF($A$1="Peak","-",IF(BaseLoad!H99&gt;BaseLoad!$G99,B$8*$Z100,0))</f>
        <v>-</v>
      </c>
      <c r="C100" s="432" t="str">
        <f aca="false">IF($A$1="Peak","-",IF(BaseLoad!I99&gt;BaseLoad!$G99,C$8*$Z100,0))</f>
        <v>-</v>
      </c>
      <c r="D100" s="432" t="str">
        <f aca="false">IF($A$1="Peak","-",IF(BaseLoad!J99&gt;BaseLoad!$G99,D$8*$Z100,0))</f>
        <v>-</v>
      </c>
      <c r="E100" s="432" t="str">
        <f aca="false">IF($A$1="Peak","-",IF(BaseLoad!K99&gt;BaseLoad!$G99,E$8*$Z100,0))</f>
        <v>-</v>
      </c>
      <c r="F100" s="432" t="str">
        <f aca="false">IF($A$1="Peak","-",IF(BaseLoad!L99&gt;BaseLoad!$G99,F$8*$Z100,0))</f>
        <v>-</v>
      </c>
      <c r="G100" s="432" t="str">
        <f aca="false">IF($A$1="Peak","-",IF(BaseLoad!M99&gt;BaseLoad!$G99,G$8*$Z100,0))</f>
        <v>-</v>
      </c>
      <c r="H100" s="432" t="str">
        <f aca="false">IF($A$1="Peak","-",IF(BaseLoad!N99&gt;BaseLoad!$G99,H$8*$Z100,0))</f>
        <v>-</v>
      </c>
      <c r="I100" s="432" t="str">
        <f aca="false">IF($A$1="Peak","-",IF(BaseLoad!O99&gt;BaseLoad!$G99,I$8*$Z100,0))</f>
        <v>-</v>
      </c>
      <c r="J100" s="432" t="str">
        <f aca="false">IF($A$1="Peak","-",IF(BaseLoad!P99&gt;BaseLoad!$G99,J$8*$Z100,0))</f>
        <v>-</v>
      </c>
      <c r="K100" s="432" t="str">
        <f aca="false">IF($A$1="Peak","-",IF(BaseLoad!Q99&gt;BaseLoad!$G99,K$8*$Z100,0))</f>
        <v>-</v>
      </c>
      <c r="L100" s="432" t="str">
        <f aca="false">IF($A$1="Peak","-",IF(BaseLoad!R99&gt;BaseLoad!$G99,L$8*$Z100,0))</f>
        <v>-</v>
      </c>
      <c r="M100" s="432" t="str">
        <f aca="false">IF($A$1="Peak","-",IF(BaseLoad!S99&gt;BaseLoad!$G99,M$8*$Z100,0))</f>
        <v>-</v>
      </c>
      <c r="N100" s="432" t="str">
        <f aca="false">IF($A$1="Peak","-",IF(BaseLoad!T99&gt;BaseLoad!$G99,N$8*$Z100,0))</f>
        <v>-</v>
      </c>
      <c r="O100" s="432" t="str">
        <f aca="false">IF($A$1="Peak","-",IF(BaseLoad!U99&gt;BaseLoad!$G99,O$8*$Z100,0))</f>
        <v>-</v>
      </c>
      <c r="P100" s="432" t="str">
        <f aca="false">IF($A$1="Peak","-",IF(BaseLoad!V99&gt;BaseLoad!$G99,P$8*$Z100,0))</f>
        <v>-</v>
      </c>
      <c r="Q100" s="432" t="str">
        <f aca="false">IF($A$1="Peak","-",IF(BaseLoad!W99&gt;BaseLoad!$G99,Q$8*$Z100,0))</f>
        <v>-</v>
      </c>
      <c r="R100" s="432" t="str">
        <f aca="false">IF($A$1="Peak","-",IF(BaseLoad!X99&gt;BaseLoad!$G99,R$8*$Z100,0))</f>
        <v>-</v>
      </c>
      <c r="S100" s="432" t="str">
        <f aca="false">IF($A$1="Peak","-",IF(BaseLoad!Y99&gt;BaseLoad!$G99,S$8*$Z100,0))</f>
        <v>-</v>
      </c>
      <c r="T100" s="432" t="str">
        <f aca="false">IF($A$1="Peak","-",IF(BaseLoad!Z99&gt;BaseLoad!$G99,T$8*$Z100,0))</f>
        <v>-</v>
      </c>
      <c r="U100" s="432" t="str">
        <f aca="false">IF($A$1="Peak","-",IF(BaseLoad!AA99&gt;BaseLoad!$G99,U$8*$Z100,0))</f>
        <v>-</v>
      </c>
      <c r="V100" s="432" t="n">
        <f aca="false">SUM(B100:U100)</f>
        <v>0</v>
      </c>
      <c r="W100" s="432"/>
      <c r="X100" s="432"/>
      <c r="Y100" s="432"/>
      <c r="Z100" s="432" t="n">
        <f aca="false">CHOOSE(QUOTIENT(MONTH($A100),3)+1,BaseLoad!$AM$9,BaseLoad!$AN$9,BaseLoad!$AL$9,BaseLoad!$AO$9,BaseLoad!$AM$9)</f>
        <v>0.966121359095586</v>
      </c>
      <c r="AA100" s="432" t="n">
        <f aca="false">CHOOSE(QUOTIENT(MONTH($A100),3)+1,BaseLoad!$AM$15,BaseLoad!$AN$15,BaseLoad!$AL$15,BaseLoad!$AO$15,BaseLoad!$AM$15)</f>
        <v>705</v>
      </c>
      <c r="AB100" s="431"/>
      <c r="AD100" s="431"/>
    </row>
    <row r="101" customFormat="false" ht="12.75" hidden="false" customHeight="false" outlineLevel="0" collapsed="false">
      <c r="A101" s="400" t="n">
        <f aca="false">A100+30.417</f>
        <v>39307.947</v>
      </c>
      <c r="B101" s="432" t="str">
        <f aca="false">IF($A$1="Peak","-",IF(BaseLoad!H100&gt;BaseLoad!$G100,B$8*$Z101,0))</f>
        <v>-</v>
      </c>
      <c r="C101" s="432" t="str">
        <f aca="false">IF($A$1="Peak","-",IF(BaseLoad!I100&gt;BaseLoad!$G100,C$8*$Z101,0))</f>
        <v>-</v>
      </c>
      <c r="D101" s="432" t="str">
        <f aca="false">IF($A$1="Peak","-",IF(BaseLoad!J100&gt;BaseLoad!$G100,D$8*$Z101,0))</f>
        <v>-</v>
      </c>
      <c r="E101" s="432" t="str">
        <f aca="false">IF($A$1="Peak","-",IF(BaseLoad!K100&gt;BaseLoad!$G100,E$8*$Z101,0))</f>
        <v>-</v>
      </c>
      <c r="F101" s="432" t="str">
        <f aca="false">IF($A$1="Peak","-",IF(BaseLoad!L100&gt;BaseLoad!$G100,F$8*$Z101,0))</f>
        <v>-</v>
      </c>
      <c r="G101" s="432" t="str">
        <f aca="false">IF($A$1="Peak","-",IF(BaseLoad!M100&gt;BaseLoad!$G100,G$8*$Z101,0))</f>
        <v>-</v>
      </c>
      <c r="H101" s="432" t="str">
        <f aca="false">IF($A$1="Peak","-",IF(BaseLoad!N100&gt;BaseLoad!$G100,H$8*$Z101,0))</f>
        <v>-</v>
      </c>
      <c r="I101" s="432" t="str">
        <f aca="false">IF($A$1="Peak","-",IF(BaseLoad!O100&gt;BaseLoad!$G100,I$8*$Z101,0))</f>
        <v>-</v>
      </c>
      <c r="J101" s="432" t="str">
        <f aca="false">IF($A$1="Peak","-",IF(BaseLoad!P100&gt;BaseLoad!$G100,J$8*$Z101,0))</f>
        <v>-</v>
      </c>
      <c r="K101" s="432" t="str">
        <f aca="false">IF($A$1="Peak","-",IF(BaseLoad!Q100&gt;BaseLoad!$G100,K$8*$Z101,0))</f>
        <v>-</v>
      </c>
      <c r="L101" s="432" t="str">
        <f aca="false">IF($A$1="Peak","-",IF(BaseLoad!R100&gt;BaseLoad!$G100,L$8*$Z101,0))</f>
        <v>-</v>
      </c>
      <c r="M101" s="432" t="str">
        <f aca="false">IF($A$1="Peak","-",IF(BaseLoad!S100&gt;BaseLoad!$G100,M$8*$Z101,0))</f>
        <v>-</v>
      </c>
      <c r="N101" s="432" t="str">
        <f aca="false">IF($A$1="Peak","-",IF(BaseLoad!T100&gt;BaseLoad!$G100,N$8*$Z101,0))</f>
        <v>-</v>
      </c>
      <c r="O101" s="432" t="str">
        <f aca="false">IF($A$1="Peak","-",IF(BaseLoad!U100&gt;BaseLoad!$G100,O$8*$Z101,0))</f>
        <v>-</v>
      </c>
      <c r="P101" s="432" t="str">
        <f aca="false">IF($A$1="Peak","-",IF(BaseLoad!V100&gt;BaseLoad!$G100,P$8*$Z101,0))</f>
        <v>-</v>
      </c>
      <c r="Q101" s="432" t="str">
        <f aca="false">IF($A$1="Peak","-",IF(BaseLoad!W100&gt;BaseLoad!$G100,Q$8*$Z101,0))</f>
        <v>-</v>
      </c>
      <c r="R101" s="432" t="str">
        <f aca="false">IF($A$1="Peak","-",IF(BaseLoad!X100&gt;BaseLoad!$G100,R$8*$Z101,0))</f>
        <v>-</v>
      </c>
      <c r="S101" s="432" t="str">
        <f aca="false">IF($A$1="Peak","-",IF(BaseLoad!Y100&gt;BaseLoad!$G100,S$8*$Z101,0))</f>
        <v>-</v>
      </c>
      <c r="T101" s="432" t="str">
        <f aca="false">IF($A$1="Peak","-",IF(BaseLoad!Z100&gt;BaseLoad!$G100,T$8*$Z101,0))</f>
        <v>-</v>
      </c>
      <c r="U101" s="432" t="str">
        <f aca="false">IF($A$1="Peak","-",IF(BaseLoad!AA100&gt;BaseLoad!$G100,U$8*$Z101,0))</f>
        <v>-</v>
      </c>
      <c r="V101" s="432" t="n">
        <f aca="false">SUM(B101:U101)</f>
        <v>0</v>
      </c>
      <c r="W101" s="432"/>
      <c r="X101" s="432"/>
      <c r="Y101" s="432"/>
      <c r="Z101" s="432" t="n">
        <f aca="false">CHOOSE(QUOTIENT(MONTH($A101),3)+1,BaseLoad!$AM$9,BaseLoad!$AN$9,BaseLoad!$AL$9,BaseLoad!$AO$9,BaseLoad!$AM$9)</f>
        <v>0.966121359095586</v>
      </c>
      <c r="AA101" s="432" t="n">
        <f aca="false">CHOOSE(QUOTIENT(MONTH($A101),3)+1,BaseLoad!$AM$15,BaseLoad!$AN$15,BaseLoad!$AL$15,BaseLoad!$AO$15,BaseLoad!$AM$15)</f>
        <v>705</v>
      </c>
      <c r="AB101" s="431"/>
      <c r="AD101" s="431"/>
    </row>
    <row r="102" customFormat="false" ht="12.75" hidden="false" customHeight="false" outlineLevel="0" collapsed="false">
      <c r="A102" s="400" t="n">
        <f aca="false">A101+30.417</f>
        <v>39338.364</v>
      </c>
      <c r="B102" s="432" t="str">
        <f aca="false">IF($A$1="Peak","-",IF(BaseLoad!H101&gt;BaseLoad!$G101,B$8*$Z102,0))</f>
        <v>-</v>
      </c>
      <c r="C102" s="432" t="str">
        <f aca="false">IF($A$1="Peak","-",IF(BaseLoad!I101&gt;BaseLoad!$G101,C$8*$Z102,0))</f>
        <v>-</v>
      </c>
      <c r="D102" s="432" t="str">
        <f aca="false">IF($A$1="Peak","-",IF(BaseLoad!J101&gt;BaseLoad!$G101,D$8*$Z102,0))</f>
        <v>-</v>
      </c>
      <c r="E102" s="432" t="str">
        <f aca="false">IF($A$1="Peak","-",IF(BaseLoad!K101&gt;BaseLoad!$G101,E$8*$Z102,0))</f>
        <v>-</v>
      </c>
      <c r="F102" s="432" t="str">
        <f aca="false">IF($A$1="Peak","-",IF(BaseLoad!L101&gt;BaseLoad!$G101,F$8*$Z102,0))</f>
        <v>-</v>
      </c>
      <c r="G102" s="432" t="str">
        <f aca="false">IF($A$1="Peak","-",IF(BaseLoad!M101&gt;BaseLoad!$G101,G$8*$Z102,0))</f>
        <v>-</v>
      </c>
      <c r="H102" s="432" t="str">
        <f aca="false">IF($A$1="Peak","-",IF(BaseLoad!N101&gt;BaseLoad!$G101,H$8*$Z102,0))</f>
        <v>-</v>
      </c>
      <c r="I102" s="432" t="str">
        <f aca="false">IF($A$1="Peak","-",IF(BaseLoad!O101&gt;BaseLoad!$G101,I$8*$Z102,0))</f>
        <v>-</v>
      </c>
      <c r="J102" s="432" t="str">
        <f aca="false">IF($A$1="Peak","-",IF(BaseLoad!P101&gt;BaseLoad!$G101,J$8*$Z102,0))</f>
        <v>-</v>
      </c>
      <c r="K102" s="432" t="str">
        <f aca="false">IF($A$1="Peak","-",IF(BaseLoad!Q101&gt;BaseLoad!$G101,K$8*$Z102,0))</f>
        <v>-</v>
      </c>
      <c r="L102" s="432" t="str">
        <f aca="false">IF($A$1="Peak","-",IF(BaseLoad!R101&gt;BaseLoad!$G101,L$8*$Z102,0))</f>
        <v>-</v>
      </c>
      <c r="M102" s="432" t="str">
        <f aca="false">IF($A$1="Peak","-",IF(BaseLoad!S101&gt;BaseLoad!$G101,M$8*$Z102,0))</f>
        <v>-</v>
      </c>
      <c r="N102" s="432" t="str">
        <f aca="false">IF($A$1="Peak","-",IF(BaseLoad!T101&gt;BaseLoad!$G101,N$8*$Z102,0))</f>
        <v>-</v>
      </c>
      <c r="O102" s="432" t="str">
        <f aca="false">IF($A$1="Peak","-",IF(BaseLoad!U101&gt;BaseLoad!$G101,O$8*$Z102,0))</f>
        <v>-</v>
      </c>
      <c r="P102" s="432" t="str">
        <f aca="false">IF($A$1="Peak","-",IF(BaseLoad!V101&gt;BaseLoad!$G101,P$8*$Z102,0))</f>
        <v>-</v>
      </c>
      <c r="Q102" s="432" t="str">
        <f aca="false">IF($A$1="Peak","-",IF(BaseLoad!W101&gt;BaseLoad!$G101,Q$8*$Z102,0))</f>
        <v>-</v>
      </c>
      <c r="R102" s="432" t="str">
        <f aca="false">IF($A$1="Peak","-",IF(BaseLoad!X101&gt;BaseLoad!$G101,R$8*$Z102,0))</f>
        <v>-</v>
      </c>
      <c r="S102" s="432" t="str">
        <f aca="false">IF($A$1="Peak","-",IF(BaseLoad!Y101&gt;BaseLoad!$G101,S$8*$Z102,0))</f>
        <v>-</v>
      </c>
      <c r="T102" s="432" t="str">
        <f aca="false">IF($A$1="Peak","-",IF(BaseLoad!Z101&gt;BaseLoad!$G101,T$8*$Z102,0))</f>
        <v>-</v>
      </c>
      <c r="U102" s="432" t="str">
        <f aca="false">IF($A$1="Peak","-",IF(BaseLoad!AA101&gt;BaseLoad!$G101,U$8*$Z102,0))</f>
        <v>-</v>
      </c>
      <c r="V102" s="432" t="n">
        <f aca="false">SUM(B102:U102)</f>
        <v>0</v>
      </c>
      <c r="W102" s="432"/>
      <c r="X102" s="432"/>
      <c r="Y102" s="432"/>
      <c r="Z102" s="432" t="n">
        <f aca="false">CHOOSE(QUOTIENT(MONTH($A102),3)+1,BaseLoad!$AM$9,BaseLoad!$AN$9,BaseLoad!$AL$9,BaseLoad!$AO$9,BaseLoad!$AM$9)</f>
        <v>0.95</v>
      </c>
      <c r="AA102" s="432" t="n">
        <f aca="false">CHOOSE(QUOTIENT(MONTH($A102),3)+1,BaseLoad!$AM$15,BaseLoad!$AN$15,BaseLoad!$AL$15,BaseLoad!$AO$15,BaseLoad!$AM$15)</f>
        <v>705</v>
      </c>
      <c r="AB102" s="431"/>
      <c r="AD102" s="431"/>
    </row>
    <row r="103" customFormat="false" ht="12.75" hidden="false" customHeight="false" outlineLevel="0" collapsed="false">
      <c r="A103" s="400" t="n">
        <f aca="false">A102+30.417</f>
        <v>39368.781</v>
      </c>
      <c r="B103" s="432" t="str">
        <f aca="false">IF($A$1="Peak","-",IF(BaseLoad!H102&gt;BaseLoad!$G102,B$8*$Z103,0))</f>
        <v>-</v>
      </c>
      <c r="C103" s="432" t="str">
        <f aca="false">IF($A$1="Peak","-",IF(BaseLoad!I102&gt;BaseLoad!$G102,C$8*$Z103,0))</f>
        <v>-</v>
      </c>
      <c r="D103" s="432" t="str">
        <f aca="false">IF($A$1="Peak","-",IF(BaseLoad!J102&gt;BaseLoad!$G102,D$8*$Z103,0))</f>
        <v>-</v>
      </c>
      <c r="E103" s="432" t="str">
        <f aca="false">IF($A$1="Peak","-",IF(BaseLoad!K102&gt;BaseLoad!$G102,E$8*$Z103,0))</f>
        <v>-</v>
      </c>
      <c r="F103" s="432" t="str">
        <f aca="false">IF($A$1="Peak","-",IF(BaseLoad!L102&gt;BaseLoad!$G102,F$8*$Z103,0))</f>
        <v>-</v>
      </c>
      <c r="G103" s="432" t="str">
        <f aca="false">IF($A$1="Peak","-",IF(BaseLoad!M102&gt;BaseLoad!$G102,G$8*$Z103,0))</f>
        <v>-</v>
      </c>
      <c r="H103" s="432" t="str">
        <f aca="false">IF($A$1="Peak","-",IF(BaseLoad!N102&gt;BaseLoad!$G102,H$8*$Z103,0))</f>
        <v>-</v>
      </c>
      <c r="I103" s="432" t="str">
        <f aca="false">IF($A$1="Peak","-",IF(BaseLoad!O102&gt;BaseLoad!$G102,I$8*$Z103,0))</f>
        <v>-</v>
      </c>
      <c r="J103" s="432" t="str">
        <f aca="false">IF($A$1="Peak","-",IF(BaseLoad!P102&gt;BaseLoad!$G102,J$8*$Z103,0))</f>
        <v>-</v>
      </c>
      <c r="K103" s="432" t="str">
        <f aca="false">IF($A$1="Peak","-",IF(BaseLoad!Q102&gt;BaseLoad!$G102,K$8*$Z103,0))</f>
        <v>-</v>
      </c>
      <c r="L103" s="432" t="str">
        <f aca="false">IF($A$1="Peak","-",IF(BaseLoad!R102&gt;BaseLoad!$G102,L$8*$Z103,0))</f>
        <v>-</v>
      </c>
      <c r="M103" s="432" t="str">
        <f aca="false">IF($A$1="Peak","-",IF(BaseLoad!S102&gt;BaseLoad!$G102,M$8*$Z103,0))</f>
        <v>-</v>
      </c>
      <c r="N103" s="432" t="str">
        <f aca="false">IF($A$1="Peak","-",IF(BaseLoad!T102&gt;BaseLoad!$G102,N$8*$Z103,0))</f>
        <v>-</v>
      </c>
      <c r="O103" s="432" t="str">
        <f aca="false">IF($A$1="Peak","-",IF(BaseLoad!U102&gt;BaseLoad!$G102,O$8*$Z103,0))</f>
        <v>-</v>
      </c>
      <c r="P103" s="432" t="str">
        <f aca="false">IF($A$1="Peak","-",IF(BaseLoad!V102&gt;BaseLoad!$G102,P$8*$Z103,0))</f>
        <v>-</v>
      </c>
      <c r="Q103" s="432" t="str">
        <f aca="false">IF($A$1="Peak","-",IF(BaseLoad!W102&gt;BaseLoad!$G102,Q$8*$Z103,0))</f>
        <v>-</v>
      </c>
      <c r="R103" s="432" t="str">
        <f aca="false">IF($A$1="Peak","-",IF(BaseLoad!X102&gt;BaseLoad!$G102,R$8*$Z103,0))</f>
        <v>-</v>
      </c>
      <c r="S103" s="432" t="str">
        <f aca="false">IF($A$1="Peak","-",IF(BaseLoad!Y102&gt;BaseLoad!$G102,S$8*$Z103,0))</f>
        <v>-</v>
      </c>
      <c r="T103" s="432" t="str">
        <f aca="false">IF($A$1="Peak","-",IF(BaseLoad!Z102&gt;BaseLoad!$G102,T$8*$Z103,0))</f>
        <v>-</v>
      </c>
      <c r="U103" s="432" t="str">
        <f aca="false">IF($A$1="Peak","-",IF(BaseLoad!AA102&gt;BaseLoad!$G102,U$8*$Z103,0))</f>
        <v>-</v>
      </c>
      <c r="V103" s="432" t="n">
        <f aca="false">SUM(B103:U103)</f>
        <v>0</v>
      </c>
      <c r="W103" s="432"/>
      <c r="X103" s="432"/>
      <c r="Y103" s="432"/>
      <c r="Z103" s="432" t="n">
        <f aca="false">CHOOSE(QUOTIENT(MONTH($A103),3)+1,BaseLoad!$AM$9,BaseLoad!$AN$9,BaseLoad!$AL$9,BaseLoad!$AO$9,BaseLoad!$AM$9)</f>
        <v>0.95</v>
      </c>
      <c r="AA103" s="432" t="n">
        <f aca="false">CHOOSE(QUOTIENT(MONTH($A103),3)+1,BaseLoad!$AM$15,BaseLoad!$AN$15,BaseLoad!$AL$15,BaseLoad!$AO$15,BaseLoad!$AM$15)</f>
        <v>705</v>
      </c>
      <c r="AB103" s="431"/>
      <c r="AD103" s="431"/>
    </row>
    <row r="104" customFormat="false" ht="12.75" hidden="false" customHeight="false" outlineLevel="0" collapsed="false">
      <c r="A104" s="400" t="n">
        <f aca="false">A103+30.417</f>
        <v>39399.198</v>
      </c>
      <c r="B104" s="432" t="str">
        <f aca="false">IF($A$1="Peak","-",IF(BaseLoad!H103&gt;BaseLoad!$G103,B$8*$Z104,0))</f>
        <v>-</v>
      </c>
      <c r="C104" s="432" t="str">
        <f aca="false">IF($A$1="Peak","-",IF(BaseLoad!I103&gt;BaseLoad!$G103,C$8*$Z104,0))</f>
        <v>-</v>
      </c>
      <c r="D104" s="432" t="str">
        <f aca="false">IF($A$1="Peak","-",IF(BaseLoad!J103&gt;BaseLoad!$G103,D$8*$Z104,0))</f>
        <v>-</v>
      </c>
      <c r="E104" s="432" t="str">
        <f aca="false">IF($A$1="Peak","-",IF(BaseLoad!K103&gt;BaseLoad!$G103,E$8*$Z104,0))</f>
        <v>-</v>
      </c>
      <c r="F104" s="432" t="str">
        <f aca="false">IF($A$1="Peak","-",IF(BaseLoad!L103&gt;BaseLoad!$G103,F$8*$Z104,0))</f>
        <v>-</v>
      </c>
      <c r="G104" s="432" t="str">
        <f aca="false">IF($A$1="Peak","-",IF(BaseLoad!M103&gt;BaseLoad!$G103,G$8*$Z104,0))</f>
        <v>-</v>
      </c>
      <c r="H104" s="432" t="str">
        <f aca="false">IF($A$1="Peak","-",IF(BaseLoad!N103&gt;BaseLoad!$G103,H$8*$Z104,0))</f>
        <v>-</v>
      </c>
      <c r="I104" s="432" t="str">
        <f aca="false">IF($A$1="Peak","-",IF(BaseLoad!O103&gt;BaseLoad!$G103,I$8*$Z104,0))</f>
        <v>-</v>
      </c>
      <c r="J104" s="432" t="str">
        <f aca="false">IF($A$1="Peak","-",IF(BaseLoad!P103&gt;BaseLoad!$G103,J$8*$Z104,0))</f>
        <v>-</v>
      </c>
      <c r="K104" s="432" t="str">
        <f aca="false">IF($A$1="Peak","-",IF(BaseLoad!Q103&gt;BaseLoad!$G103,K$8*$Z104,0))</f>
        <v>-</v>
      </c>
      <c r="L104" s="432" t="str">
        <f aca="false">IF($A$1="Peak","-",IF(BaseLoad!R103&gt;BaseLoad!$G103,L$8*$Z104,0))</f>
        <v>-</v>
      </c>
      <c r="M104" s="432" t="str">
        <f aca="false">IF($A$1="Peak","-",IF(BaseLoad!S103&gt;BaseLoad!$G103,M$8*$Z104,0))</f>
        <v>-</v>
      </c>
      <c r="N104" s="432" t="str">
        <f aca="false">IF($A$1="Peak","-",IF(BaseLoad!T103&gt;BaseLoad!$G103,N$8*$Z104,0))</f>
        <v>-</v>
      </c>
      <c r="O104" s="432" t="str">
        <f aca="false">IF($A$1="Peak","-",IF(BaseLoad!U103&gt;BaseLoad!$G103,O$8*$Z104,0))</f>
        <v>-</v>
      </c>
      <c r="P104" s="432" t="str">
        <f aca="false">IF($A$1="Peak","-",IF(BaseLoad!V103&gt;BaseLoad!$G103,P$8*$Z104,0))</f>
        <v>-</v>
      </c>
      <c r="Q104" s="432" t="str">
        <f aca="false">IF($A$1="Peak","-",IF(BaseLoad!W103&gt;BaseLoad!$G103,Q$8*$Z104,0))</f>
        <v>-</v>
      </c>
      <c r="R104" s="432" t="str">
        <f aca="false">IF($A$1="Peak","-",IF(BaseLoad!X103&gt;BaseLoad!$G103,R$8*$Z104,0))</f>
        <v>-</v>
      </c>
      <c r="S104" s="432" t="str">
        <f aca="false">IF($A$1="Peak","-",IF(BaseLoad!Y103&gt;BaseLoad!$G103,S$8*$Z104,0))</f>
        <v>-</v>
      </c>
      <c r="T104" s="432" t="str">
        <f aca="false">IF($A$1="Peak","-",IF(BaseLoad!Z103&gt;BaseLoad!$G103,T$8*$Z104,0))</f>
        <v>-</v>
      </c>
      <c r="U104" s="432" t="str">
        <f aca="false">IF($A$1="Peak","-",IF(BaseLoad!AA103&gt;BaseLoad!$G103,U$8*$Z104,0))</f>
        <v>-</v>
      </c>
      <c r="V104" s="432" t="n">
        <f aca="false">SUM(B104:U104)</f>
        <v>0</v>
      </c>
      <c r="W104" s="432"/>
      <c r="X104" s="432"/>
      <c r="Y104" s="432"/>
      <c r="Z104" s="432" t="n">
        <f aca="false">CHOOSE(QUOTIENT(MONTH($A104),3)+1,BaseLoad!$AM$9,BaseLoad!$AN$9,BaseLoad!$AL$9,BaseLoad!$AO$9,BaseLoad!$AM$9)</f>
        <v>0.95</v>
      </c>
      <c r="AA104" s="432" t="n">
        <f aca="false">CHOOSE(QUOTIENT(MONTH($A104),3)+1,BaseLoad!$AM$15,BaseLoad!$AN$15,BaseLoad!$AL$15,BaseLoad!$AO$15,BaseLoad!$AM$15)</f>
        <v>705</v>
      </c>
      <c r="AB104" s="431"/>
      <c r="AD104" s="431"/>
    </row>
    <row r="105" customFormat="false" ht="12.75" hidden="false" customHeight="false" outlineLevel="0" collapsed="false">
      <c r="A105" s="400" t="n">
        <f aca="false">A104+30.417</f>
        <v>39429.615</v>
      </c>
      <c r="B105" s="432" t="str">
        <f aca="false">IF($A$1="Peak","-",IF(BaseLoad!H104&gt;BaseLoad!$G104,B$8*$Z105,0))</f>
        <v>-</v>
      </c>
      <c r="C105" s="432" t="str">
        <f aca="false">IF($A$1="Peak","-",IF(BaseLoad!I104&gt;BaseLoad!$G104,C$8*$Z105,0))</f>
        <v>-</v>
      </c>
      <c r="D105" s="432" t="str">
        <f aca="false">IF($A$1="Peak","-",IF(BaseLoad!J104&gt;BaseLoad!$G104,D$8*$Z105,0))</f>
        <v>-</v>
      </c>
      <c r="E105" s="432" t="str">
        <f aca="false">IF($A$1="Peak","-",IF(BaseLoad!K104&gt;BaseLoad!$G104,E$8*$Z105,0))</f>
        <v>-</v>
      </c>
      <c r="F105" s="432" t="str">
        <f aca="false">IF($A$1="Peak","-",IF(BaseLoad!L104&gt;BaseLoad!$G104,F$8*$Z105,0))</f>
        <v>-</v>
      </c>
      <c r="G105" s="432" t="str">
        <f aca="false">IF($A$1="Peak","-",IF(BaseLoad!M104&gt;BaseLoad!$G104,G$8*$Z105,0))</f>
        <v>-</v>
      </c>
      <c r="H105" s="432" t="str">
        <f aca="false">IF($A$1="Peak","-",IF(BaseLoad!N104&gt;BaseLoad!$G104,H$8*$Z105,0))</f>
        <v>-</v>
      </c>
      <c r="I105" s="432" t="str">
        <f aca="false">IF($A$1="Peak","-",IF(BaseLoad!O104&gt;BaseLoad!$G104,I$8*$Z105,0))</f>
        <v>-</v>
      </c>
      <c r="J105" s="432" t="str">
        <f aca="false">IF($A$1="Peak","-",IF(BaseLoad!P104&gt;BaseLoad!$G104,J$8*$Z105,0))</f>
        <v>-</v>
      </c>
      <c r="K105" s="432" t="str">
        <f aca="false">IF($A$1="Peak","-",IF(BaseLoad!Q104&gt;BaseLoad!$G104,K$8*$Z105,0))</f>
        <v>-</v>
      </c>
      <c r="L105" s="432" t="str">
        <f aca="false">IF($A$1="Peak","-",IF(BaseLoad!R104&gt;BaseLoad!$G104,L$8*$Z105,0))</f>
        <v>-</v>
      </c>
      <c r="M105" s="432" t="str">
        <f aca="false">IF($A$1="Peak","-",IF(BaseLoad!S104&gt;BaseLoad!$G104,M$8*$Z105,0))</f>
        <v>-</v>
      </c>
      <c r="N105" s="432" t="str">
        <f aca="false">IF($A$1="Peak","-",IF(BaseLoad!T104&gt;BaseLoad!$G104,N$8*$Z105,0))</f>
        <v>-</v>
      </c>
      <c r="O105" s="432" t="str">
        <f aca="false">IF($A$1="Peak","-",IF(BaseLoad!U104&gt;BaseLoad!$G104,O$8*$Z105,0))</f>
        <v>-</v>
      </c>
      <c r="P105" s="432" t="str">
        <f aca="false">IF($A$1="Peak","-",IF(BaseLoad!V104&gt;BaseLoad!$G104,P$8*$Z105,0))</f>
        <v>-</v>
      </c>
      <c r="Q105" s="432" t="str">
        <f aca="false">IF($A$1="Peak","-",IF(BaseLoad!W104&gt;BaseLoad!$G104,Q$8*$Z105,0))</f>
        <v>-</v>
      </c>
      <c r="R105" s="432" t="str">
        <f aca="false">IF($A$1="Peak","-",IF(BaseLoad!X104&gt;BaseLoad!$G104,R$8*$Z105,0))</f>
        <v>-</v>
      </c>
      <c r="S105" s="432" t="str">
        <f aca="false">IF($A$1="Peak","-",IF(BaseLoad!Y104&gt;BaseLoad!$G104,S$8*$Z105,0))</f>
        <v>-</v>
      </c>
      <c r="T105" s="432" t="str">
        <f aca="false">IF($A$1="Peak","-",IF(BaseLoad!Z104&gt;BaseLoad!$G104,T$8*$Z105,0))</f>
        <v>-</v>
      </c>
      <c r="U105" s="432" t="str">
        <f aca="false">IF($A$1="Peak","-",IF(BaseLoad!AA104&gt;BaseLoad!$G104,U$8*$Z105,0))</f>
        <v>-</v>
      </c>
      <c r="V105" s="432" t="n">
        <f aca="false">SUM(B105:U105)</f>
        <v>0</v>
      </c>
      <c r="W105" s="432"/>
      <c r="X105" s="432"/>
      <c r="Y105" s="432" t="n">
        <f aca="false">SUM(V94:V105)</f>
        <v>0</v>
      </c>
      <c r="Z105" s="432" t="n">
        <f aca="false">CHOOSE(QUOTIENT(MONTH($A105),3)+1,BaseLoad!$AM$9,BaseLoad!$AN$9,BaseLoad!$AL$9,BaseLoad!$AO$9,BaseLoad!$AM$9)</f>
        <v>0.924276618786118</v>
      </c>
      <c r="AA105" s="432" t="n">
        <f aca="false">CHOOSE(QUOTIENT(MONTH($A105),3)+1,BaseLoad!$AM$15,BaseLoad!$AN$15,BaseLoad!$AL$15,BaseLoad!$AO$15,BaseLoad!$AM$15)</f>
        <v>705</v>
      </c>
      <c r="AB105" s="431"/>
      <c r="AD105" s="431"/>
    </row>
    <row r="106" customFormat="false" ht="12.75" hidden="false" customHeight="false" outlineLevel="0" collapsed="false">
      <c r="A106" s="400" t="n">
        <f aca="false">A105+30.417</f>
        <v>39460.032</v>
      </c>
      <c r="B106" s="432" t="str">
        <f aca="false">IF($A$1="Peak","-",IF(BaseLoad!H105&gt;BaseLoad!$G105,B$8*$Z106,0))</f>
        <v>-</v>
      </c>
      <c r="C106" s="432" t="str">
        <f aca="false">IF($A$1="Peak","-",IF(BaseLoad!I105&gt;BaseLoad!$G105,C$8*$Z106,0))</f>
        <v>-</v>
      </c>
      <c r="D106" s="432" t="str">
        <f aca="false">IF($A$1="Peak","-",IF(BaseLoad!J105&gt;BaseLoad!$G105,D$8*$Z106,0))</f>
        <v>-</v>
      </c>
      <c r="E106" s="432" t="str">
        <f aca="false">IF($A$1="Peak","-",IF(BaseLoad!K105&gt;BaseLoad!$G105,E$8*$Z106,0))</f>
        <v>-</v>
      </c>
      <c r="F106" s="432" t="str">
        <f aca="false">IF($A$1="Peak","-",IF(BaseLoad!L105&gt;BaseLoad!$G105,F$8*$Z106,0))</f>
        <v>-</v>
      </c>
      <c r="G106" s="432" t="str">
        <f aca="false">IF($A$1="Peak","-",IF(BaseLoad!M105&gt;BaseLoad!$G105,G$8*$Z106,0))</f>
        <v>-</v>
      </c>
      <c r="H106" s="432" t="str">
        <f aca="false">IF($A$1="Peak","-",IF(BaseLoad!N105&gt;BaseLoad!$G105,H$8*$Z106,0))</f>
        <v>-</v>
      </c>
      <c r="I106" s="432" t="str">
        <f aca="false">IF($A$1="Peak","-",IF(BaseLoad!O105&gt;BaseLoad!$G105,I$8*$Z106,0))</f>
        <v>-</v>
      </c>
      <c r="J106" s="432" t="str">
        <f aca="false">IF($A$1="Peak","-",IF(BaseLoad!P105&gt;BaseLoad!$G105,J$8*$Z106,0))</f>
        <v>-</v>
      </c>
      <c r="K106" s="432" t="str">
        <f aca="false">IF($A$1="Peak","-",IF(BaseLoad!Q105&gt;BaseLoad!$G105,K$8*$Z106,0))</f>
        <v>-</v>
      </c>
      <c r="L106" s="432" t="str">
        <f aca="false">IF($A$1="Peak","-",IF(BaseLoad!R105&gt;BaseLoad!$G105,L$8*$Z106,0))</f>
        <v>-</v>
      </c>
      <c r="M106" s="432" t="str">
        <f aca="false">IF($A$1="Peak","-",IF(BaseLoad!S105&gt;BaseLoad!$G105,M$8*$Z106,0))</f>
        <v>-</v>
      </c>
      <c r="N106" s="432" t="str">
        <f aca="false">IF($A$1="Peak","-",IF(BaseLoad!T105&gt;BaseLoad!$G105,N$8*$Z106,0))</f>
        <v>-</v>
      </c>
      <c r="O106" s="432" t="str">
        <f aca="false">IF($A$1="Peak","-",IF(BaseLoad!U105&gt;BaseLoad!$G105,O$8*$Z106,0))</f>
        <v>-</v>
      </c>
      <c r="P106" s="432" t="str">
        <f aca="false">IF($A$1="Peak","-",IF(BaseLoad!V105&gt;BaseLoad!$G105,P$8*$Z106,0))</f>
        <v>-</v>
      </c>
      <c r="Q106" s="432" t="str">
        <f aca="false">IF($A$1="Peak","-",IF(BaseLoad!W105&gt;BaseLoad!$G105,Q$8*$Z106,0))</f>
        <v>-</v>
      </c>
      <c r="R106" s="432" t="str">
        <f aca="false">IF($A$1="Peak","-",IF(BaseLoad!X105&gt;BaseLoad!$G105,R$8*$Z106,0))</f>
        <v>-</v>
      </c>
      <c r="S106" s="432" t="str">
        <f aca="false">IF($A$1="Peak","-",IF(BaseLoad!Y105&gt;BaseLoad!$G105,S$8*$Z106,0))</f>
        <v>-</v>
      </c>
      <c r="T106" s="432" t="str">
        <f aca="false">IF($A$1="Peak","-",IF(BaseLoad!Z105&gt;BaseLoad!$G105,T$8*$Z106,0))</f>
        <v>-</v>
      </c>
      <c r="U106" s="432" t="str">
        <f aca="false">IF($A$1="Peak","-",IF(BaseLoad!AA105&gt;BaseLoad!$G105,U$8*$Z106,0))</f>
        <v>-</v>
      </c>
      <c r="V106" s="432" t="n">
        <f aca="false">SUM(B106:U106)</f>
        <v>0</v>
      </c>
      <c r="W106" s="432"/>
      <c r="X106" s="432"/>
      <c r="Y106" s="432"/>
      <c r="Z106" s="432" t="n">
        <f aca="false">CHOOSE(QUOTIENT(MONTH($A106),3)+1,BaseLoad!$AM$9,BaseLoad!$AN$9,BaseLoad!$AL$9,BaseLoad!$AO$9,BaseLoad!$AM$9)</f>
        <v>0.924276618786118</v>
      </c>
      <c r="AA106" s="432" t="n">
        <f aca="false">CHOOSE(QUOTIENT(MONTH($A106),3)+1,BaseLoad!$AM$15,BaseLoad!$AN$15,BaseLoad!$AL$15,BaseLoad!$AO$15,BaseLoad!$AM$15)</f>
        <v>705</v>
      </c>
      <c r="AB106" s="431"/>
      <c r="AD106" s="431"/>
    </row>
    <row r="107" customFormat="false" ht="12.75" hidden="false" customHeight="false" outlineLevel="0" collapsed="false">
      <c r="A107" s="400" t="n">
        <f aca="false">A106+30.417</f>
        <v>39490.449</v>
      </c>
      <c r="B107" s="432" t="str">
        <f aca="false">IF($A$1="Peak","-",IF(BaseLoad!H106&gt;BaseLoad!$G106,B$8*$Z107,0))</f>
        <v>-</v>
      </c>
      <c r="C107" s="432" t="str">
        <f aca="false">IF($A$1="Peak","-",IF(BaseLoad!I106&gt;BaseLoad!$G106,C$8*$Z107,0))</f>
        <v>-</v>
      </c>
      <c r="D107" s="432" t="str">
        <f aca="false">IF($A$1="Peak","-",IF(BaseLoad!J106&gt;BaseLoad!$G106,D$8*$Z107,0))</f>
        <v>-</v>
      </c>
      <c r="E107" s="432" t="str">
        <f aca="false">IF($A$1="Peak","-",IF(BaseLoad!K106&gt;BaseLoad!$G106,E$8*$Z107,0))</f>
        <v>-</v>
      </c>
      <c r="F107" s="432" t="str">
        <f aca="false">IF($A$1="Peak","-",IF(BaseLoad!L106&gt;BaseLoad!$G106,F$8*$Z107,0))</f>
        <v>-</v>
      </c>
      <c r="G107" s="432" t="str">
        <f aca="false">IF($A$1="Peak","-",IF(BaseLoad!M106&gt;BaseLoad!$G106,G$8*$Z107,0))</f>
        <v>-</v>
      </c>
      <c r="H107" s="432" t="str">
        <f aca="false">IF($A$1="Peak","-",IF(BaseLoad!N106&gt;BaseLoad!$G106,H$8*$Z107,0))</f>
        <v>-</v>
      </c>
      <c r="I107" s="432" t="str">
        <f aca="false">IF($A$1="Peak","-",IF(BaseLoad!O106&gt;BaseLoad!$G106,I$8*$Z107,0))</f>
        <v>-</v>
      </c>
      <c r="J107" s="432" t="str">
        <f aca="false">IF($A$1="Peak","-",IF(BaseLoad!P106&gt;BaseLoad!$G106,J$8*$Z107,0))</f>
        <v>-</v>
      </c>
      <c r="K107" s="432" t="str">
        <f aca="false">IF($A$1="Peak","-",IF(BaseLoad!Q106&gt;BaseLoad!$G106,K$8*$Z107,0))</f>
        <v>-</v>
      </c>
      <c r="L107" s="432" t="str">
        <f aca="false">IF($A$1="Peak","-",IF(BaseLoad!R106&gt;BaseLoad!$G106,L$8*$Z107,0))</f>
        <v>-</v>
      </c>
      <c r="M107" s="432" t="str">
        <f aca="false">IF($A$1="Peak","-",IF(BaseLoad!S106&gt;BaseLoad!$G106,M$8*$Z107,0))</f>
        <v>-</v>
      </c>
      <c r="N107" s="432" t="str">
        <f aca="false">IF($A$1="Peak","-",IF(BaseLoad!T106&gt;BaseLoad!$G106,N$8*$Z107,0))</f>
        <v>-</v>
      </c>
      <c r="O107" s="432" t="str">
        <f aca="false">IF($A$1="Peak","-",IF(BaseLoad!U106&gt;BaseLoad!$G106,O$8*$Z107,0))</f>
        <v>-</v>
      </c>
      <c r="P107" s="432" t="str">
        <f aca="false">IF($A$1="Peak","-",IF(BaseLoad!V106&gt;BaseLoad!$G106,P$8*$Z107,0))</f>
        <v>-</v>
      </c>
      <c r="Q107" s="432" t="str">
        <f aca="false">IF($A$1="Peak","-",IF(BaseLoad!W106&gt;BaseLoad!$G106,Q$8*$Z107,0))</f>
        <v>-</v>
      </c>
      <c r="R107" s="432" t="str">
        <f aca="false">IF($A$1="Peak","-",IF(BaseLoad!X106&gt;BaseLoad!$G106,R$8*$Z107,0))</f>
        <v>-</v>
      </c>
      <c r="S107" s="432" t="str">
        <f aca="false">IF($A$1="Peak","-",IF(BaseLoad!Y106&gt;BaseLoad!$G106,S$8*$Z107,0))</f>
        <v>-</v>
      </c>
      <c r="T107" s="432" t="str">
        <f aca="false">IF($A$1="Peak","-",IF(BaseLoad!Z106&gt;BaseLoad!$G106,T$8*$Z107,0))</f>
        <v>-</v>
      </c>
      <c r="U107" s="432" t="str">
        <f aca="false">IF($A$1="Peak","-",IF(BaseLoad!AA106&gt;BaseLoad!$G106,U$8*$Z107,0))</f>
        <v>-</v>
      </c>
      <c r="V107" s="432" t="n">
        <f aca="false">SUM(B107:U107)</f>
        <v>0</v>
      </c>
      <c r="W107" s="432"/>
      <c r="X107" s="432"/>
      <c r="Y107" s="432"/>
      <c r="Z107" s="432" t="n">
        <f aca="false">CHOOSE(QUOTIENT(MONTH($A107),3)+1,BaseLoad!$AM$9,BaseLoad!$AN$9,BaseLoad!$AL$9,BaseLoad!$AO$9,BaseLoad!$AM$9)</f>
        <v>0.924276618786118</v>
      </c>
      <c r="AA107" s="432" t="n">
        <f aca="false">CHOOSE(QUOTIENT(MONTH($A107),3)+1,BaseLoad!$AM$15,BaseLoad!$AN$15,BaseLoad!$AL$15,BaseLoad!$AO$15,BaseLoad!$AM$15)</f>
        <v>705</v>
      </c>
      <c r="AB107" s="431"/>
      <c r="AD107" s="431"/>
    </row>
    <row r="108" customFormat="false" ht="12.75" hidden="false" customHeight="false" outlineLevel="0" collapsed="false">
      <c r="A108" s="400" t="n">
        <f aca="false">A107+30.417</f>
        <v>39520.866</v>
      </c>
      <c r="B108" s="432" t="str">
        <f aca="false">IF($A$1="Peak","-",IF(BaseLoad!H107&gt;BaseLoad!$G107,B$8*$Z108,0))</f>
        <v>-</v>
      </c>
      <c r="C108" s="432" t="str">
        <f aca="false">IF($A$1="Peak","-",IF(BaseLoad!I107&gt;BaseLoad!$G107,C$8*$Z108,0))</f>
        <v>-</v>
      </c>
      <c r="D108" s="432" t="str">
        <f aca="false">IF($A$1="Peak","-",IF(BaseLoad!J107&gt;BaseLoad!$G107,D$8*$Z108,0))</f>
        <v>-</v>
      </c>
      <c r="E108" s="432" t="str">
        <f aca="false">IF($A$1="Peak","-",IF(BaseLoad!K107&gt;BaseLoad!$G107,E$8*$Z108,0))</f>
        <v>-</v>
      </c>
      <c r="F108" s="432" t="str">
        <f aca="false">IF($A$1="Peak","-",IF(BaseLoad!L107&gt;BaseLoad!$G107,F$8*$Z108,0))</f>
        <v>-</v>
      </c>
      <c r="G108" s="432" t="str">
        <f aca="false">IF($A$1="Peak","-",IF(BaseLoad!M107&gt;BaseLoad!$G107,G$8*$Z108,0))</f>
        <v>-</v>
      </c>
      <c r="H108" s="432" t="str">
        <f aca="false">IF($A$1="Peak","-",IF(BaseLoad!N107&gt;BaseLoad!$G107,H$8*$Z108,0))</f>
        <v>-</v>
      </c>
      <c r="I108" s="432" t="str">
        <f aca="false">IF($A$1="Peak","-",IF(BaseLoad!O107&gt;BaseLoad!$G107,I$8*$Z108,0))</f>
        <v>-</v>
      </c>
      <c r="J108" s="432" t="str">
        <f aca="false">IF($A$1="Peak","-",IF(BaseLoad!P107&gt;BaseLoad!$G107,J$8*$Z108,0))</f>
        <v>-</v>
      </c>
      <c r="K108" s="432" t="str">
        <f aca="false">IF($A$1="Peak","-",IF(BaseLoad!Q107&gt;BaseLoad!$G107,K$8*$Z108,0))</f>
        <v>-</v>
      </c>
      <c r="L108" s="432" t="str">
        <f aca="false">IF($A$1="Peak","-",IF(BaseLoad!R107&gt;BaseLoad!$G107,L$8*$Z108,0))</f>
        <v>-</v>
      </c>
      <c r="M108" s="432" t="str">
        <f aca="false">IF($A$1="Peak","-",IF(BaseLoad!S107&gt;BaseLoad!$G107,M$8*$Z108,0))</f>
        <v>-</v>
      </c>
      <c r="N108" s="432" t="str">
        <f aca="false">IF($A$1="Peak","-",IF(BaseLoad!T107&gt;BaseLoad!$G107,N$8*$Z108,0))</f>
        <v>-</v>
      </c>
      <c r="O108" s="432" t="str">
        <f aca="false">IF($A$1="Peak","-",IF(BaseLoad!U107&gt;BaseLoad!$G107,O$8*$Z108,0))</f>
        <v>-</v>
      </c>
      <c r="P108" s="432" t="str">
        <f aca="false">IF($A$1="Peak","-",IF(BaseLoad!V107&gt;BaseLoad!$G107,P$8*$Z108,0))</f>
        <v>-</v>
      </c>
      <c r="Q108" s="432" t="str">
        <f aca="false">IF($A$1="Peak","-",IF(BaseLoad!W107&gt;BaseLoad!$G107,Q$8*$Z108,0))</f>
        <v>-</v>
      </c>
      <c r="R108" s="432" t="str">
        <f aca="false">IF($A$1="Peak","-",IF(BaseLoad!X107&gt;BaseLoad!$G107,R$8*$Z108,0))</f>
        <v>-</v>
      </c>
      <c r="S108" s="432" t="str">
        <f aca="false">IF($A$1="Peak","-",IF(BaseLoad!Y107&gt;BaseLoad!$G107,S$8*$Z108,0))</f>
        <v>-</v>
      </c>
      <c r="T108" s="432" t="str">
        <f aca="false">IF($A$1="Peak","-",IF(BaseLoad!Z107&gt;BaseLoad!$G107,T$8*$Z108,0))</f>
        <v>-</v>
      </c>
      <c r="U108" s="432" t="str">
        <f aca="false">IF($A$1="Peak","-",IF(BaseLoad!AA107&gt;BaseLoad!$G107,U$8*$Z108,0))</f>
        <v>-</v>
      </c>
      <c r="V108" s="432" t="n">
        <f aca="false">SUM(B108:U108)</f>
        <v>0</v>
      </c>
      <c r="W108" s="432"/>
      <c r="X108" s="432"/>
      <c r="Y108" s="432"/>
      <c r="Z108" s="432" t="n">
        <f aca="false">CHOOSE(QUOTIENT(MONTH($A108),3)+1,BaseLoad!$AM$9,BaseLoad!$AN$9,BaseLoad!$AL$9,BaseLoad!$AO$9,BaseLoad!$AM$9)</f>
        <v>0.95</v>
      </c>
      <c r="AA108" s="432" t="n">
        <f aca="false">CHOOSE(QUOTIENT(MONTH($A108),3)+1,BaseLoad!$AM$15,BaseLoad!$AN$15,BaseLoad!$AL$15,BaseLoad!$AO$15,BaseLoad!$AM$15)</f>
        <v>705</v>
      </c>
      <c r="AB108" s="431"/>
      <c r="AD108" s="431"/>
    </row>
    <row r="109" customFormat="false" ht="12.75" hidden="false" customHeight="false" outlineLevel="0" collapsed="false">
      <c r="A109" s="400" t="n">
        <f aca="false">A108+30.417</f>
        <v>39551.283</v>
      </c>
      <c r="B109" s="432" t="str">
        <f aca="false">IF($A$1="Peak","-",IF(BaseLoad!H108&gt;BaseLoad!$G108,B$8*$Z109,0))</f>
        <v>-</v>
      </c>
      <c r="C109" s="432" t="str">
        <f aca="false">IF($A$1="Peak","-",IF(BaseLoad!I108&gt;BaseLoad!$G108,C$8*$Z109,0))</f>
        <v>-</v>
      </c>
      <c r="D109" s="432" t="str">
        <f aca="false">IF($A$1="Peak","-",IF(BaseLoad!J108&gt;BaseLoad!$G108,D$8*$Z109,0))</f>
        <v>-</v>
      </c>
      <c r="E109" s="432" t="str">
        <f aca="false">IF($A$1="Peak","-",IF(BaseLoad!K108&gt;BaseLoad!$G108,E$8*$Z109,0))</f>
        <v>-</v>
      </c>
      <c r="F109" s="432" t="str">
        <f aca="false">IF($A$1="Peak","-",IF(BaseLoad!L108&gt;BaseLoad!$G108,F$8*$Z109,0))</f>
        <v>-</v>
      </c>
      <c r="G109" s="432" t="str">
        <f aca="false">IF($A$1="Peak","-",IF(BaseLoad!M108&gt;BaseLoad!$G108,G$8*$Z109,0))</f>
        <v>-</v>
      </c>
      <c r="H109" s="432" t="str">
        <f aca="false">IF($A$1="Peak","-",IF(BaseLoad!N108&gt;BaseLoad!$G108,H$8*$Z109,0))</f>
        <v>-</v>
      </c>
      <c r="I109" s="432" t="str">
        <f aca="false">IF($A$1="Peak","-",IF(BaseLoad!O108&gt;BaseLoad!$G108,I$8*$Z109,0))</f>
        <v>-</v>
      </c>
      <c r="J109" s="432" t="str">
        <f aca="false">IF($A$1="Peak","-",IF(BaseLoad!P108&gt;BaseLoad!$G108,J$8*$Z109,0))</f>
        <v>-</v>
      </c>
      <c r="K109" s="432" t="str">
        <f aca="false">IF($A$1="Peak","-",IF(BaseLoad!Q108&gt;BaseLoad!$G108,K$8*$Z109,0))</f>
        <v>-</v>
      </c>
      <c r="L109" s="432" t="str">
        <f aca="false">IF($A$1="Peak","-",IF(BaseLoad!R108&gt;BaseLoad!$G108,L$8*$Z109,0))</f>
        <v>-</v>
      </c>
      <c r="M109" s="432" t="str">
        <f aca="false">IF($A$1="Peak","-",IF(BaseLoad!S108&gt;BaseLoad!$G108,M$8*$Z109,0))</f>
        <v>-</v>
      </c>
      <c r="N109" s="432" t="str">
        <f aca="false">IF($A$1="Peak","-",IF(BaseLoad!T108&gt;BaseLoad!$G108,N$8*$Z109,0))</f>
        <v>-</v>
      </c>
      <c r="O109" s="432" t="str">
        <f aca="false">IF($A$1="Peak","-",IF(BaseLoad!U108&gt;BaseLoad!$G108,O$8*$Z109,0))</f>
        <v>-</v>
      </c>
      <c r="P109" s="432" t="str">
        <f aca="false">IF($A$1="Peak","-",IF(BaseLoad!V108&gt;BaseLoad!$G108,P$8*$Z109,0))</f>
        <v>-</v>
      </c>
      <c r="Q109" s="432" t="str">
        <f aca="false">IF($A$1="Peak","-",IF(BaseLoad!W108&gt;BaseLoad!$G108,Q$8*$Z109,0))</f>
        <v>-</v>
      </c>
      <c r="R109" s="432" t="str">
        <f aca="false">IF($A$1="Peak","-",IF(BaseLoad!X108&gt;BaseLoad!$G108,R$8*$Z109,0))</f>
        <v>-</v>
      </c>
      <c r="S109" s="432" t="str">
        <f aca="false">IF($A$1="Peak","-",IF(BaseLoad!Y108&gt;BaseLoad!$G108,S$8*$Z109,0))</f>
        <v>-</v>
      </c>
      <c r="T109" s="432" t="str">
        <f aca="false">IF($A$1="Peak","-",IF(BaseLoad!Z108&gt;BaseLoad!$G108,T$8*$Z109,0))</f>
        <v>-</v>
      </c>
      <c r="U109" s="432" t="str">
        <f aca="false">IF($A$1="Peak","-",IF(BaseLoad!AA108&gt;BaseLoad!$G108,U$8*$Z109,0))</f>
        <v>-</v>
      </c>
      <c r="V109" s="432" t="n">
        <f aca="false">SUM(B109:U109)</f>
        <v>0</v>
      </c>
      <c r="W109" s="432"/>
      <c r="X109" s="432"/>
      <c r="Y109" s="432"/>
      <c r="Z109" s="432" t="n">
        <f aca="false">CHOOSE(QUOTIENT(MONTH($A109),3)+1,BaseLoad!$AM$9,BaseLoad!$AN$9,BaseLoad!$AL$9,BaseLoad!$AO$9,BaseLoad!$AM$9)</f>
        <v>0.95</v>
      </c>
      <c r="AA109" s="432" t="n">
        <f aca="false">CHOOSE(QUOTIENT(MONTH($A109),3)+1,BaseLoad!$AM$15,BaseLoad!$AN$15,BaseLoad!$AL$15,BaseLoad!$AO$15,BaseLoad!$AM$15)</f>
        <v>705</v>
      </c>
      <c r="AB109" s="431"/>
      <c r="AD109" s="431"/>
    </row>
    <row r="110" customFormat="false" ht="12.75" hidden="false" customHeight="false" outlineLevel="0" collapsed="false">
      <c r="A110" s="400" t="n">
        <f aca="false">A109+30.417</f>
        <v>39581.7</v>
      </c>
      <c r="B110" s="432" t="str">
        <f aca="false">IF($A$1="Peak","-",IF(BaseLoad!H109&gt;BaseLoad!$G109,B$8*$Z110,0))</f>
        <v>-</v>
      </c>
      <c r="C110" s="432" t="str">
        <f aca="false">IF($A$1="Peak","-",IF(BaseLoad!I109&gt;BaseLoad!$G109,C$8*$Z110,0))</f>
        <v>-</v>
      </c>
      <c r="D110" s="432" t="str">
        <f aca="false">IF($A$1="Peak","-",IF(BaseLoad!J109&gt;BaseLoad!$G109,D$8*$Z110,0))</f>
        <v>-</v>
      </c>
      <c r="E110" s="432" t="str">
        <f aca="false">IF($A$1="Peak","-",IF(BaseLoad!K109&gt;BaseLoad!$G109,E$8*$Z110,0))</f>
        <v>-</v>
      </c>
      <c r="F110" s="432" t="str">
        <f aca="false">IF($A$1="Peak","-",IF(BaseLoad!L109&gt;BaseLoad!$G109,F$8*$Z110,0))</f>
        <v>-</v>
      </c>
      <c r="G110" s="432" t="str">
        <f aca="false">IF($A$1="Peak","-",IF(BaseLoad!M109&gt;BaseLoad!$G109,G$8*$Z110,0))</f>
        <v>-</v>
      </c>
      <c r="H110" s="432" t="str">
        <f aca="false">IF($A$1="Peak","-",IF(BaseLoad!N109&gt;BaseLoad!$G109,H$8*$Z110,0))</f>
        <v>-</v>
      </c>
      <c r="I110" s="432" t="str">
        <f aca="false">IF($A$1="Peak","-",IF(BaseLoad!O109&gt;BaseLoad!$G109,I$8*$Z110,0))</f>
        <v>-</v>
      </c>
      <c r="J110" s="432" t="str">
        <f aca="false">IF($A$1="Peak","-",IF(BaseLoad!P109&gt;BaseLoad!$G109,J$8*$Z110,0))</f>
        <v>-</v>
      </c>
      <c r="K110" s="432" t="str">
        <f aca="false">IF($A$1="Peak","-",IF(BaseLoad!Q109&gt;BaseLoad!$G109,K$8*$Z110,0))</f>
        <v>-</v>
      </c>
      <c r="L110" s="432" t="str">
        <f aca="false">IF($A$1="Peak","-",IF(BaseLoad!R109&gt;BaseLoad!$G109,L$8*$Z110,0))</f>
        <v>-</v>
      </c>
      <c r="M110" s="432" t="str">
        <f aca="false">IF($A$1="Peak","-",IF(BaseLoad!S109&gt;BaseLoad!$G109,M$8*$Z110,0))</f>
        <v>-</v>
      </c>
      <c r="N110" s="432" t="str">
        <f aca="false">IF($A$1="Peak","-",IF(BaseLoad!T109&gt;BaseLoad!$G109,N$8*$Z110,0))</f>
        <v>-</v>
      </c>
      <c r="O110" s="432" t="str">
        <f aca="false">IF($A$1="Peak","-",IF(BaseLoad!U109&gt;BaseLoad!$G109,O$8*$Z110,0))</f>
        <v>-</v>
      </c>
      <c r="P110" s="432" t="str">
        <f aca="false">IF($A$1="Peak","-",IF(BaseLoad!V109&gt;BaseLoad!$G109,P$8*$Z110,0))</f>
        <v>-</v>
      </c>
      <c r="Q110" s="432" t="str">
        <f aca="false">IF($A$1="Peak","-",IF(BaseLoad!W109&gt;BaseLoad!$G109,Q$8*$Z110,0))</f>
        <v>-</v>
      </c>
      <c r="R110" s="432" t="str">
        <f aca="false">IF($A$1="Peak","-",IF(BaseLoad!X109&gt;BaseLoad!$G109,R$8*$Z110,0))</f>
        <v>-</v>
      </c>
      <c r="S110" s="432" t="str">
        <f aca="false">IF($A$1="Peak","-",IF(BaseLoad!Y109&gt;BaseLoad!$G109,S$8*$Z110,0))</f>
        <v>-</v>
      </c>
      <c r="T110" s="432" t="str">
        <f aca="false">IF($A$1="Peak","-",IF(BaseLoad!Z109&gt;BaseLoad!$G109,T$8*$Z110,0))</f>
        <v>-</v>
      </c>
      <c r="U110" s="432" t="str">
        <f aca="false">IF($A$1="Peak","-",IF(BaseLoad!AA109&gt;BaseLoad!$G109,U$8*$Z110,0))</f>
        <v>-</v>
      </c>
      <c r="V110" s="432" t="n">
        <f aca="false">SUM(B110:U110)</f>
        <v>0</v>
      </c>
      <c r="W110" s="432"/>
      <c r="X110" s="432"/>
      <c r="Y110" s="432"/>
      <c r="Z110" s="432" t="n">
        <f aca="false">CHOOSE(QUOTIENT(MONTH($A110),3)+1,BaseLoad!$AM$9,BaseLoad!$AN$9,BaseLoad!$AL$9,BaseLoad!$AO$9,BaseLoad!$AM$9)</f>
        <v>0.95</v>
      </c>
      <c r="AA110" s="432" t="n">
        <f aca="false">CHOOSE(QUOTIENT(MONTH($A110),3)+1,BaseLoad!$AM$15,BaseLoad!$AN$15,BaseLoad!$AL$15,BaseLoad!$AO$15,BaseLoad!$AM$15)</f>
        <v>705</v>
      </c>
      <c r="AB110" s="431"/>
      <c r="AD110" s="431"/>
    </row>
    <row r="111" customFormat="false" ht="12.75" hidden="false" customHeight="false" outlineLevel="0" collapsed="false">
      <c r="A111" s="400" t="n">
        <f aca="false">A110+30.417</f>
        <v>39612.117</v>
      </c>
      <c r="B111" s="432" t="str">
        <f aca="false">IF($A$1="Peak","-",IF(BaseLoad!H110&gt;BaseLoad!$G110,B$8*$Z111,0))</f>
        <v>-</v>
      </c>
      <c r="C111" s="432" t="str">
        <f aca="false">IF($A$1="Peak","-",IF(BaseLoad!I110&gt;BaseLoad!$G110,C$8*$Z111,0))</f>
        <v>-</v>
      </c>
      <c r="D111" s="432" t="str">
        <f aca="false">IF($A$1="Peak","-",IF(BaseLoad!J110&gt;BaseLoad!$G110,D$8*$Z111,0))</f>
        <v>-</v>
      </c>
      <c r="E111" s="432" t="str">
        <f aca="false">IF($A$1="Peak","-",IF(BaseLoad!K110&gt;BaseLoad!$G110,E$8*$Z111,0))</f>
        <v>-</v>
      </c>
      <c r="F111" s="432" t="str">
        <f aca="false">IF($A$1="Peak","-",IF(BaseLoad!L110&gt;BaseLoad!$G110,F$8*$Z111,0))</f>
        <v>-</v>
      </c>
      <c r="G111" s="432" t="str">
        <f aca="false">IF($A$1="Peak","-",IF(BaseLoad!M110&gt;BaseLoad!$G110,G$8*$Z111,0))</f>
        <v>-</v>
      </c>
      <c r="H111" s="432" t="str">
        <f aca="false">IF($A$1="Peak","-",IF(BaseLoad!N110&gt;BaseLoad!$G110,H$8*$Z111,0))</f>
        <v>-</v>
      </c>
      <c r="I111" s="432" t="str">
        <f aca="false">IF($A$1="Peak","-",IF(BaseLoad!O110&gt;BaseLoad!$G110,I$8*$Z111,0))</f>
        <v>-</v>
      </c>
      <c r="J111" s="432" t="str">
        <f aca="false">IF($A$1="Peak","-",IF(BaseLoad!P110&gt;BaseLoad!$G110,J$8*$Z111,0))</f>
        <v>-</v>
      </c>
      <c r="K111" s="432" t="str">
        <f aca="false">IF($A$1="Peak","-",IF(BaseLoad!Q110&gt;BaseLoad!$G110,K$8*$Z111,0))</f>
        <v>-</v>
      </c>
      <c r="L111" s="432" t="str">
        <f aca="false">IF($A$1="Peak","-",IF(BaseLoad!R110&gt;BaseLoad!$G110,L$8*$Z111,0))</f>
        <v>-</v>
      </c>
      <c r="M111" s="432" t="str">
        <f aca="false">IF($A$1="Peak","-",IF(BaseLoad!S110&gt;BaseLoad!$G110,M$8*$Z111,0))</f>
        <v>-</v>
      </c>
      <c r="N111" s="432" t="str">
        <f aca="false">IF($A$1="Peak","-",IF(BaseLoad!T110&gt;BaseLoad!$G110,N$8*$Z111,0))</f>
        <v>-</v>
      </c>
      <c r="O111" s="432" t="str">
        <f aca="false">IF($A$1="Peak","-",IF(BaseLoad!U110&gt;BaseLoad!$G110,O$8*$Z111,0))</f>
        <v>-</v>
      </c>
      <c r="P111" s="432" t="str">
        <f aca="false">IF($A$1="Peak","-",IF(BaseLoad!V110&gt;BaseLoad!$G110,P$8*$Z111,0))</f>
        <v>-</v>
      </c>
      <c r="Q111" s="432" t="str">
        <f aca="false">IF($A$1="Peak","-",IF(BaseLoad!W110&gt;BaseLoad!$G110,Q$8*$Z111,0))</f>
        <v>-</v>
      </c>
      <c r="R111" s="432" t="str">
        <f aca="false">IF($A$1="Peak","-",IF(BaseLoad!X110&gt;BaseLoad!$G110,R$8*$Z111,0))</f>
        <v>-</v>
      </c>
      <c r="S111" s="432" t="str">
        <f aca="false">IF($A$1="Peak","-",IF(BaseLoad!Y110&gt;BaseLoad!$G110,S$8*$Z111,0))</f>
        <v>-</v>
      </c>
      <c r="T111" s="432" t="str">
        <f aca="false">IF($A$1="Peak","-",IF(BaseLoad!Z110&gt;BaseLoad!$G110,T$8*$Z111,0))</f>
        <v>-</v>
      </c>
      <c r="U111" s="432" t="str">
        <f aca="false">IF($A$1="Peak","-",IF(BaseLoad!AA110&gt;BaseLoad!$G110,U$8*$Z111,0))</f>
        <v>-</v>
      </c>
      <c r="V111" s="432" t="n">
        <f aca="false">SUM(B111:U111)</f>
        <v>0</v>
      </c>
      <c r="W111" s="432"/>
      <c r="X111" s="432"/>
      <c r="Y111" s="432"/>
      <c r="Z111" s="432" t="n">
        <f aca="false">CHOOSE(QUOTIENT(MONTH($A111),3)+1,BaseLoad!$AM$9,BaseLoad!$AN$9,BaseLoad!$AL$9,BaseLoad!$AO$9,BaseLoad!$AM$9)</f>
        <v>0.966121359095586</v>
      </c>
      <c r="AA111" s="432" t="n">
        <f aca="false">CHOOSE(QUOTIENT(MONTH($A111),3)+1,BaseLoad!$AM$15,BaseLoad!$AN$15,BaseLoad!$AL$15,BaseLoad!$AO$15,BaseLoad!$AM$15)</f>
        <v>705</v>
      </c>
      <c r="AB111" s="431"/>
      <c r="AD111" s="431"/>
    </row>
    <row r="112" customFormat="false" ht="12.75" hidden="false" customHeight="false" outlineLevel="0" collapsed="false">
      <c r="A112" s="400" t="n">
        <f aca="false">A111+30.417</f>
        <v>39642.534</v>
      </c>
      <c r="B112" s="432" t="str">
        <f aca="false">IF($A$1="Peak","-",IF(BaseLoad!H111&gt;BaseLoad!$G111,B$8*$Z112,0))</f>
        <v>-</v>
      </c>
      <c r="C112" s="432" t="str">
        <f aca="false">IF($A$1="Peak","-",IF(BaseLoad!I111&gt;BaseLoad!$G111,C$8*$Z112,0))</f>
        <v>-</v>
      </c>
      <c r="D112" s="432" t="str">
        <f aca="false">IF($A$1="Peak","-",IF(BaseLoad!J111&gt;BaseLoad!$G111,D$8*$Z112,0))</f>
        <v>-</v>
      </c>
      <c r="E112" s="432" t="str">
        <f aca="false">IF($A$1="Peak","-",IF(BaseLoad!K111&gt;BaseLoad!$G111,E$8*$Z112,0))</f>
        <v>-</v>
      </c>
      <c r="F112" s="432" t="str">
        <f aca="false">IF($A$1="Peak","-",IF(BaseLoad!L111&gt;BaseLoad!$G111,F$8*$Z112,0))</f>
        <v>-</v>
      </c>
      <c r="G112" s="432" t="str">
        <f aca="false">IF($A$1="Peak","-",IF(BaseLoad!M111&gt;BaseLoad!$G111,G$8*$Z112,0))</f>
        <v>-</v>
      </c>
      <c r="H112" s="432" t="str">
        <f aca="false">IF($A$1="Peak","-",IF(BaseLoad!N111&gt;BaseLoad!$G111,H$8*$Z112,0))</f>
        <v>-</v>
      </c>
      <c r="I112" s="432" t="str">
        <f aca="false">IF($A$1="Peak","-",IF(BaseLoad!O111&gt;BaseLoad!$G111,I$8*$Z112,0))</f>
        <v>-</v>
      </c>
      <c r="J112" s="432" t="str">
        <f aca="false">IF($A$1="Peak","-",IF(BaseLoad!P111&gt;BaseLoad!$G111,J$8*$Z112,0))</f>
        <v>-</v>
      </c>
      <c r="K112" s="432" t="str">
        <f aca="false">IF($A$1="Peak","-",IF(BaseLoad!Q111&gt;BaseLoad!$G111,K$8*$Z112,0))</f>
        <v>-</v>
      </c>
      <c r="L112" s="432" t="str">
        <f aca="false">IF($A$1="Peak","-",IF(BaseLoad!R111&gt;BaseLoad!$G111,L$8*$Z112,0))</f>
        <v>-</v>
      </c>
      <c r="M112" s="432" t="str">
        <f aca="false">IF($A$1="Peak","-",IF(BaseLoad!S111&gt;BaseLoad!$G111,M$8*$Z112,0))</f>
        <v>-</v>
      </c>
      <c r="N112" s="432" t="str">
        <f aca="false">IF($A$1="Peak","-",IF(BaseLoad!T111&gt;BaseLoad!$G111,N$8*$Z112,0))</f>
        <v>-</v>
      </c>
      <c r="O112" s="432" t="str">
        <f aca="false">IF($A$1="Peak","-",IF(BaseLoad!U111&gt;BaseLoad!$G111,O$8*$Z112,0))</f>
        <v>-</v>
      </c>
      <c r="P112" s="432" t="str">
        <f aca="false">IF($A$1="Peak","-",IF(BaseLoad!V111&gt;BaseLoad!$G111,P$8*$Z112,0))</f>
        <v>-</v>
      </c>
      <c r="Q112" s="432" t="str">
        <f aca="false">IF($A$1="Peak","-",IF(BaseLoad!W111&gt;BaseLoad!$G111,Q$8*$Z112,0))</f>
        <v>-</v>
      </c>
      <c r="R112" s="432" t="str">
        <f aca="false">IF($A$1="Peak","-",IF(BaseLoad!X111&gt;BaseLoad!$G111,R$8*$Z112,0))</f>
        <v>-</v>
      </c>
      <c r="S112" s="432" t="str">
        <f aca="false">IF($A$1="Peak","-",IF(BaseLoad!Y111&gt;BaseLoad!$G111,S$8*$Z112,0))</f>
        <v>-</v>
      </c>
      <c r="T112" s="432" t="str">
        <f aca="false">IF($A$1="Peak","-",IF(BaseLoad!Z111&gt;BaseLoad!$G111,T$8*$Z112,0))</f>
        <v>-</v>
      </c>
      <c r="U112" s="432" t="str">
        <f aca="false">IF($A$1="Peak","-",IF(BaseLoad!AA111&gt;BaseLoad!$G111,U$8*$Z112,0))</f>
        <v>-</v>
      </c>
      <c r="V112" s="432" t="n">
        <f aca="false">SUM(B112:U112)</f>
        <v>0</v>
      </c>
      <c r="W112" s="432"/>
      <c r="X112" s="432"/>
      <c r="Y112" s="432"/>
      <c r="Z112" s="432" t="n">
        <f aca="false">CHOOSE(QUOTIENT(MONTH($A112),3)+1,BaseLoad!$AM$9,BaseLoad!$AN$9,BaseLoad!$AL$9,BaseLoad!$AO$9,BaseLoad!$AM$9)</f>
        <v>0.966121359095586</v>
      </c>
      <c r="AA112" s="432" t="n">
        <f aca="false">CHOOSE(QUOTIENT(MONTH($A112),3)+1,BaseLoad!$AM$15,BaseLoad!$AN$15,BaseLoad!$AL$15,BaseLoad!$AO$15,BaseLoad!$AM$15)</f>
        <v>705</v>
      </c>
      <c r="AB112" s="431"/>
      <c r="AD112" s="431"/>
    </row>
    <row r="113" customFormat="false" ht="12.75" hidden="false" customHeight="false" outlineLevel="0" collapsed="false">
      <c r="A113" s="400" t="n">
        <f aca="false">A112+30.417</f>
        <v>39672.951</v>
      </c>
      <c r="B113" s="432" t="str">
        <f aca="false">IF($A$1="Peak","-",IF(BaseLoad!H112&gt;BaseLoad!$G112,B$8*$Z113,0))</f>
        <v>-</v>
      </c>
      <c r="C113" s="432" t="str">
        <f aca="false">IF($A$1="Peak","-",IF(BaseLoad!I112&gt;BaseLoad!$G112,C$8*$Z113,0))</f>
        <v>-</v>
      </c>
      <c r="D113" s="432" t="str">
        <f aca="false">IF($A$1="Peak","-",IF(BaseLoad!J112&gt;BaseLoad!$G112,D$8*$Z113,0))</f>
        <v>-</v>
      </c>
      <c r="E113" s="432" t="str">
        <f aca="false">IF($A$1="Peak","-",IF(BaseLoad!K112&gt;BaseLoad!$G112,E$8*$Z113,0))</f>
        <v>-</v>
      </c>
      <c r="F113" s="432" t="str">
        <f aca="false">IF($A$1="Peak","-",IF(BaseLoad!L112&gt;BaseLoad!$G112,F$8*$Z113,0))</f>
        <v>-</v>
      </c>
      <c r="G113" s="432" t="str">
        <f aca="false">IF($A$1="Peak","-",IF(BaseLoad!M112&gt;BaseLoad!$G112,G$8*$Z113,0))</f>
        <v>-</v>
      </c>
      <c r="H113" s="432" t="str">
        <f aca="false">IF($A$1="Peak","-",IF(BaseLoad!N112&gt;BaseLoad!$G112,H$8*$Z113,0))</f>
        <v>-</v>
      </c>
      <c r="I113" s="432" t="str">
        <f aca="false">IF($A$1="Peak","-",IF(BaseLoad!O112&gt;BaseLoad!$G112,I$8*$Z113,0))</f>
        <v>-</v>
      </c>
      <c r="J113" s="432" t="str">
        <f aca="false">IF($A$1="Peak","-",IF(BaseLoad!P112&gt;BaseLoad!$G112,J$8*$Z113,0))</f>
        <v>-</v>
      </c>
      <c r="K113" s="432" t="str">
        <f aca="false">IF($A$1="Peak","-",IF(BaseLoad!Q112&gt;BaseLoad!$G112,K$8*$Z113,0))</f>
        <v>-</v>
      </c>
      <c r="L113" s="432" t="str">
        <f aca="false">IF($A$1="Peak","-",IF(BaseLoad!R112&gt;BaseLoad!$G112,L$8*$Z113,0))</f>
        <v>-</v>
      </c>
      <c r="M113" s="432" t="str">
        <f aca="false">IF($A$1="Peak","-",IF(BaseLoad!S112&gt;BaseLoad!$G112,M$8*$Z113,0))</f>
        <v>-</v>
      </c>
      <c r="N113" s="432" t="str">
        <f aca="false">IF($A$1="Peak","-",IF(BaseLoad!T112&gt;BaseLoad!$G112,N$8*$Z113,0))</f>
        <v>-</v>
      </c>
      <c r="O113" s="432" t="str">
        <f aca="false">IF($A$1="Peak","-",IF(BaseLoad!U112&gt;BaseLoad!$G112,O$8*$Z113,0))</f>
        <v>-</v>
      </c>
      <c r="P113" s="432" t="str">
        <f aca="false">IF($A$1="Peak","-",IF(BaseLoad!V112&gt;BaseLoad!$G112,P$8*$Z113,0))</f>
        <v>-</v>
      </c>
      <c r="Q113" s="432" t="str">
        <f aca="false">IF($A$1="Peak","-",IF(BaseLoad!W112&gt;BaseLoad!$G112,Q$8*$Z113,0))</f>
        <v>-</v>
      </c>
      <c r="R113" s="432" t="str">
        <f aca="false">IF($A$1="Peak","-",IF(BaseLoad!X112&gt;BaseLoad!$G112,R$8*$Z113,0))</f>
        <v>-</v>
      </c>
      <c r="S113" s="432" t="str">
        <f aca="false">IF($A$1="Peak","-",IF(BaseLoad!Y112&gt;BaseLoad!$G112,S$8*$Z113,0))</f>
        <v>-</v>
      </c>
      <c r="T113" s="432" t="str">
        <f aca="false">IF($A$1="Peak","-",IF(BaseLoad!Z112&gt;BaseLoad!$G112,T$8*$Z113,0))</f>
        <v>-</v>
      </c>
      <c r="U113" s="432" t="str">
        <f aca="false">IF($A$1="Peak","-",IF(BaseLoad!AA112&gt;BaseLoad!$G112,U$8*$Z113,0))</f>
        <v>-</v>
      </c>
      <c r="V113" s="432" t="n">
        <f aca="false">SUM(B113:U113)</f>
        <v>0</v>
      </c>
      <c r="W113" s="432"/>
      <c r="X113" s="432"/>
      <c r="Y113" s="432"/>
      <c r="Z113" s="432" t="n">
        <f aca="false">CHOOSE(QUOTIENT(MONTH($A113),3)+1,BaseLoad!$AM$9,BaseLoad!$AN$9,BaseLoad!$AL$9,BaseLoad!$AO$9,BaseLoad!$AM$9)</f>
        <v>0.966121359095586</v>
      </c>
      <c r="AA113" s="432" t="n">
        <f aca="false">CHOOSE(QUOTIENT(MONTH($A113),3)+1,BaseLoad!$AM$15,BaseLoad!$AN$15,BaseLoad!$AL$15,BaseLoad!$AO$15,BaseLoad!$AM$15)</f>
        <v>705</v>
      </c>
      <c r="AB113" s="431"/>
      <c r="AD113" s="431"/>
    </row>
    <row r="114" customFormat="false" ht="12.75" hidden="false" customHeight="false" outlineLevel="0" collapsed="false">
      <c r="A114" s="400" t="n">
        <f aca="false">A113+30.417</f>
        <v>39703.368</v>
      </c>
      <c r="B114" s="432" t="str">
        <f aca="false">IF($A$1="Peak","-",IF(BaseLoad!H113&gt;BaseLoad!$G113,B$8*$Z114,0))</f>
        <v>-</v>
      </c>
      <c r="C114" s="432" t="str">
        <f aca="false">IF($A$1="Peak","-",IF(BaseLoad!I113&gt;BaseLoad!$G113,C$8*$Z114,0))</f>
        <v>-</v>
      </c>
      <c r="D114" s="432" t="str">
        <f aca="false">IF($A$1="Peak","-",IF(BaseLoad!J113&gt;BaseLoad!$G113,D$8*$Z114,0))</f>
        <v>-</v>
      </c>
      <c r="E114" s="432" t="str">
        <f aca="false">IF($A$1="Peak","-",IF(BaseLoad!K113&gt;BaseLoad!$G113,E$8*$Z114,0))</f>
        <v>-</v>
      </c>
      <c r="F114" s="432" t="str">
        <f aca="false">IF($A$1="Peak","-",IF(BaseLoad!L113&gt;BaseLoad!$G113,F$8*$Z114,0))</f>
        <v>-</v>
      </c>
      <c r="G114" s="432" t="str">
        <f aca="false">IF($A$1="Peak","-",IF(BaseLoad!M113&gt;BaseLoad!$G113,G$8*$Z114,0))</f>
        <v>-</v>
      </c>
      <c r="H114" s="432" t="str">
        <f aca="false">IF($A$1="Peak","-",IF(BaseLoad!N113&gt;BaseLoad!$G113,H$8*$Z114,0))</f>
        <v>-</v>
      </c>
      <c r="I114" s="432" t="str">
        <f aca="false">IF($A$1="Peak","-",IF(BaseLoad!O113&gt;BaseLoad!$G113,I$8*$Z114,0))</f>
        <v>-</v>
      </c>
      <c r="J114" s="432" t="str">
        <f aca="false">IF($A$1="Peak","-",IF(BaseLoad!P113&gt;BaseLoad!$G113,J$8*$Z114,0))</f>
        <v>-</v>
      </c>
      <c r="K114" s="432" t="str">
        <f aca="false">IF($A$1="Peak","-",IF(BaseLoad!Q113&gt;BaseLoad!$G113,K$8*$Z114,0))</f>
        <v>-</v>
      </c>
      <c r="L114" s="432" t="str">
        <f aca="false">IF($A$1="Peak","-",IF(BaseLoad!R113&gt;BaseLoad!$G113,L$8*$Z114,0))</f>
        <v>-</v>
      </c>
      <c r="M114" s="432" t="str">
        <f aca="false">IF($A$1="Peak","-",IF(BaseLoad!S113&gt;BaseLoad!$G113,M$8*$Z114,0))</f>
        <v>-</v>
      </c>
      <c r="N114" s="432" t="str">
        <f aca="false">IF($A$1="Peak","-",IF(BaseLoad!T113&gt;BaseLoad!$G113,N$8*$Z114,0))</f>
        <v>-</v>
      </c>
      <c r="O114" s="432" t="str">
        <f aca="false">IF($A$1="Peak","-",IF(BaseLoad!U113&gt;BaseLoad!$G113,O$8*$Z114,0))</f>
        <v>-</v>
      </c>
      <c r="P114" s="432" t="str">
        <f aca="false">IF($A$1="Peak","-",IF(BaseLoad!V113&gt;BaseLoad!$G113,P$8*$Z114,0))</f>
        <v>-</v>
      </c>
      <c r="Q114" s="432" t="str">
        <f aca="false">IF($A$1="Peak","-",IF(BaseLoad!W113&gt;BaseLoad!$G113,Q$8*$Z114,0))</f>
        <v>-</v>
      </c>
      <c r="R114" s="432" t="str">
        <f aca="false">IF($A$1="Peak","-",IF(BaseLoad!X113&gt;BaseLoad!$G113,R$8*$Z114,0))</f>
        <v>-</v>
      </c>
      <c r="S114" s="432" t="str">
        <f aca="false">IF($A$1="Peak","-",IF(BaseLoad!Y113&gt;BaseLoad!$G113,S$8*$Z114,0))</f>
        <v>-</v>
      </c>
      <c r="T114" s="432" t="str">
        <f aca="false">IF($A$1="Peak","-",IF(BaseLoad!Z113&gt;BaseLoad!$G113,T$8*$Z114,0))</f>
        <v>-</v>
      </c>
      <c r="U114" s="432" t="str">
        <f aca="false">IF($A$1="Peak","-",IF(BaseLoad!AA113&gt;BaseLoad!$G113,U$8*$Z114,0))</f>
        <v>-</v>
      </c>
      <c r="V114" s="432" t="n">
        <f aca="false">SUM(B114:U114)</f>
        <v>0</v>
      </c>
      <c r="W114" s="432"/>
      <c r="X114" s="432"/>
      <c r="Y114" s="432"/>
      <c r="Z114" s="432" t="n">
        <f aca="false">CHOOSE(QUOTIENT(MONTH($A114),3)+1,BaseLoad!$AM$9,BaseLoad!$AN$9,BaseLoad!$AL$9,BaseLoad!$AO$9,BaseLoad!$AM$9)</f>
        <v>0.95</v>
      </c>
      <c r="AA114" s="432" t="n">
        <f aca="false">CHOOSE(QUOTIENT(MONTH($A114),3)+1,BaseLoad!$AM$15,BaseLoad!$AN$15,BaseLoad!$AL$15,BaseLoad!$AO$15,BaseLoad!$AM$15)</f>
        <v>705</v>
      </c>
      <c r="AB114" s="431"/>
      <c r="AD114" s="431"/>
    </row>
    <row r="115" customFormat="false" ht="12.75" hidden="false" customHeight="false" outlineLevel="0" collapsed="false">
      <c r="A115" s="400" t="n">
        <f aca="false">A114+30.417</f>
        <v>39733.785</v>
      </c>
      <c r="B115" s="432" t="str">
        <f aca="false">IF($A$1="Peak","-",IF(BaseLoad!H114&gt;BaseLoad!$G114,B$8*$Z115,0))</f>
        <v>-</v>
      </c>
      <c r="C115" s="432" t="str">
        <f aca="false">IF($A$1="Peak","-",IF(BaseLoad!I114&gt;BaseLoad!$G114,C$8*$Z115,0))</f>
        <v>-</v>
      </c>
      <c r="D115" s="432" t="str">
        <f aca="false">IF($A$1="Peak","-",IF(BaseLoad!J114&gt;BaseLoad!$G114,D$8*$Z115,0))</f>
        <v>-</v>
      </c>
      <c r="E115" s="432" t="str">
        <f aca="false">IF($A$1="Peak","-",IF(BaseLoad!K114&gt;BaseLoad!$G114,E$8*$Z115,0))</f>
        <v>-</v>
      </c>
      <c r="F115" s="432" t="str">
        <f aca="false">IF($A$1="Peak","-",IF(BaseLoad!L114&gt;BaseLoad!$G114,F$8*$Z115,0))</f>
        <v>-</v>
      </c>
      <c r="G115" s="432" t="str">
        <f aca="false">IF($A$1="Peak","-",IF(BaseLoad!M114&gt;BaseLoad!$G114,G$8*$Z115,0))</f>
        <v>-</v>
      </c>
      <c r="H115" s="432" t="str">
        <f aca="false">IF($A$1="Peak","-",IF(BaseLoad!N114&gt;BaseLoad!$G114,H$8*$Z115,0))</f>
        <v>-</v>
      </c>
      <c r="I115" s="432" t="str">
        <f aca="false">IF($A$1="Peak","-",IF(BaseLoad!O114&gt;BaseLoad!$G114,I$8*$Z115,0))</f>
        <v>-</v>
      </c>
      <c r="J115" s="432" t="str">
        <f aca="false">IF($A$1="Peak","-",IF(BaseLoad!P114&gt;BaseLoad!$G114,J$8*$Z115,0))</f>
        <v>-</v>
      </c>
      <c r="K115" s="432" t="str">
        <f aca="false">IF($A$1="Peak","-",IF(BaseLoad!Q114&gt;BaseLoad!$G114,K$8*$Z115,0))</f>
        <v>-</v>
      </c>
      <c r="L115" s="432" t="str">
        <f aca="false">IF($A$1="Peak","-",IF(BaseLoad!R114&gt;BaseLoad!$G114,L$8*$Z115,0))</f>
        <v>-</v>
      </c>
      <c r="M115" s="432" t="str">
        <f aca="false">IF($A$1="Peak","-",IF(BaseLoad!S114&gt;BaseLoad!$G114,M$8*$Z115,0))</f>
        <v>-</v>
      </c>
      <c r="N115" s="432" t="str">
        <f aca="false">IF($A$1="Peak","-",IF(BaseLoad!T114&gt;BaseLoad!$G114,N$8*$Z115,0))</f>
        <v>-</v>
      </c>
      <c r="O115" s="432" t="str">
        <f aca="false">IF($A$1="Peak","-",IF(BaseLoad!U114&gt;BaseLoad!$G114,O$8*$Z115,0))</f>
        <v>-</v>
      </c>
      <c r="P115" s="432" t="str">
        <f aca="false">IF($A$1="Peak","-",IF(BaseLoad!V114&gt;BaseLoad!$G114,P$8*$Z115,0))</f>
        <v>-</v>
      </c>
      <c r="Q115" s="432" t="str">
        <f aca="false">IF($A$1="Peak","-",IF(BaseLoad!W114&gt;BaseLoad!$G114,Q$8*$Z115,0))</f>
        <v>-</v>
      </c>
      <c r="R115" s="432" t="str">
        <f aca="false">IF($A$1="Peak","-",IF(BaseLoad!X114&gt;BaseLoad!$G114,R$8*$Z115,0))</f>
        <v>-</v>
      </c>
      <c r="S115" s="432" t="str">
        <f aca="false">IF($A$1="Peak","-",IF(BaseLoad!Y114&gt;BaseLoad!$G114,S$8*$Z115,0))</f>
        <v>-</v>
      </c>
      <c r="T115" s="432" t="str">
        <f aca="false">IF($A$1="Peak","-",IF(BaseLoad!Z114&gt;BaseLoad!$G114,T$8*$Z115,0))</f>
        <v>-</v>
      </c>
      <c r="U115" s="432" t="str">
        <f aca="false">IF($A$1="Peak","-",IF(BaseLoad!AA114&gt;BaseLoad!$G114,U$8*$Z115,0))</f>
        <v>-</v>
      </c>
      <c r="V115" s="432" t="n">
        <f aca="false">SUM(B115:U115)</f>
        <v>0</v>
      </c>
      <c r="W115" s="432"/>
      <c r="X115" s="432"/>
      <c r="Y115" s="432"/>
      <c r="Z115" s="432" t="n">
        <f aca="false">CHOOSE(QUOTIENT(MONTH($A115),3)+1,BaseLoad!$AM$9,BaseLoad!$AN$9,BaseLoad!$AL$9,BaseLoad!$AO$9,BaseLoad!$AM$9)</f>
        <v>0.95</v>
      </c>
      <c r="AA115" s="432" t="n">
        <f aca="false">CHOOSE(QUOTIENT(MONTH($A115),3)+1,BaseLoad!$AM$15,BaseLoad!$AN$15,BaseLoad!$AL$15,BaseLoad!$AO$15,BaseLoad!$AM$15)</f>
        <v>705</v>
      </c>
      <c r="AB115" s="431"/>
      <c r="AD115" s="431"/>
    </row>
    <row r="116" customFormat="false" ht="12.75" hidden="false" customHeight="false" outlineLevel="0" collapsed="false">
      <c r="A116" s="400" t="n">
        <f aca="false">A115+30.417</f>
        <v>39764.202</v>
      </c>
      <c r="B116" s="432" t="str">
        <f aca="false">IF($A$1="Peak","-",IF(BaseLoad!H115&gt;BaseLoad!$G115,B$8*$Z116,0))</f>
        <v>-</v>
      </c>
      <c r="C116" s="432" t="str">
        <f aca="false">IF($A$1="Peak","-",IF(BaseLoad!I115&gt;BaseLoad!$G115,C$8*$Z116,0))</f>
        <v>-</v>
      </c>
      <c r="D116" s="432" t="str">
        <f aca="false">IF($A$1="Peak","-",IF(BaseLoad!J115&gt;BaseLoad!$G115,D$8*$Z116,0))</f>
        <v>-</v>
      </c>
      <c r="E116" s="432" t="str">
        <f aca="false">IF($A$1="Peak","-",IF(BaseLoad!K115&gt;BaseLoad!$G115,E$8*$Z116,0))</f>
        <v>-</v>
      </c>
      <c r="F116" s="432" t="str">
        <f aca="false">IF($A$1="Peak","-",IF(BaseLoad!L115&gt;BaseLoad!$G115,F$8*$Z116,0))</f>
        <v>-</v>
      </c>
      <c r="G116" s="432" t="str">
        <f aca="false">IF($A$1="Peak","-",IF(BaseLoad!M115&gt;BaseLoad!$G115,G$8*$Z116,0))</f>
        <v>-</v>
      </c>
      <c r="H116" s="432" t="str">
        <f aca="false">IF($A$1="Peak","-",IF(BaseLoad!N115&gt;BaseLoad!$G115,H$8*$Z116,0))</f>
        <v>-</v>
      </c>
      <c r="I116" s="432" t="str">
        <f aca="false">IF($A$1="Peak","-",IF(BaseLoad!O115&gt;BaseLoad!$G115,I$8*$Z116,0))</f>
        <v>-</v>
      </c>
      <c r="J116" s="432" t="str">
        <f aca="false">IF($A$1="Peak","-",IF(BaseLoad!P115&gt;BaseLoad!$G115,J$8*$Z116,0))</f>
        <v>-</v>
      </c>
      <c r="K116" s="432" t="str">
        <f aca="false">IF($A$1="Peak","-",IF(BaseLoad!Q115&gt;BaseLoad!$G115,K$8*$Z116,0))</f>
        <v>-</v>
      </c>
      <c r="L116" s="432" t="str">
        <f aca="false">IF($A$1="Peak","-",IF(BaseLoad!R115&gt;BaseLoad!$G115,L$8*$Z116,0))</f>
        <v>-</v>
      </c>
      <c r="M116" s="432" t="str">
        <f aca="false">IF($A$1="Peak","-",IF(BaseLoad!S115&gt;BaseLoad!$G115,M$8*$Z116,0))</f>
        <v>-</v>
      </c>
      <c r="N116" s="432" t="str">
        <f aca="false">IF($A$1="Peak","-",IF(BaseLoad!T115&gt;BaseLoad!$G115,N$8*$Z116,0))</f>
        <v>-</v>
      </c>
      <c r="O116" s="432" t="str">
        <f aca="false">IF($A$1="Peak","-",IF(BaseLoad!U115&gt;BaseLoad!$G115,O$8*$Z116,0))</f>
        <v>-</v>
      </c>
      <c r="P116" s="432" t="str">
        <f aca="false">IF($A$1="Peak","-",IF(BaseLoad!V115&gt;BaseLoad!$G115,P$8*$Z116,0))</f>
        <v>-</v>
      </c>
      <c r="Q116" s="432" t="str">
        <f aca="false">IF($A$1="Peak","-",IF(BaseLoad!W115&gt;BaseLoad!$G115,Q$8*$Z116,0))</f>
        <v>-</v>
      </c>
      <c r="R116" s="432" t="str">
        <f aca="false">IF($A$1="Peak","-",IF(BaseLoad!X115&gt;BaseLoad!$G115,R$8*$Z116,0))</f>
        <v>-</v>
      </c>
      <c r="S116" s="432" t="str">
        <f aca="false">IF($A$1="Peak","-",IF(BaseLoad!Y115&gt;BaseLoad!$G115,S$8*$Z116,0))</f>
        <v>-</v>
      </c>
      <c r="T116" s="432" t="str">
        <f aca="false">IF($A$1="Peak","-",IF(BaseLoad!Z115&gt;BaseLoad!$G115,T$8*$Z116,0))</f>
        <v>-</v>
      </c>
      <c r="U116" s="432" t="str">
        <f aca="false">IF($A$1="Peak","-",IF(BaseLoad!AA115&gt;BaseLoad!$G115,U$8*$Z116,0))</f>
        <v>-</v>
      </c>
      <c r="V116" s="432" t="n">
        <f aca="false">SUM(B116:U116)</f>
        <v>0</v>
      </c>
      <c r="W116" s="432"/>
      <c r="X116" s="432"/>
      <c r="Y116" s="432"/>
      <c r="Z116" s="432" t="n">
        <f aca="false">CHOOSE(QUOTIENT(MONTH($A116),3)+1,BaseLoad!$AM$9,BaseLoad!$AN$9,BaseLoad!$AL$9,BaseLoad!$AO$9,BaseLoad!$AM$9)</f>
        <v>0.95</v>
      </c>
      <c r="AA116" s="432" t="n">
        <f aca="false">CHOOSE(QUOTIENT(MONTH($A116),3)+1,BaseLoad!$AM$15,BaseLoad!$AN$15,BaseLoad!$AL$15,BaseLoad!$AO$15,BaseLoad!$AM$15)</f>
        <v>705</v>
      </c>
      <c r="AB116" s="431"/>
      <c r="AD116" s="431"/>
    </row>
    <row r="117" customFormat="false" ht="12.75" hidden="false" customHeight="false" outlineLevel="0" collapsed="false">
      <c r="A117" s="400" t="n">
        <f aca="false">A116+30.417</f>
        <v>39794.619</v>
      </c>
      <c r="B117" s="432" t="str">
        <f aca="false">IF($A$1="Peak","-",IF(BaseLoad!H116&gt;BaseLoad!$G116,B$8*$Z117,0))</f>
        <v>-</v>
      </c>
      <c r="C117" s="432" t="str">
        <f aca="false">IF($A$1="Peak","-",IF(BaseLoad!I116&gt;BaseLoad!$G116,C$8*$Z117,0))</f>
        <v>-</v>
      </c>
      <c r="D117" s="432" t="str">
        <f aca="false">IF($A$1="Peak","-",IF(BaseLoad!J116&gt;BaseLoad!$G116,D$8*$Z117,0))</f>
        <v>-</v>
      </c>
      <c r="E117" s="432" t="str">
        <f aca="false">IF($A$1="Peak","-",IF(BaseLoad!K116&gt;BaseLoad!$G116,E$8*$Z117,0))</f>
        <v>-</v>
      </c>
      <c r="F117" s="432" t="str">
        <f aca="false">IF($A$1="Peak","-",IF(BaseLoad!L116&gt;BaseLoad!$G116,F$8*$Z117,0))</f>
        <v>-</v>
      </c>
      <c r="G117" s="432" t="str">
        <f aca="false">IF($A$1="Peak","-",IF(BaseLoad!M116&gt;BaseLoad!$G116,G$8*$Z117,0))</f>
        <v>-</v>
      </c>
      <c r="H117" s="432" t="str">
        <f aca="false">IF($A$1="Peak","-",IF(BaseLoad!N116&gt;BaseLoad!$G116,H$8*$Z117,0))</f>
        <v>-</v>
      </c>
      <c r="I117" s="432" t="str">
        <f aca="false">IF($A$1="Peak","-",IF(BaseLoad!O116&gt;BaseLoad!$G116,I$8*$Z117,0))</f>
        <v>-</v>
      </c>
      <c r="J117" s="432" t="str">
        <f aca="false">IF($A$1="Peak","-",IF(BaseLoad!P116&gt;BaseLoad!$G116,J$8*$Z117,0))</f>
        <v>-</v>
      </c>
      <c r="K117" s="432" t="str">
        <f aca="false">IF($A$1="Peak","-",IF(BaseLoad!Q116&gt;BaseLoad!$G116,K$8*$Z117,0))</f>
        <v>-</v>
      </c>
      <c r="L117" s="432" t="str">
        <f aca="false">IF($A$1="Peak","-",IF(BaseLoad!R116&gt;BaseLoad!$G116,L$8*$Z117,0))</f>
        <v>-</v>
      </c>
      <c r="M117" s="432" t="str">
        <f aca="false">IF($A$1="Peak","-",IF(BaseLoad!S116&gt;BaseLoad!$G116,M$8*$Z117,0))</f>
        <v>-</v>
      </c>
      <c r="N117" s="432" t="str">
        <f aca="false">IF($A$1="Peak","-",IF(BaseLoad!T116&gt;BaseLoad!$G116,N$8*$Z117,0))</f>
        <v>-</v>
      </c>
      <c r="O117" s="432" t="str">
        <f aca="false">IF($A$1="Peak","-",IF(BaseLoad!U116&gt;BaseLoad!$G116,O$8*$Z117,0))</f>
        <v>-</v>
      </c>
      <c r="P117" s="432" t="str">
        <f aca="false">IF($A$1="Peak","-",IF(BaseLoad!V116&gt;BaseLoad!$G116,P$8*$Z117,0))</f>
        <v>-</v>
      </c>
      <c r="Q117" s="432" t="str">
        <f aca="false">IF($A$1="Peak","-",IF(BaseLoad!W116&gt;BaseLoad!$G116,Q$8*$Z117,0))</f>
        <v>-</v>
      </c>
      <c r="R117" s="432" t="str">
        <f aca="false">IF($A$1="Peak","-",IF(BaseLoad!X116&gt;BaseLoad!$G116,R$8*$Z117,0))</f>
        <v>-</v>
      </c>
      <c r="S117" s="432" t="str">
        <f aca="false">IF($A$1="Peak","-",IF(BaseLoad!Y116&gt;BaseLoad!$G116,S$8*$Z117,0))</f>
        <v>-</v>
      </c>
      <c r="T117" s="432" t="str">
        <f aca="false">IF($A$1="Peak","-",IF(BaseLoad!Z116&gt;BaseLoad!$G116,T$8*$Z117,0))</f>
        <v>-</v>
      </c>
      <c r="U117" s="432" t="str">
        <f aca="false">IF($A$1="Peak","-",IF(BaseLoad!AA116&gt;BaseLoad!$G116,U$8*$Z117,0))</f>
        <v>-</v>
      </c>
      <c r="V117" s="432" t="n">
        <f aca="false">SUM(B117:U117)</f>
        <v>0</v>
      </c>
      <c r="W117" s="432"/>
      <c r="X117" s="432"/>
      <c r="Y117" s="432" t="n">
        <f aca="false">SUM(V106:V117)</f>
        <v>0</v>
      </c>
      <c r="Z117" s="432" t="n">
        <f aca="false">CHOOSE(QUOTIENT(MONTH($A117),3)+1,BaseLoad!$AM$9,BaseLoad!$AN$9,BaseLoad!$AL$9,BaseLoad!$AO$9,BaseLoad!$AM$9)</f>
        <v>0.924276618786118</v>
      </c>
      <c r="AA117" s="432" t="n">
        <f aca="false">CHOOSE(QUOTIENT(MONTH($A117),3)+1,BaseLoad!$AM$15,BaseLoad!$AN$15,BaseLoad!$AL$15,BaseLoad!$AO$15,BaseLoad!$AM$15)</f>
        <v>705</v>
      </c>
      <c r="AB117" s="431"/>
      <c r="AD117" s="431"/>
    </row>
    <row r="118" customFormat="false" ht="12.75" hidden="false" customHeight="false" outlineLevel="0" collapsed="false">
      <c r="A118" s="400" t="n">
        <f aca="false">A117+30.417</f>
        <v>39825.036</v>
      </c>
      <c r="B118" s="432" t="str">
        <f aca="false">IF($A$1="Peak","-",IF(BaseLoad!H117&gt;BaseLoad!$G117,B$8*$Z118,0))</f>
        <v>-</v>
      </c>
      <c r="C118" s="432" t="str">
        <f aca="false">IF($A$1="Peak","-",IF(BaseLoad!I117&gt;BaseLoad!$G117,C$8*$Z118,0))</f>
        <v>-</v>
      </c>
      <c r="D118" s="432" t="str">
        <f aca="false">IF($A$1="Peak","-",IF(BaseLoad!J117&gt;BaseLoad!$G117,D$8*$Z118,0))</f>
        <v>-</v>
      </c>
      <c r="E118" s="432" t="str">
        <f aca="false">IF($A$1="Peak","-",IF(BaseLoad!K117&gt;BaseLoad!$G117,E$8*$Z118,0))</f>
        <v>-</v>
      </c>
      <c r="F118" s="432" t="str">
        <f aca="false">IF($A$1="Peak","-",IF(BaseLoad!L117&gt;BaseLoad!$G117,F$8*$Z118,0))</f>
        <v>-</v>
      </c>
      <c r="G118" s="432" t="str">
        <f aca="false">IF($A$1="Peak","-",IF(BaseLoad!M117&gt;BaseLoad!$G117,G$8*$Z118,0))</f>
        <v>-</v>
      </c>
      <c r="H118" s="432" t="str">
        <f aca="false">IF($A$1="Peak","-",IF(BaseLoad!N117&gt;BaseLoad!$G117,H$8*$Z118,0))</f>
        <v>-</v>
      </c>
      <c r="I118" s="432" t="str">
        <f aca="false">IF($A$1="Peak","-",IF(BaseLoad!O117&gt;BaseLoad!$G117,I$8*$Z118,0))</f>
        <v>-</v>
      </c>
      <c r="J118" s="432" t="str">
        <f aca="false">IF($A$1="Peak","-",IF(BaseLoad!P117&gt;BaseLoad!$G117,J$8*$Z118,0))</f>
        <v>-</v>
      </c>
      <c r="K118" s="432" t="str">
        <f aca="false">IF($A$1="Peak","-",IF(BaseLoad!Q117&gt;BaseLoad!$G117,K$8*$Z118,0))</f>
        <v>-</v>
      </c>
      <c r="L118" s="432" t="str">
        <f aca="false">IF($A$1="Peak","-",IF(BaseLoad!R117&gt;BaseLoad!$G117,L$8*$Z118,0))</f>
        <v>-</v>
      </c>
      <c r="M118" s="432" t="str">
        <f aca="false">IF($A$1="Peak","-",IF(BaseLoad!S117&gt;BaseLoad!$G117,M$8*$Z118,0))</f>
        <v>-</v>
      </c>
      <c r="N118" s="432" t="str">
        <f aca="false">IF($A$1="Peak","-",IF(BaseLoad!T117&gt;BaseLoad!$G117,N$8*$Z118,0))</f>
        <v>-</v>
      </c>
      <c r="O118" s="432" t="str">
        <f aca="false">IF($A$1="Peak","-",IF(BaseLoad!U117&gt;BaseLoad!$G117,O$8*$Z118,0))</f>
        <v>-</v>
      </c>
      <c r="P118" s="432" t="str">
        <f aca="false">IF($A$1="Peak","-",IF(BaseLoad!V117&gt;BaseLoad!$G117,P$8*$Z118,0))</f>
        <v>-</v>
      </c>
      <c r="Q118" s="432" t="str">
        <f aca="false">IF($A$1="Peak","-",IF(BaseLoad!W117&gt;BaseLoad!$G117,Q$8*$Z118,0))</f>
        <v>-</v>
      </c>
      <c r="R118" s="432" t="str">
        <f aca="false">IF($A$1="Peak","-",IF(BaseLoad!X117&gt;BaseLoad!$G117,R$8*$Z118,0))</f>
        <v>-</v>
      </c>
      <c r="S118" s="432" t="str">
        <f aca="false">IF($A$1="Peak","-",IF(BaseLoad!Y117&gt;BaseLoad!$G117,S$8*$Z118,0))</f>
        <v>-</v>
      </c>
      <c r="T118" s="432" t="str">
        <f aca="false">IF($A$1="Peak","-",IF(BaseLoad!Z117&gt;BaseLoad!$G117,T$8*$Z118,0))</f>
        <v>-</v>
      </c>
      <c r="U118" s="432" t="str">
        <f aca="false">IF($A$1="Peak","-",IF(BaseLoad!AA117&gt;BaseLoad!$G117,U$8*$Z118,0))</f>
        <v>-</v>
      </c>
      <c r="V118" s="432" t="n">
        <f aca="false">SUM(B118:U118)</f>
        <v>0</v>
      </c>
      <c r="W118" s="432"/>
      <c r="X118" s="432"/>
      <c r="Y118" s="432"/>
      <c r="Z118" s="432" t="n">
        <f aca="false">CHOOSE(QUOTIENT(MONTH($A118),3)+1,BaseLoad!$AM$9,BaseLoad!$AN$9,BaseLoad!$AL$9,BaseLoad!$AO$9,BaseLoad!$AM$9)</f>
        <v>0.924276618786118</v>
      </c>
      <c r="AA118" s="432" t="n">
        <f aca="false">CHOOSE(QUOTIENT(MONTH($A118),3)+1,BaseLoad!$AM$15,BaseLoad!$AN$15,BaseLoad!$AL$15,BaseLoad!$AO$15,BaseLoad!$AM$15)</f>
        <v>705</v>
      </c>
      <c r="AB118" s="431"/>
      <c r="AD118" s="431"/>
    </row>
    <row r="119" customFormat="false" ht="12.75" hidden="false" customHeight="false" outlineLevel="0" collapsed="false">
      <c r="A119" s="400" t="n">
        <f aca="false">A118+30.417</f>
        <v>39855.453</v>
      </c>
      <c r="B119" s="432" t="str">
        <f aca="false">IF($A$1="Peak","-",IF(BaseLoad!H118&gt;BaseLoad!$G118,B$8*$Z119,0))</f>
        <v>-</v>
      </c>
      <c r="C119" s="432" t="str">
        <f aca="false">IF($A$1="Peak","-",IF(BaseLoad!I118&gt;BaseLoad!$G118,C$8*$Z119,0))</f>
        <v>-</v>
      </c>
      <c r="D119" s="432" t="str">
        <f aca="false">IF($A$1="Peak","-",IF(BaseLoad!J118&gt;BaseLoad!$G118,D$8*$Z119,0))</f>
        <v>-</v>
      </c>
      <c r="E119" s="432" t="str">
        <f aca="false">IF($A$1="Peak","-",IF(BaseLoad!K118&gt;BaseLoad!$G118,E$8*$Z119,0))</f>
        <v>-</v>
      </c>
      <c r="F119" s="432" t="str">
        <f aca="false">IF($A$1="Peak","-",IF(BaseLoad!L118&gt;BaseLoad!$G118,F$8*$Z119,0))</f>
        <v>-</v>
      </c>
      <c r="G119" s="432" t="str">
        <f aca="false">IF($A$1="Peak","-",IF(BaseLoad!M118&gt;BaseLoad!$G118,G$8*$Z119,0))</f>
        <v>-</v>
      </c>
      <c r="H119" s="432" t="str">
        <f aca="false">IF($A$1="Peak","-",IF(BaseLoad!N118&gt;BaseLoad!$G118,H$8*$Z119,0))</f>
        <v>-</v>
      </c>
      <c r="I119" s="432" t="str">
        <f aca="false">IF($A$1="Peak","-",IF(BaseLoad!O118&gt;BaseLoad!$G118,I$8*$Z119,0))</f>
        <v>-</v>
      </c>
      <c r="J119" s="432" t="str">
        <f aca="false">IF($A$1="Peak","-",IF(BaseLoad!P118&gt;BaseLoad!$G118,J$8*$Z119,0))</f>
        <v>-</v>
      </c>
      <c r="K119" s="432" t="str">
        <f aca="false">IF($A$1="Peak","-",IF(BaseLoad!Q118&gt;BaseLoad!$G118,K$8*$Z119,0))</f>
        <v>-</v>
      </c>
      <c r="L119" s="432" t="str">
        <f aca="false">IF($A$1="Peak","-",IF(BaseLoad!R118&gt;BaseLoad!$G118,L$8*$Z119,0))</f>
        <v>-</v>
      </c>
      <c r="M119" s="432" t="str">
        <f aca="false">IF($A$1="Peak","-",IF(BaseLoad!S118&gt;BaseLoad!$G118,M$8*$Z119,0))</f>
        <v>-</v>
      </c>
      <c r="N119" s="432" t="str">
        <f aca="false">IF($A$1="Peak","-",IF(BaseLoad!T118&gt;BaseLoad!$G118,N$8*$Z119,0))</f>
        <v>-</v>
      </c>
      <c r="O119" s="432" t="str">
        <f aca="false">IF($A$1="Peak","-",IF(BaseLoad!U118&gt;BaseLoad!$G118,O$8*$Z119,0))</f>
        <v>-</v>
      </c>
      <c r="P119" s="432" t="str">
        <f aca="false">IF($A$1="Peak","-",IF(BaseLoad!V118&gt;BaseLoad!$G118,P$8*$Z119,0))</f>
        <v>-</v>
      </c>
      <c r="Q119" s="432" t="str">
        <f aca="false">IF($A$1="Peak","-",IF(BaseLoad!W118&gt;BaseLoad!$G118,Q$8*$Z119,0))</f>
        <v>-</v>
      </c>
      <c r="R119" s="432" t="str">
        <f aca="false">IF($A$1="Peak","-",IF(BaseLoad!X118&gt;BaseLoad!$G118,R$8*$Z119,0))</f>
        <v>-</v>
      </c>
      <c r="S119" s="432" t="str">
        <f aca="false">IF($A$1="Peak","-",IF(BaseLoad!Y118&gt;BaseLoad!$G118,S$8*$Z119,0))</f>
        <v>-</v>
      </c>
      <c r="T119" s="432" t="str">
        <f aca="false">IF($A$1="Peak","-",IF(BaseLoad!Z118&gt;BaseLoad!$G118,T$8*$Z119,0))</f>
        <v>-</v>
      </c>
      <c r="U119" s="432" t="str">
        <f aca="false">IF($A$1="Peak","-",IF(BaseLoad!AA118&gt;BaseLoad!$G118,U$8*$Z119,0))</f>
        <v>-</v>
      </c>
      <c r="V119" s="432" t="n">
        <f aca="false">SUM(B119:U119)</f>
        <v>0</v>
      </c>
      <c r="W119" s="432"/>
      <c r="X119" s="432"/>
      <c r="Y119" s="432"/>
      <c r="Z119" s="432" t="n">
        <f aca="false">CHOOSE(QUOTIENT(MONTH($A119),3)+1,BaseLoad!$AM$9,BaseLoad!$AN$9,BaseLoad!$AL$9,BaseLoad!$AO$9,BaseLoad!$AM$9)</f>
        <v>0.924276618786118</v>
      </c>
      <c r="AA119" s="432" t="n">
        <f aca="false">CHOOSE(QUOTIENT(MONTH($A119),3)+1,BaseLoad!$AM$15,BaseLoad!$AN$15,BaseLoad!$AL$15,BaseLoad!$AO$15,BaseLoad!$AM$15)</f>
        <v>705</v>
      </c>
      <c r="AB119" s="431"/>
      <c r="AD119" s="431"/>
    </row>
    <row r="120" customFormat="false" ht="12.75" hidden="false" customHeight="false" outlineLevel="0" collapsed="false">
      <c r="A120" s="400" t="n">
        <f aca="false">A119+30.417</f>
        <v>39885.87</v>
      </c>
      <c r="B120" s="432" t="str">
        <f aca="false">IF($A$1="Peak","-",IF(BaseLoad!H119&gt;BaseLoad!$G119,B$8*$Z120,0))</f>
        <v>-</v>
      </c>
      <c r="C120" s="432" t="str">
        <f aca="false">IF($A$1="Peak","-",IF(BaseLoad!I119&gt;BaseLoad!$G119,C$8*$Z120,0))</f>
        <v>-</v>
      </c>
      <c r="D120" s="432" t="str">
        <f aca="false">IF($A$1="Peak","-",IF(BaseLoad!J119&gt;BaseLoad!$G119,D$8*$Z120,0))</f>
        <v>-</v>
      </c>
      <c r="E120" s="432" t="str">
        <f aca="false">IF($A$1="Peak","-",IF(BaseLoad!K119&gt;BaseLoad!$G119,E$8*$Z120,0))</f>
        <v>-</v>
      </c>
      <c r="F120" s="432" t="str">
        <f aca="false">IF($A$1="Peak","-",IF(BaseLoad!L119&gt;BaseLoad!$G119,F$8*$Z120,0))</f>
        <v>-</v>
      </c>
      <c r="G120" s="432" t="str">
        <f aca="false">IF($A$1="Peak","-",IF(BaseLoad!M119&gt;BaseLoad!$G119,G$8*$Z120,0))</f>
        <v>-</v>
      </c>
      <c r="H120" s="432" t="str">
        <f aca="false">IF($A$1="Peak","-",IF(BaseLoad!N119&gt;BaseLoad!$G119,H$8*$Z120,0))</f>
        <v>-</v>
      </c>
      <c r="I120" s="432" t="str">
        <f aca="false">IF($A$1="Peak","-",IF(BaseLoad!O119&gt;BaseLoad!$G119,I$8*$Z120,0))</f>
        <v>-</v>
      </c>
      <c r="J120" s="432" t="str">
        <f aca="false">IF($A$1="Peak","-",IF(BaseLoad!P119&gt;BaseLoad!$G119,J$8*$Z120,0))</f>
        <v>-</v>
      </c>
      <c r="K120" s="432" t="str">
        <f aca="false">IF($A$1="Peak","-",IF(BaseLoad!Q119&gt;BaseLoad!$G119,K$8*$Z120,0))</f>
        <v>-</v>
      </c>
      <c r="L120" s="432" t="str">
        <f aca="false">IF($A$1="Peak","-",IF(BaseLoad!R119&gt;BaseLoad!$G119,L$8*$Z120,0))</f>
        <v>-</v>
      </c>
      <c r="M120" s="432" t="str">
        <f aca="false">IF($A$1="Peak","-",IF(BaseLoad!S119&gt;BaseLoad!$G119,M$8*$Z120,0))</f>
        <v>-</v>
      </c>
      <c r="N120" s="432" t="str">
        <f aca="false">IF($A$1="Peak","-",IF(BaseLoad!T119&gt;BaseLoad!$G119,N$8*$Z120,0))</f>
        <v>-</v>
      </c>
      <c r="O120" s="432" t="str">
        <f aca="false">IF($A$1="Peak","-",IF(BaseLoad!U119&gt;BaseLoad!$G119,O$8*$Z120,0))</f>
        <v>-</v>
      </c>
      <c r="P120" s="432" t="str">
        <f aca="false">IF($A$1="Peak","-",IF(BaseLoad!V119&gt;BaseLoad!$G119,P$8*$Z120,0))</f>
        <v>-</v>
      </c>
      <c r="Q120" s="432" t="str">
        <f aca="false">IF($A$1="Peak","-",IF(BaseLoad!W119&gt;BaseLoad!$G119,Q$8*$Z120,0))</f>
        <v>-</v>
      </c>
      <c r="R120" s="432" t="str">
        <f aca="false">IF($A$1="Peak","-",IF(BaseLoad!X119&gt;BaseLoad!$G119,R$8*$Z120,0))</f>
        <v>-</v>
      </c>
      <c r="S120" s="432" t="str">
        <f aca="false">IF($A$1="Peak","-",IF(BaseLoad!Y119&gt;BaseLoad!$G119,S$8*$Z120,0))</f>
        <v>-</v>
      </c>
      <c r="T120" s="432" t="str">
        <f aca="false">IF($A$1="Peak","-",IF(BaseLoad!Z119&gt;BaseLoad!$G119,T$8*$Z120,0))</f>
        <v>-</v>
      </c>
      <c r="U120" s="432" t="str">
        <f aca="false">IF($A$1="Peak","-",IF(BaseLoad!AA119&gt;BaseLoad!$G119,U$8*$Z120,0))</f>
        <v>-</v>
      </c>
      <c r="V120" s="432" t="n">
        <f aca="false">SUM(B120:U120)</f>
        <v>0</v>
      </c>
      <c r="W120" s="432"/>
      <c r="X120" s="432"/>
      <c r="Y120" s="432"/>
      <c r="Z120" s="432" t="n">
        <f aca="false">CHOOSE(QUOTIENT(MONTH($A120),3)+1,BaseLoad!$AM$9,BaseLoad!$AN$9,BaseLoad!$AL$9,BaseLoad!$AO$9,BaseLoad!$AM$9)</f>
        <v>0.95</v>
      </c>
      <c r="AA120" s="432" t="n">
        <f aca="false">CHOOSE(QUOTIENT(MONTH($A120),3)+1,BaseLoad!$AM$15,BaseLoad!$AN$15,BaseLoad!$AL$15,BaseLoad!$AO$15,BaseLoad!$AM$15)</f>
        <v>705</v>
      </c>
      <c r="AB120" s="431"/>
      <c r="AD120" s="431"/>
    </row>
    <row r="121" customFormat="false" ht="12.75" hidden="false" customHeight="false" outlineLevel="0" collapsed="false">
      <c r="A121" s="400" t="n">
        <f aca="false">A120+30.417</f>
        <v>39916.287</v>
      </c>
      <c r="B121" s="432" t="str">
        <f aca="false">IF($A$1="Peak","-",IF(BaseLoad!H120&gt;BaseLoad!$G120,B$8*$Z121,0))</f>
        <v>-</v>
      </c>
      <c r="C121" s="432" t="str">
        <f aca="false">IF($A$1="Peak","-",IF(BaseLoad!I120&gt;BaseLoad!$G120,C$8*$Z121,0))</f>
        <v>-</v>
      </c>
      <c r="D121" s="432" t="str">
        <f aca="false">IF($A$1="Peak","-",IF(BaseLoad!J120&gt;BaseLoad!$G120,D$8*$Z121,0))</f>
        <v>-</v>
      </c>
      <c r="E121" s="432" t="str">
        <f aca="false">IF($A$1="Peak","-",IF(BaseLoad!K120&gt;BaseLoad!$G120,E$8*$Z121,0))</f>
        <v>-</v>
      </c>
      <c r="F121" s="432" t="str">
        <f aca="false">IF($A$1="Peak","-",IF(BaseLoad!L120&gt;BaseLoad!$G120,F$8*$Z121,0))</f>
        <v>-</v>
      </c>
      <c r="G121" s="432" t="str">
        <f aca="false">IF($A$1="Peak","-",IF(BaseLoad!M120&gt;BaseLoad!$G120,G$8*$Z121,0))</f>
        <v>-</v>
      </c>
      <c r="H121" s="432" t="str">
        <f aca="false">IF($A$1="Peak","-",IF(BaseLoad!N120&gt;BaseLoad!$G120,H$8*$Z121,0))</f>
        <v>-</v>
      </c>
      <c r="I121" s="432" t="str">
        <f aca="false">IF($A$1="Peak","-",IF(BaseLoad!O120&gt;BaseLoad!$G120,I$8*$Z121,0))</f>
        <v>-</v>
      </c>
      <c r="J121" s="432" t="str">
        <f aca="false">IF($A$1="Peak","-",IF(BaseLoad!P120&gt;BaseLoad!$G120,J$8*$Z121,0))</f>
        <v>-</v>
      </c>
      <c r="K121" s="432" t="str">
        <f aca="false">IF($A$1="Peak","-",IF(BaseLoad!Q120&gt;BaseLoad!$G120,K$8*$Z121,0))</f>
        <v>-</v>
      </c>
      <c r="L121" s="432" t="str">
        <f aca="false">IF($A$1="Peak","-",IF(BaseLoad!R120&gt;BaseLoad!$G120,L$8*$Z121,0))</f>
        <v>-</v>
      </c>
      <c r="M121" s="432" t="str">
        <f aca="false">IF($A$1="Peak","-",IF(BaseLoad!S120&gt;BaseLoad!$G120,M$8*$Z121,0))</f>
        <v>-</v>
      </c>
      <c r="N121" s="432" t="str">
        <f aca="false">IF($A$1="Peak","-",IF(BaseLoad!T120&gt;BaseLoad!$G120,N$8*$Z121,0))</f>
        <v>-</v>
      </c>
      <c r="O121" s="432" t="str">
        <f aca="false">IF($A$1="Peak","-",IF(BaseLoad!U120&gt;BaseLoad!$G120,O$8*$Z121,0))</f>
        <v>-</v>
      </c>
      <c r="P121" s="432" t="str">
        <f aca="false">IF($A$1="Peak","-",IF(BaseLoad!V120&gt;BaseLoad!$G120,P$8*$Z121,0))</f>
        <v>-</v>
      </c>
      <c r="Q121" s="432" t="str">
        <f aca="false">IF($A$1="Peak","-",IF(BaseLoad!W120&gt;BaseLoad!$G120,Q$8*$Z121,0))</f>
        <v>-</v>
      </c>
      <c r="R121" s="432" t="str">
        <f aca="false">IF($A$1="Peak","-",IF(BaseLoad!X120&gt;BaseLoad!$G120,R$8*$Z121,0))</f>
        <v>-</v>
      </c>
      <c r="S121" s="432" t="str">
        <f aca="false">IF($A$1="Peak","-",IF(BaseLoad!Y120&gt;BaseLoad!$G120,S$8*$Z121,0))</f>
        <v>-</v>
      </c>
      <c r="T121" s="432" t="str">
        <f aca="false">IF($A$1="Peak","-",IF(BaseLoad!Z120&gt;BaseLoad!$G120,T$8*$Z121,0))</f>
        <v>-</v>
      </c>
      <c r="U121" s="432" t="str">
        <f aca="false">IF($A$1="Peak","-",IF(BaseLoad!AA120&gt;BaseLoad!$G120,U$8*$Z121,0))</f>
        <v>-</v>
      </c>
      <c r="V121" s="432" t="n">
        <f aca="false">SUM(B121:U121)</f>
        <v>0</v>
      </c>
      <c r="W121" s="432"/>
      <c r="X121" s="432"/>
      <c r="Y121" s="432"/>
      <c r="Z121" s="432" t="n">
        <f aca="false">CHOOSE(QUOTIENT(MONTH($A121),3)+1,BaseLoad!$AM$9,BaseLoad!$AN$9,BaseLoad!$AL$9,BaseLoad!$AO$9,BaseLoad!$AM$9)</f>
        <v>0.95</v>
      </c>
      <c r="AA121" s="432" t="n">
        <f aca="false">CHOOSE(QUOTIENT(MONTH($A121),3)+1,BaseLoad!$AM$15,BaseLoad!$AN$15,BaseLoad!$AL$15,BaseLoad!$AO$15,BaseLoad!$AM$15)</f>
        <v>705</v>
      </c>
      <c r="AB121" s="431"/>
      <c r="AD121" s="431"/>
    </row>
    <row r="122" customFormat="false" ht="12.75" hidden="false" customHeight="false" outlineLevel="0" collapsed="false">
      <c r="A122" s="400" t="n">
        <f aca="false">A121+30.417</f>
        <v>39946.704</v>
      </c>
      <c r="B122" s="432" t="str">
        <f aca="false">IF($A$1="Peak","-",IF(BaseLoad!H121&gt;BaseLoad!$G121,B$8*$Z122,0))</f>
        <v>-</v>
      </c>
      <c r="C122" s="432" t="str">
        <f aca="false">IF($A$1="Peak","-",IF(BaseLoad!I121&gt;BaseLoad!$G121,C$8*$Z122,0))</f>
        <v>-</v>
      </c>
      <c r="D122" s="432" t="str">
        <f aca="false">IF($A$1="Peak","-",IF(BaseLoad!J121&gt;BaseLoad!$G121,D$8*$Z122,0))</f>
        <v>-</v>
      </c>
      <c r="E122" s="432" t="str">
        <f aca="false">IF($A$1="Peak","-",IF(BaseLoad!K121&gt;BaseLoad!$G121,E$8*$Z122,0))</f>
        <v>-</v>
      </c>
      <c r="F122" s="432" t="str">
        <f aca="false">IF($A$1="Peak","-",IF(BaseLoad!L121&gt;BaseLoad!$G121,F$8*$Z122,0))</f>
        <v>-</v>
      </c>
      <c r="G122" s="432" t="str">
        <f aca="false">IF($A$1="Peak","-",IF(BaseLoad!M121&gt;BaseLoad!$G121,G$8*$Z122,0))</f>
        <v>-</v>
      </c>
      <c r="H122" s="432" t="str">
        <f aca="false">IF($A$1="Peak","-",IF(BaseLoad!N121&gt;BaseLoad!$G121,H$8*$Z122,0))</f>
        <v>-</v>
      </c>
      <c r="I122" s="432" t="str">
        <f aca="false">IF($A$1="Peak","-",IF(BaseLoad!O121&gt;BaseLoad!$G121,I$8*$Z122,0))</f>
        <v>-</v>
      </c>
      <c r="J122" s="432" t="str">
        <f aca="false">IF($A$1="Peak","-",IF(BaseLoad!P121&gt;BaseLoad!$G121,J$8*$Z122,0))</f>
        <v>-</v>
      </c>
      <c r="K122" s="432" t="str">
        <f aca="false">IF($A$1="Peak","-",IF(BaseLoad!Q121&gt;BaseLoad!$G121,K$8*$Z122,0))</f>
        <v>-</v>
      </c>
      <c r="L122" s="432" t="str">
        <f aca="false">IF($A$1="Peak","-",IF(BaseLoad!R121&gt;BaseLoad!$G121,L$8*$Z122,0))</f>
        <v>-</v>
      </c>
      <c r="M122" s="432" t="str">
        <f aca="false">IF($A$1="Peak","-",IF(BaseLoad!S121&gt;BaseLoad!$G121,M$8*$Z122,0))</f>
        <v>-</v>
      </c>
      <c r="N122" s="432" t="str">
        <f aca="false">IF($A$1="Peak","-",IF(BaseLoad!T121&gt;BaseLoad!$G121,N$8*$Z122,0))</f>
        <v>-</v>
      </c>
      <c r="O122" s="432" t="str">
        <f aca="false">IF($A$1="Peak","-",IF(BaseLoad!U121&gt;BaseLoad!$G121,O$8*$Z122,0))</f>
        <v>-</v>
      </c>
      <c r="P122" s="432" t="str">
        <f aca="false">IF($A$1="Peak","-",IF(BaseLoad!V121&gt;BaseLoad!$G121,P$8*$Z122,0))</f>
        <v>-</v>
      </c>
      <c r="Q122" s="432" t="str">
        <f aca="false">IF($A$1="Peak","-",IF(BaseLoad!W121&gt;BaseLoad!$G121,Q$8*$Z122,0))</f>
        <v>-</v>
      </c>
      <c r="R122" s="432" t="str">
        <f aca="false">IF($A$1="Peak","-",IF(BaseLoad!X121&gt;BaseLoad!$G121,R$8*$Z122,0))</f>
        <v>-</v>
      </c>
      <c r="S122" s="432" t="str">
        <f aca="false">IF($A$1="Peak","-",IF(BaseLoad!Y121&gt;BaseLoad!$G121,S$8*$Z122,0))</f>
        <v>-</v>
      </c>
      <c r="T122" s="432" t="str">
        <f aca="false">IF($A$1="Peak","-",IF(BaseLoad!Z121&gt;BaseLoad!$G121,T$8*$Z122,0))</f>
        <v>-</v>
      </c>
      <c r="U122" s="432" t="str">
        <f aca="false">IF($A$1="Peak","-",IF(BaseLoad!AA121&gt;BaseLoad!$G121,U$8*$Z122,0))</f>
        <v>-</v>
      </c>
      <c r="V122" s="432" t="n">
        <f aca="false">SUM(B122:U122)</f>
        <v>0</v>
      </c>
      <c r="W122" s="432"/>
      <c r="X122" s="432"/>
      <c r="Y122" s="432"/>
      <c r="Z122" s="432" t="n">
        <f aca="false">CHOOSE(QUOTIENT(MONTH($A122),3)+1,BaseLoad!$AM$9,BaseLoad!$AN$9,BaseLoad!$AL$9,BaseLoad!$AO$9,BaseLoad!$AM$9)</f>
        <v>0.95</v>
      </c>
      <c r="AA122" s="432" t="n">
        <f aca="false">CHOOSE(QUOTIENT(MONTH($A122),3)+1,BaseLoad!$AM$15,BaseLoad!$AN$15,BaseLoad!$AL$15,BaseLoad!$AO$15,BaseLoad!$AM$15)</f>
        <v>705</v>
      </c>
      <c r="AB122" s="431"/>
      <c r="AD122" s="431"/>
    </row>
    <row r="123" customFormat="false" ht="12.75" hidden="false" customHeight="false" outlineLevel="0" collapsed="false">
      <c r="A123" s="400" t="n">
        <f aca="false">A122+30.417</f>
        <v>39977.121</v>
      </c>
      <c r="B123" s="432" t="str">
        <f aca="false">IF($A$1="Peak","-",IF(BaseLoad!H122&gt;BaseLoad!$G122,B$8*$Z123,0))</f>
        <v>-</v>
      </c>
      <c r="C123" s="432" t="str">
        <f aca="false">IF($A$1="Peak","-",IF(BaseLoad!I122&gt;BaseLoad!$G122,C$8*$Z123,0))</f>
        <v>-</v>
      </c>
      <c r="D123" s="432" t="str">
        <f aca="false">IF($A$1="Peak","-",IF(BaseLoad!J122&gt;BaseLoad!$G122,D$8*$Z123,0))</f>
        <v>-</v>
      </c>
      <c r="E123" s="432" t="str">
        <f aca="false">IF($A$1="Peak","-",IF(BaseLoad!K122&gt;BaseLoad!$G122,E$8*$Z123,0))</f>
        <v>-</v>
      </c>
      <c r="F123" s="432" t="str">
        <f aca="false">IF($A$1="Peak","-",IF(BaseLoad!L122&gt;BaseLoad!$G122,F$8*$Z123,0))</f>
        <v>-</v>
      </c>
      <c r="G123" s="432" t="str">
        <f aca="false">IF($A$1="Peak","-",IF(BaseLoad!M122&gt;BaseLoad!$G122,G$8*$Z123,0))</f>
        <v>-</v>
      </c>
      <c r="H123" s="432" t="str">
        <f aca="false">IF($A$1="Peak","-",IF(BaseLoad!N122&gt;BaseLoad!$G122,H$8*$Z123,0))</f>
        <v>-</v>
      </c>
      <c r="I123" s="432" t="str">
        <f aca="false">IF($A$1="Peak","-",IF(BaseLoad!O122&gt;BaseLoad!$G122,I$8*$Z123,0))</f>
        <v>-</v>
      </c>
      <c r="J123" s="432" t="str">
        <f aca="false">IF($A$1="Peak","-",IF(BaseLoad!P122&gt;BaseLoad!$G122,J$8*$Z123,0))</f>
        <v>-</v>
      </c>
      <c r="K123" s="432" t="str">
        <f aca="false">IF($A$1="Peak","-",IF(BaseLoad!Q122&gt;BaseLoad!$G122,K$8*$Z123,0))</f>
        <v>-</v>
      </c>
      <c r="L123" s="432" t="str">
        <f aca="false">IF($A$1="Peak","-",IF(BaseLoad!R122&gt;BaseLoad!$G122,L$8*$Z123,0))</f>
        <v>-</v>
      </c>
      <c r="M123" s="432" t="str">
        <f aca="false">IF($A$1="Peak","-",IF(BaseLoad!S122&gt;BaseLoad!$G122,M$8*$Z123,0))</f>
        <v>-</v>
      </c>
      <c r="N123" s="432" t="str">
        <f aca="false">IF($A$1="Peak","-",IF(BaseLoad!T122&gt;BaseLoad!$G122,N$8*$Z123,0))</f>
        <v>-</v>
      </c>
      <c r="O123" s="432" t="str">
        <f aca="false">IF($A$1="Peak","-",IF(BaseLoad!U122&gt;BaseLoad!$G122,O$8*$Z123,0))</f>
        <v>-</v>
      </c>
      <c r="P123" s="432" t="str">
        <f aca="false">IF($A$1="Peak","-",IF(BaseLoad!V122&gt;BaseLoad!$G122,P$8*$Z123,0))</f>
        <v>-</v>
      </c>
      <c r="Q123" s="432" t="str">
        <f aca="false">IF($A$1="Peak","-",IF(BaseLoad!W122&gt;BaseLoad!$G122,Q$8*$Z123,0))</f>
        <v>-</v>
      </c>
      <c r="R123" s="432" t="str">
        <f aca="false">IF($A$1="Peak","-",IF(BaseLoad!X122&gt;BaseLoad!$G122,R$8*$Z123,0))</f>
        <v>-</v>
      </c>
      <c r="S123" s="432" t="str">
        <f aca="false">IF($A$1="Peak","-",IF(BaseLoad!Y122&gt;BaseLoad!$G122,S$8*$Z123,0))</f>
        <v>-</v>
      </c>
      <c r="T123" s="432" t="str">
        <f aca="false">IF($A$1="Peak","-",IF(BaseLoad!Z122&gt;BaseLoad!$G122,T$8*$Z123,0))</f>
        <v>-</v>
      </c>
      <c r="U123" s="432" t="str">
        <f aca="false">IF($A$1="Peak","-",IF(BaseLoad!AA122&gt;BaseLoad!$G122,U$8*$Z123,0))</f>
        <v>-</v>
      </c>
      <c r="V123" s="432" t="n">
        <f aca="false">SUM(B123:U123)</f>
        <v>0</v>
      </c>
      <c r="W123" s="432"/>
      <c r="X123" s="432"/>
      <c r="Y123" s="432"/>
      <c r="Z123" s="432" t="n">
        <f aca="false">CHOOSE(QUOTIENT(MONTH($A123),3)+1,BaseLoad!$AM$9,BaseLoad!$AN$9,BaseLoad!$AL$9,BaseLoad!$AO$9,BaseLoad!$AM$9)</f>
        <v>0.966121359095586</v>
      </c>
      <c r="AA123" s="432" t="n">
        <f aca="false">CHOOSE(QUOTIENT(MONTH($A123),3)+1,BaseLoad!$AM$15,BaseLoad!$AN$15,BaseLoad!$AL$15,BaseLoad!$AO$15,BaseLoad!$AM$15)</f>
        <v>705</v>
      </c>
      <c r="AB123" s="431"/>
      <c r="AD123" s="431"/>
    </row>
    <row r="124" customFormat="false" ht="12.75" hidden="false" customHeight="false" outlineLevel="0" collapsed="false">
      <c r="A124" s="400" t="n">
        <f aca="false">A123+30.417</f>
        <v>40007.538</v>
      </c>
      <c r="B124" s="432" t="str">
        <f aca="false">IF($A$1="Peak","-",IF(BaseLoad!H123&gt;BaseLoad!$G123,B$8*$Z124,0))</f>
        <v>-</v>
      </c>
      <c r="C124" s="432" t="str">
        <f aca="false">IF($A$1="Peak","-",IF(BaseLoad!I123&gt;BaseLoad!$G123,C$8*$Z124,0))</f>
        <v>-</v>
      </c>
      <c r="D124" s="432" t="str">
        <f aca="false">IF($A$1="Peak","-",IF(BaseLoad!J123&gt;BaseLoad!$G123,D$8*$Z124,0))</f>
        <v>-</v>
      </c>
      <c r="E124" s="432" t="str">
        <f aca="false">IF($A$1="Peak","-",IF(BaseLoad!K123&gt;BaseLoad!$G123,E$8*$Z124,0))</f>
        <v>-</v>
      </c>
      <c r="F124" s="432" t="str">
        <f aca="false">IF($A$1="Peak","-",IF(BaseLoad!L123&gt;BaseLoad!$G123,F$8*$Z124,0))</f>
        <v>-</v>
      </c>
      <c r="G124" s="432" t="str">
        <f aca="false">IF($A$1="Peak","-",IF(BaseLoad!M123&gt;BaseLoad!$G123,G$8*$Z124,0))</f>
        <v>-</v>
      </c>
      <c r="H124" s="432" t="str">
        <f aca="false">IF($A$1="Peak","-",IF(BaseLoad!N123&gt;BaseLoad!$G123,H$8*$Z124,0))</f>
        <v>-</v>
      </c>
      <c r="I124" s="432" t="str">
        <f aca="false">IF($A$1="Peak","-",IF(BaseLoad!O123&gt;BaseLoad!$G123,I$8*$Z124,0))</f>
        <v>-</v>
      </c>
      <c r="J124" s="432" t="str">
        <f aca="false">IF($A$1="Peak","-",IF(BaseLoad!P123&gt;BaseLoad!$G123,J$8*$Z124,0))</f>
        <v>-</v>
      </c>
      <c r="K124" s="432" t="str">
        <f aca="false">IF($A$1="Peak","-",IF(BaseLoad!Q123&gt;BaseLoad!$G123,K$8*$Z124,0))</f>
        <v>-</v>
      </c>
      <c r="L124" s="432" t="str">
        <f aca="false">IF($A$1="Peak","-",IF(BaseLoad!R123&gt;BaseLoad!$G123,L$8*$Z124,0))</f>
        <v>-</v>
      </c>
      <c r="M124" s="432" t="str">
        <f aca="false">IF($A$1="Peak","-",IF(BaseLoad!S123&gt;BaseLoad!$G123,M$8*$Z124,0))</f>
        <v>-</v>
      </c>
      <c r="N124" s="432" t="str">
        <f aca="false">IF($A$1="Peak","-",IF(BaseLoad!T123&gt;BaseLoad!$G123,N$8*$Z124,0))</f>
        <v>-</v>
      </c>
      <c r="O124" s="432" t="str">
        <f aca="false">IF($A$1="Peak","-",IF(BaseLoad!U123&gt;BaseLoad!$G123,O$8*$Z124,0))</f>
        <v>-</v>
      </c>
      <c r="P124" s="432" t="str">
        <f aca="false">IF($A$1="Peak","-",IF(BaseLoad!V123&gt;BaseLoad!$G123,P$8*$Z124,0))</f>
        <v>-</v>
      </c>
      <c r="Q124" s="432" t="str">
        <f aca="false">IF($A$1="Peak","-",IF(BaseLoad!W123&gt;BaseLoad!$G123,Q$8*$Z124,0))</f>
        <v>-</v>
      </c>
      <c r="R124" s="432" t="str">
        <f aca="false">IF($A$1="Peak","-",IF(BaseLoad!X123&gt;BaseLoad!$G123,R$8*$Z124,0))</f>
        <v>-</v>
      </c>
      <c r="S124" s="432" t="str">
        <f aca="false">IF($A$1="Peak","-",IF(BaseLoad!Y123&gt;BaseLoad!$G123,S$8*$Z124,0))</f>
        <v>-</v>
      </c>
      <c r="T124" s="432" t="str">
        <f aca="false">IF($A$1="Peak","-",IF(BaseLoad!Z123&gt;BaseLoad!$G123,T$8*$Z124,0))</f>
        <v>-</v>
      </c>
      <c r="U124" s="432" t="str">
        <f aca="false">IF($A$1="Peak","-",IF(BaseLoad!AA123&gt;BaseLoad!$G123,U$8*$Z124,0))</f>
        <v>-</v>
      </c>
      <c r="V124" s="432" t="n">
        <f aca="false">SUM(B124:U124)</f>
        <v>0</v>
      </c>
      <c r="W124" s="432"/>
      <c r="X124" s="432"/>
      <c r="Y124" s="432"/>
      <c r="Z124" s="432" t="n">
        <f aca="false">CHOOSE(QUOTIENT(MONTH($A124),3)+1,BaseLoad!$AM$9,BaseLoad!$AN$9,BaseLoad!$AL$9,BaseLoad!$AO$9,BaseLoad!$AM$9)</f>
        <v>0.966121359095586</v>
      </c>
      <c r="AA124" s="432" t="n">
        <f aca="false">CHOOSE(QUOTIENT(MONTH($A124),3)+1,BaseLoad!$AM$15,BaseLoad!$AN$15,BaseLoad!$AL$15,BaseLoad!$AO$15,BaseLoad!$AM$15)</f>
        <v>705</v>
      </c>
      <c r="AB124" s="431"/>
      <c r="AD124" s="431"/>
    </row>
    <row r="125" customFormat="false" ht="12.75" hidden="false" customHeight="false" outlineLevel="0" collapsed="false">
      <c r="A125" s="400" t="n">
        <f aca="false">A124+30.417</f>
        <v>40037.955</v>
      </c>
      <c r="B125" s="432" t="str">
        <f aca="false">IF($A$1="Peak","-",IF(BaseLoad!H124&gt;BaseLoad!$G124,B$8*$Z125,0))</f>
        <v>-</v>
      </c>
      <c r="C125" s="432" t="str">
        <f aca="false">IF($A$1="Peak","-",IF(BaseLoad!I124&gt;BaseLoad!$G124,C$8*$Z125,0))</f>
        <v>-</v>
      </c>
      <c r="D125" s="432" t="str">
        <f aca="false">IF($A$1="Peak","-",IF(BaseLoad!J124&gt;BaseLoad!$G124,D$8*$Z125,0))</f>
        <v>-</v>
      </c>
      <c r="E125" s="432" t="str">
        <f aca="false">IF($A$1="Peak","-",IF(BaseLoad!K124&gt;BaseLoad!$G124,E$8*$Z125,0))</f>
        <v>-</v>
      </c>
      <c r="F125" s="432" t="str">
        <f aca="false">IF($A$1="Peak","-",IF(BaseLoad!L124&gt;BaseLoad!$G124,F$8*$Z125,0))</f>
        <v>-</v>
      </c>
      <c r="G125" s="432" t="str">
        <f aca="false">IF($A$1="Peak","-",IF(BaseLoad!M124&gt;BaseLoad!$G124,G$8*$Z125,0))</f>
        <v>-</v>
      </c>
      <c r="H125" s="432" t="str">
        <f aca="false">IF($A$1="Peak","-",IF(BaseLoad!N124&gt;BaseLoad!$G124,H$8*$Z125,0))</f>
        <v>-</v>
      </c>
      <c r="I125" s="432" t="str">
        <f aca="false">IF($A$1="Peak","-",IF(BaseLoad!O124&gt;BaseLoad!$G124,I$8*$Z125,0))</f>
        <v>-</v>
      </c>
      <c r="J125" s="432" t="str">
        <f aca="false">IF($A$1="Peak","-",IF(BaseLoad!P124&gt;BaseLoad!$G124,J$8*$Z125,0))</f>
        <v>-</v>
      </c>
      <c r="K125" s="432" t="str">
        <f aca="false">IF($A$1="Peak","-",IF(BaseLoad!Q124&gt;BaseLoad!$G124,K$8*$Z125,0))</f>
        <v>-</v>
      </c>
      <c r="L125" s="432" t="str">
        <f aca="false">IF($A$1="Peak","-",IF(BaseLoad!R124&gt;BaseLoad!$G124,L$8*$Z125,0))</f>
        <v>-</v>
      </c>
      <c r="M125" s="432" t="str">
        <f aca="false">IF($A$1="Peak","-",IF(BaseLoad!S124&gt;BaseLoad!$G124,M$8*$Z125,0))</f>
        <v>-</v>
      </c>
      <c r="N125" s="432" t="str">
        <f aca="false">IF($A$1="Peak","-",IF(BaseLoad!T124&gt;BaseLoad!$G124,N$8*$Z125,0))</f>
        <v>-</v>
      </c>
      <c r="O125" s="432" t="str">
        <f aca="false">IF($A$1="Peak","-",IF(BaseLoad!U124&gt;BaseLoad!$G124,O$8*$Z125,0))</f>
        <v>-</v>
      </c>
      <c r="P125" s="432" t="str">
        <f aca="false">IF($A$1="Peak","-",IF(BaseLoad!V124&gt;BaseLoad!$G124,P$8*$Z125,0))</f>
        <v>-</v>
      </c>
      <c r="Q125" s="432" t="str">
        <f aca="false">IF($A$1="Peak","-",IF(BaseLoad!W124&gt;BaseLoad!$G124,Q$8*$Z125,0))</f>
        <v>-</v>
      </c>
      <c r="R125" s="432" t="str">
        <f aca="false">IF($A$1="Peak","-",IF(BaseLoad!X124&gt;BaseLoad!$G124,R$8*$Z125,0))</f>
        <v>-</v>
      </c>
      <c r="S125" s="432" t="str">
        <f aca="false">IF($A$1="Peak","-",IF(BaseLoad!Y124&gt;BaseLoad!$G124,S$8*$Z125,0))</f>
        <v>-</v>
      </c>
      <c r="T125" s="432" t="str">
        <f aca="false">IF($A$1="Peak","-",IF(BaseLoad!Z124&gt;BaseLoad!$G124,T$8*$Z125,0))</f>
        <v>-</v>
      </c>
      <c r="U125" s="432" t="str">
        <f aca="false">IF($A$1="Peak","-",IF(BaseLoad!AA124&gt;BaseLoad!$G124,U$8*$Z125,0))</f>
        <v>-</v>
      </c>
      <c r="V125" s="432" t="n">
        <f aca="false">SUM(B125:U125)</f>
        <v>0</v>
      </c>
      <c r="W125" s="432"/>
      <c r="X125" s="432"/>
      <c r="Y125" s="432"/>
      <c r="Z125" s="432" t="n">
        <f aca="false">CHOOSE(QUOTIENT(MONTH($A125),3)+1,BaseLoad!$AM$9,BaseLoad!$AN$9,BaseLoad!$AL$9,BaseLoad!$AO$9,BaseLoad!$AM$9)</f>
        <v>0.966121359095586</v>
      </c>
      <c r="AA125" s="432" t="n">
        <f aca="false">CHOOSE(QUOTIENT(MONTH($A125),3)+1,BaseLoad!$AM$15,BaseLoad!$AN$15,BaseLoad!$AL$15,BaseLoad!$AO$15,BaseLoad!$AM$15)</f>
        <v>705</v>
      </c>
      <c r="AB125" s="431"/>
      <c r="AD125" s="431"/>
    </row>
    <row r="126" customFormat="false" ht="12.75" hidden="false" customHeight="false" outlineLevel="0" collapsed="false">
      <c r="A126" s="400" t="n">
        <f aca="false">A125+30.417</f>
        <v>40068.372</v>
      </c>
      <c r="B126" s="432" t="str">
        <f aca="false">IF($A$1="Peak","-",IF(BaseLoad!H125&gt;BaseLoad!$G125,B$8*$Z126,0))</f>
        <v>-</v>
      </c>
      <c r="C126" s="432" t="str">
        <f aca="false">IF($A$1="Peak","-",IF(BaseLoad!I125&gt;BaseLoad!$G125,C$8*$Z126,0))</f>
        <v>-</v>
      </c>
      <c r="D126" s="432" t="str">
        <f aca="false">IF($A$1="Peak","-",IF(BaseLoad!J125&gt;BaseLoad!$G125,D$8*$Z126,0))</f>
        <v>-</v>
      </c>
      <c r="E126" s="432" t="str">
        <f aca="false">IF($A$1="Peak","-",IF(BaseLoad!K125&gt;BaseLoad!$G125,E$8*$Z126,0))</f>
        <v>-</v>
      </c>
      <c r="F126" s="432" t="str">
        <f aca="false">IF($A$1="Peak","-",IF(BaseLoad!L125&gt;BaseLoad!$G125,F$8*$Z126,0))</f>
        <v>-</v>
      </c>
      <c r="G126" s="432" t="str">
        <f aca="false">IF($A$1="Peak","-",IF(BaseLoad!M125&gt;BaseLoad!$G125,G$8*$Z126,0))</f>
        <v>-</v>
      </c>
      <c r="H126" s="432" t="str">
        <f aca="false">IF($A$1="Peak","-",IF(BaseLoad!N125&gt;BaseLoad!$G125,H$8*$Z126,0))</f>
        <v>-</v>
      </c>
      <c r="I126" s="432" t="str">
        <f aca="false">IF($A$1="Peak","-",IF(BaseLoad!O125&gt;BaseLoad!$G125,I$8*$Z126,0))</f>
        <v>-</v>
      </c>
      <c r="J126" s="432" t="str">
        <f aca="false">IF($A$1="Peak","-",IF(BaseLoad!P125&gt;BaseLoad!$G125,J$8*$Z126,0))</f>
        <v>-</v>
      </c>
      <c r="K126" s="432" t="str">
        <f aca="false">IF($A$1="Peak","-",IF(BaseLoad!Q125&gt;BaseLoad!$G125,K$8*$Z126,0))</f>
        <v>-</v>
      </c>
      <c r="L126" s="432" t="str">
        <f aca="false">IF($A$1="Peak","-",IF(BaseLoad!R125&gt;BaseLoad!$G125,L$8*$Z126,0))</f>
        <v>-</v>
      </c>
      <c r="M126" s="432" t="str">
        <f aca="false">IF($A$1="Peak","-",IF(BaseLoad!S125&gt;BaseLoad!$G125,M$8*$Z126,0))</f>
        <v>-</v>
      </c>
      <c r="N126" s="432" t="str">
        <f aca="false">IF($A$1="Peak","-",IF(BaseLoad!T125&gt;BaseLoad!$G125,N$8*$Z126,0))</f>
        <v>-</v>
      </c>
      <c r="O126" s="432" t="str">
        <f aca="false">IF($A$1="Peak","-",IF(BaseLoad!U125&gt;BaseLoad!$G125,O$8*$Z126,0))</f>
        <v>-</v>
      </c>
      <c r="P126" s="432" t="str">
        <f aca="false">IF($A$1="Peak","-",IF(BaseLoad!V125&gt;BaseLoad!$G125,P$8*$Z126,0))</f>
        <v>-</v>
      </c>
      <c r="Q126" s="432" t="str">
        <f aca="false">IF($A$1="Peak","-",IF(BaseLoad!W125&gt;BaseLoad!$G125,Q$8*$Z126,0))</f>
        <v>-</v>
      </c>
      <c r="R126" s="432" t="str">
        <f aca="false">IF($A$1="Peak","-",IF(BaseLoad!X125&gt;BaseLoad!$G125,R$8*$Z126,0))</f>
        <v>-</v>
      </c>
      <c r="S126" s="432" t="str">
        <f aca="false">IF($A$1="Peak","-",IF(BaseLoad!Y125&gt;BaseLoad!$G125,S$8*$Z126,0))</f>
        <v>-</v>
      </c>
      <c r="T126" s="432" t="str">
        <f aca="false">IF($A$1="Peak","-",IF(BaseLoad!Z125&gt;BaseLoad!$G125,T$8*$Z126,0))</f>
        <v>-</v>
      </c>
      <c r="U126" s="432" t="str">
        <f aca="false">IF($A$1="Peak","-",IF(BaseLoad!AA125&gt;BaseLoad!$G125,U$8*$Z126,0))</f>
        <v>-</v>
      </c>
      <c r="V126" s="432" t="n">
        <f aca="false">SUM(B126:U126)</f>
        <v>0</v>
      </c>
      <c r="W126" s="432"/>
      <c r="X126" s="432"/>
      <c r="Y126" s="432"/>
      <c r="Z126" s="432" t="n">
        <f aca="false">CHOOSE(QUOTIENT(MONTH($A126),3)+1,BaseLoad!$AM$9,BaseLoad!$AN$9,BaseLoad!$AL$9,BaseLoad!$AO$9,BaseLoad!$AM$9)</f>
        <v>0.95</v>
      </c>
      <c r="AA126" s="432" t="n">
        <f aca="false">CHOOSE(QUOTIENT(MONTH($A126),3)+1,BaseLoad!$AM$15,BaseLoad!$AN$15,BaseLoad!$AL$15,BaseLoad!$AO$15,BaseLoad!$AM$15)</f>
        <v>705</v>
      </c>
      <c r="AB126" s="431"/>
      <c r="AD126" s="431"/>
    </row>
    <row r="127" customFormat="false" ht="12.75" hidden="false" customHeight="false" outlineLevel="0" collapsed="false">
      <c r="A127" s="400" t="n">
        <f aca="false">A126+30.417</f>
        <v>40098.789</v>
      </c>
      <c r="B127" s="432" t="str">
        <f aca="false">IF($A$1="Peak","-",IF(BaseLoad!H126&gt;BaseLoad!$G126,B$8*$Z127,0))</f>
        <v>-</v>
      </c>
      <c r="C127" s="432" t="str">
        <f aca="false">IF($A$1="Peak","-",IF(BaseLoad!I126&gt;BaseLoad!$G126,C$8*$Z127,0))</f>
        <v>-</v>
      </c>
      <c r="D127" s="432" t="str">
        <f aca="false">IF($A$1="Peak","-",IF(BaseLoad!J126&gt;BaseLoad!$G126,D$8*$Z127,0))</f>
        <v>-</v>
      </c>
      <c r="E127" s="432" t="str">
        <f aca="false">IF($A$1="Peak","-",IF(BaseLoad!K126&gt;BaseLoad!$G126,E$8*$Z127,0))</f>
        <v>-</v>
      </c>
      <c r="F127" s="432" t="str">
        <f aca="false">IF($A$1="Peak","-",IF(BaseLoad!L126&gt;BaseLoad!$G126,F$8*$Z127,0))</f>
        <v>-</v>
      </c>
      <c r="G127" s="432" t="str">
        <f aca="false">IF($A$1="Peak","-",IF(BaseLoad!M126&gt;BaseLoad!$G126,G$8*$Z127,0))</f>
        <v>-</v>
      </c>
      <c r="H127" s="432" t="str">
        <f aca="false">IF($A$1="Peak","-",IF(BaseLoad!N126&gt;BaseLoad!$G126,H$8*$Z127,0))</f>
        <v>-</v>
      </c>
      <c r="I127" s="432" t="str">
        <f aca="false">IF($A$1="Peak","-",IF(BaseLoad!O126&gt;BaseLoad!$G126,I$8*$Z127,0))</f>
        <v>-</v>
      </c>
      <c r="J127" s="432" t="str">
        <f aca="false">IF($A$1="Peak","-",IF(BaseLoad!P126&gt;BaseLoad!$G126,J$8*$Z127,0))</f>
        <v>-</v>
      </c>
      <c r="K127" s="432" t="str">
        <f aca="false">IF($A$1="Peak","-",IF(BaseLoad!Q126&gt;BaseLoad!$G126,K$8*$Z127,0))</f>
        <v>-</v>
      </c>
      <c r="L127" s="432" t="str">
        <f aca="false">IF($A$1="Peak","-",IF(BaseLoad!R126&gt;BaseLoad!$G126,L$8*$Z127,0))</f>
        <v>-</v>
      </c>
      <c r="M127" s="432" t="str">
        <f aca="false">IF($A$1="Peak","-",IF(BaseLoad!S126&gt;BaseLoad!$G126,M$8*$Z127,0))</f>
        <v>-</v>
      </c>
      <c r="N127" s="432" t="str">
        <f aca="false">IF($A$1="Peak","-",IF(BaseLoad!T126&gt;BaseLoad!$G126,N$8*$Z127,0))</f>
        <v>-</v>
      </c>
      <c r="O127" s="432" t="str">
        <f aca="false">IF($A$1="Peak","-",IF(BaseLoad!U126&gt;BaseLoad!$G126,O$8*$Z127,0))</f>
        <v>-</v>
      </c>
      <c r="P127" s="432" t="str">
        <f aca="false">IF($A$1="Peak","-",IF(BaseLoad!V126&gt;BaseLoad!$G126,P$8*$Z127,0))</f>
        <v>-</v>
      </c>
      <c r="Q127" s="432" t="str">
        <f aca="false">IF($A$1="Peak","-",IF(BaseLoad!W126&gt;BaseLoad!$G126,Q$8*$Z127,0))</f>
        <v>-</v>
      </c>
      <c r="R127" s="432" t="str">
        <f aca="false">IF($A$1="Peak","-",IF(BaseLoad!X126&gt;BaseLoad!$G126,R$8*$Z127,0))</f>
        <v>-</v>
      </c>
      <c r="S127" s="432" t="str">
        <f aca="false">IF($A$1="Peak","-",IF(BaseLoad!Y126&gt;BaseLoad!$G126,S$8*$Z127,0))</f>
        <v>-</v>
      </c>
      <c r="T127" s="432" t="str">
        <f aca="false">IF($A$1="Peak","-",IF(BaseLoad!Z126&gt;BaseLoad!$G126,T$8*$Z127,0))</f>
        <v>-</v>
      </c>
      <c r="U127" s="432" t="str">
        <f aca="false">IF($A$1="Peak","-",IF(BaseLoad!AA126&gt;BaseLoad!$G126,U$8*$Z127,0))</f>
        <v>-</v>
      </c>
      <c r="V127" s="432" t="n">
        <f aca="false">SUM(B127:U127)</f>
        <v>0</v>
      </c>
      <c r="W127" s="432"/>
      <c r="X127" s="432"/>
      <c r="Y127" s="432"/>
      <c r="Z127" s="432" t="n">
        <f aca="false">CHOOSE(QUOTIENT(MONTH($A127),3)+1,BaseLoad!$AM$9,BaseLoad!$AN$9,BaseLoad!$AL$9,BaseLoad!$AO$9,BaseLoad!$AM$9)</f>
        <v>0.95</v>
      </c>
      <c r="AA127" s="432" t="n">
        <f aca="false">CHOOSE(QUOTIENT(MONTH($A127),3)+1,BaseLoad!$AM$15,BaseLoad!$AN$15,BaseLoad!$AL$15,BaseLoad!$AO$15,BaseLoad!$AM$15)</f>
        <v>705</v>
      </c>
      <c r="AB127" s="431"/>
      <c r="AD127" s="431"/>
    </row>
    <row r="128" customFormat="false" ht="12.75" hidden="false" customHeight="false" outlineLevel="0" collapsed="false">
      <c r="A128" s="400" t="n">
        <f aca="false">A127+30.417</f>
        <v>40129.206</v>
      </c>
      <c r="B128" s="432" t="str">
        <f aca="false">IF($A$1="Peak","-",IF(BaseLoad!H127&gt;BaseLoad!$G127,B$8*$Z128,0))</f>
        <v>-</v>
      </c>
      <c r="C128" s="432" t="str">
        <f aca="false">IF($A$1="Peak","-",IF(BaseLoad!I127&gt;BaseLoad!$G127,C$8*$Z128,0))</f>
        <v>-</v>
      </c>
      <c r="D128" s="432" t="str">
        <f aca="false">IF($A$1="Peak","-",IF(BaseLoad!J127&gt;BaseLoad!$G127,D$8*$Z128,0))</f>
        <v>-</v>
      </c>
      <c r="E128" s="432" t="str">
        <f aca="false">IF($A$1="Peak","-",IF(BaseLoad!K127&gt;BaseLoad!$G127,E$8*$Z128,0))</f>
        <v>-</v>
      </c>
      <c r="F128" s="432" t="str">
        <f aca="false">IF($A$1="Peak","-",IF(BaseLoad!L127&gt;BaseLoad!$G127,F$8*$Z128,0))</f>
        <v>-</v>
      </c>
      <c r="G128" s="432" t="str">
        <f aca="false">IF($A$1="Peak","-",IF(BaseLoad!M127&gt;BaseLoad!$G127,G$8*$Z128,0))</f>
        <v>-</v>
      </c>
      <c r="H128" s="432" t="str">
        <f aca="false">IF($A$1="Peak","-",IF(BaseLoad!N127&gt;BaseLoad!$G127,H$8*$Z128,0))</f>
        <v>-</v>
      </c>
      <c r="I128" s="432" t="str">
        <f aca="false">IF($A$1="Peak","-",IF(BaseLoad!O127&gt;BaseLoad!$G127,I$8*$Z128,0))</f>
        <v>-</v>
      </c>
      <c r="J128" s="432" t="str">
        <f aca="false">IF($A$1="Peak","-",IF(BaseLoad!P127&gt;BaseLoad!$G127,J$8*$Z128,0))</f>
        <v>-</v>
      </c>
      <c r="K128" s="432" t="str">
        <f aca="false">IF($A$1="Peak","-",IF(BaseLoad!Q127&gt;BaseLoad!$G127,K$8*$Z128,0))</f>
        <v>-</v>
      </c>
      <c r="L128" s="432" t="str">
        <f aca="false">IF($A$1="Peak","-",IF(BaseLoad!R127&gt;BaseLoad!$G127,L$8*$Z128,0))</f>
        <v>-</v>
      </c>
      <c r="M128" s="432" t="str">
        <f aca="false">IF($A$1="Peak","-",IF(BaseLoad!S127&gt;BaseLoad!$G127,M$8*$Z128,0))</f>
        <v>-</v>
      </c>
      <c r="N128" s="432" t="str">
        <f aca="false">IF($A$1="Peak","-",IF(BaseLoad!T127&gt;BaseLoad!$G127,N$8*$Z128,0))</f>
        <v>-</v>
      </c>
      <c r="O128" s="432" t="str">
        <f aca="false">IF($A$1="Peak","-",IF(BaseLoad!U127&gt;BaseLoad!$G127,O$8*$Z128,0))</f>
        <v>-</v>
      </c>
      <c r="P128" s="432" t="str">
        <f aca="false">IF($A$1="Peak","-",IF(BaseLoad!V127&gt;BaseLoad!$G127,P$8*$Z128,0))</f>
        <v>-</v>
      </c>
      <c r="Q128" s="432" t="str">
        <f aca="false">IF($A$1="Peak","-",IF(BaseLoad!W127&gt;BaseLoad!$G127,Q$8*$Z128,0))</f>
        <v>-</v>
      </c>
      <c r="R128" s="432" t="str">
        <f aca="false">IF($A$1="Peak","-",IF(BaseLoad!X127&gt;BaseLoad!$G127,R$8*$Z128,0))</f>
        <v>-</v>
      </c>
      <c r="S128" s="432" t="str">
        <f aca="false">IF($A$1="Peak","-",IF(BaseLoad!Y127&gt;BaseLoad!$G127,S$8*$Z128,0))</f>
        <v>-</v>
      </c>
      <c r="T128" s="432" t="str">
        <f aca="false">IF($A$1="Peak","-",IF(BaseLoad!Z127&gt;BaseLoad!$G127,T$8*$Z128,0))</f>
        <v>-</v>
      </c>
      <c r="U128" s="432" t="str">
        <f aca="false">IF($A$1="Peak","-",IF(BaseLoad!AA127&gt;BaseLoad!$G127,U$8*$Z128,0))</f>
        <v>-</v>
      </c>
      <c r="V128" s="432" t="n">
        <f aca="false">SUM(B128:U128)</f>
        <v>0</v>
      </c>
      <c r="W128" s="432"/>
      <c r="X128" s="432"/>
      <c r="Y128" s="432"/>
      <c r="Z128" s="432" t="n">
        <f aca="false">CHOOSE(QUOTIENT(MONTH($A128),3)+1,BaseLoad!$AM$9,BaseLoad!$AN$9,BaseLoad!$AL$9,BaseLoad!$AO$9,BaseLoad!$AM$9)</f>
        <v>0.95</v>
      </c>
      <c r="AA128" s="432" t="n">
        <f aca="false">CHOOSE(QUOTIENT(MONTH($A128),3)+1,BaseLoad!$AM$15,BaseLoad!$AN$15,BaseLoad!$AL$15,BaseLoad!$AO$15,BaseLoad!$AM$15)</f>
        <v>705</v>
      </c>
      <c r="AB128" s="431"/>
      <c r="AD128" s="431"/>
    </row>
    <row r="129" customFormat="false" ht="12.75" hidden="false" customHeight="false" outlineLevel="0" collapsed="false">
      <c r="A129" s="400" t="n">
        <f aca="false">A128+30.417</f>
        <v>40159.623</v>
      </c>
      <c r="B129" s="432" t="str">
        <f aca="false">IF($A$1="Peak","-",IF(BaseLoad!H128&gt;BaseLoad!$G128,B$8*$Z129,0))</f>
        <v>-</v>
      </c>
      <c r="C129" s="432" t="str">
        <f aca="false">IF($A$1="Peak","-",IF(BaseLoad!I128&gt;BaseLoad!$G128,C$8*$Z129,0))</f>
        <v>-</v>
      </c>
      <c r="D129" s="432" t="str">
        <f aca="false">IF($A$1="Peak","-",IF(BaseLoad!J128&gt;BaseLoad!$G128,D$8*$Z129,0))</f>
        <v>-</v>
      </c>
      <c r="E129" s="432" t="str">
        <f aca="false">IF($A$1="Peak","-",IF(BaseLoad!K128&gt;BaseLoad!$G128,E$8*$Z129,0))</f>
        <v>-</v>
      </c>
      <c r="F129" s="432" t="str">
        <f aca="false">IF($A$1="Peak","-",IF(BaseLoad!L128&gt;BaseLoad!$G128,F$8*$Z129,0))</f>
        <v>-</v>
      </c>
      <c r="G129" s="432" t="str">
        <f aca="false">IF($A$1="Peak","-",IF(BaseLoad!M128&gt;BaseLoad!$G128,G$8*$Z129,0))</f>
        <v>-</v>
      </c>
      <c r="H129" s="432" t="str">
        <f aca="false">IF($A$1="Peak","-",IF(BaseLoad!N128&gt;BaseLoad!$G128,H$8*$Z129,0))</f>
        <v>-</v>
      </c>
      <c r="I129" s="432" t="str">
        <f aca="false">IF($A$1="Peak","-",IF(BaseLoad!O128&gt;BaseLoad!$G128,I$8*$Z129,0))</f>
        <v>-</v>
      </c>
      <c r="J129" s="432" t="str">
        <f aca="false">IF($A$1="Peak","-",IF(BaseLoad!P128&gt;BaseLoad!$G128,J$8*$Z129,0))</f>
        <v>-</v>
      </c>
      <c r="K129" s="432" t="str">
        <f aca="false">IF($A$1="Peak","-",IF(BaseLoad!Q128&gt;BaseLoad!$G128,K$8*$Z129,0))</f>
        <v>-</v>
      </c>
      <c r="L129" s="432" t="str">
        <f aca="false">IF($A$1="Peak","-",IF(BaseLoad!R128&gt;BaseLoad!$G128,L$8*$Z129,0))</f>
        <v>-</v>
      </c>
      <c r="M129" s="432" t="str">
        <f aca="false">IF($A$1="Peak","-",IF(BaseLoad!S128&gt;BaseLoad!$G128,M$8*$Z129,0))</f>
        <v>-</v>
      </c>
      <c r="N129" s="432" t="str">
        <f aca="false">IF($A$1="Peak","-",IF(BaseLoad!T128&gt;BaseLoad!$G128,N$8*$Z129,0))</f>
        <v>-</v>
      </c>
      <c r="O129" s="432" t="str">
        <f aca="false">IF($A$1="Peak","-",IF(BaseLoad!U128&gt;BaseLoad!$G128,O$8*$Z129,0))</f>
        <v>-</v>
      </c>
      <c r="P129" s="432" t="str">
        <f aca="false">IF($A$1="Peak","-",IF(BaseLoad!V128&gt;BaseLoad!$G128,P$8*$Z129,0))</f>
        <v>-</v>
      </c>
      <c r="Q129" s="432" t="str">
        <f aca="false">IF($A$1="Peak","-",IF(BaseLoad!W128&gt;BaseLoad!$G128,Q$8*$Z129,0))</f>
        <v>-</v>
      </c>
      <c r="R129" s="432" t="str">
        <f aca="false">IF($A$1="Peak","-",IF(BaseLoad!X128&gt;BaseLoad!$G128,R$8*$Z129,0))</f>
        <v>-</v>
      </c>
      <c r="S129" s="432" t="str">
        <f aca="false">IF($A$1="Peak","-",IF(BaseLoad!Y128&gt;BaseLoad!$G128,S$8*$Z129,0))</f>
        <v>-</v>
      </c>
      <c r="T129" s="432" t="str">
        <f aca="false">IF($A$1="Peak","-",IF(BaseLoad!Z128&gt;BaseLoad!$G128,T$8*$Z129,0))</f>
        <v>-</v>
      </c>
      <c r="U129" s="432" t="str">
        <f aca="false">IF($A$1="Peak","-",IF(BaseLoad!AA128&gt;BaseLoad!$G128,U$8*$Z129,0))</f>
        <v>-</v>
      </c>
      <c r="V129" s="432" t="n">
        <f aca="false">SUM(B129:U129)</f>
        <v>0</v>
      </c>
      <c r="W129" s="432"/>
      <c r="X129" s="432"/>
      <c r="Y129" s="432" t="n">
        <f aca="false">SUM(V118:V129)</f>
        <v>0</v>
      </c>
      <c r="Z129" s="432" t="n">
        <f aca="false">CHOOSE(QUOTIENT(MONTH($A129),3)+1,BaseLoad!$AM$9,BaseLoad!$AN$9,BaseLoad!$AL$9,BaseLoad!$AO$9,BaseLoad!$AM$9)</f>
        <v>0.924276618786118</v>
      </c>
      <c r="AA129" s="432" t="n">
        <f aca="false">CHOOSE(QUOTIENT(MONTH($A129),3)+1,BaseLoad!$AM$15,BaseLoad!$AN$15,BaseLoad!$AL$15,BaseLoad!$AO$15,BaseLoad!$AM$15)</f>
        <v>705</v>
      </c>
      <c r="AB129" s="431"/>
      <c r="AD129" s="431"/>
    </row>
    <row r="130" customFormat="false" ht="12.75" hidden="false" customHeight="false" outlineLevel="0" collapsed="false">
      <c r="A130" s="400" t="n">
        <f aca="false">A129+30.417</f>
        <v>40190.04</v>
      </c>
      <c r="B130" s="432" t="str">
        <f aca="false">IF($A$1="Peak","-",IF(BaseLoad!H129&gt;BaseLoad!$G129,B$8*$Z130,0))</f>
        <v>-</v>
      </c>
      <c r="C130" s="432" t="str">
        <f aca="false">IF($A$1="Peak","-",IF(BaseLoad!I129&gt;BaseLoad!$G129,C$8*$Z130,0))</f>
        <v>-</v>
      </c>
      <c r="D130" s="432" t="str">
        <f aca="false">IF($A$1="Peak","-",IF(BaseLoad!J129&gt;BaseLoad!$G129,D$8*$Z130,0))</f>
        <v>-</v>
      </c>
      <c r="E130" s="432" t="str">
        <f aca="false">IF($A$1="Peak","-",IF(BaseLoad!K129&gt;BaseLoad!$G129,E$8*$Z130,0))</f>
        <v>-</v>
      </c>
      <c r="F130" s="432" t="str">
        <f aca="false">IF($A$1="Peak","-",IF(BaseLoad!L129&gt;BaseLoad!$G129,F$8*$Z130,0))</f>
        <v>-</v>
      </c>
      <c r="G130" s="432" t="str">
        <f aca="false">IF($A$1="Peak","-",IF(BaseLoad!M129&gt;BaseLoad!$G129,G$8*$Z130,0))</f>
        <v>-</v>
      </c>
      <c r="H130" s="432" t="str">
        <f aca="false">IF($A$1="Peak","-",IF(BaseLoad!N129&gt;BaseLoad!$G129,H$8*$Z130,0))</f>
        <v>-</v>
      </c>
      <c r="I130" s="432" t="str">
        <f aca="false">IF($A$1="Peak","-",IF(BaseLoad!O129&gt;BaseLoad!$G129,I$8*$Z130,0))</f>
        <v>-</v>
      </c>
      <c r="J130" s="432" t="str">
        <f aca="false">IF($A$1="Peak","-",IF(BaseLoad!P129&gt;BaseLoad!$G129,J$8*$Z130,0))</f>
        <v>-</v>
      </c>
      <c r="K130" s="432" t="str">
        <f aca="false">IF($A$1="Peak","-",IF(BaseLoad!Q129&gt;BaseLoad!$G129,K$8*$Z130,0))</f>
        <v>-</v>
      </c>
      <c r="L130" s="432" t="str">
        <f aca="false">IF($A$1="Peak","-",IF(BaseLoad!R129&gt;BaseLoad!$G129,L$8*$Z130,0))</f>
        <v>-</v>
      </c>
      <c r="M130" s="432" t="str">
        <f aca="false">IF($A$1="Peak","-",IF(BaseLoad!S129&gt;BaseLoad!$G129,M$8*$Z130,0))</f>
        <v>-</v>
      </c>
      <c r="N130" s="432" t="str">
        <f aca="false">IF($A$1="Peak","-",IF(BaseLoad!T129&gt;BaseLoad!$G129,N$8*$Z130,0))</f>
        <v>-</v>
      </c>
      <c r="O130" s="432" t="str">
        <f aca="false">IF($A$1="Peak","-",IF(BaseLoad!U129&gt;BaseLoad!$G129,O$8*$Z130,0))</f>
        <v>-</v>
      </c>
      <c r="P130" s="432" t="str">
        <f aca="false">IF($A$1="Peak","-",IF(BaseLoad!V129&gt;BaseLoad!$G129,P$8*$Z130,0))</f>
        <v>-</v>
      </c>
      <c r="Q130" s="432" t="str">
        <f aca="false">IF($A$1="Peak","-",IF(BaseLoad!W129&gt;BaseLoad!$G129,Q$8*$Z130,0))</f>
        <v>-</v>
      </c>
      <c r="R130" s="432" t="str">
        <f aca="false">IF($A$1="Peak","-",IF(BaseLoad!X129&gt;BaseLoad!$G129,R$8*$Z130,0))</f>
        <v>-</v>
      </c>
      <c r="S130" s="432" t="str">
        <f aca="false">IF($A$1="Peak","-",IF(BaseLoad!Y129&gt;BaseLoad!$G129,S$8*$Z130,0))</f>
        <v>-</v>
      </c>
      <c r="T130" s="432" t="str">
        <f aca="false">IF($A$1="Peak","-",IF(BaseLoad!Z129&gt;BaseLoad!$G129,T$8*$Z130,0))</f>
        <v>-</v>
      </c>
      <c r="U130" s="432" t="str">
        <f aca="false">IF($A$1="Peak","-",IF(BaseLoad!AA129&gt;BaseLoad!$G129,U$8*$Z130,0))</f>
        <v>-</v>
      </c>
      <c r="V130" s="432" t="n">
        <f aca="false">SUM(B130:U130)</f>
        <v>0</v>
      </c>
      <c r="W130" s="432"/>
      <c r="X130" s="432"/>
      <c r="Y130" s="432"/>
      <c r="Z130" s="432" t="n">
        <f aca="false">CHOOSE(QUOTIENT(MONTH($A130),3)+1,BaseLoad!$AM$9,BaseLoad!$AN$9,BaseLoad!$AL$9,BaseLoad!$AO$9,BaseLoad!$AM$9)</f>
        <v>0.924276618786118</v>
      </c>
      <c r="AA130" s="432" t="n">
        <f aca="false">CHOOSE(QUOTIENT(MONTH($A130),3)+1,BaseLoad!$AM$15,BaseLoad!$AN$15,BaseLoad!$AL$15,BaseLoad!$AO$15,BaseLoad!$AM$15)</f>
        <v>705</v>
      </c>
      <c r="AB130" s="431"/>
      <c r="AD130" s="431"/>
    </row>
    <row r="131" customFormat="false" ht="12.75" hidden="false" customHeight="false" outlineLevel="0" collapsed="false">
      <c r="A131" s="400" t="n">
        <f aca="false">A130+30.417</f>
        <v>40220.457</v>
      </c>
      <c r="B131" s="432" t="str">
        <f aca="false">IF($A$1="Peak","-",IF(BaseLoad!H130&gt;BaseLoad!$G130,B$8*$Z131,0))</f>
        <v>-</v>
      </c>
      <c r="C131" s="432" t="str">
        <f aca="false">IF($A$1="Peak","-",IF(BaseLoad!I130&gt;BaseLoad!$G130,C$8*$Z131,0))</f>
        <v>-</v>
      </c>
      <c r="D131" s="432" t="str">
        <f aca="false">IF($A$1="Peak","-",IF(BaseLoad!J130&gt;BaseLoad!$G130,D$8*$Z131,0))</f>
        <v>-</v>
      </c>
      <c r="E131" s="432" t="str">
        <f aca="false">IF($A$1="Peak","-",IF(BaseLoad!K130&gt;BaseLoad!$G130,E$8*$Z131,0))</f>
        <v>-</v>
      </c>
      <c r="F131" s="432" t="str">
        <f aca="false">IF($A$1="Peak","-",IF(BaseLoad!L130&gt;BaseLoad!$G130,F$8*$Z131,0))</f>
        <v>-</v>
      </c>
      <c r="G131" s="432" t="str">
        <f aca="false">IF($A$1="Peak","-",IF(BaseLoad!M130&gt;BaseLoad!$G130,G$8*$Z131,0))</f>
        <v>-</v>
      </c>
      <c r="H131" s="432" t="str">
        <f aca="false">IF($A$1="Peak","-",IF(BaseLoad!N130&gt;BaseLoad!$G130,H$8*$Z131,0))</f>
        <v>-</v>
      </c>
      <c r="I131" s="432" t="str">
        <f aca="false">IF($A$1="Peak","-",IF(BaseLoad!O130&gt;BaseLoad!$G130,I$8*$Z131,0))</f>
        <v>-</v>
      </c>
      <c r="J131" s="432" t="str">
        <f aca="false">IF($A$1="Peak","-",IF(BaseLoad!P130&gt;BaseLoad!$G130,J$8*$Z131,0))</f>
        <v>-</v>
      </c>
      <c r="K131" s="432" t="str">
        <f aca="false">IF($A$1="Peak","-",IF(BaseLoad!Q130&gt;BaseLoad!$G130,K$8*$Z131,0))</f>
        <v>-</v>
      </c>
      <c r="L131" s="432" t="str">
        <f aca="false">IF($A$1="Peak","-",IF(BaseLoad!R130&gt;BaseLoad!$G130,L$8*$Z131,0))</f>
        <v>-</v>
      </c>
      <c r="M131" s="432" t="str">
        <f aca="false">IF($A$1="Peak","-",IF(BaseLoad!S130&gt;BaseLoad!$G130,M$8*$Z131,0))</f>
        <v>-</v>
      </c>
      <c r="N131" s="432" t="str">
        <f aca="false">IF($A$1="Peak","-",IF(BaseLoad!T130&gt;BaseLoad!$G130,N$8*$Z131,0))</f>
        <v>-</v>
      </c>
      <c r="O131" s="432" t="str">
        <f aca="false">IF($A$1="Peak","-",IF(BaseLoad!U130&gt;BaseLoad!$G130,O$8*$Z131,0))</f>
        <v>-</v>
      </c>
      <c r="P131" s="432" t="str">
        <f aca="false">IF($A$1="Peak","-",IF(BaseLoad!V130&gt;BaseLoad!$G130,P$8*$Z131,0))</f>
        <v>-</v>
      </c>
      <c r="Q131" s="432" t="str">
        <f aca="false">IF($A$1="Peak","-",IF(BaseLoad!W130&gt;BaseLoad!$G130,Q$8*$Z131,0))</f>
        <v>-</v>
      </c>
      <c r="R131" s="432" t="str">
        <f aca="false">IF($A$1="Peak","-",IF(BaseLoad!X130&gt;BaseLoad!$G130,R$8*$Z131,0))</f>
        <v>-</v>
      </c>
      <c r="S131" s="432" t="str">
        <f aca="false">IF($A$1="Peak","-",IF(BaseLoad!Y130&gt;BaseLoad!$G130,S$8*$Z131,0))</f>
        <v>-</v>
      </c>
      <c r="T131" s="432" t="str">
        <f aca="false">IF($A$1="Peak","-",IF(BaseLoad!Z130&gt;BaseLoad!$G130,T$8*$Z131,0))</f>
        <v>-</v>
      </c>
      <c r="U131" s="432" t="str">
        <f aca="false">IF($A$1="Peak","-",IF(BaseLoad!AA130&gt;BaseLoad!$G130,U$8*$Z131,0))</f>
        <v>-</v>
      </c>
      <c r="V131" s="432" t="n">
        <f aca="false">SUM(B131:U131)</f>
        <v>0</v>
      </c>
      <c r="W131" s="432"/>
      <c r="X131" s="432"/>
      <c r="Y131" s="432"/>
      <c r="Z131" s="432" t="n">
        <f aca="false">CHOOSE(QUOTIENT(MONTH($A131),3)+1,BaseLoad!$AM$9,BaseLoad!$AN$9,BaseLoad!$AL$9,BaseLoad!$AO$9,BaseLoad!$AM$9)</f>
        <v>0.924276618786118</v>
      </c>
      <c r="AA131" s="432" t="n">
        <f aca="false">CHOOSE(QUOTIENT(MONTH($A131),3)+1,BaseLoad!$AM$15,BaseLoad!$AN$15,BaseLoad!$AL$15,BaseLoad!$AO$15,BaseLoad!$AM$15)</f>
        <v>705</v>
      </c>
      <c r="AB131" s="431"/>
      <c r="AD131" s="431"/>
    </row>
    <row r="132" customFormat="false" ht="12.75" hidden="false" customHeight="false" outlineLevel="0" collapsed="false">
      <c r="A132" s="400" t="n">
        <f aca="false">A131+30.417</f>
        <v>40250.874</v>
      </c>
      <c r="B132" s="432" t="str">
        <f aca="false">IF($A$1="Peak","-",IF(BaseLoad!H131&gt;BaseLoad!$G131,B$8*$Z132,0))</f>
        <v>-</v>
      </c>
      <c r="C132" s="432" t="str">
        <f aca="false">IF($A$1="Peak","-",IF(BaseLoad!I131&gt;BaseLoad!$G131,C$8*$Z132,0))</f>
        <v>-</v>
      </c>
      <c r="D132" s="432" t="str">
        <f aca="false">IF($A$1="Peak","-",IF(BaseLoad!J131&gt;BaseLoad!$G131,D$8*$Z132,0))</f>
        <v>-</v>
      </c>
      <c r="E132" s="432" t="str">
        <f aca="false">IF($A$1="Peak","-",IF(BaseLoad!K131&gt;BaseLoad!$G131,E$8*$Z132,0))</f>
        <v>-</v>
      </c>
      <c r="F132" s="432" t="str">
        <f aca="false">IF($A$1="Peak","-",IF(BaseLoad!L131&gt;BaseLoad!$G131,F$8*$Z132,0))</f>
        <v>-</v>
      </c>
      <c r="G132" s="432" t="str">
        <f aca="false">IF($A$1="Peak","-",IF(BaseLoad!M131&gt;BaseLoad!$G131,G$8*$Z132,0))</f>
        <v>-</v>
      </c>
      <c r="H132" s="432" t="str">
        <f aca="false">IF($A$1="Peak","-",IF(BaseLoad!N131&gt;BaseLoad!$G131,H$8*$Z132,0))</f>
        <v>-</v>
      </c>
      <c r="I132" s="432" t="str">
        <f aca="false">IF($A$1="Peak","-",IF(BaseLoad!O131&gt;BaseLoad!$G131,I$8*$Z132,0))</f>
        <v>-</v>
      </c>
      <c r="J132" s="432" t="str">
        <f aca="false">IF($A$1="Peak","-",IF(BaseLoad!P131&gt;BaseLoad!$G131,J$8*$Z132,0))</f>
        <v>-</v>
      </c>
      <c r="K132" s="432" t="str">
        <f aca="false">IF($A$1="Peak","-",IF(BaseLoad!Q131&gt;BaseLoad!$G131,K$8*$Z132,0))</f>
        <v>-</v>
      </c>
      <c r="L132" s="432" t="str">
        <f aca="false">IF($A$1="Peak","-",IF(BaseLoad!R131&gt;BaseLoad!$G131,L$8*$Z132,0))</f>
        <v>-</v>
      </c>
      <c r="M132" s="432" t="str">
        <f aca="false">IF($A$1="Peak","-",IF(BaseLoad!S131&gt;BaseLoad!$G131,M$8*$Z132,0))</f>
        <v>-</v>
      </c>
      <c r="N132" s="432" t="str">
        <f aca="false">IF($A$1="Peak","-",IF(BaseLoad!T131&gt;BaseLoad!$G131,N$8*$Z132,0))</f>
        <v>-</v>
      </c>
      <c r="O132" s="432" t="str">
        <f aca="false">IF($A$1="Peak","-",IF(BaseLoad!U131&gt;BaseLoad!$G131,O$8*$Z132,0))</f>
        <v>-</v>
      </c>
      <c r="P132" s="432" t="str">
        <f aca="false">IF($A$1="Peak","-",IF(BaseLoad!V131&gt;BaseLoad!$G131,P$8*$Z132,0))</f>
        <v>-</v>
      </c>
      <c r="Q132" s="432" t="str">
        <f aca="false">IF($A$1="Peak","-",IF(BaseLoad!W131&gt;BaseLoad!$G131,Q$8*$Z132,0))</f>
        <v>-</v>
      </c>
      <c r="R132" s="432" t="str">
        <f aca="false">IF($A$1="Peak","-",IF(BaseLoad!X131&gt;BaseLoad!$G131,R$8*$Z132,0))</f>
        <v>-</v>
      </c>
      <c r="S132" s="432" t="str">
        <f aca="false">IF($A$1="Peak","-",IF(BaseLoad!Y131&gt;BaseLoad!$G131,S$8*$Z132,0))</f>
        <v>-</v>
      </c>
      <c r="T132" s="432" t="str">
        <f aca="false">IF($A$1="Peak","-",IF(BaseLoad!Z131&gt;BaseLoad!$G131,T$8*$Z132,0))</f>
        <v>-</v>
      </c>
      <c r="U132" s="432" t="str">
        <f aca="false">IF($A$1="Peak","-",IF(BaseLoad!AA131&gt;BaseLoad!$G131,U$8*$Z132,0))</f>
        <v>-</v>
      </c>
      <c r="V132" s="432" t="n">
        <f aca="false">SUM(B132:U132)</f>
        <v>0</v>
      </c>
      <c r="W132" s="432"/>
      <c r="X132" s="432"/>
      <c r="Y132" s="432"/>
      <c r="Z132" s="432" t="n">
        <f aca="false">CHOOSE(QUOTIENT(MONTH($A132),3)+1,BaseLoad!$AM$9,BaseLoad!$AN$9,BaseLoad!$AL$9,BaseLoad!$AO$9,BaseLoad!$AM$9)</f>
        <v>0.95</v>
      </c>
      <c r="AA132" s="432" t="n">
        <f aca="false">CHOOSE(QUOTIENT(MONTH($A132),3)+1,BaseLoad!$AM$15,BaseLoad!$AN$15,BaseLoad!$AL$15,BaseLoad!$AO$15,BaseLoad!$AM$15)</f>
        <v>705</v>
      </c>
      <c r="AB132" s="431"/>
      <c r="AD132" s="431"/>
    </row>
    <row r="133" customFormat="false" ht="12.75" hidden="false" customHeight="false" outlineLevel="0" collapsed="false">
      <c r="A133" s="400" t="n">
        <f aca="false">A132+30.417</f>
        <v>40281.291</v>
      </c>
      <c r="B133" s="432" t="str">
        <f aca="false">IF($A$1="Peak","-",IF(BaseLoad!H132&gt;BaseLoad!$G132,B$8*$Z133,0))</f>
        <v>-</v>
      </c>
      <c r="C133" s="432" t="str">
        <f aca="false">IF($A$1="Peak","-",IF(BaseLoad!I132&gt;BaseLoad!$G132,C$8*$Z133,0))</f>
        <v>-</v>
      </c>
      <c r="D133" s="432" t="str">
        <f aca="false">IF($A$1="Peak","-",IF(BaseLoad!J132&gt;BaseLoad!$G132,D$8*$Z133,0))</f>
        <v>-</v>
      </c>
      <c r="E133" s="432" t="str">
        <f aca="false">IF($A$1="Peak","-",IF(BaseLoad!K132&gt;BaseLoad!$G132,E$8*$Z133,0))</f>
        <v>-</v>
      </c>
      <c r="F133" s="432" t="str">
        <f aca="false">IF($A$1="Peak","-",IF(BaseLoad!L132&gt;BaseLoad!$G132,F$8*$Z133,0))</f>
        <v>-</v>
      </c>
      <c r="G133" s="432" t="str">
        <f aca="false">IF($A$1="Peak","-",IF(BaseLoad!M132&gt;BaseLoad!$G132,G$8*$Z133,0))</f>
        <v>-</v>
      </c>
      <c r="H133" s="432" t="str">
        <f aca="false">IF($A$1="Peak","-",IF(BaseLoad!N132&gt;BaseLoad!$G132,H$8*$Z133,0))</f>
        <v>-</v>
      </c>
      <c r="I133" s="432" t="str">
        <f aca="false">IF($A$1="Peak","-",IF(BaseLoad!O132&gt;BaseLoad!$G132,I$8*$Z133,0))</f>
        <v>-</v>
      </c>
      <c r="J133" s="432" t="str">
        <f aca="false">IF($A$1="Peak","-",IF(BaseLoad!P132&gt;BaseLoad!$G132,J$8*$Z133,0))</f>
        <v>-</v>
      </c>
      <c r="K133" s="432" t="str">
        <f aca="false">IF($A$1="Peak","-",IF(BaseLoad!Q132&gt;BaseLoad!$G132,K$8*$Z133,0))</f>
        <v>-</v>
      </c>
      <c r="L133" s="432" t="str">
        <f aca="false">IF($A$1="Peak","-",IF(BaseLoad!R132&gt;BaseLoad!$G132,L$8*$Z133,0))</f>
        <v>-</v>
      </c>
      <c r="M133" s="432" t="str">
        <f aca="false">IF($A$1="Peak","-",IF(BaseLoad!S132&gt;BaseLoad!$G132,M$8*$Z133,0))</f>
        <v>-</v>
      </c>
      <c r="N133" s="432" t="str">
        <f aca="false">IF($A$1="Peak","-",IF(BaseLoad!T132&gt;BaseLoad!$G132,N$8*$Z133,0))</f>
        <v>-</v>
      </c>
      <c r="O133" s="432" t="str">
        <f aca="false">IF($A$1="Peak","-",IF(BaseLoad!U132&gt;BaseLoad!$G132,O$8*$Z133,0))</f>
        <v>-</v>
      </c>
      <c r="P133" s="432" t="str">
        <f aca="false">IF($A$1="Peak","-",IF(BaseLoad!V132&gt;BaseLoad!$G132,P$8*$Z133,0))</f>
        <v>-</v>
      </c>
      <c r="Q133" s="432" t="str">
        <f aca="false">IF($A$1="Peak","-",IF(BaseLoad!W132&gt;BaseLoad!$G132,Q$8*$Z133,0))</f>
        <v>-</v>
      </c>
      <c r="R133" s="432" t="str">
        <f aca="false">IF($A$1="Peak","-",IF(BaseLoad!X132&gt;BaseLoad!$G132,R$8*$Z133,0))</f>
        <v>-</v>
      </c>
      <c r="S133" s="432" t="str">
        <f aca="false">IF($A$1="Peak","-",IF(BaseLoad!Y132&gt;BaseLoad!$G132,S$8*$Z133,0))</f>
        <v>-</v>
      </c>
      <c r="T133" s="432" t="str">
        <f aca="false">IF($A$1="Peak","-",IF(BaseLoad!Z132&gt;BaseLoad!$G132,T$8*$Z133,0))</f>
        <v>-</v>
      </c>
      <c r="U133" s="432" t="str">
        <f aca="false">IF($A$1="Peak","-",IF(BaseLoad!AA132&gt;BaseLoad!$G132,U$8*$Z133,0))</f>
        <v>-</v>
      </c>
      <c r="V133" s="432" t="n">
        <f aca="false">SUM(B133:U133)</f>
        <v>0</v>
      </c>
      <c r="W133" s="432"/>
      <c r="X133" s="432"/>
      <c r="Y133" s="432"/>
      <c r="Z133" s="432" t="n">
        <f aca="false">CHOOSE(QUOTIENT(MONTH($A133),3)+1,BaseLoad!$AM$9,BaseLoad!$AN$9,BaseLoad!$AL$9,BaseLoad!$AO$9,BaseLoad!$AM$9)</f>
        <v>0.95</v>
      </c>
      <c r="AA133" s="432" t="n">
        <f aca="false">CHOOSE(QUOTIENT(MONTH($A133),3)+1,BaseLoad!$AM$15,BaseLoad!$AN$15,BaseLoad!$AL$15,BaseLoad!$AO$15,BaseLoad!$AM$15)</f>
        <v>705</v>
      </c>
      <c r="AB133" s="431"/>
      <c r="AD133" s="431"/>
    </row>
    <row r="134" customFormat="false" ht="12.75" hidden="false" customHeight="false" outlineLevel="0" collapsed="false">
      <c r="A134" s="400" t="n">
        <f aca="false">A133+30.417</f>
        <v>40311.708</v>
      </c>
      <c r="B134" s="432" t="str">
        <f aca="false">IF($A$1="Peak","-",IF(BaseLoad!H133&gt;BaseLoad!$G133,B$8*$Z134,0))</f>
        <v>-</v>
      </c>
      <c r="C134" s="432" t="str">
        <f aca="false">IF($A$1="Peak","-",IF(BaseLoad!I133&gt;BaseLoad!$G133,C$8*$Z134,0))</f>
        <v>-</v>
      </c>
      <c r="D134" s="432" t="str">
        <f aca="false">IF($A$1="Peak","-",IF(BaseLoad!J133&gt;BaseLoad!$G133,D$8*$Z134,0))</f>
        <v>-</v>
      </c>
      <c r="E134" s="432" t="str">
        <f aca="false">IF($A$1="Peak","-",IF(BaseLoad!K133&gt;BaseLoad!$G133,E$8*$Z134,0))</f>
        <v>-</v>
      </c>
      <c r="F134" s="432" t="str">
        <f aca="false">IF($A$1="Peak","-",IF(BaseLoad!L133&gt;BaseLoad!$G133,F$8*$Z134,0))</f>
        <v>-</v>
      </c>
      <c r="G134" s="432" t="str">
        <f aca="false">IF($A$1="Peak","-",IF(BaseLoad!M133&gt;BaseLoad!$G133,G$8*$Z134,0))</f>
        <v>-</v>
      </c>
      <c r="H134" s="432" t="str">
        <f aca="false">IF($A$1="Peak","-",IF(BaseLoad!N133&gt;BaseLoad!$G133,H$8*$Z134,0))</f>
        <v>-</v>
      </c>
      <c r="I134" s="432" t="str">
        <f aca="false">IF($A$1="Peak","-",IF(BaseLoad!O133&gt;BaseLoad!$G133,I$8*$Z134,0))</f>
        <v>-</v>
      </c>
      <c r="J134" s="432" t="str">
        <f aca="false">IF($A$1="Peak","-",IF(BaseLoad!P133&gt;BaseLoad!$G133,J$8*$Z134,0))</f>
        <v>-</v>
      </c>
      <c r="K134" s="432" t="str">
        <f aca="false">IF($A$1="Peak","-",IF(BaseLoad!Q133&gt;BaseLoad!$G133,K$8*$Z134,0))</f>
        <v>-</v>
      </c>
      <c r="L134" s="432" t="str">
        <f aca="false">IF($A$1="Peak","-",IF(BaseLoad!R133&gt;BaseLoad!$G133,L$8*$Z134,0))</f>
        <v>-</v>
      </c>
      <c r="M134" s="432" t="str">
        <f aca="false">IF($A$1="Peak","-",IF(BaseLoad!S133&gt;BaseLoad!$G133,M$8*$Z134,0))</f>
        <v>-</v>
      </c>
      <c r="N134" s="432" t="str">
        <f aca="false">IF($A$1="Peak","-",IF(BaseLoad!T133&gt;BaseLoad!$G133,N$8*$Z134,0))</f>
        <v>-</v>
      </c>
      <c r="O134" s="432" t="str">
        <f aca="false">IF($A$1="Peak","-",IF(BaseLoad!U133&gt;BaseLoad!$G133,O$8*$Z134,0))</f>
        <v>-</v>
      </c>
      <c r="P134" s="432" t="str">
        <f aca="false">IF($A$1="Peak","-",IF(BaseLoad!V133&gt;BaseLoad!$G133,P$8*$Z134,0))</f>
        <v>-</v>
      </c>
      <c r="Q134" s="432" t="str">
        <f aca="false">IF($A$1="Peak","-",IF(BaseLoad!W133&gt;BaseLoad!$G133,Q$8*$Z134,0))</f>
        <v>-</v>
      </c>
      <c r="R134" s="432" t="str">
        <f aca="false">IF($A$1="Peak","-",IF(BaseLoad!X133&gt;BaseLoad!$G133,R$8*$Z134,0))</f>
        <v>-</v>
      </c>
      <c r="S134" s="432" t="str">
        <f aca="false">IF($A$1="Peak","-",IF(BaseLoad!Y133&gt;BaseLoad!$G133,S$8*$Z134,0))</f>
        <v>-</v>
      </c>
      <c r="T134" s="432" t="str">
        <f aca="false">IF($A$1="Peak","-",IF(BaseLoad!Z133&gt;BaseLoad!$G133,T$8*$Z134,0))</f>
        <v>-</v>
      </c>
      <c r="U134" s="432" t="str">
        <f aca="false">IF($A$1="Peak","-",IF(BaseLoad!AA133&gt;BaseLoad!$G133,U$8*$Z134,0))</f>
        <v>-</v>
      </c>
      <c r="V134" s="432" t="n">
        <f aca="false">SUM(B134:U134)</f>
        <v>0</v>
      </c>
      <c r="W134" s="432"/>
      <c r="X134" s="432"/>
      <c r="Y134" s="432"/>
      <c r="Z134" s="432" t="n">
        <f aca="false">CHOOSE(QUOTIENT(MONTH($A134),3)+1,BaseLoad!$AM$9,BaseLoad!$AN$9,BaseLoad!$AL$9,BaseLoad!$AO$9,BaseLoad!$AM$9)</f>
        <v>0.95</v>
      </c>
      <c r="AA134" s="432" t="n">
        <f aca="false">CHOOSE(QUOTIENT(MONTH($A134),3)+1,BaseLoad!$AM$15,BaseLoad!$AN$15,BaseLoad!$AL$15,BaseLoad!$AO$15,BaseLoad!$AM$15)</f>
        <v>705</v>
      </c>
      <c r="AB134" s="431"/>
      <c r="AD134" s="431"/>
    </row>
    <row r="135" customFormat="false" ht="12.75" hidden="false" customHeight="false" outlineLevel="0" collapsed="false">
      <c r="A135" s="400" t="n">
        <f aca="false">A134+30.417</f>
        <v>40342.125</v>
      </c>
      <c r="B135" s="432" t="str">
        <f aca="false">IF($A$1="Peak","-",IF(BaseLoad!H134&gt;BaseLoad!$G134,B$8*$Z135,0))</f>
        <v>-</v>
      </c>
      <c r="C135" s="432" t="str">
        <f aca="false">IF($A$1="Peak","-",IF(BaseLoad!I134&gt;BaseLoad!$G134,C$8*$Z135,0))</f>
        <v>-</v>
      </c>
      <c r="D135" s="432" t="str">
        <f aca="false">IF($A$1="Peak","-",IF(BaseLoad!J134&gt;BaseLoad!$G134,D$8*$Z135,0))</f>
        <v>-</v>
      </c>
      <c r="E135" s="432" t="str">
        <f aca="false">IF($A$1="Peak","-",IF(BaseLoad!K134&gt;BaseLoad!$G134,E$8*$Z135,0))</f>
        <v>-</v>
      </c>
      <c r="F135" s="432" t="str">
        <f aca="false">IF($A$1="Peak","-",IF(BaseLoad!L134&gt;BaseLoad!$G134,F$8*$Z135,0))</f>
        <v>-</v>
      </c>
      <c r="G135" s="432" t="str">
        <f aca="false">IF($A$1="Peak","-",IF(BaseLoad!M134&gt;BaseLoad!$G134,G$8*$Z135,0))</f>
        <v>-</v>
      </c>
      <c r="H135" s="432" t="str">
        <f aca="false">IF($A$1="Peak","-",IF(BaseLoad!N134&gt;BaseLoad!$G134,H$8*$Z135,0))</f>
        <v>-</v>
      </c>
      <c r="I135" s="432" t="str">
        <f aca="false">IF($A$1="Peak","-",IF(BaseLoad!O134&gt;BaseLoad!$G134,I$8*$Z135,0))</f>
        <v>-</v>
      </c>
      <c r="J135" s="432" t="str">
        <f aca="false">IF($A$1="Peak","-",IF(BaseLoad!P134&gt;BaseLoad!$G134,J$8*$Z135,0))</f>
        <v>-</v>
      </c>
      <c r="K135" s="432" t="str">
        <f aca="false">IF($A$1="Peak","-",IF(BaseLoad!Q134&gt;BaseLoad!$G134,K$8*$Z135,0))</f>
        <v>-</v>
      </c>
      <c r="L135" s="432" t="str">
        <f aca="false">IF($A$1="Peak","-",IF(BaseLoad!R134&gt;BaseLoad!$G134,L$8*$Z135,0))</f>
        <v>-</v>
      </c>
      <c r="M135" s="432" t="str">
        <f aca="false">IF($A$1="Peak","-",IF(BaseLoad!S134&gt;BaseLoad!$G134,M$8*$Z135,0))</f>
        <v>-</v>
      </c>
      <c r="N135" s="432" t="str">
        <f aca="false">IF($A$1="Peak","-",IF(BaseLoad!T134&gt;BaseLoad!$G134,N$8*$Z135,0))</f>
        <v>-</v>
      </c>
      <c r="O135" s="432" t="str">
        <f aca="false">IF($A$1="Peak","-",IF(BaseLoad!U134&gt;BaseLoad!$G134,O$8*$Z135,0))</f>
        <v>-</v>
      </c>
      <c r="P135" s="432" t="str">
        <f aca="false">IF($A$1="Peak","-",IF(BaseLoad!V134&gt;BaseLoad!$G134,P$8*$Z135,0))</f>
        <v>-</v>
      </c>
      <c r="Q135" s="432" t="str">
        <f aca="false">IF($A$1="Peak","-",IF(BaseLoad!W134&gt;BaseLoad!$G134,Q$8*$Z135,0))</f>
        <v>-</v>
      </c>
      <c r="R135" s="432" t="str">
        <f aca="false">IF($A$1="Peak","-",IF(BaseLoad!X134&gt;BaseLoad!$G134,R$8*$Z135,0))</f>
        <v>-</v>
      </c>
      <c r="S135" s="432" t="str">
        <f aca="false">IF($A$1="Peak","-",IF(BaseLoad!Y134&gt;BaseLoad!$G134,S$8*$Z135,0))</f>
        <v>-</v>
      </c>
      <c r="T135" s="432" t="str">
        <f aca="false">IF($A$1="Peak","-",IF(BaseLoad!Z134&gt;BaseLoad!$G134,T$8*$Z135,0))</f>
        <v>-</v>
      </c>
      <c r="U135" s="432" t="str">
        <f aca="false">IF($A$1="Peak","-",IF(BaseLoad!AA134&gt;BaseLoad!$G134,U$8*$Z135,0))</f>
        <v>-</v>
      </c>
      <c r="V135" s="432" t="n">
        <f aca="false">SUM(B135:U135)</f>
        <v>0</v>
      </c>
      <c r="W135" s="432"/>
      <c r="X135" s="432"/>
      <c r="Y135" s="432"/>
      <c r="Z135" s="432" t="n">
        <f aca="false">CHOOSE(QUOTIENT(MONTH($A135),3)+1,BaseLoad!$AM$9,BaseLoad!$AN$9,BaseLoad!$AL$9,BaseLoad!$AO$9,BaseLoad!$AM$9)</f>
        <v>0.966121359095586</v>
      </c>
      <c r="AA135" s="432" t="n">
        <f aca="false">CHOOSE(QUOTIENT(MONTH($A135),3)+1,BaseLoad!$AM$15,BaseLoad!$AN$15,BaseLoad!$AL$15,BaseLoad!$AO$15,BaseLoad!$AM$15)</f>
        <v>705</v>
      </c>
      <c r="AB135" s="431"/>
      <c r="AD135" s="431"/>
    </row>
    <row r="136" customFormat="false" ht="12.75" hidden="false" customHeight="false" outlineLevel="0" collapsed="false">
      <c r="A136" s="400" t="n">
        <f aca="false">A135+30.417</f>
        <v>40372.542</v>
      </c>
      <c r="B136" s="432" t="str">
        <f aca="false">IF($A$1="Peak","-",IF(BaseLoad!H135&gt;BaseLoad!$G135,B$8*$Z136,0))</f>
        <v>-</v>
      </c>
      <c r="C136" s="432" t="str">
        <f aca="false">IF($A$1="Peak","-",IF(BaseLoad!I135&gt;BaseLoad!$G135,C$8*$Z136,0))</f>
        <v>-</v>
      </c>
      <c r="D136" s="432" t="str">
        <f aca="false">IF($A$1="Peak","-",IF(BaseLoad!J135&gt;BaseLoad!$G135,D$8*$Z136,0))</f>
        <v>-</v>
      </c>
      <c r="E136" s="432" t="str">
        <f aca="false">IF($A$1="Peak","-",IF(BaseLoad!K135&gt;BaseLoad!$G135,E$8*$Z136,0))</f>
        <v>-</v>
      </c>
      <c r="F136" s="432" t="str">
        <f aca="false">IF($A$1="Peak","-",IF(BaseLoad!L135&gt;BaseLoad!$G135,F$8*$Z136,0))</f>
        <v>-</v>
      </c>
      <c r="G136" s="432" t="str">
        <f aca="false">IF($A$1="Peak","-",IF(BaseLoad!M135&gt;BaseLoad!$G135,G$8*$Z136,0))</f>
        <v>-</v>
      </c>
      <c r="H136" s="432" t="str">
        <f aca="false">IF($A$1="Peak","-",IF(BaseLoad!N135&gt;BaseLoad!$G135,H$8*$Z136,0))</f>
        <v>-</v>
      </c>
      <c r="I136" s="432" t="str">
        <f aca="false">IF($A$1="Peak","-",IF(BaseLoad!O135&gt;BaseLoad!$G135,I$8*$Z136,0))</f>
        <v>-</v>
      </c>
      <c r="J136" s="432" t="str">
        <f aca="false">IF($A$1="Peak","-",IF(BaseLoad!P135&gt;BaseLoad!$G135,J$8*$Z136,0))</f>
        <v>-</v>
      </c>
      <c r="K136" s="432" t="str">
        <f aca="false">IF($A$1="Peak","-",IF(BaseLoad!Q135&gt;BaseLoad!$G135,K$8*$Z136,0))</f>
        <v>-</v>
      </c>
      <c r="L136" s="432" t="str">
        <f aca="false">IF($A$1="Peak","-",IF(BaseLoad!R135&gt;BaseLoad!$G135,L$8*$Z136,0))</f>
        <v>-</v>
      </c>
      <c r="M136" s="432" t="str">
        <f aca="false">IF($A$1="Peak","-",IF(BaseLoad!S135&gt;BaseLoad!$G135,M$8*$Z136,0))</f>
        <v>-</v>
      </c>
      <c r="N136" s="432" t="str">
        <f aca="false">IF($A$1="Peak","-",IF(BaseLoad!T135&gt;BaseLoad!$G135,N$8*$Z136,0))</f>
        <v>-</v>
      </c>
      <c r="O136" s="432" t="str">
        <f aca="false">IF($A$1="Peak","-",IF(BaseLoad!U135&gt;BaseLoad!$G135,O$8*$Z136,0))</f>
        <v>-</v>
      </c>
      <c r="P136" s="432" t="str">
        <f aca="false">IF($A$1="Peak","-",IF(BaseLoad!V135&gt;BaseLoad!$G135,P$8*$Z136,0))</f>
        <v>-</v>
      </c>
      <c r="Q136" s="432" t="str">
        <f aca="false">IF($A$1="Peak","-",IF(BaseLoad!W135&gt;BaseLoad!$G135,Q$8*$Z136,0))</f>
        <v>-</v>
      </c>
      <c r="R136" s="432" t="str">
        <f aca="false">IF($A$1="Peak","-",IF(BaseLoad!X135&gt;BaseLoad!$G135,R$8*$Z136,0))</f>
        <v>-</v>
      </c>
      <c r="S136" s="432" t="str">
        <f aca="false">IF($A$1="Peak","-",IF(BaseLoad!Y135&gt;BaseLoad!$G135,S$8*$Z136,0))</f>
        <v>-</v>
      </c>
      <c r="T136" s="432" t="str">
        <f aca="false">IF($A$1="Peak","-",IF(BaseLoad!Z135&gt;BaseLoad!$G135,T$8*$Z136,0))</f>
        <v>-</v>
      </c>
      <c r="U136" s="432" t="str">
        <f aca="false">IF($A$1="Peak","-",IF(BaseLoad!AA135&gt;BaseLoad!$G135,U$8*$Z136,0))</f>
        <v>-</v>
      </c>
      <c r="V136" s="432" t="n">
        <f aca="false">SUM(B136:U136)</f>
        <v>0</v>
      </c>
      <c r="W136" s="432"/>
      <c r="X136" s="432"/>
      <c r="Y136" s="432"/>
      <c r="Z136" s="432" t="n">
        <f aca="false">CHOOSE(QUOTIENT(MONTH($A136),3)+1,BaseLoad!$AM$9,BaseLoad!$AN$9,BaseLoad!$AL$9,BaseLoad!$AO$9,BaseLoad!$AM$9)</f>
        <v>0.966121359095586</v>
      </c>
      <c r="AA136" s="432" t="n">
        <f aca="false">CHOOSE(QUOTIENT(MONTH($A136),3)+1,BaseLoad!$AM$15,BaseLoad!$AN$15,BaseLoad!$AL$15,BaseLoad!$AO$15,BaseLoad!$AM$15)</f>
        <v>705</v>
      </c>
      <c r="AB136" s="431"/>
      <c r="AD136" s="431"/>
    </row>
    <row r="137" customFormat="false" ht="12.75" hidden="false" customHeight="false" outlineLevel="0" collapsed="false">
      <c r="A137" s="400" t="n">
        <f aca="false">A136+30.417</f>
        <v>40402.959</v>
      </c>
      <c r="B137" s="432" t="str">
        <f aca="false">IF($A$1="Peak","-",IF(BaseLoad!H136&gt;BaseLoad!$G136,B$8*$Z137,0))</f>
        <v>-</v>
      </c>
      <c r="C137" s="432" t="str">
        <f aca="false">IF($A$1="Peak","-",IF(BaseLoad!I136&gt;BaseLoad!$G136,C$8*$Z137,0))</f>
        <v>-</v>
      </c>
      <c r="D137" s="432" t="str">
        <f aca="false">IF($A$1="Peak","-",IF(BaseLoad!J136&gt;BaseLoad!$G136,D$8*$Z137,0))</f>
        <v>-</v>
      </c>
      <c r="E137" s="432" t="str">
        <f aca="false">IF($A$1="Peak","-",IF(BaseLoad!K136&gt;BaseLoad!$G136,E$8*$Z137,0))</f>
        <v>-</v>
      </c>
      <c r="F137" s="432" t="str">
        <f aca="false">IF($A$1="Peak","-",IF(BaseLoad!L136&gt;BaseLoad!$G136,F$8*$Z137,0))</f>
        <v>-</v>
      </c>
      <c r="G137" s="432" t="str">
        <f aca="false">IF($A$1="Peak","-",IF(BaseLoad!M136&gt;BaseLoad!$G136,G$8*$Z137,0))</f>
        <v>-</v>
      </c>
      <c r="H137" s="432" t="str">
        <f aca="false">IF($A$1="Peak","-",IF(BaseLoad!N136&gt;BaseLoad!$G136,H$8*$Z137,0))</f>
        <v>-</v>
      </c>
      <c r="I137" s="432" t="str">
        <f aca="false">IF($A$1="Peak","-",IF(BaseLoad!O136&gt;BaseLoad!$G136,I$8*$Z137,0))</f>
        <v>-</v>
      </c>
      <c r="J137" s="432" t="str">
        <f aca="false">IF($A$1="Peak","-",IF(BaseLoad!P136&gt;BaseLoad!$G136,J$8*$Z137,0))</f>
        <v>-</v>
      </c>
      <c r="K137" s="432" t="str">
        <f aca="false">IF($A$1="Peak","-",IF(BaseLoad!Q136&gt;BaseLoad!$G136,K$8*$Z137,0))</f>
        <v>-</v>
      </c>
      <c r="L137" s="432" t="str">
        <f aca="false">IF($A$1="Peak","-",IF(BaseLoad!R136&gt;BaseLoad!$G136,L$8*$Z137,0))</f>
        <v>-</v>
      </c>
      <c r="M137" s="432" t="str">
        <f aca="false">IF($A$1="Peak","-",IF(BaseLoad!S136&gt;BaseLoad!$G136,M$8*$Z137,0))</f>
        <v>-</v>
      </c>
      <c r="N137" s="432" t="str">
        <f aca="false">IF($A$1="Peak","-",IF(BaseLoad!T136&gt;BaseLoad!$G136,N$8*$Z137,0))</f>
        <v>-</v>
      </c>
      <c r="O137" s="432" t="str">
        <f aca="false">IF($A$1="Peak","-",IF(BaseLoad!U136&gt;BaseLoad!$G136,O$8*$Z137,0))</f>
        <v>-</v>
      </c>
      <c r="P137" s="432" t="str">
        <f aca="false">IF($A$1="Peak","-",IF(BaseLoad!V136&gt;BaseLoad!$G136,P$8*$Z137,0))</f>
        <v>-</v>
      </c>
      <c r="Q137" s="432" t="str">
        <f aca="false">IF($A$1="Peak","-",IF(BaseLoad!W136&gt;BaseLoad!$G136,Q$8*$Z137,0))</f>
        <v>-</v>
      </c>
      <c r="R137" s="432" t="str">
        <f aca="false">IF($A$1="Peak","-",IF(BaseLoad!X136&gt;BaseLoad!$G136,R$8*$Z137,0))</f>
        <v>-</v>
      </c>
      <c r="S137" s="432" t="str">
        <f aca="false">IF($A$1="Peak","-",IF(BaseLoad!Y136&gt;BaseLoad!$G136,S$8*$Z137,0))</f>
        <v>-</v>
      </c>
      <c r="T137" s="432" t="str">
        <f aca="false">IF($A$1="Peak","-",IF(BaseLoad!Z136&gt;BaseLoad!$G136,T$8*$Z137,0))</f>
        <v>-</v>
      </c>
      <c r="U137" s="432" t="str">
        <f aca="false">IF($A$1="Peak","-",IF(BaseLoad!AA136&gt;BaseLoad!$G136,U$8*$Z137,0))</f>
        <v>-</v>
      </c>
      <c r="V137" s="432" t="n">
        <f aca="false">SUM(B137:U137)</f>
        <v>0</v>
      </c>
      <c r="W137" s="432"/>
      <c r="X137" s="432"/>
      <c r="Y137" s="432"/>
      <c r="Z137" s="432" t="n">
        <f aca="false">CHOOSE(QUOTIENT(MONTH($A137),3)+1,BaseLoad!$AM$9,BaseLoad!$AN$9,BaseLoad!$AL$9,BaseLoad!$AO$9,BaseLoad!$AM$9)</f>
        <v>0.966121359095586</v>
      </c>
      <c r="AA137" s="432" t="n">
        <f aca="false">CHOOSE(QUOTIENT(MONTH($A137),3)+1,BaseLoad!$AM$15,BaseLoad!$AN$15,BaseLoad!$AL$15,BaseLoad!$AO$15,BaseLoad!$AM$15)</f>
        <v>705</v>
      </c>
      <c r="AB137" s="431"/>
      <c r="AD137" s="431"/>
    </row>
    <row r="138" customFormat="false" ht="12.75" hidden="false" customHeight="false" outlineLevel="0" collapsed="false">
      <c r="A138" s="400" t="n">
        <f aca="false">A137+30.417</f>
        <v>40433.376</v>
      </c>
      <c r="B138" s="432" t="str">
        <f aca="false">IF($A$1="Peak","-",IF(BaseLoad!H137&gt;BaseLoad!$G137,B$8*$Z138,0))</f>
        <v>-</v>
      </c>
      <c r="C138" s="432" t="str">
        <f aca="false">IF($A$1="Peak","-",IF(BaseLoad!I137&gt;BaseLoad!$G137,C$8*$Z138,0))</f>
        <v>-</v>
      </c>
      <c r="D138" s="432" t="str">
        <f aca="false">IF($A$1="Peak","-",IF(BaseLoad!J137&gt;BaseLoad!$G137,D$8*$Z138,0))</f>
        <v>-</v>
      </c>
      <c r="E138" s="432" t="str">
        <f aca="false">IF($A$1="Peak","-",IF(BaseLoad!K137&gt;BaseLoad!$G137,E$8*$Z138,0))</f>
        <v>-</v>
      </c>
      <c r="F138" s="432" t="str">
        <f aca="false">IF($A$1="Peak","-",IF(BaseLoad!L137&gt;BaseLoad!$G137,F$8*$Z138,0))</f>
        <v>-</v>
      </c>
      <c r="G138" s="432" t="str">
        <f aca="false">IF($A$1="Peak","-",IF(BaseLoad!M137&gt;BaseLoad!$G137,G$8*$Z138,0))</f>
        <v>-</v>
      </c>
      <c r="H138" s="432" t="str">
        <f aca="false">IF($A$1="Peak","-",IF(BaseLoad!N137&gt;BaseLoad!$G137,H$8*$Z138,0))</f>
        <v>-</v>
      </c>
      <c r="I138" s="432" t="str">
        <f aca="false">IF($A$1="Peak","-",IF(BaseLoad!O137&gt;BaseLoad!$G137,I$8*$Z138,0))</f>
        <v>-</v>
      </c>
      <c r="J138" s="432" t="str">
        <f aca="false">IF($A$1="Peak","-",IF(BaseLoad!P137&gt;BaseLoad!$G137,J$8*$Z138,0))</f>
        <v>-</v>
      </c>
      <c r="K138" s="432" t="str">
        <f aca="false">IF($A$1="Peak","-",IF(BaseLoad!Q137&gt;BaseLoad!$G137,K$8*$Z138,0))</f>
        <v>-</v>
      </c>
      <c r="L138" s="432" t="str">
        <f aca="false">IF($A$1="Peak","-",IF(BaseLoad!R137&gt;BaseLoad!$G137,L$8*$Z138,0))</f>
        <v>-</v>
      </c>
      <c r="M138" s="432" t="str">
        <f aca="false">IF($A$1="Peak","-",IF(BaseLoad!S137&gt;BaseLoad!$G137,M$8*$Z138,0))</f>
        <v>-</v>
      </c>
      <c r="N138" s="432" t="str">
        <f aca="false">IF($A$1="Peak","-",IF(BaseLoad!T137&gt;BaseLoad!$G137,N$8*$Z138,0))</f>
        <v>-</v>
      </c>
      <c r="O138" s="432" t="str">
        <f aca="false">IF($A$1="Peak","-",IF(BaseLoad!U137&gt;BaseLoad!$G137,O$8*$Z138,0))</f>
        <v>-</v>
      </c>
      <c r="P138" s="432" t="str">
        <f aca="false">IF($A$1="Peak","-",IF(BaseLoad!V137&gt;BaseLoad!$G137,P$8*$Z138,0))</f>
        <v>-</v>
      </c>
      <c r="Q138" s="432" t="str">
        <f aca="false">IF($A$1="Peak","-",IF(BaseLoad!W137&gt;BaseLoad!$G137,Q$8*$Z138,0))</f>
        <v>-</v>
      </c>
      <c r="R138" s="432" t="str">
        <f aca="false">IF($A$1="Peak","-",IF(BaseLoad!X137&gt;BaseLoad!$G137,R$8*$Z138,0))</f>
        <v>-</v>
      </c>
      <c r="S138" s="432" t="str">
        <f aca="false">IF($A$1="Peak","-",IF(BaseLoad!Y137&gt;BaseLoad!$G137,S$8*$Z138,0))</f>
        <v>-</v>
      </c>
      <c r="T138" s="432" t="str">
        <f aca="false">IF($A$1="Peak","-",IF(BaseLoad!Z137&gt;BaseLoad!$G137,T$8*$Z138,0))</f>
        <v>-</v>
      </c>
      <c r="U138" s="432" t="str">
        <f aca="false">IF($A$1="Peak","-",IF(BaseLoad!AA137&gt;BaseLoad!$G137,U$8*$Z138,0))</f>
        <v>-</v>
      </c>
      <c r="V138" s="432" t="n">
        <f aca="false">SUM(B138:U138)</f>
        <v>0</v>
      </c>
      <c r="W138" s="432"/>
      <c r="X138" s="432"/>
      <c r="Y138" s="432"/>
      <c r="Z138" s="432" t="n">
        <f aca="false">CHOOSE(QUOTIENT(MONTH($A138),3)+1,BaseLoad!$AM$9,BaseLoad!$AN$9,BaseLoad!$AL$9,BaseLoad!$AO$9,BaseLoad!$AM$9)</f>
        <v>0.95</v>
      </c>
      <c r="AA138" s="432" t="n">
        <f aca="false">CHOOSE(QUOTIENT(MONTH($A138),3)+1,BaseLoad!$AM$15,BaseLoad!$AN$15,BaseLoad!$AL$15,BaseLoad!$AO$15,BaseLoad!$AM$15)</f>
        <v>705</v>
      </c>
      <c r="AB138" s="431"/>
      <c r="AD138" s="431"/>
    </row>
    <row r="139" customFormat="false" ht="12.75" hidden="false" customHeight="false" outlineLevel="0" collapsed="false">
      <c r="A139" s="400" t="n">
        <f aca="false">A138+30.417</f>
        <v>40463.793</v>
      </c>
      <c r="B139" s="432" t="str">
        <f aca="false">IF($A$1="Peak","-",IF(BaseLoad!H138&gt;BaseLoad!$G138,B$8*$Z139,0))</f>
        <v>-</v>
      </c>
      <c r="C139" s="432" t="str">
        <f aca="false">IF($A$1="Peak","-",IF(BaseLoad!I138&gt;BaseLoad!$G138,C$8*$Z139,0))</f>
        <v>-</v>
      </c>
      <c r="D139" s="432" t="str">
        <f aca="false">IF($A$1="Peak","-",IF(BaseLoad!J138&gt;BaseLoad!$G138,D$8*$Z139,0))</f>
        <v>-</v>
      </c>
      <c r="E139" s="432" t="str">
        <f aca="false">IF($A$1="Peak","-",IF(BaseLoad!K138&gt;BaseLoad!$G138,E$8*$Z139,0))</f>
        <v>-</v>
      </c>
      <c r="F139" s="432" t="str">
        <f aca="false">IF($A$1="Peak","-",IF(BaseLoad!L138&gt;BaseLoad!$G138,F$8*$Z139,0))</f>
        <v>-</v>
      </c>
      <c r="G139" s="432" t="str">
        <f aca="false">IF($A$1="Peak","-",IF(BaseLoad!M138&gt;BaseLoad!$G138,G$8*$Z139,0))</f>
        <v>-</v>
      </c>
      <c r="H139" s="432" t="str">
        <f aca="false">IF($A$1="Peak","-",IF(BaseLoad!N138&gt;BaseLoad!$G138,H$8*$Z139,0))</f>
        <v>-</v>
      </c>
      <c r="I139" s="432" t="str">
        <f aca="false">IF($A$1="Peak","-",IF(BaseLoad!O138&gt;BaseLoad!$G138,I$8*$Z139,0))</f>
        <v>-</v>
      </c>
      <c r="J139" s="432" t="str">
        <f aca="false">IF($A$1="Peak","-",IF(BaseLoad!P138&gt;BaseLoad!$G138,J$8*$Z139,0))</f>
        <v>-</v>
      </c>
      <c r="K139" s="432" t="str">
        <f aca="false">IF($A$1="Peak","-",IF(BaseLoad!Q138&gt;BaseLoad!$G138,K$8*$Z139,0))</f>
        <v>-</v>
      </c>
      <c r="L139" s="432" t="str">
        <f aca="false">IF($A$1="Peak","-",IF(BaseLoad!R138&gt;BaseLoad!$G138,L$8*$Z139,0))</f>
        <v>-</v>
      </c>
      <c r="M139" s="432" t="str">
        <f aca="false">IF($A$1="Peak","-",IF(BaseLoad!S138&gt;BaseLoad!$G138,M$8*$Z139,0))</f>
        <v>-</v>
      </c>
      <c r="N139" s="432" t="str">
        <f aca="false">IF($A$1="Peak","-",IF(BaseLoad!T138&gt;BaseLoad!$G138,N$8*$Z139,0))</f>
        <v>-</v>
      </c>
      <c r="O139" s="432" t="str">
        <f aca="false">IF($A$1="Peak","-",IF(BaseLoad!U138&gt;BaseLoad!$G138,O$8*$Z139,0))</f>
        <v>-</v>
      </c>
      <c r="P139" s="432" t="str">
        <f aca="false">IF($A$1="Peak","-",IF(BaseLoad!V138&gt;BaseLoad!$G138,P$8*$Z139,0))</f>
        <v>-</v>
      </c>
      <c r="Q139" s="432" t="str">
        <f aca="false">IF($A$1="Peak","-",IF(BaseLoad!W138&gt;BaseLoad!$G138,Q$8*$Z139,0))</f>
        <v>-</v>
      </c>
      <c r="R139" s="432" t="str">
        <f aca="false">IF($A$1="Peak","-",IF(BaseLoad!X138&gt;BaseLoad!$G138,R$8*$Z139,0))</f>
        <v>-</v>
      </c>
      <c r="S139" s="432" t="str">
        <f aca="false">IF($A$1="Peak","-",IF(BaseLoad!Y138&gt;BaseLoad!$G138,S$8*$Z139,0))</f>
        <v>-</v>
      </c>
      <c r="T139" s="432" t="str">
        <f aca="false">IF($A$1="Peak","-",IF(BaseLoad!Z138&gt;BaseLoad!$G138,T$8*$Z139,0))</f>
        <v>-</v>
      </c>
      <c r="U139" s="432" t="str">
        <f aca="false">IF($A$1="Peak","-",IF(BaseLoad!AA138&gt;BaseLoad!$G138,U$8*$Z139,0))</f>
        <v>-</v>
      </c>
      <c r="V139" s="432" t="n">
        <f aca="false">SUM(B139:U139)</f>
        <v>0</v>
      </c>
      <c r="W139" s="432"/>
      <c r="X139" s="432"/>
      <c r="Y139" s="432"/>
      <c r="Z139" s="432" t="n">
        <f aca="false">CHOOSE(QUOTIENT(MONTH($A139),3)+1,BaseLoad!$AM$9,BaseLoad!$AN$9,BaseLoad!$AL$9,BaseLoad!$AO$9,BaseLoad!$AM$9)</f>
        <v>0.95</v>
      </c>
      <c r="AA139" s="432" t="n">
        <f aca="false">CHOOSE(QUOTIENT(MONTH($A139),3)+1,BaseLoad!$AM$15,BaseLoad!$AN$15,BaseLoad!$AL$15,BaseLoad!$AO$15,BaseLoad!$AM$15)</f>
        <v>705</v>
      </c>
      <c r="AB139" s="431"/>
      <c r="AD139" s="431"/>
    </row>
    <row r="140" customFormat="false" ht="12.75" hidden="false" customHeight="false" outlineLevel="0" collapsed="false">
      <c r="A140" s="400" t="n">
        <f aca="false">A139+30.417</f>
        <v>40494.21</v>
      </c>
      <c r="B140" s="432" t="str">
        <f aca="false">IF($A$1="Peak","-",IF(BaseLoad!H139&gt;BaseLoad!$G139,B$8*$Z140,0))</f>
        <v>-</v>
      </c>
      <c r="C140" s="432" t="str">
        <f aca="false">IF($A$1="Peak","-",IF(BaseLoad!I139&gt;BaseLoad!$G139,C$8*$Z140,0))</f>
        <v>-</v>
      </c>
      <c r="D140" s="432" t="str">
        <f aca="false">IF($A$1="Peak","-",IF(BaseLoad!J139&gt;BaseLoad!$G139,D$8*$Z140,0))</f>
        <v>-</v>
      </c>
      <c r="E140" s="432" t="str">
        <f aca="false">IF($A$1="Peak","-",IF(BaseLoad!K139&gt;BaseLoad!$G139,E$8*$Z140,0))</f>
        <v>-</v>
      </c>
      <c r="F140" s="432" t="str">
        <f aca="false">IF($A$1="Peak","-",IF(BaseLoad!L139&gt;BaseLoad!$G139,F$8*$Z140,0))</f>
        <v>-</v>
      </c>
      <c r="G140" s="432" t="str">
        <f aca="false">IF($A$1="Peak","-",IF(BaseLoad!M139&gt;BaseLoad!$G139,G$8*$Z140,0))</f>
        <v>-</v>
      </c>
      <c r="H140" s="432" t="str">
        <f aca="false">IF($A$1="Peak","-",IF(BaseLoad!N139&gt;BaseLoad!$G139,H$8*$Z140,0))</f>
        <v>-</v>
      </c>
      <c r="I140" s="432" t="str">
        <f aca="false">IF($A$1="Peak","-",IF(BaseLoad!O139&gt;BaseLoad!$G139,I$8*$Z140,0))</f>
        <v>-</v>
      </c>
      <c r="J140" s="432" t="str">
        <f aca="false">IF($A$1="Peak","-",IF(BaseLoad!P139&gt;BaseLoad!$G139,J$8*$Z140,0))</f>
        <v>-</v>
      </c>
      <c r="K140" s="432" t="str">
        <f aca="false">IF($A$1="Peak","-",IF(BaseLoad!Q139&gt;BaseLoad!$G139,K$8*$Z140,0))</f>
        <v>-</v>
      </c>
      <c r="L140" s="432" t="str">
        <f aca="false">IF($A$1="Peak","-",IF(BaseLoad!R139&gt;BaseLoad!$G139,L$8*$Z140,0))</f>
        <v>-</v>
      </c>
      <c r="M140" s="432" t="str">
        <f aca="false">IF($A$1="Peak","-",IF(BaseLoad!S139&gt;BaseLoad!$G139,M$8*$Z140,0))</f>
        <v>-</v>
      </c>
      <c r="N140" s="432" t="str">
        <f aca="false">IF($A$1="Peak","-",IF(BaseLoad!T139&gt;BaseLoad!$G139,N$8*$Z140,0))</f>
        <v>-</v>
      </c>
      <c r="O140" s="432" t="str">
        <f aca="false">IF($A$1="Peak","-",IF(BaseLoad!U139&gt;BaseLoad!$G139,O$8*$Z140,0))</f>
        <v>-</v>
      </c>
      <c r="P140" s="432" t="str">
        <f aca="false">IF($A$1="Peak","-",IF(BaseLoad!V139&gt;BaseLoad!$G139,P$8*$Z140,0))</f>
        <v>-</v>
      </c>
      <c r="Q140" s="432" t="str">
        <f aca="false">IF($A$1="Peak","-",IF(BaseLoad!W139&gt;BaseLoad!$G139,Q$8*$Z140,0))</f>
        <v>-</v>
      </c>
      <c r="R140" s="432" t="str">
        <f aca="false">IF($A$1="Peak","-",IF(BaseLoad!X139&gt;BaseLoad!$G139,R$8*$Z140,0))</f>
        <v>-</v>
      </c>
      <c r="S140" s="432" t="str">
        <f aca="false">IF($A$1="Peak","-",IF(BaseLoad!Y139&gt;BaseLoad!$G139,S$8*$Z140,0))</f>
        <v>-</v>
      </c>
      <c r="T140" s="432" t="str">
        <f aca="false">IF($A$1="Peak","-",IF(BaseLoad!Z139&gt;BaseLoad!$G139,T$8*$Z140,0))</f>
        <v>-</v>
      </c>
      <c r="U140" s="432" t="str">
        <f aca="false">IF($A$1="Peak","-",IF(BaseLoad!AA139&gt;BaseLoad!$G139,U$8*$Z140,0))</f>
        <v>-</v>
      </c>
      <c r="V140" s="432" t="n">
        <f aca="false">SUM(B140:U140)</f>
        <v>0</v>
      </c>
      <c r="W140" s="432"/>
      <c r="X140" s="432"/>
      <c r="Y140" s="432"/>
      <c r="Z140" s="432" t="n">
        <f aca="false">CHOOSE(QUOTIENT(MONTH($A140),3)+1,BaseLoad!$AM$9,BaseLoad!$AN$9,BaseLoad!$AL$9,BaseLoad!$AO$9,BaseLoad!$AM$9)</f>
        <v>0.95</v>
      </c>
      <c r="AA140" s="432" t="n">
        <f aca="false">CHOOSE(QUOTIENT(MONTH($A140),3)+1,BaseLoad!$AM$15,BaseLoad!$AN$15,BaseLoad!$AL$15,BaseLoad!$AO$15,BaseLoad!$AM$15)</f>
        <v>705</v>
      </c>
      <c r="AB140" s="431"/>
      <c r="AD140" s="431"/>
    </row>
    <row r="141" customFormat="false" ht="12.75" hidden="false" customHeight="false" outlineLevel="0" collapsed="false">
      <c r="A141" s="400" t="n">
        <f aca="false">A140+30.417</f>
        <v>40524.627</v>
      </c>
      <c r="B141" s="432" t="str">
        <f aca="false">IF($A$1="Peak","-",IF(BaseLoad!H140&gt;BaseLoad!$G140,B$8*$Z141,0))</f>
        <v>-</v>
      </c>
      <c r="C141" s="432" t="str">
        <f aca="false">IF($A$1="Peak","-",IF(BaseLoad!I140&gt;BaseLoad!$G140,C$8*$Z141,0))</f>
        <v>-</v>
      </c>
      <c r="D141" s="432" t="str">
        <f aca="false">IF($A$1="Peak","-",IF(BaseLoad!J140&gt;BaseLoad!$G140,D$8*$Z141,0))</f>
        <v>-</v>
      </c>
      <c r="E141" s="432" t="str">
        <f aca="false">IF($A$1="Peak","-",IF(BaseLoad!K140&gt;BaseLoad!$G140,E$8*$Z141,0))</f>
        <v>-</v>
      </c>
      <c r="F141" s="432" t="str">
        <f aca="false">IF($A$1="Peak","-",IF(BaseLoad!L140&gt;BaseLoad!$G140,F$8*$Z141,0))</f>
        <v>-</v>
      </c>
      <c r="G141" s="432" t="str">
        <f aca="false">IF($A$1="Peak","-",IF(BaseLoad!M140&gt;BaseLoad!$G140,G$8*$Z141,0))</f>
        <v>-</v>
      </c>
      <c r="H141" s="432" t="str">
        <f aca="false">IF($A$1="Peak","-",IF(BaseLoad!N140&gt;BaseLoad!$G140,H$8*$Z141,0))</f>
        <v>-</v>
      </c>
      <c r="I141" s="432" t="str">
        <f aca="false">IF($A$1="Peak","-",IF(BaseLoad!O140&gt;BaseLoad!$G140,I$8*$Z141,0))</f>
        <v>-</v>
      </c>
      <c r="J141" s="432" t="str">
        <f aca="false">IF($A$1="Peak","-",IF(BaseLoad!P140&gt;BaseLoad!$G140,J$8*$Z141,0))</f>
        <v>-</v>
      </c>
      <c r="K141" s="432" t="str">
        <f aca="false">IF($A$1="Peak","-",IF(BaseLoad!Q140&gt;BaseLoad!$G140,K$8*$Z141,0))</f>
        <v>-</v>
      </c>
      <c r="L141" s="432" t="str">
        <f aca="false">IF($A$1="Peak","-",IF(BaseLoad!R140&gt;BaseLoad!$G140,L$8*$Z141,0))</f>
        <v>-</v>
      </c>
      <c r="M141" s="432" t="str">
        <f aca="false">IF($A$1="Peak","-",IF(BaseLoad!S140&gt;BaseLoad!$G140,M$8*$Z141,0))</f>
        <v>-</v>
      </c>
      <c r="N141" s="432" t="str">
        <f aca="false">IF($A$1="Peak","-",IF(BaseLoad!T140&gt;BaseLoad!$G140,N$8*$Z141,0))</f>
        <v>-</v>
      </c>
      <c r="O141" s="432" t="str">
        <f aca="false">IF($A$1="Peak","-",IF(BaseLoad!U140&gt;BaseLoad!$G140,O$8*$Z141,0))</f>
        <v>-</v>
      </c>
      <c r="P141" s="432" t="str">
        <f aca="false">IF($A$1="Peak","-",IF(BaseLoad!V140&gt;BaseLoad!$G140,P$8*$Z141,0))</f>
        <v>-</v>
      </c>
      <c r="Q141" s="432" t="str">
        <f aca="false">IF($A$1="Peak","-",IF(BaseLoad!W140&gt;BaseLoad!$G140,Q$8*$Z141,0))</f>
        <v>-</v>
      </c>
      <c r="R141" s="432" t="str">
        <f aca="false">IF($A$1="Peak","-",IF(BaseLoad!X140&gt;BaseLoad!$G140,R$8*$Z141,0))</f>
        <v>-</v>
      </c>
      <c r="S141" s="432" t="str">
        <f aca="false">IF($A$1="Peak","-",IF(BaseLoad!Y140&gt;BaseLoad!$G140,S$8*$Z141,0))</f>
        <v>-</v>
      </c>
      <c r="T141" s="432" t="str">
        <f aca="false">IF($A$1="Peak","-",IF(BaseLoad!Z140&gt;BaseLoad!$G140,T$8*$Z141,0))</f>
        <v>-</v>
      </c>
      <c r="U141" s="432" t="str">
        <f aca="false">IF($A$1="Peak","-",IF(BaseLoad!AA140&gt;BaseLoad!$G140,U$8*$Z141,0))</f>
        <v>-</v>
      </c>
      <c r="V141" s="432" t="n">
        <f aca="false">SUM(B141:U141)</f>
        <v>0</v>
      </c>
      <c r="W141" s="432"/>
      <c r="X141" s="432"/>
      <c r="Y141" s="432" t="n">
        <f aca="false">SUM(V130:V141)</f>
        <v>0</v>
      </c>
      <c r="Z141" s="432" t="n">
        <f aca="false">CHOOSE(QUOTIENT(MONTH($A141),3)+1,BaseLoad!$AM$9,BaseLoad!$AN$9,BaseLoad!$AL$9,BaseLoad!$AO$9,BaseLoad!$AM$9)</f>
        <v>0.924276618786118</v>
      </c>
      <c r="AA141" s="432" t="n">
        <f aca="false">CHOOSE(QUOTIENT(MONTH($A141),3)+1,BaseLoad!$AM$15,BaseLoad!$AN$15,BaseLoad!$AL$15,BaseLoad!$AO$15,BaseLoad!$AM$15)</f>
        <v>705</v>
      </c>
      <c r="AB141" s="431"/>
      <c r="AD141" s="431"/>
    </row>
    <row r="142" customFormat="false" ht="12.75" hidden="false" customHeight="false" outlineLevel="0" collapsed="false">
      <c r="A142" s="400" t="n">
        <f aca="false">A141+30.417</f>
        <v>40555.044</v>
      </c>
      <c r="B142" s="432" t="str">
        <f aca="false">IF($A$1="Peak","-",IF(BaseLoad!H141&gt;BaseLoad!$G141,B$8*$Z142,0))</f>
        <v>-</v>
      </c>
      <c r="C142" s="432" t="str">
        <f aca="false">IF($A$1="Peak","-",IF(BaseLoad!I141&gt;BaseLoad!$G141,C$8*$Z142,0))</f>
        <v>-</v>
      </c>
      <c r="D142" s="432" t="str">
        <f aca="false">IF($A$1="Peak","-",IF(BaseLoad!J141&gt;BaseLoad!$G141,D$8*$Z142,0))</f>
        <v>-</v>
      </c>
      <c r="E142" s="432" t="str">
        <f aca="false">IF($A$1="Peak","-",IF(BaseLoad!K141&gt;BaseLoad!$G141,E$8*$Z142,0))</f>
        <v>-</v>
      </c>
      <c r="F142" s="432" t="str">
        <f aca="false">IF($A$1="Peak","-",IF(BaseLoad!L141&gt;BaseLoad!$G141,F$8*$Z142,0))</f>
        <v>-</v>
      </c>
      <c r="G142" s="432" t="str">
        <f aca="false">IF($A$1="Peak","-",IF(BaseLoad!M141&gt;BaseLoad!$G141,G$8*$Z142,0))</f>
        <v>-</v>
      </c>
      <c r="H142" s="432" t="str">
        <f aca="false">IF($A$1="Peak","-",IF(BaseLoad!N141&gt;BaseLoad!$G141,H$8*$Z142,0))</f>
        <v>-</v>
      </c>
      <c r="I142" s="432" t="str">
        <f aca="false">IF($A$1="Peak","-",IF(BaseLoad!O141&gt;BaseLoad!$G141,I$8*$Z142,0))</f>
        <v>-</v>
      </c>
      <c r="J142" s="432" t="str">
        <f aca="false">IF($A$1="Peak","-",IF(BaseLoad!P141&gt;BaseLoad!$G141,J$8*$Z142,0))</f>
        <v>-</v>
      </c>
      <c r="K142" s="432" t="str">
        <f aca="false">IF($A$1="Peak","-",IF(BaseLoad!Q141&gt;BaseLoad!$G141,K$8*$Z142,0))</f>
        <v>-</v>
      </c>
      <c r="L142" s="432" t="str">
        <f aca="false">IF($A$1="Peak","-",IF(BaseLoad!R141&gt;BaseLoad!$G141,L$8*$Z142,0))</f>
        <v>-</v>
      </c>
      <c r="M142" s="432" t="str">
        <f aca="false">IF($A$1="Peak","-",IF(BaseLoad!S141&gt;BaseLoad!$G141,M$8*$Z142,0))</f>
        <v>-</v>
      </c>
      <c r="N142" s="432" t="str">
        <f aca="false">IF($A$1="Peak","-",IF(BaseLoad!T141&gt;BaseLoad!$G141,N$8*$Z142,0))</f>
        <v>-</v>
      </c>
      <c r="O142" s="432" t="str">
        <f aca="false">IF($A$1="Peak","-",IF(BaseLoad!U141&gt;BaseLoad!$G141,O$8*$Z142,0))</f>
        <v>-</v>
      </c>
      <c r="P142" s="432" t="str">
        <f aca="false">IF($A$1="Peak","-",IF(BaseLoad!V141&gt;BaseLoad!$G141,P$8*$Z142,0))</f>
        <v>-</v>
      </c>
      <c r="Q142" s="432" t="str">
        <f aca="false">IF($A$1="Peak","-",IF(BaseLoad!W141&gt;BaseLoad!$G141,Q$8*$Z142,0))</f>
        <v>-</v>
      </c>
      <c r="R142" s="432" t="str">
        <f aca="false">IF($A$1="Peak","-",IF(BaseLoad!X141&gt;BaseLoad!$G141,R$8*$Z142,0))</f>
        <v>-</v>
      </c>
      <c r="S142" s="432" t="str">
        <f aca="false">IF($A$1="Peak","-",IF(BaseLoad!Y141&gt;BaseLoad!$G141,S$8*$Z142,0))</f>
        <v>-</v>
      </c>
      <c r="T142" s="432" t="str">
        <f aca="false">IF($A$1="Peak","-",IF(BaseLoad!Z141&gt;BaseLoad!$G141,T$8*$Z142,0))</f>
        <v>-</v>
      </c>
      <c r="U142" s="432" t="str">
        <f aca="false">IF($A$1="Peak","-",IF(BaseLoad!AA141&gt;BaseLoad!$G141,U$8*$Z142,0))</f>
        <v>-</v>
      </c>
      <c r="V142" s="432" t="n">
        <f aca="false">SUM(B142:U142)</f>
        <v>0</v>
      </c>
      <c r="W142" s="432"/>
      <c r="X142" s="432"/>
      <c r="Y142" s="432"/>
      <c r="Z142" s="432" t="n">
        <f aca="false">CHOOSE(QUOTIENT(MONTH($A142),3)+1,BaseLoad!$AM$9,BaseLoad!$AN$9,BaseLoad!$AL$9,BaseLoad!$AO$9,BaseLoad!$AM$9)</f>
        <v>0.924276618786118</v>
      </c>
      <c r="AA142" s="432" t="n">
        <f aca="false">CHOOSE(QUOTIENT(MONTH($A142),3)+1,BaseLoad!$AM$15,BaseLoad!$AN$15,BaseLoad!$AL$15,BaseLoad!$AO$15,BaseLoad!$AM$15)</f>
        <v>705</v>
      </c>
      <c r="AB142" s="431"/>
      <c r="AD142" s="431"/>
    </row>
    <row r="143" customFormat="false" ht="12.75" hidden="false" customHeight="false" outlineLevel="0" collapsed="false">
      <c r="A143" s="400" t="n">
        <f aca="false">A142+30.417</f>
        <v>40585.461</v>
      </c>
      <c r="B143" s="432" t="str">
        <f aca="false">IF($A$1="Peak","-",IF(BaseLoad!H142&gt;BaseLoad!$G142,B$8*$Z143,0))</f>
        <v>-</v>
      </c>
      <c r="C143" s="432" t="str">
        <f aca="false">IF($A$1="Peak","-",IF(BaseLoad!I142&gt;BaseLoad!$G142,C$8*$Z143,0))</f>
        <v>-</v>
      </c>
      <c r="D143" s="432" t="str">
        <f aca="false">IF($A$1="Peak","-",IF(BaseLoad!J142&gt;BaseLoad!$G142,D$8*$Z143,0))</f>
        <v>-</v>
      </c>
      <c r="E143" s="432" t="str">
        <f aca="false">IF($A$1="Peak","-",IF(BaseLoad!K142&gt;BaseLoad!$G142,E$8*$Z143,0))</f>
        <v>-</v>
      </c>
      <c r="F143" s="432" t="str">
        <f aca="false">IF($A$1="Peak","-",IF(BaseLoad!L142&gt;BaseLoad!$G142,F$8*$Z143,0))</f>
        <v>-</v>
      </c>
      <c r="G143" s="432" t="str">
        <f aca="false">IF($A$1="Peak","-",IF(BaseLoad!M142&gt;BaseLoad!$G142,G$8*$Z143,0))</f>
        <v>-</v>
      </c>
      <c r="H143" s="432" t="str">
        <f aca="false">IF($A$1="Peak","-",IF(BaseLoad!N142&gt;BaseLoad!$G142,H$8*$Z143,0))</f>
        <v>-</v>
      </c>
      <c r="I143" s="432" t="str">
        <f aca="false">IF($A$1="Peak","-",IF(BaseLoad!O142&gt;BaseLoad!$G142,I$8*$Z143,0))</f>
        <v>-</v>
      </c>
      <c r="J143" s="432" t="str">
        <f aca="false">IF($A$1="Peak","-",IF(BaseLoad!P142&gt;BaseLoad!$G142,J$8*$Z143,0))</f>
        <v>-</v>
      </c>
      <c r="K143" s="432" t="str">
        <f aca="false">IF($A$1="Peak","-",IF(BaseLoad!Q142&gt;BaseLoad!$G142,K$8*$Z143,0))</f>
        <v>-</v>
      </c>
      <c r="L143" s="432" t="str">
        <f aca="false">IF($A$1="Peak","-",IF(BaseLoad!R142&gt;BaseLoad!$G142,L$8*$Z143,0))</f>
        <v>-</v>
      </c>
      <c r="M143" s="432" t="str">
        <f aca="false">IF($A$1="Peak","-",IF(BaseLoad!S142&gt;BaseLoad!$G142,M$8*$Z143,0))</f>
        <v>-</v>
      </c>
      <c r="N143" s="432" t="str">
        <f aca="false">IF($A$1="Peak","-",IF(BaseLoad!T142&gt;BaseLoad!$G142,N$8*$Z143,0))</f>
        <v>-</v>
      </c>
      <c r="O143" s="432" t="str">
        <f aca="false">IF($A$1="Peak","-",IF(BaseLoad!U142&gt;BaseLoad!$G142,O$8*$Z143,0))</f>
        <v>-</v>
      </c>
      <c r="P143" s="432" t="str">
        <f aca="false">IF($A$1="Peak","-",IF(BaseLoad!V142&gt;BaseLoad!$G142,P$8*$Z143,0))</f>
        <v>-</v>
      </c>
      <c r="Q143" s="432" t="str">
        <f aca="false">IF($A$1="Peak","-",IF(BaseLoad!W142&gt;BaseLoad!$G142,Q$8*$Z143,0))</f>
        <v>-</v>
      </c>
      <c r="R143" s="432" t="str">
        <f aca="false">IF($A$1="Peak","-",IF(BaseLoad!X142&gt;BaseLoad!$G142,R$8*$Z143,0))</f>
        <v>-</v>
      </c>
      <c r="S143" s="432" t="str">
        <f aca="false">IF($A$1="Peak","-",IF(BaseLoad!Y142&gt;BaseLoad!$G142,S$8*$Z143,0))</f>
        <v>-</v>
      </c>
      <c r="T143" s="432" t="str">
        <f aca="false">IF($A$1="Peak","-",IF(BaseLoad!Z142&gt;BaseLoad!$G142,T$8*$Z143,0))</f>
        <v>-</v>
      </c>
      <c r="U143" s="432" t="str">
        <f aca="false">IF($A$1="Peak","-",IF(BaseLoad!AA142&gt;BaseLoad!$G142,U$8*$Z143,0))</f>
        <v>-</v>
      </c>
      <c r="V143" s="432" t="n">
        <f aca="false">SUM(B143:U143)</f>
        <v>0</v>
      </c>
      <c r="W143" s="432"/>
      <c r="X143" s="432"/>
      <c r="Y143" s="432"/>
      <c r="Z143" s="432" t="n">
        <f aca="false">CHOOSE(QUOTIENT(MONTH($A143),3)+1,BaseLoad!$AM$9,BaseLoad!$AN$9,BaseLoad!$AL$9,BaseLoad!$AO$9,BaseLoad!$AM$9)</f>
        <v>0.924276618786118</v>
      </c>
      <c r="AA143" s="432" t="n">
        <f aca="false">CHOOSE(QUOTIENT(MONTH($A143),3)+1,BaseLoad!$AM$15,BaseLoad!$AN$15,BaseLoad!$AL$15,BaseLoad!$AO$15,BaseLoad!$AM$15)</f>
        <v>705</v>
      </c>
      <c r="AB143" s="431"/>
      <c r="AD143" s="431"/>
    </row>
    <row r="144" customFormat="false" ht="12.75" hidden="false" customHeight="false" outlineLevel="0" collapsed="false">
      <c r="A144" s="400" t="n">
        <f aca="false">A143+30.417</f>
        <v>40615.878</v>
      </c>
      <c r="B144" s="432" t="str">
        <f aca="false">IF($A$1="Peak","-",IF(BaseLoad!H143&gt;BaseLoad!$G143,B$8*$Z144,0))</f>
        <v>-</v>
      </c>
      <c r="C144" s="432" t="str">
        <f aca="false">IF($A$1="Peak","-",IF(BaseLoad!I143&gt;BaseLoad!$G143,C$8*$Z144,0))</f>
        <v>-</v>
      </c>
      <c r="D144" s="432" t="str">
        <f aca="false">IF($A$1="Peak","-",IF(BaseLoad!J143&gt;BaseLoad!$G143,D$8*$Z144,0))</f>
        <v>-</v>
      </c>
      <c r="E144" s="432" t="str">
        <f aca="false">IF($A$1="Peak","-",IF(BaseLoad!K143&gt;BaseLoad!$G143,E$8*$Z144,0))</f>
        <v>-</v>
      </c>
      <c r="F144" s="432" t="str">
        <f aca="false">IF($A$1="Peak","-",IF(BaseLoad!L143&gt;BaseLoad!$G143,F$8*$Z144,0))</f>
        <v>-</v>
      </c>
      <c r="G144" s="432" t="str">
        <f aca="false">IF($A$1="Peak","-",IF(BaseLoad!M143&gt;BaseLoad!$G143,G$8*$Z144,0))</f>
        <v>-</v>
      </c>
      <c r="H144" s="432" t="str">
        <f aca="false">IF($A$1="Peak","-",IF(BaseLoad!N143&gt;BaseLoad!$G143,H$8*$Z144,0))</f>
        <v>-</v>
      </c>
      <c r="I144" s="432" t="str">
        <f aca="false">IF($A$1="Peak","-",IF(BaseLoad!O143&gt;BaseLoad!$G143,I$8*$Z144,0))</f>
        <v>-</v>
      </c>
      <c r="J144" s="432" t="str">
        <f aca="false">IF($A$1="Peak","-",IF(BaseLoad!P143&gt;BaseLoad!$G143,J$8*$Z144,0))</f>
        <v>-</v>
      </c>
      <c r="K144" s="432" t="str">
        <f aca="false">IF($A$1="Peak","-",IF(BaseLoad!Q143&gt;BaseLoad!$G143,K$8*$Z144,0))</f>
        <v>-</v>
      </c>
      <c r="L144" s="432" t="str">
        <f aca="false">IF($A$1="Peak","-",IF(BaseLoad!R143&gt;BaseLoad!$G143,L$8*$Z144,0))</f>
        <v>-</v>
      </c>
      <c r="M144" s="432" t="str">
        <f aca="false">IF($A$1="Peak","-",IF(BaseLoad!S143&gt;BaseLoad!$G143,M$8*$Z144,0))</f>
        <v>-</v>
      </c>
      <c r="N144" s="432" t="str">
        <f aca="false">IF($A$1="Peak","-",IF(BaseLoad!T143&gt;BaseLoad!$G143,N$8*$Z144,0))</f>
        <v>-</v>
      </c>
      <c r="O144" s="432" t="str">
        <f aca="false">IF($A$1="Peak","-",IF(BaseLoad!U143&gt;BaseLoad!$G143,O$8*$Z144,0))</f>
        <v>-</v>
      </c>
      <c r="P144" s="432" t="str">
        <f aca="false">IF($A$1="Peak","-",IF(BaseLoad!V143&gt;BaseLoad!$G143,P$8*$Z144,0))</f>
        <v>-</v>
      </c>
      <c r="Q144" s="432" t="str">
        <f aca="false">IF($A$1="Peak","-",IF(BaseLoad!W143&gt;BaseLoad!$G143,Q$8*$Z144,0))</f>
        <v>-</v>
      </c>
      <c r="R144" s="432" t="str">
        <f aca="false">IF($A$1="Peak","-",IF(BaseLoad!X143&gt;BaseLoad!$G143,R$8*$Z144,0))</f>
        <v>-</v>
      </c>
      <c r="S144" s="432" t="str">
        <f aca="false">IF($A$1="Peak","-",IF(BaseLoad!Y143&gt;BaseLoad!$G143,S$8*$Z144,0))</f>
        <v>-</v>
      </c>
      <c r="T144" s="432" t="str">
        <f aca="false">IF($A$1="Peak","-",IF(BaseLoad!Z143&gt;BaseLoad!$G143,T$8*$Z144,0))</f>
        <v>-</v>
      </c>
      <c r="U144" s="432" t="str">
        <f aca="false">IF($A$1="Peak","-",IF(BaseLoad!AA143&gt;BaseLoad!$G143,U$8*$Z144,0))</f>
        <v>-</v>
      </c>
      <c r="V144" s="432" t="n">
        <f aca="false">SUM(B144:U144)</f>
        <v>0</v>
      </c>
      <c r="W144" s="432"/>
      <c r="X144" s="432"/>
      <c r="Y144" s="432"/>
      <c r="Z144" s="432" t="n">
        <f aca="false">CHOOSE(QUOTIENT(MONTH($A144),3)+1,BaseLoad!$AM$9,BaseLoad!$AN$9,BaseLoad!$AL$9,BaseLoad!$AO$9,BaseLoad!$AM$9)</f>
        <v>0.95</v>
      </c>
      <c r="AA144" s="432" t="n">
        <f aca="false">CHOOSE(QUOTIENT(MONTH($A144),3)+1,BaseLoad!$AM$15,BaseLoad!$AN$15,BaseLoad!$AL$15,BaseLoad!$AO$15,BaseLoad!$AM$15)</f>
        <v>705</v>
      </c>
      <c r="AB144" s="431"/>
      <c r="AD144" s="431"/>
    </row>
    <row r="145" customFormat="false" ht="12.75" hidden="false" customHeight="false" outlineLevel="0" collapsed="false">
      <c r="A145" s="400" t="n">
        <f aca="false">A144+30.417</f>
        <v>40646.295</v>
      </c>
      <c r="B145" s="432" t="str">
        <f aca="false">IF($A$1="Peak","-",IF(BaseLoad!H144&gt;BaseLoad!$G144,B$8*$Z145,0))</f>
        <v>-</v>
      </c>
      <c r="C145" s="432" t="str">
        <f aca="false">IF($A$1="Peak","-",IF(BaseLoad!I144&gt;BaseLoad!$G144,C$8*$Z145,0))</f>
        <v>-</v>
      </c>
      <c r="D145" s="432" t="str">
        <f aca="false">IF($A$1="Peak","-",IF(BaseLoad!J144&gt;BaseLoad!$G144,D$8*$Z145,0))</f>
        <v>-</v>
      </c>
      <c r="E145" s="432" t="str">
        <f aca="false">IF($A$1="Peak","-",IF(BaseLoad!K144&gt;BaseLoad!$G144,E$8*$Z145,0))</f>
        <v>-</v>
      </c>
      <c r="F145" s="432" t="str">
        <f aca="false">IF($A$1="Peak","-",IF(BaseLoad!L144&gt;BaseLoad!$G144,F$8*$Z145,0))</f>
        <v>-</v>
      </c>
      <c r="G145" s="432" t="str">
        <f aca="false">IF($A$1="Peak","-",IF(BaseLoad!M144&gt;BaseLoad!$G144,G$8*$Z145,0))</f>
        <v>-</v>
      </c>
      <c r="H145" s="432" t="str">
        <f aca="false">IF($A$1="Peak","-",IF(BaseLoad!N144&gt;BaseLoad!$G144,H$8*$Z145,0))</f>
        <v>-</v>
      </c>
      <c r="I145" s="432" t="str">
        <f aca="false">IF($A$1="Peak","-",IF(BaseLoad!O144&gt;BaseLoad!$G144,I$8*$Z145,0))</f>
        <v>-</v>
      </c>
      <c r="J145" s="432" t="str">
        <f aca="false">IF($A$1="Peak","-",IF(BaseLoad!P144&gt;BaseLoad!$G144,J$8*$Z145,0))</f>
        <v>-</v>
      </c>
      <c r="K145" s="432" t="str">
        <f aca="false">IF($A$1="Peak","-",IF(BaseLoad!Q144&gt;BaseLoad!$G144,K$8*$Z145,0))</f>
        <v>-</v>
      </c>
      <c r="L145" s="432" t="str">
        <f aca="false">IF($A$1="Peak","-",IF(BaseLoad!R144&gt;BaseLoad!$G144,L$8*$Z145,0))</f>
        <v>-</v>
      </c>
      <c r="M145" s="432" t="str">
        <f aca="false">IF($A$1="Peak","-",IF(BaseLoad!S144&gt;BaseLoad!$G144,M$8*$Z145,0))</f>
        <v>-</v>
      </c>
      <c r="N145" s="432" t="str">
        <f aca="false">IF($A$1="Peak","-",IF(BaseLoad!T144&gt;BaseLoad!$G144,N$8*$Z145,0))</f>
        <v>-</v>
      </c>
      <c r="O145" s="432" t="str">
        <f aca="false">IF($A$1="Peak","-",IF(BaseLoad!U144&gt;BaseLoad!$G144,O$8*$Z145,0))</f>
        <v>-</v>
      </c>
      <c r="P145" s="432" t="str">
        <f aca="false">IF($A$1="Peak","-",IF(BaseLoad!V144&gt;BaseLoad!$G144,P$8*$Z145,0))</f>
        <v>-</v>
      </c>
      <c r="Q145" s="432" t="str">
        <f aca="false">IF($A$1="Peak","-",IF(BaseLoad!W144&gt;BaseLoad!$G144,Q$8*$Z145,0))</f>
        <v>-</v>
      </c>
      <c r="R145" s="432" t="str">
        <f aca="false">IF($A$1="Peak","-",IF(BaseLoad!X144&gt;BaseLoad!$G144,R$8*$Z145,0))</f>
        <v>-</v>
      </c>
      <c r="S145" s="432" t="str">
        <f aca="false">IF($A$1="Peak","-",IF(BaseLoad!Y144&gt;BaseLoad!$G144,S$8*$Z145,0))</f>
        <v>-</v>
      </c>
      <c r="T145" s="432" t="str">
        <f aca="false">IF($A$1="Peak","-",IF(BaseLoad!Z144&gt;BaseLoad!$G144,T$8*$Z145,0))</f>
        <v>-</v>
      </c>
      <c r="U145" s="432" t="str">
        <f aca="false">IF($A$1="Peak","-",IF(BaseLoad!AA144&gt;BaseLoad!$G144,U$8*$Z145,0))</f>
        <v>-</v>
      </c>
      <c r="V145" s="432" t="n">
        <f aca="false">SUM(B145:U145)</f>
        <v>0</v>
      </c>
      <c r="W145" s="432"/>
      <c r="X145" s="432"/>
      <c r="Y145" s="432"/>
      <c r="Z145" s="432" t="n">
        <f aca="false">CHOOSE(QUOTIENT(MONTH($A145),3)+1,BaseLoad!$AM$9,BaseLoad!$AN$9,BaseLoad!$AL$9,BaseLoad!$AO$9,BaseLoad!$AM$9)</f>
        <v>0.95</v>
      </c>
      <c r="AA145" s="432" t="n">
        <f aca="false">CHOOSE(QUOTIENT(MONTH($A145),3)+1,BaseLoad!$AM$15,BaseLoad!$AN$15,BaseLoad!$AL$15,BaseLoad!$AO$15,BaseLoad!$AM$15)</f>
        <v>705</v>
      </c>
      <c r="AB145" s="431"/>
      <c r="AD145" s="431"/>
    </row>
    <row r="146" customFormat="false" ht="12.75" hidden="false" customHeight="false" outlineLevel="0" collapsed="false">
      <c r="A146" s="400" t="n">
        <f aca="false">A145+30.417</f>
        <v>40676.712</v>
      </c>
      <c r="B146" s="432" t="str">
        <f aca="false">IF($A$1="Peak","-",IF(BaseLoad!H145&gt;BaseLoad!$G145,B$8*$Z146,0))</f>
        <v>-</v>
      </c>
      <c r="C146" s="432" t="str">
        <f aca="false">IF($A$1="Peak","-",IF(BaseLoad!I145&gt;BaseLoad!$G145,C$8*$Z146,0))</f>
        <v>-</v>
      </c>
      <c r="D146" s="432" t="str">
        <f aca="false">IF($A$1="Peak","-",IF(BaseLoad!J145&gt;BaseLoad!$G145,D$8*$Z146,0))</f>
        <v>-</v>
      </c>
      <c r="E146" s="432" t="str">
        <f aca="false">IF($A$1="Peak","-",IF(BaseLoad!K145&gt;BaseLoad!$G145,E$8*$Z146,0))</f>
        <v>-</v>
      </c>
      <c r="F146" s="432" t="str">
        <f aca="false">IF($A$1="Peak","-",IF(BaseLoad!L145&gt;BaseLoad!$G145,F$8*$Z146,0))</f>
        <v>-</v>
      </c>
      <c r="G146" s="432" t="str">
        <f aca="false">IF($A$1="Peak","-",IF(BaseLoad!M145&gt;BaseLoad!$G145,G$8*$Z146,0))</f>
        <v>-</v>
      </c>
      <c r="H146" s="432" t="str">
        <f aca="false">IF($A$1="Peak","-",IF(BaseLoad!N145&gt;BaseLoad!$G145,H$8*$Z146,0))</f>
        <v>-</v>
      </c>
      <c r="I146" s="432" t="str">
        <f aca="false">IF($A$1="Peak","-",IF(BaseLoad!O145&gt;BaseLoad!$G145,I$8*$Z146,0))</f>
        <v>-</v>
      </c>
      <c r="J146" s="432" t="str">
        <f aca="false">IF($A$1="Peak","-",IF(BaseLoad!P145&gt;BaseLoad!$G145,J$8*$Z146,0))</f>
        <v>-</v>
      </c>
      <c r="K146" s="432" t="str">
        <f aca="false">IF($A$1="Peak","-",IF(BaseLoad!Q145&gt;BaseLoad!$G145,K$8*$Z146,0))</f>
        <v>-</v>
      </c>
      <c r="L146" s="432" t="str">
        <f aca="false">IF($A$1="Peak","-",IF(BaseLoad!R145&gt;BaseLoad!$G145,L$8*$Z146,0))</f>
        <v>-</v>
      </c>
      <c r="M146" s="432" t="str">
        <f aca="false">IF($A$1="Peak","-",IF(BaseLoad!S145&gt;BaseLoad!$G145,M$8*$Z146,0))</f>
        <v>-</v>
      </c>
      <c r="N146" s="432" t="str">
        <f aca="false">IF($A$1="Peak","-",IF(BaseLoad!T145&gt;BaseLoad!$G145,N$8*$Z146,0))</f>
        <v>-</v>
      </c>
      <c r="O146" s="432" t="str">
        <f aca="false">IF($A$1="Peak","-",IF(BaseLoad!U145&gt;BaseLoad!$G145,O$8*$Z146,0))</f>
        <v>-</v>
      </c>
      <c r="P146" s="432" t="str">
        <f aca="false">IF($A$1="Peak","-",IF(BaseLoad!V145&gt;BaseLoad!$G145,P$8*$Z146,0))</f>
        <v>-</v>
      </c>
      <c r="Q146" s="432" t="str">
        <f aca="false">IF($A$1="Peak","-",IF(BaseLoad!W145&gt;BaseLoad!$G145,Q$8*$Z146,0))</f>
        <v>-</v>
      </c>
      <c r="R146" s="432" t="str">
        <f aca="false">IF($A$1="Peak","-",IF(BaseLoad!X145&gt;BaseLoad!$G145,R$8*$Z146,0))</f>
        <v>-</v>
      </c>
      <c r="S146" s="432" t="str">
        <f aca="false">IF($A$1="Peak","-",IF(BaseLoad!Y145&gt;BaseLoad!$G145,S$8*$Z146,0))</f>
        <v>-</v>
      </c>
      <c r="T146" s="432" t="str">
        <f aca="false">IF($A$1="Peak","-",IF(BaseLoad!Z145&gt;BaseLoad!$G145,T$8*$Z146,0))</f>
        <v>-</v>
      </c>
      <c r="U146" s="432" t="str">
        <f aca="false">IF($A$1="Peak","-",IF(BaseLoad!AA145&gt;BaseLoad!$G145,U$8*$Z146,0))</f>
        <v>-</v>
      </c>
      <c r="V146" s="432" t="n">
        <f aca="false">SUM(B146:U146)</f>
        <v>0</v>
      </c>
      <c r="W146" s="432"/>
      <c r="X146" s="432"/>
      <c r="Y146" s="432"/>
      <c r="Z146" s="432" t="n">
        <f aca="false">CHOOSE(QUOTIENT(MONTH($A146),3)+1,BaseLoad!$AM$9,BaseLoad!$AN$9,BaseLoad!$AL$9,BaseLoad!$AO$9,BaseLoad!$AM$9)</f>
        <v>0.95</v>
      </c>
      <c r="AA146" s="432" t="n">
        <f aca="false">CHOOSE(QUOTIENT(MONTH($A146),3)+1,BaseLoad!$AM$15,BaseLoad!$AN$15,BaseLoad!$AL$15,BaseLoad!$AO$15,BaseLoad!$AM$15)</f>
        <v>705</v>
      </c>
      <c r="AB146" s="431"/>
      <c r="AD146" s="431"/>
    </row>
    <row r="147" customFormat="false" ht="12.75" hidden="false" customHeight="false" outlineLevel="0" collapsed="false">
      <c r="A147" s="400" t="n">
        <f aca="false">A146+30.417</f>
        <v>40707.129</v>
      </c>
      <c r="B147" s="432" t="str">
        <f aca="false">IF($A$1="Peak","-",IF(BaseLoad!H146&gt;BaseLoad!$G146,B$8*$Z147,0))</f>
        <v>-</v>
      </c>
      <c r="C147" s="432" t="str">
        <f aca="false">IF($A$1="Peak","-",IF(BaseLoad!I146&gt;BaseLoad!$G146,C$8*$Z147,0))</f>
        <v>-</v>
      </c>
      <c r="D147" s="432" t="str">
        <f aca="false">IF($A$1="Peak","-",IF(BaseLoad!J146&gt;BaseLoad!$G146,D$8*$Z147,0))</f>
        <v>-</v>
      </c>
      <c r="E147" s="432" t="str">
        <f aca="false">IF($A$1="Peak","-",IF(BaseLoad!K146&gt;BaseLoad!$G146,E$8*$Z147,0))</f>
        <v>-</v>
      </c>
      <c r="F147" s="432" t="str">
        <f aca="false">IF($A$1="Peak","-",IF(BaseLoad!L146&gt;BaseLoad!$G146,F$8*$Z147,0))</f>
        <v>-</v>
      </c>
      <c r="G147" s="432" t="str">
        <f aca="false">IF($A$1="Peak","-",IF(BaseLoad!M146&gt;BaseLoad!$G146,G$8*$Z147,0))</f>
        <v>-</v>
      </c>
      <c r="H147" s="432" t="str">
        <f aca="false">IF($A$1="Peak","-",IF(BaseLoad!N146&gt;BaseLoad!$G146,H$8*$Z147,0))</f>
        <v>-</v>
      </c>
      <c r="I147" s="432" t="str">
        <f aca="false">IF($A$1="Peak","-",IF(BaseLoad!O146&gt;BaseLoad!$G146,I$8*$Z147,0))</f>
        <v>-</v>
      </c>
      <c r="J147" s="432" t="str">
        <f aca="false">IF($A$1="Peak","-",IF(BaseLoad!P146&gt;BaseLoad!$G146,J$8*$Z147,0))</f>
        <v>-</v>
      </c>
      <c r="K147" s="432" t="str">
        <f aca="false">IF($A$1="Peak","-",IF(BaseLoad!Q146&gt;BaseLoad!$G146,K$8*$Z147,0))</f>
        <v>-</v>
      </c>
      <c r="L147" s="432" t="str">
        <f aca="false">IF($A$1="Peak","-",IF(BaseLoad!R146&gt;BaseLoad!$G146,L$8*$Z147,0))</f>
        <v>-</v>
      </c>
      <c r="M147" s="432" t="str">
        <f aca="false">IF($A$1="Peak","-",IF(BaseLoad!S146&gt;BaseLoad!$G146,M$8*$Z147,0))</f>
        <v>-</v>
      </c>
      <c r="N147" s="432" t="str">
        <f aca="false">IF($A$1="Peak","-",IF(BaseLoad!T146&gt;BaseLoad!$G146,N$8*$Z147,0))</f>
        <v>-</v>
      </c>
      <c r="O147" s="432" t="str">
        <f aca="false">IF($A$1="Peak","-",IF(BaseLoad!U146&gt;BaseLoad!$G146,O$8*$Z147,0))</f>
        <v>-</v>
      </c>
      <c r="P147" s="432" t="str">
        <f aca="false">IF($A$1="Peak","-",IF(BaseLoad!V146&gt;BaseLoad!$G146,P$8*$Z147,0))</f>
        <v>-</v>
      </c>
      <c r="Q147" s="432" t="str">
        <f aca="false">IF($A$1="Peak","-",IF(BaseLoad!W146&gt;BaseLoad!$G146,Q$8*$Z147,0))</f>
        <v>-</v>
      </c>
      <c r="R147" s="432" t="str">
        <f aca="false">IF($A$1="Peak","-",IF(BaseLoad!X146&gt;BaseLoad!$G146,R$8*$Z147,0))</f>
        <v>-</v>
      </c>
      <c r="S147" s="432" t="str">
        <f aca="false">IF($A$1="Peak","-",IF(BaseLoad!Y146&gt;BaseLoad!$G146,S$8*$Z147,0))</f>
        <v>-</v>
      </c>
      <c r="T147" s="432" t="str">
        <f aca="false">IF($A$1="Peak","-",IF(BaseLoad!Z146&gt;BaseLoad!$G146,T$8*$Z147,0))</f>
        <v>-</v>
      </c>
      <c r="U147" s="432" t="str">
        <f aca="false">IF($A$1="Peak","-",IF(BaseLoad!AA146&gt;BaseLoad!$G146,U$8*$Z147,0))</f>
        <v>-</v>
      </c>
      <c r="V147" s="432" t="n">
        <f aca="false">SUM(B147:U147)</f>
        <v>0</v>
      </c>
      <c r="W147" s="432"/>
      <c r="X147" s="432"/>
      <c r="Y147" s="432"/>
      <c r="Z147" s="432" t="n">
        <f aca="false">CHOOSE(QUOTIENT(MONTH($A147),3)+1,BaseLoad!$AM$9,BaseLoad!$AN$9,BaseLoad!$AL$9,BaseLoad!$AO$9,BaseLoad!$AM$9)</f>
        <v>0.966121359095586</v>
      </c>
      <c r="AA147" s="432" t="n">
        <f aca="false">CHOOSE(QUOTIENT(MONTH($A147),3)+1,BaseLoad!$AM$15,BaseLoad!$AN$15,BaseLoad!$AL$15,BaseLoad!$AO$15,BaseLoad!$AM$15)</f>
        <v>705</v>
      </c>
      <c r="AB147" s="431"/>
      <c r="AD147" s="431"/>
    </row>
    <row r="148" customFormat="false" ht="12.75" hidden="false" customHeight="false" outlineLevel="0" collapsed="false">
      <c r="A148" s="400" t="n">
        <f aca="false">A147+30.417</f>
        <v>40737.546</v>
      </c>
      <c r="B148" s="432" t="str">
        <f aca="false">IF($A$1="Peak","-",IF(BaseLoad!H147&gt;BaseLoad!$G147,B$8*$Z148,0))</f>
        <v>-</v>
      </c>
      <c r="C148" s="432" t="str">
        <f aca="false">IF($A$1="Peak","-",IF(BaseLoad!I147&gt;BaseLoad!$G147,C$8*$Z148,0))</f>
        <v>-</v>
      </c>
      <c r="D148" s="432" t="str">
        <f aca="false">IF($A$1="Peak","-",IF(BaseLoad!J147&gt;BaseLoad!$G147,D$8*$Z148,0))</f>
        <v>-</v>
      </c>
      <c r="E148" s="432" t="str">
        <f aca="false">IF($A$1="Peak","-",IF(BaseLoad!K147&gt;BaseLoad!$G147,E$8*$Z148,0))</f>
        <v>-</v>
      </c>
      <c r="F148" s="432" t="str">
        <f aca="false">IF($A$1="Peak","-",IF(BaseLoad!L147&gt;BaseLoad!$G147,F$8*$Z148,0))</f>
        <v>-</v>
      </c>
      <c r="G148" s="432" t="str">
        <f aca="false">IF($A$1="Peak","-",IF(BaseLoad!M147&gt;BaseLoad!$G147,G$8*$Z148,0))</f>
        <v>-</v>
      </c>
      <c r="H148" s="432" t="str">
        <f aca="false">IF($A$1="Peak","-",IF(BaseLoad!N147&gt;BaseLoad!$G147,H$8*$Z148,0))</f>
        <v>-</v>
      </c>
      <c r="I148" s="432" t="str">
        <f aca="false">IF($A$1="Peak","-",IF(BaseLoad!O147&gt;BaseLoad!$G147,I$8*$Z148,0))</f>
        <v>-</v>
      </c>
      <c r="J148" s="432" t="str">
        <f aca="false">IF($A$1="Peak","-",IF(BaseLoad!P147&gt;BaseLoad!$G147,J$8*$Z148,0))</f>
        <v>-</v>
      </c>
      <c r="K148" s="432" t="str">
        <f aca="false">IF($A$1="Peak","-",IF(BaseLoad!Q147&gt;BaseLoad!$G147,K$8*$Z148,0))</f>
        <v>-</v>
      </c>
      <c r="L148" s="432" t="str">
        <f aca="false">IF($A$1="Peak","-",IF(BaseLoad!R147&gt;BaseLoad!$G147,L$8*$Z148,0))</f>
        <v>-</v>
      </c>
      <c r="M148" s="432" t="str">
        <f aca="false">IF($A$1="Peak","-",IF(BaseLoad!S147&gt;BaseLoad!$G147,M$8*$Z148,0))</f>
        <v>-</v>
      </c>
      <c r="N148" s="432" t="str">
        <f aca="false">IF($A$1="Peak","-",IF(BaseLoad!T147&gt;BaseLoad!$G147,N$8*$Z148,0))</f>
        <v>-</v>
      </c>
      <c r="O148" s="432" t="str">
        <f aca="false">IF($A$1="Peak","-",IF(BaseLoad!U147&gt;BaseLoad!$G147,O$8*$Z148,0))</f>
        <v>-</v>
      </c>
      <c r="P148" s="432" t="str">
        <f aca="false">IF($A$1="Peak","-",IF(BaseLoad!V147&gt;BaseLoad!$G147,P$8*$Z148,0))</f>
        <v>-</v>
      </c>
      <c r="Q148" s="432" t="str">
        <f aca="false">IF($A$1="Peak","-",IF(BaseLoad!W147&gt;BaseLoad!$G147,Q$8*$Z148,0))</f>
        <v>-</v>
      </c>
      <c r="R148" s="432" t="str">
        <f aca="false">IF($A$1="Peak","-",IF(BaseLoad!X147&gt;BaseLoad!$G147,R$8*$Z148,0))</f>
        <v>-</v>
      </c>
      <c r="S148" s="432" t="str">
        <f aca="false">IF($A$1="Peak","-",IF(BaseLoad!Y147&gt;BaseLoad!$G147,S$8*$Z148,0))</f>
        <v>-</v>
      </c>
      <c r="T148" s="432" t="str">
        <f aca="false">IF($A$1="Peak","-",IF(BaseLoad!Z147&gt;BaseLoad!$G147,T$8*$Z148,0))</f>
        <v>-</v>
      </c>
      <c r="U148" s="432" t="str">
        <f aca="false">IF($A$1="Peak","-",IF(BaseLoad!AA147&gt;BaseLoad!$G147,U$8*$Z148,0))</f>
        <v>-</v>
      </c>
      <c r="V148" s="432" t="n">
        <f aca="false">SUM(B148:U148)</f>
        <v>0</v>
      </c>
      <c r="W148" s="432"/>
      <c r="X148" s="432"/>
      <c r="Y148" s="432"/>
      <c r="Z148" s="432" t="n">
        <f aca="false">CHOOSE(QUOTIENT(MONTH($A148),3)+1,BaseLoad!$AM$9,BaseLoad!$AN$9,BaseLoad!$AL$9,BaseLoad!$AO$9,BaseLoad!$AM$9)</f>
        <v>0.966121359095586</v>
      </c>
      <c r="AA148" s="432" t="n">
        <f aca="false">CHOOSE(QUOTIENT(MONTH($A148),3)+1,BaseLoad!$AM$15,BaseLoad!$AN$15,BaseLoad!$AL$15,BaseLoad!$AO$15,BaseLoad!$AM$15)</f>
        <v>705</v>
      </c>
      <c r="AB148" s="431"/>
      <c r="AD148" s="431"/>
    </row>
    <row r="149" customFormat="false" ht="12.75" hidden="false" customHeight="false" outlineLevel="0" collapsed="false">
      <c r="A149" s="400" t="n">
        <f aca="false">A148+30.417</f>
        <v>40767.963</v>
      </c>
      <c r="B149" s="432" t="str">
        <f aca="false">IF($A$1="Peak","-",IF(BaseLoad!H148&gt;BaseLoad!$G148,B$8*$Z149,0))</f>
        <v>-</v>
      </c>
      <c r="C149" s="432" t="str">
        <f aca="false">IF($A$1="Peak","-",IF(BaseLoad!I148&gt;BaseLoad!$G148,C$8*$Z149,0))</f>
        <v>-</v>
      </c>
      <c r="D149" s="432" t="str">
        <f aca="false">IF($A$1="Peak","-",IF(BaseLoad!J148&gt;BaseLoad!$G148,D$8*$Z149,0))</f>
        <v>-</v>
      </c>
      <c r="E149" s="432" t="str">
        <f aca="false">IF($A$1="Peak","-",IF(BaseLoad!K148&gt;BaseLoad!$G148,E$8*$Z149,0))</f>
        <v>-</v>
      </c>
      <c r="F149" s="432" t="str">
        <f aca="false">IF($A$1="Peak","-",IF(BaseLoad!L148&gt;BaseLoad!$G148,F$8*$Z149,0))</f>
        <v>-</v>
      </c>
      <c r="G149" s="432" t="str">
        <f aca="false">IF($A$1="Peak","-",IF(BaseLoad!M148&gt;BaseLoad!$G148,G$8*$Z149,0))</f>
        <v>-</v>
      </c>
      <c r="H149" s="432" t="str">
        <f aca="false">IF($A$1="Peak","-",IF(BaseLoad!N148&gt;BaseLoad!$G148,H$8*$Z149,0))</f>
        <v>-</v>
      </c>
      <c r="I149" s="432" t="str">
        <f aca="false">IF($A$1="Peak","-",IF(BaseLoad!O148&gt;BaseLoad!$G148,I$8*$Z149,0))</f>
        <v>-</v>
      </c>
      <c r="J149" s="432" t="str">
        <f aca="false">IF($A$1="Peak","-",IF(BaseLoad!P148&gt;BaseLoad!$G148,J$8*$Z149,0))</f>
        <v>-</v>
      </c>
      <c r="K149" s="432" t="str">
        <f aca="false">IF($A$1="Peak","-",IF(BaseLoad!Q148&gt;BaseLoad!$G148,K$8*$Z149,0))</f>
        <v>-</v>
      </c>
      <c r="L149" s="432" t="str">
        <f aca="false">IF($A$1="Peak","-",IF(BaseLoad!R148&gt;BaseLoad!$G148,L$8*$Z149,0))</f>
        <v>-</v>
      </c>
      <c r="M149" s="432" t="str">
        <f aca="false">IF($A$1="Peak","-",IF(BaseLoad!S148&gt;BaseLoad!$G148,M$8*$Z149,0))</f>
        <v>-</v>
      </c>
      <c r="N149" s="432" t="str">
        <f aca="false">IF($A$1="Peak","-",IF(BaseLoad!T148&gt;BaseLoad!$G148,N$8*$Z149,0))</f>
        <v>-</v>
      </c>
      <c r="O149" s="432" t="str">
        <f aca="false">IF($A$1="Peak","-",IF(BaseLoad!U148&gt;BaseLoad!$G148,O$8*$Z149,0))</f>
        <v>-</v>
      </c>
      <c r="P149" s="432" t="str">
        <f aca="false">IF($A$1="Peak","-",IF(BaseLoad!V148&gt;BaseLoad!$G148,P$8*$Z149,0))</f>
        <v>-</v>
      </c>
      <c r="Q149" s="432" t="str">
        <f aca="false">IF($A$1="Peak","-",IF(BaseLoad!W148&gt;BaseLoad!$G148,Q$8*$Z149,0))</f>
        <v>-</v>
      </c>
      <c r="R149" s="432" t="str">
        <f aca="false">IF($A$1="Peak","-",IF(BaseLoad!X148&gt;BaseLoad!$G148,R$8*$Z149,0))</f>
        <v>-</v>
      </c>
      <c r="S149" s="432" t="str">
        <f aca="false">IF($A$1="Peak","-",IF(BaseLoad!Y148&gt;BaseLoad!$G148,S$8*$Z149,0))</f>
        <v>-</v>
      </c>
      <c r="T149" s="432" t="str">
        <f aca="false">IF($A$1="Peak","-",IF(BaseLoad!Z148&gt;BaseLoad!$G148,T$8*$Z149,0))</f>
        <v>-</v>
      </c>
      <c r="U149" s="432" t="str">
        <f aca="false">IF($A$1="Peak","-",IF(BaseLoad!AA148&gt;BaseLoad!$G148,U$8*$Z149,0))</f>
        <v>-</v>
      </c>
      <c r="V149" s="432" t="n">
        <f aca="false">SUM(B149:U149)</f>
        <v>0</v>
      </c>
      <c r="W149" s="432"/>
      <c r="X149" s="432"/>
      <c r="Y149" s="432"/>
      <c r="Z149" s="432" t="n">
        <f aca="false">CHOOSE(QUOTIENT(MONTH($A149),3)+1,BaseLoad!$AM$9,BaseLoad!$AN$9,BaseLoad!$AL$9,BaseLoad!$AO$9,BaseLoad!$AM$9)</f>
        <v>0.966121359095586</v>
      </c>
      <c r="AA149" s="432" t="n">
        <f aca="false">CHOOSE(QUOTIENT(MONTH($A149),3)+1,BaseLoad!$AM$15,BaseLoad!$AN$15,BaseLoad!$AL$15,BaseLoad!$AO$15,BaseLoad!$AM$15)</f>
        <v>705</v>
      </c>
      <c r="AB149" s="431"/>
      <c r="AD149" s="431"/>
    </row>
    <row r="150" customFormat="false" ht="12.75" hidden="false" customHeight="false" outlineLevel="0" collapsed="false">
      <c r="A150" s="400" t="n">
        <f aca="false">A149+30.417</f>
        <v>40798.38</v>
      </c>
      <c r="B150" s="432" t="str">
        <f aca="false">IF($A$1="Peak","-",IF(BaseLoad!H149&gt;BaseLoad!$G149,B$8*$Z150,0))</f>
        <v>-</v>
      </c>
      <c r="C150" s="432" t="str">
        <f aca="false">IF($A$1="Peak","-",IF(BaseLoad!I149&gt;BaseLoad!$G149,C$8*$Z150,0))</f>
        <v>-</v>
      </c>
      <c r="D150" s="432" t="str">
        <f aca="false">IF($A$1="Peak","-",IF(BaseLoad!J149&gt;BaseLoad!$G149,D$8*$Z150,0))</f>
        <v>-</v>
      </c>
      <c r="E150" s="432" t="str">
        <f aca="false">IF($A$1="Peak","-",IF(BaseLoad!K149&gt;BaseLoad!$G149,E$8*$Z150,0))</f>
        <v>-</v>
      </c>
      <c r="F150" s="432" t="str">
        <f aca="false">IF($A$1="Peak","-",IF(BaseLoad!L149&gt;BaseLoad!$G149,F$8*$Z150,0))</f>
        <v>-</v>
      </c>
      <c r="G150" s="432" t="str">
        <f aca="false">IF($A$1="Peak","-",IF(BaseLoad!M149&gt;BaseLoad!$G149,G$8*$Z150,0))</f>
        <v>-</v>
      </c>
      <c r="H150" s="432" t="str">
        <f aca="false">IF($A$1="Peak","-",IF(BaseLoad!N149&gt;BaseLoad!$G149,H$8*$Z150,0))</f>
        <v>-</v>
      </c>
      <c r="I150" s="432" t="str">
        <f aca="false">IF($A$1="Peak","-",IF(BaseLoad!O149&gt;BaseLoad!$G149,I$8*$Z150,0))</f>
        <v>-</v>
      </c>
      <c r="J150" s="432" t="str">
        <f aca="false">IF($A$1="Peak","-",IF(BaseLoad!P149&gt;BaseLoad!$G149,J$8*$Z150,0))</f>
        <v>-</v>
      </c>
      <c r="K150" s="432" t="str">
        <f aca="false">IF($A$1="Peak","-",IF(BaseLoad!Q149&gt;BaseLoad!$G149,K$8*$Z150,0))</f>
        <v>-</v>
      </c>
      <c r="L150" s="432" t="str">
        <f aca="false">IF($A$1="Peak","-",IF(BaseLoad!R149&gt;BaseLoad!$G149,L$8*$Z150,0))</f>
        <v>-</v>
      </c>
      <c r="M150" s="432" t="str">
        <f aca="false">IF($A$1="Peak","-",IF(BaseLoad!S149&gt;BaseLoad!$G149,M$8*$Z150,0))</f>
        <v>-</v>
      </c>
      <c r="N150" s="432" t="str">
        <f aca="false">IF($A$1="Peak","-",IF(BaseLoad!T149&gt;BaseLoad!$G149,N$8*$Z150,0))</f>
        <v>-</v>
      </c>
      <c r="O150" s="432" t="str">
        <f aca="false">IF($A$1="Peak","-",IF(BaseLoad!U149&gt;BaseLoad!$G149,O$8*$Z150,0))</f>
        <v>-</v>
      </c>
      <c r="P150" s="432" t="str">
        <f aca="false">IF($A$1="Peak","-",IF(BaseLoad!V149&gt;BaseLoad!$G149,P$8*$Z150,0))</f>
        <v>-</v>
      </c>
      <c r="Q150" s="432" t="str">
        <f aca="false">IF($A$1="Peak","-",IF(BaseLoad!W149&gt;BaseLoad!$G149,Q$8*$Z150,0))</f>
        <v>-</v>
      </c>
      <c r="R150" s="432" t="str">
        <f aca="false">IF($A$1="Peak","-",IF(BaseLoad!X149&gt;BaseLoad!$G149,R$8*$Z150,0))</f>
        <v>-</v>
      </c>
      <c r="S150" s="432" t="str">
        <f aca="false">IF($A$1="Peak","-",IF(BaseLoad!Y149&gt;BaseLoad!$G149,S$8*$Z150,0))</f>
        <v>-</v>
      </c>
      <c r="T150" s="432" t="str">
        <f aca="false">IF($A$1="Peak","-",IF(BaseLoad!Z149&gt;BaseLoad!$G149,T$8*$Z150,0))</f>
        <v>-</v>
      </c>
      <c r="U150" s="432" t="str">
        <f aca="false">IF($A$1="Peak","-",IF(BaseLoad!AA149&gt;BaseLoad!$G149,U$8*$Z150,0))</f>
        <v>-</v>
      </c>
      <c r="V150" s="432" t="n">
        <f aca="false">SUM(B150:U150)</f>
        <v>0</v>
      </c>
      <c r="W150" s="432"/>
      <c r="X150" s="432"/>
      <c r="Y150" s="432"/>
      <c r="Z150" s="432" t="n">
        <f aca="false">CHOOSE(QUOTIENT(MONTH($A150),3)+1,BaseLoad!$AM$9,BaseLoad!$AN$9,BaseLoad!$AL$9,BaseLoad!$AO$9,BaseLoad!$AM$9)</f>
        <v>0.95</v>
      </c>
      <c r="AA150" s="432" t="n">
        <f aca="false">CHOOSE(QUOTIENT(MONTH($A150),3)+1,BaseLoad!$AM$15,BaseLoad!$AN$15,BaseLoad!$AL$15,BaseLoad!$AO$15,BaseLoad!$AM$15)</f>
        <v>705</v>
      </c>
      <c r="AB150" s="431"/>
      <c r="AD150" s="431"/>
    </row>
    <row r="151" customFormat="false" ht="12.75" hidden="false" customHeight="false" outlineLevel="0" collapsed="false">
      <c r="A151" s="400" t="n">
        <f aca="false">A150+30.417</f>
        <v>40828.797</v>
      </c>
      <c r="B151" s="432" t="str">
        <f aca="false">IF($A$1="Peak","-",IF(BaseLoad!H150&gt;BaseLoad!$G150,B$8*$Z151,0))</f>
        <v>-</v>
      </c>
      <c r="C151" s="432" t="str">
        <f aca="false">IF($A$1="Peak","-",IF(BaseLoad!I150&gt;BaseLoad!$G150,C$8*$Z151,0))</f>
        <v>-</v>
      </c>
      <c r="D151" s="432" t="str">
        <f aca="false">IF($A$1="Peak","-",IF(BaseLoad!J150&gt;BaseLoad!$G150,D$8*$Z151,0))</f>
        <v>-</v>
      </c>
      <c r="E151" s="432" t="str">
        <f aca="false">IF($A$1="Peak","-",IF(BaseLoad!K150&gt;BaseLoad!$G150,E$8*$Z151,0))</f>
        <v>-</v>
      </c>
      <c r="F151" s="432" t="str">
        <f aca="false">IF($A$1="Peak","-",IF(BaseLoad!L150&gt;BaseLoad!$G150,F$8*$Z151,0))</f>
        <v>-</v>
      </c>
      <c r="G151" s="432" t="str">
        <f aca="false">IF($A$1="Peak","-",IF(BaseLoad!M150&gt;BaseLoad!$G150,G$8*$Z151,0))</f>
        <v>-</v>
      </c>
      <c r="H151" s="432" t="str">
        <f aca="false">IF($A$1="Peak","-",IF(BaseLoad!N150&gt;BaseLoad!$G150,H$8*$Z151,0))</f>
        <v>-</v>
      </c>
      <c r="I151" s="432" t="str">
        <f aca="false">IF($A$1="Peak","-",IF(BaseLoad!O150&gt;BaseLoad!$G150,I$8*$Z151,0))</f>
        <v>-</v>
      </c>
      <c r="J151" s="432" t="str">
        <f aca="false">IF($A$1="Peak","-",IF(BaseLoad!P150&gt;BaseLoad!$G150,J$8*$Z151,0))</f>
        <v>-</v>
      </c>
      <c r="K151" s="432" t="str">
        <f aca="false">IF($A$1="Peak","-",IF(BaseLoad!Q150&gt;BaseLoad!$G150,K$8*$Z151,0))</f>
        <v>-</v>
      </c>
      <c r="L151" s="432" t="str">
        <f aca="false">IF($A$1="Peak","-",IF(BaseLoad!R150&gt;BaseLoad!$G150,L$8*$Z151,0))</f>
        <v>-</v>
      </c>
      <c r="M151" s="432" t="str">
        <f aca="false">IF($A$1="Peak","-",IF(BaseLoad!S150&gt;BaseLoad!$G150,M$8*$Z151,0))</f>
        <v>-</v>
      </c>
      <c r="N151" s="432" t="str">
        <f aca="false">IF($A$1="Peak","-",IF(BaseLoad!T150&gt;BaseLoad!$G150,N$8*$Z151,0))</f>
        <v>-</v>
      </c>
      <c r="O151" s="432" t="str">
        <f aca="false">IF($A$1="Peak","-",IF(BaseLoad!U150&gt;BaseLoad!$G150,O$8*$Z151,0))</f>
        <v>-</v>
      </c>
      <c r="P151" s="432" t="str">
        <f aca="false">IF($A$1="Peak","-",IF(BaseLoad!V150&gt;BaseLoad!$G150,P$8*$Z151,0))</f>
        <v>-</v>
      </c>
      <c r="Q151" s="432" t="str">
        <f aca="false">IF($A$1="Peak","-",IF(BaseLoad!W150&gt;BaseLoad!$G150,Q$8*$Z151,0))</f>
        <v>-</v>
      </c>
      <c r="R151" s="432" t="str">
        <f aca="false">IF($A$1="Peak","-",IF(BaseLoad!X150&gt;BaseLoad!$G150,R$8*$Z151,0))</f>
        <v>-</v>
      </c>
      <c r="S151" s="432" t="str">
        <f aca="false">IF($A$1="Peak","-",IF(BaseLoad!Y150&gt;BaseLoad!$G150,S$8*$Z151,0))</f>
        <v>-</v>
      </c>
      <c r="T151" s="432" t="str">
        <f aca="false">IF($A$1="Peak","-",IF(BaseLoad!Z150&gt;BaseLoad!$G150,T$8*$Z151,0))</f>
        <v>-</v>
      </c>
      <c r="U151" s="432" t="str">
        <f aca="false">IF($A$1="Peak","-",IF(BaseLoad!AA150&gt;BaseLoad!$G150,U$8*$Z151,0))</f>
        <v>-</v>
      </c>
      <c r="V151" s="432" t="n">
        <f aca="false">SUM(B151:U151)</f>
        <v>0</v>
      </c>
      <c r="W151" s="432"/>
      <c r="X151" s="432"/>
      <c r="Y151" s="432"/>
      <c r="Z151" s="432" t="n">
        <f aca="false">CHOOSE(QUOTIENT(MONTH($A151),3)+1,BaseLoad!$AM$9,BaseLoad!$AN$9,BaseLoad!$AL$9,BaseLoad!$AO$9,BaseLoad!$AM$9)</f>
        <v>0.95</v>
      </c>
      <c r="AA151" s="432" t="n">
        <f aca="false">CHOOSE(QUOTIENT(MONTH($A151),3)+1,BaseLoad!$AM$15,BaseLoad!$AN$15,BaseLoad!$AL$15,BaseLoad!$AO$15,BaseLoad!$AM$15)</f>
        <v>705</v>
      </c>
      <c r="AB151" s="431"/>
      <c r="AD151" s="431"/>
    </row>
    <row r="152" customFormat="false" ht="12.75" hidden="false" customHeight="false" outlineLevel="0" collapsed="false">
      <c r="A152" s="400" t="n">
        <f aca="false">A151+30.417</f>
        <v>40859.214</v>
      </c>
      <c r="B152" s="432" t="str">
        <f aca="false">IF($A$1="Peak","-",IF(BaseLoad!H151&gt;BaseLoad!$G151,B$8*$Z152,0))</f>
        <v>-</v>
      </c>
      <c r="C152" s="432" t="str">
        <f aca="false">IF($A$1="Peak","-",IF(BaseLoad!I151&gt;BaseLoad!$G151,C$8*$Z152,0))</f>
        <v>-</v>
      </c>
      <c r="D152" s="432" t="str">
        <f aca="false">IF($A$1="Peak","-",IF(BaseLoad!J151&gt;BaseLoad!$G151,D$8*$Z152,0))</f>
        <v>-</v>
      </c>
      <c r="E152" s="432" t="str">
        <f aca="false">IF($A$1="Peak","-",IF(BaseLoad!K151&gt;BaseLoad!$G151,E$8*$Z152,0))</f>
        <v>-</v>
      </c>
      <c r="F152" s="432" t="str">
        <f aca="false">IF($A$1="Peak","-",IF(BaseLoad!L151&gt;BaseLoad!$G151,F$8*$Z152,0))</f>
        <v>-</v>
      </c>
      <c r="G152" s="432" t="str">
        <f aca="false">IF($A$1="Peak","-",IF(BaseLoad!M151&gt;BaseLoad!$G151,G$8*$Z152,0))</f>
        <v>-</v>
      </c>
      <c r="H152" s="432" t="str">
        <f aca="false">IF($A$1="Peak","-",IF(BaseLoad!N151&gt;BaseLoad!$G151,H$8*$Z152,0))</f>
        <v>-</v>
      </c>
      <c r="I152" s="432" t="str">
        <f aca="false">IF($A$1="Peak","-",IF(BaseLoad!O151&gt;BaseLoad!$G151,I$8*$Z152,0))</f>
        <v>-</v>
      </c>
      <c r="J152" s="432" t="str">
        <f aca="false">IF($A$1="Peak","-",IF(BaseLoad!P151&gt;BaseLoad!$G151,J$8*$Z152,0))</f>
        <v>-</v>
      </c>
      <c r="K152" s="432" t="str">
        <f aca="false">IF($A$1="Peak","-",IF(BaseLoad!Q151&gt;BaseLoad!$G151,K$8*$Z152,0))</f>
        <v>-</v>
      </c>
      <c r="L152" s="432" t="str">
        <f aca="false">IF($A$1="Peak","-",IF(BaseLoad!R151&gt;BaseLoad!$G151,L$8*$Z152,0))</f>
        <v>-</v>
      </c>
      <c r="M152" s="432" t="str">
        <f aca="false">IF($A$1="Peak","-",IF(BaseLoad!S151&gt;BaseLoad!$G151,M$8*$Z152,0))</f>
        <v>-</v>
      </c>
      <c r="N152" s="432" t="str">
        <f aca="false">IF($A$1="Peak","-",IF(BaseLoad!T151&gt;BaseLoad!$G151,N$8*$Z152,0))</f>
        <v>-</v>
      </c>
      <c r="O152" s="432" t="str">
        <f aca="false">IF($A$1="Peak","-",IF(BaseLoad!U151&gt;BaseLoad!$G151,O$8*$Z152,0))</f>
        <v>-</v>
      </c>
      <c r="P152" s="432" t="str">
        <f aca="false">IF($A$1="Peak","-",IF(BaseLoad!V151&gt;BaseLoad!$G151,P$8*$Z152,0))</f>
        <v>-</v>
      </c>
      <c r="Q152" s="432" t="str">
        <f aca="false">IF($A$1="Peak","-",IF(BaseLoad!W151&gt;BaseLoad!$G151,Q$8*$Z152,0))</f>
        <v>-</v>
      </c>
      <c r="R152" s="432" t="str">
        <f aca="false">IF($A$1="Peak","-",IF(BaseLoad!X151&gt;BaseLoad!$G151,R$8*$Z152,0))</f>
        <v>-</v>
      </c>
      <c r="S152" s="432" t="str">
        <f aca="false">IF($A$1="Peak","-",IF(BaseLoad!Y151&gt;BaseLoad!$G151,S$8*$Z152,0))</f>
        <v>-</v>
      </c>
      <c r="T152" s="432" t="str">
        <f aca="false">IF($A$1="Peak","-",IF(BaseLoad!Z151&gt;BaseLoad!$G151,T$8*$Z152,0))</f>
        <v>-</v>
      </c>
      <c r="U152" s="432" t="str">
        <f aca="false">IF($A$1="Peak","-",IF(BaseLoad!AA151&gt;BaseLoad!$G151,U$8*$Z152,0))</f>
        <v>-</v>
      </c>
      <c r="V152" s="432" t="n">
        <f aca="false">SUM(B152:U152)</f>
        <v>0</v>
      </c>
      <c r="W152" s="432"/>
      <c r="X152" s="432"/>
      <c r="Y152" s="432"/>
      <c r="Z152" s="432" t="n">
        <f aca="false">CHOOSE(QUOTIENT(MONTH($A152),3)+1,BaseLoad!$AM$9,BaseLoad!$AN$9,BaseLoad!$AL$9,BaseLoad!$AO$9,BaseLoad!$AM$9)</f>
        <v>0.95</v>
      </c>
      <c r="AA152" s="432" t="n">
        <f aca="false">CHOOSE(QUOTIENT(MONTH($A152),3)+1,BaseLoad!$AM$15,BaseLoad!$AN$15,BaseLoad!$AL$15,BaseLoad!$AO$15,BaseLoad!$AM$15)</f>
        <v>705</v>
      </c>
      <c r="AB152" s="431"/>
      <c r="AD152" s="431"/>
    </row>
    <row r="153" customFormat="false" ht="12.75" hidden="false" customHeight="false" outlineLevel="0" collapsed="false">
      <c r="A153" s="400" t="n">
        <f aca="false">A152+30.417</f>
        <v>40889.631</v>
      </c>
      <c r="B153" s="432" t="str">
        <f aca="false">IF($A$1="Peak","-",IF(BaseLoad!H152&gt;BaseLoad!$G152,B$8*$Z153,0))</f>
        <v>-</v>
      </c>
      <c r="C153" s="432" t="str">
        <f aca="false">IF($A$1="Peak","-",IF(BaseLoad!I152&gt;BaseLoad!$G152,C$8*$Z153,0))</f>
        <v>-</v>
      </c>
      <c r="D153" s="432" t="str">
        <f aca="false">IF($A$1="Peak","-",IF(BaseLoad!J152&gt;BaseLoad!$G152,D$8*$Z153,0))</f>
        <v>-</v>
      </c>
      <c r="E153" s="432" t="str">
        <f aca="false">IF($A$1="Peak","-",IF(BaseLoad!K152&gt;BaseLoad!$G152,E$8*$Z153,0))</f>
        <v>-</v>
      </c>
      <c r="F153" s="432" t="str">
        <f aca="false">IF($A$1="Peak","-",IF(BaseLoad!L152&gt;BaseLoad!$G152,F$8*$Z153,0))</f>
        <v>-</v>
      </c>
      <c r="G153" s="432" t="str">
        <f aca="false">IF($A$1="Peak","-",IF(BaseLoad!M152&gt;BaseLoad!$G152,G$8*$Z153,0))</f>
        <v>-</v>
      </c>
      <c r="H153" s="432" t="str">
        <f aca="false">IF($A$1="Peak","-",IF(BaseLoad!N152&gt;BaseLoad!$G152,H$8*$Z153,0))</f>
        <v>-</v>
      </c>
      <c r="I153" s="432" t="str">
        <f aca="false">IF($A$1="Peak","-",IF(BaseLoad!O152&gt;BaseLoad!$G152,I$8*$Z153,0))</f>
        <v>-</v>
      </c>
      <c r="J153" s="432" t="str">
        <f aca="false">IF($A$1="Peak","-",IF(BaseLoad!P152&gt;BaseLoad!$G152,J$8*$Z153,0))</f>
        <v>-</v>
      </c>
      <c r="K153" s="432" t="str">
        <f aca="false">IF($A$1="Peak","-",IF(BaseLoad!Q152&gt;BaseLoad!$G152,K$8*$Z153,0))</f>
        <v>-</v>
      </c>
      <c r="L153" s="432" t="str">
        <f aca="false">IF($A$1="Peak","-",IF(BaseLoad!R152&gt;BaseLoad!$G152,L$8*$Z153,0))</f>
        <v>-</v>
      </c>
      <c r="M153" s="432" t="str">
        <f aca="false">IF($A$1="Peak","-",IF(BaseLoad!S152&gt;BaseLoad!$G152,M$8*$Z153,0))</f>
        <v>-</v>
      </c>
      <c r="N153" s="432" t="str">
        <f aca="false">IF($A$1="Peak","-",IF(BaseLoad!T152&gt;BaseLoad!$G152,N$8*$Z153,0))</f>
        <v>-</v>
      </c>
      <c r="O153" s="432" t="str">
        <f aca="false">IF($A$1="Peak","-",IF(BaseLoad!U152&gt;BaseLoad!$G152,O$8*$Z153,0))</f>
        <v>-</v>
      </c>
      <c r="P153" s="432" t="str">
        <f aca="false">IF($A$1="Peak","-",IF(BaseLoad!V152&gt;BaseLoad!$G152,P$8*$Z153,0))</f>
        <v>-</v>
      </c>
      <c r="Q153" s="432" t="str">
        <f aca="false">IF($A$1="Peak","-",IF(BaseLoad!W152&gt;BaseLoad!$G152,Q$8*$Z153,0))</f>
        <v>-</v>
      </c>
      <c r="R153" s="432" t="str">
        <f aca="false">IF($A$1="Peak","-",IF(BaseLoad!X152&gt;BaseLoad!$G152,R$8*$Z153,0))</f>
        <v>-</v>
      </c>
      <c r="S153" s="432" t="str">
        <f aca="false">IF($A$1="Peak","-",IF(BaseLoad!Y152&gt;BaseLoad!$G152,S$8*$Z153,0))</f>
        <v>-</v>
      </c>
      <c r="T153" s="432" t="str">
        <f aca="false">IF($A$1="Peak","-",IF(BaseLoad!Z152&gt;BaseLoad!$G152,T$8*$Z153,0))</f>
        <v>-</v>
      </c>
      <c r="U153" s="432" t="str">
        <f aca="false">IF($A$1="Peak","-",IF(BaseLoad!AA152&gt;BaseLoad!$G152,U$8*$Z153,0))</f>
        <v>-</v>
      </c>
      <c r="V153" s="432" t="n">
        <f aca="false">SUM(B153:U153)</f>
        <v>0</v>
      </c>
      <c r="W153" s="432"/>
      <c r="X153" s="432"/>
      <c r="Y153" s="432" t="n">
        <f aca="false">SUM(V142:V153)</f>
        <v>0</v>
      </c>
      <c r="Z153" s="432" t="n">
        <f aca="false">CHOOSE(QUOTIENT(MONTH($A153),3)+1,BaseLoad!$AM$9,BaseLoad!$AN$9,BaseLoad!$AL$9,BaseLoad!$AO$9,BaseLoad!$AM$9)</f>
        <v>0.924276618786118</v>
      </c>
      <c r="AA153" s="432" t="n">
        <f aca="false">CHOOSE(QUOTIENT(MONTH($A153),3)+1,BaseLoad!$AM$15,BaseLoad!$AN$15,BaseLoad!$AL$15,BaseLoad!$AO$15,BaseLoad!$AM$15)</f>
        <v>705</v>
      </c>
      <c r="AB153" s="431"/>
      <c r="AD153" s="431"/>
    </row>
    <row r="154" customFormat="false" ht="12.75" hidden="false" customHeight="false" outlineLevel="0" collapsed="false">
      <c r="A154" s="400" t="n">
        <f aca="false">A153+30.417</f>
        <v>40920.048</v>
      </c>
      <c r="B154" s="432" t="str">
        <f aca="false">IF($A$1="Peak","-",IF(BaseLoad!H153&gt;BaseLoad!$G153,B$8*$Z154,0))</f>
        <v>-</v>
      </c>
      <c r="C154" s="432" t="str">
        <f aca="false">IF($A$1="Peak","-",IF(BaseLoad!I153&gt;BaseLoad!$G153,C$8*$Z154,0))</f>
        <v>-</v>
      </c>
      <c r="D154" s="432" t="str">
        <f aca="false">IF($A$1="Peak","-",IF(BaseLoad!J153&gt;BaseLoad!$G153,D$8*$Z154,0))</f>
        <v>-</v>
      </c>
      <c r="E154" s="432" t="str">
        <f aca="false">IF($A$1="Peak","-",IF(BaseLoad!K153&gt;BaseLoad!$G153,E$8*$Z154,0))</f>
        <v>-</v>
      </c>
      <c r="F154" s="432" t="str">
        <f aca="false">IF($A$1="Peak","-",IF(BaseLoad!L153&gt;BaseLoad!$G153,F$8*$Z154,0))</f>
        <v>-</v>
      </c>
      <c r="G154" s="432" t="str">
        <f aca="false">IF($A$1="Peak","-",IF(BaseLoad!M153&gt;BaseLoad!$G153,G$8*$Z154,0))</f>
        <v>-</v>
      </c>
      <c r="H154" s="432" t="str">
        <f aca="false">IF($A$1="Peak","-",IF(BaseLoad!N153&gt;BaseLoad!$G153,H$8*$Z154,0))</f>
        <v>-</v>
      </c>
      <c r="I154" s="432" t="str">
        <f aca="false">IF($A$1="Peak","-",IF(BaseLoad!O153&gt;BaseLoad!$G153,I$8*$Z154,0))</f>
        <v>-</v>
      </c>
      <c r="J154" s="432" t="str">
        <f aca="false">IF($A$1="Peak","-",IF(BaseLoad!P153&gt;BaseLoad!$G153,J$8*$Z154,0))</f>
        <v>-</v>
      </c>
      <c r="K154" s="432" t="str">
        <f aca="false">IF($A$1="Peak","-",IF(BaseLoad!Q153&gt;BaseLoad!$G153,K$8*$Z154,0))</f>
        <v>-</v>
      </c>
      <c r="L154" s="432" t="str">
        <f aca="false">IF($A$1="Peak","-",IF(BaseLoad!R153&gt;BaseLoad!$G153,L$8*$Z154,0))</f>
        <v>-</v>
      </c>
      <c r="M154" s="432" t="str">
        <f aca="false">IF($A$1="Peak","-",IF(BaseLoad!S153&gt;BaseLoad!$G153,M$8*$Z154,0))</f>
        <v>-</v>
      </c>
      <c r="N154" s="432" t="str">
        <f aca="false">IF($A$1="Peak","-",IF(BaseLoad!T153&gt;BaseLoad!$G153,N$8*$Z154,0))</f>
        <v>-</v>
      </c>
      <c r="O154" s="432" t="str">
        <f aca="false">IF($A$1="Peak","-",IF(BaseLoad!U153&gt;BaseLoad!$G153,O$8*$Z154,0))</f>
        <v>-</v>
      </c>
      <c r="P154" s="432" t="str">
        <f aca="false">IF($A$1="Peak","-",IF(BaseLoad!V153&gt;BaseLoad!$G153,P$8*$Z154,0))</f>
        <v>-</v>
      </c>
      <c r="Q154" s="432" t="str">
        <f aca="false">IF($A$1="Peak","-",IF(BaseLoad!W153&gt;BaseLoad!$G153,Q$8*$Z154,0))</f>
        <v>-</v>
      </c>
      <c r="R154" s="432" t="str">
        <f aca="false">IF($A$1="Peak","-",IF(BaseLoad!X153&gt;BaseLoad!$G153,R$8*$Z154,0))</f>
        <v>-</v>
      </c>
      <c r="S154" s="432" t="str">
        <f aca="false">IF($A$1="Peak","-",IF(BaseLoad!Y153&gt;BaseLoad!$G153,S$8*$Z154,0))</f>
        <v>-</v>
      </c>
      <c r="T154" s="432" t="str">
        <f aca="false">IF($A$1="Peak","-",IF(BaseLoad!Z153&gt;BaseLoad!$G153,T$8*$Z154,0))</f>
        <v>-</v>
      </c>
      <c r="U154" s="432" t="str">
        <f aca="false">IF($A$1="Peak","-",IF(BaseLoad!AA153&gt;BaseLoad!$G153,U$8*$Z154,0))</f>
        <v>-</v>
      </c>
      <c r="V154" s="432" t="n">
        <f aca="false">SUM(B154:U154)</f>
        <v>0</v>
      </c>
      <c r="W154" s="432"/>
      <c r="X154" s="432"/>
      <c r="Y154" s="432"/>
      <c r="Z154" s="432" t="n">
        <f aca="false">CHOOSE(QUOTIENT(MONTH($A154),3)+1,BaseLoad!$AM$9,BaseLoad!$AN$9,BaseLoad!$AL$9,BaseLoad!$AO$9,BaseLoad!$AM$9)</f>
        <v>0.924276618786118</v>
      </c>
      <c r="AA154" s="432" t="n">
        <f aca="false">CHOOSE(QUOTIENT(MONTH($A154),3)+1,BaseLoad!$AM$15,BaseLoad!$AN$15,BaseLoad!$AL$15,BaseLoad!$AO$15,BaseLoad!$AM$15)</f>
        <v>705</v>
      </c>
      <c r="AB154" s="431"/>
      <c r="AD154" s="431"/>
    </row>
    <row r="155" customFormat="false" ht="12.75" hidden="false" customHeight="false" outlineLevel="0" collapsed="false">
      <c r="A155" s="400" t="n">
        <f aca="false">A154+30.417</f>
        <v>40950.465</v>
      </c>
      <c r="B155" s="432" t="str">
        <f aca="false">IF($A$1="Peak","-",IF(BaseLoad!H154&gt;BaseLoad!$G154,B$8*$Z155,0))</f>
        <v>-</v>
      </c>
      <c r="C155" s="432" t="str">
        <f aca="false">IF($A$1="Peak","-",IF(BaseLoad!I154&gt;BaseLoad!$G154,C$8*$Z155,0))</f>
        <v>-</v>
      </c>
      <c r="D155" s="432" t="str">
        <f aca="false">IF($A$1="Peak","-",IF(BaseLoad!J154&gt;BaseLoad!$G154,D$8*$Z155,0))</f>
        <v>-</v>
      </c>
      <c r="E155" s="432" t="str">
        <f aca="false">IF($A$1="Peak","-",IF(BaseLoad!K154&gt;BaseLoad!$G154,E$8*$Z155,0))</f>
        <v>-</v>
      </c>
      <c r="F155" s="432" t="str">
        <f aca="false">IF($A$1="Peak","-",IF(BaseLoad!L154&gt;BaseLoad!$G154,F$8*$Z155,0))</f>
        <v>-</v>
      </c>
      <c r="G155" s="432" t="str">
        <f aca="false">IF($A$1="Peak","-",IF(BaseLoad!M154&gt;BaseLoad!$G154,G$8*$Z155,0))</f>
        <v>-</v>
      </c>
      <c r="H155" s="432" t="str">
        <f aca="false">IF($A$1="Peak","-",IF(BaseLoad!N154&gt;BaseLoad!$G154,H$8*$Z155,0))</f>
        <v>-</v>
      </c>
      <c r="I155" s="432" t="str">
        <f aca="false">IF($A$1="Peak","-",IF(BaseLoad!O154&gt;BaseLoad!$G154,I$8*$Z155,0))</f>
        <v>-</v>
      </c>
      <c r="J155" s="432" t="str">
        <f aca="false">IF($A$1="Peak","-",IF(BaseLoad!P154&gt;BaseLoad!$G154,J$8*$Z155,0))</f>
        <v>-</v>
      </c>
      <c r="K155" s="432" t="str">
        <f aca="false">IF($A$1="Peak","-",IF(BaseLoad!Q154&gt;BaseLoad!$G154,K$8*$Z155,0))</f>
        <v>-</v>
      </c>
      <c r="L155" s="432" t="str">
        <f aca="false">IF($A$1="Peak","-",IF(BaseLoad!R154&gt;BaseLoad!$G154,L$8*$Z155,0))</f>
        <v>-</v>
      </c>
      <c r="M155" s="432" t="str">
        <f aca="false">IF($A$1="Peak","-",IF(BaseLoad!S154&gt;BaseLoad!$G154,M$8*$Z155,0))</f>
        <v>-</v>
      </c>
      <c r="N155" s="432" t="str">
        <f aca="false">IF($A$1="Peak","-",IF(BaseLoad!T154&gt;BaseLoad!$G154,N$8*$Z155,0))</f>
        <v>-</v>
      </c>
      <c r="O155" s="432" t="str">
        <f aca="false">IF($A$1="Peak","-",IF(BaseLoad!U154&gt;BaseLoad!$G154,O$8*$Z155,0))</f>
        <v>-</v>
      </c>
      <c r="P155" s="432" t="str">
        <f aca="false">IF($A$1="Peak","-",IF(BaseLoad!V154&gt;BaseLoad!$G154,P$8*$Z155,0))</f>
        <v>-</v>
      </c>
      <c r="Q155" s="432" t="str">
        <f aca="false">IF($A$1="Peak","-",IF(BaseLoad!W154&gt;BaseLoad!$G154,Q$8*$Z155,0))</f>
        <v>-</v>
      </c>
      <c r="R155" s="432" t="str">
        <f aca="false">IF($A$1="Peak","-",IF(BaseLoad!X154&gt;BaseLoad!$G154,R$8*$Z155,0))</f>
        <v>-</v>
      </c>
      <c r="S155" s="432" t="str">
        <f aca="false">IF($A$1="Peak","-",IF(BaseLoad!Y154&gt;BaseLoad!$G154,S$8*$Z155,0))</f>
        <v>-</v>
      </c>
      <c r="T155" s="432" t="str">
        <f aca="false">IF($A$1="Peak","-",IF(BaseLoad!Z154&gt;BaseLoad!$G154,T$8*$Z155,0))</f>
        <v>-</v>
      </c>
      <c r="U155" s="432" t="str">
        <f aca="false">IF($A$1="Peak","-",IF(BaseLoad!AA154&gt;BaseLoad!$G154,U$8*$Z155,0))</f>
        <v>-</v>
      </c>
      <c r="V155" s="432" t="n">
        <f aca="false">SUM(B155:U155)</f>
        <v>0</v>
      </c>
      <c r="W155" s="432"/>
      <c r="X155" s="432"/>
      <c r="Y155" s="432"/>
      <c r="Z155" s="432" t="n">
        <f aca="false">CHOOSE(QUOTIENT(MONTH($A155),3)+1,BaseLoad!$AM$9,BaseLoad!$AN$9,BaseLoad!$AL$9,BaseLoad!$AO$9,BaseLoad!$AM$9)</f>
        <v>0.924276618786118</v>
      </c>
      <c r="AA155" s="432" t="n">
        <f aca="false">CHOOSE(QUOTIENT(MONTH($A155),3)+1,BaseLoad!$AM$15,BaseLoad!$AN$15,BaseLoad!$AL$15,BaseLoad!$AO$15,BaseLoad!$AM$15)</f>
        <v>705</v>
      </c>
      <c r="AB155" s="431"/>
      <c r="AD155" s="431"/>
    </row>
    <row r="156" customFormat="false" ht="12.75" hidden="false" customHeight="false" outlineLevel="0" collapsed="false">
      <c r="A156" s="400" t="n">
        <f aca="false">A155+30.417</f>
        <v>40980.882</v>
      </c>
      <c r="B156" s="432" t="str">
        <f aca="false">IF($A$1="Peak","-",IF(BaseLoad!H155&gt;BaseLoad!$G155,B$8*$Z156,0))</f>
        <v>-</v>
      </c>
      <c r="C156" s="432" t="str">
        <f aca="false">IF($A$1="Peak","-",IF(BaseLoad!I155&gt;BaseLoad!$G155,C$8*$Z156,0))</f>
        <v>-</v>
      </c>
      <c r="D156" s="432" t="str">
        <f aca="false">IF($A$1="Peak","-",IF(BaseLoad!J155&gt;BaseLoad!$G155,D$8*$Z156,0))</f>
        <v>-</v>
      </c>
      <c r="E156" s="432" t="str">
        <f aca="false">IF($A$1="Peak","-",IF(BaseLoad!K155&gt;BaseLoad!$G155,E$8*$Z156,0))</f>
        <v>-</v>
      </c>
      <c r="F156" s="432" t="str">
        <f aca="false">IF($A$1="Peak","-",IF(BaseLoad!L155&gt;BaseLoad!$G155,F$8*$Z156,0))</f>
        <v>-</v>
      </c>
      <c r="G156" s="432" t="str">
        <f aca="false">IF($A$1="Peak","-",IF(BaseLoad!M155&gt;BaseLoad!$G155,G$8*$Z156,0))</f>
        <v>-</v>
      </c>
      <c r="H156" s="432" t="str">
        <f aca="false">IF($A$1="Peak","-",IF(BaseLoad!N155&gt;BaseLoad!$G155,H$8*$Z156,0))</f>
        <v>-</v>
      </c>
      <c r="I156" s="432" t="str">
        <f aca="false">IF($A$1="Peak","-",IF(BaseLoad!O155&gt;BaseLoad!$G155,I$8*$Z156,0))</f>
        <v>-</v>
      </c>
      <c r="J156" s="432" t="str">
        <f aca="false">IF($A$1="Peak","-",IF(BaseLoad!P155&gt;BaseLoad!$G155,J$8*$Z156,0))</f>
        <v>-</v>
      </c>
      <c r="K156" s="432" t="str">
        <f aca="false">IF($A$1="Peak","-",IF(BaseLoad!Q155&gt;BaseLoad!$G155,K$8*$Z156,0))</f>
        <v>-</v>
      </c>
      <c r="L156" s="432" t="str">
        <f aca="false">IF($A$1="Peak","-",IF(BaseLoad!R155&gt;BaseLoad!$G155,L$8*$Z156,0))</f>
        <v>-</v>
      </c>
      <c r="M156" s="432" t="str">
        <f aca="false">IF($A$1="Peak","-",IF(BaseLoad!S155&gt;BaseLoad!$G155,M$8*$Z156,0))</f>
        <v>-</v>
      </c>
      <c r="N156" s="432" t="str">
        <f aca="false">IF($A$1="Peak","-",IF(BaseLoad!T155&gt;BaseLoad!$G155,N$8*$Z156,0))</f>
        <v>-</v>
      </c>
      <c r="O156" s="432" t="str">
        <f aca="false">IF($A$1="Peak","-",IF(BaseLoad!U155&gt;BaseLoad!$G155,O$8*$Z156,0))</f>
        <v>-</v>
      </c>
      <c r="P156" s="432" t="str">
        <f aca="false">IF($A$1="Peak","-",IF(BaseLoad!V155&gt;BaseLoad!$G155,P$8*$Z156,0))</f>
        <v>-</v>
      </c>
      <c r="Q156" s="432" t="str">
        <f aca="false">IF($A$1="Peak","-",IF(BaseLoad!W155&gt;BaseLoad!$G155,Q$8*$Z156,0))</f>
        <v>-</v>
      </c>
      <c r="R156" s="432" t="str">
        <f aca="false">IF($A$1="Peak","-",IF(BaseLoad!X155&gt;BaseLoad!$G155,R$8*$Z156,0))</f>
        <v>-</v>
      </c>
      <c r="S156" s="432" t="str">
        <f aca="false">IF($A$1="Peak","-",IF(BaseLoad!Y155&gt;BaseLoad!$G155,S$8*$Z156,0))</f>
        <v>-</v>
      </c>
      <c r="T156" s="432" t="str">
        <f aca="false">IF($A$1="Peak","-",IF(BaseLoad!Z155&gt;BaseLoad!$G155,T$8*$Z156,0))</f>
        <v>-</v>
      </c>
      <c r="U156" s="432" t="str">
        <f aca="false">IF($A$1="Peak","-",IF(BaseLoad!AA155&gt;BaseLoad!$G155,U$8*$Z156,0))</f>
        <v>-</v>
      </c>
      <c r="V156" s="432" t="n">
        <f aca="false">SUM(B156:U156)</f>
        <v>0</v>
      </c>
      <c r="W156" s="432"/>
      <c r="X156" s="432"/>
      <c r="Y156" s="432"/>
      <c r="Z156" s="432" t="n">
        <f aca="false">CHOOSE(QUOTIENT(MONTH($A156),3)+1,BaseLoad!$AM$9,BaseLoad!$AN$9,BaseLoad!$AL$9,BaseLoad!$AO$9,BaseLoad!$AM$9)</f>
        <v>0.95</v>
      </c>
      <c r="AA156" s="432" t="n">
        <f aca="false">CHOOSE(QUOTIENT(MONTH($A156),3)+1,BaseLoad!$AM$15,BaseLoad!$AN$15,BaseLoad!$AL$15,BaseLoad!$AO$15,BaseLoad!$AM$15)</f>
        <v>705</v>
      </c>
      <c r="AB156" s="431"/>
      <c r="AD156" s="431"/>
    </row>
    <row r="157" customFormat="false" ht="12.75" hidden="false" customHeight="false" outlineLevel="0" collapsed="false">
      <c r="A157" s="400" t="n">
        <f aca="false">A156+30.417</f>
        <v>41011.299</v>
      </c>
      <c r="B157" s="432" t="str">
        <f aca="false">IF($A$1="Peak","-",IF(BaseLoad!H156&gt;BaseLoad!$G156,B$8*$Z157,0))</f>
        <v>-</v>
      </c>
      <c r="C157" s="432" t="str">
        <f aca="false">IF($A$1="Peak","-",IF(BaseLoad!I156&gt;BaseLoad!$G156,C$8*$Z157,0))</f>
        <v>-</v>
      </c>
      <c r="D157" s="432" t="str">
        <f aca="false">IF($A$1="Peak","-",IF(BaseLoad!J156&gt;BaseLoad!$G156,D$8*$Z157,0))</f>
        <v>-</v>
      </c>
      <c r="E157" s="432" t="str">
        <f aca="false">IF($A$1="Peak","-",IF(BaseLoad!K156&gt;BaseLoad!$G156,E$8*$Z157,0))</f>
        <v>-</v>
      </c>
      <c r="F157" s="432" t="str">
        <f aca="false">IF($A$1="Peak","-",IF(BaseLoad!L156&gt;BaseLoad!$G156,F$8*$Z157,0))</f>
        <v>-</v>
      </c>
      <c r="G157" s="432" t="str">
        <f aca="false">IF($A$1="Peak","-",IF(BaseLoad!M156&gt;BaseLoad!$G156,G$8*$Z157,0))</f>
        <v>-</v>
      </c>
      <c r="H157" s="432" t="str">
        <f aca="false">IF($A$1="Peak","-",IF(BaseLoad!N156&gt;BaseLoad!$G156,H$8*$Z157,0))</f>
        <v>-</v>
      </c>
      <c r="I157" s="432" t="str">
        <f aca="false">IF($A$1="Peak","-",IF(BaseLoad!O156&gt;BaseLoad!$G156,I$8*$Z157,0))</f>
        <v>-</v>
      </c>
      <c r="J157" s="432" t="str">
        <f aca="false">IF($A$1="Peak","-",IF(BaseLoad!P156&gt;BaseLoad!$G156,J$8*$Z157,0))</f>
        <v>-</v>
      </c>
      <c r="K157" s="432" t="str">
        <f aca="false">IF($A$1="Peak","-",IF(BaseLoad!Q156&gt;BaseLoad!$G156,K$8*$Z157,0))</f>
        <v>-</v>
      </c>
      <c r="L157" s="432" t="str">
        <f aca="false">IF($A$1="Peak","-",IF(BaseLoad!R156&gt;BaseLoad!$G156,L$8*$Z157,0))</f>
        <v>-</v>
      </c>
      <c r="M157" s="432" t="str">
        <f aca="false">IF($A$1="Peak","-",IF(BaseLoad!S156&gt;BaseLoad!$G156,M$8*$Z157,0))</f>
        <v>-</v>
      </c>
      <c r="N157" s="432" t="str">
        <f aca="false">IF($A$1="Peak","-",IF(BaseLoad!T156&gt;BaseLoad!$G156,N$8*$Z157,0))</f>
        <v>-</v>
      </c>
      <c r="O157" s="432" t="str">
        <f aca="false">IF($A$1="Peak","-",IF(BaseLoad!U156&gt;BaseLoad!$G156,O$8*$Z157,0))</f>
        <v>-</v>
      </c>
      <c r="P157" s="432" t="str">
        <f aca="false">IF($A$1="Peak","-",IF(BaseLoad!V156&gt;BaseLoad!$G156,P$8*$Z157,0))</f>
        <v>-</v>
      </c>
      <c r="Q157" s="432" t="str">
        <f aca="false">IF($A$1="Peak","-",IF(BaseLoad!W156&gt;BaseLoad!$G156,Q$8*$Z157,0))</f>
        <v>-</v>
      </c>
      <c r="R157" s="432" t="str">
        <f aca="false">IF($A$1="Peak","-",IF(BaseLoad!X156&gt;BaseLoad!$G156,R$8*$Z157,0))</f>
        <v>-</v>
      </c>
      <c r="S157" s="432" t="str">
        <f aca="false">IF($A$1="Peak","-",IF(BaseLoad!Y156&gt;BaseLoad!$G156,S$8*$Z157,0))</f>
        <v>-</v>
      </c>
      <c r="T157" s="432" t="str">
        <f aca="false">IF($A$1="Peak","-",IF(BaseLoad!Z156&gt;BaseLoad!$G156,T$8*$Z157,0))</f>
        <v>-</v>
      </c>
      <c r="U157" s="432" t="str">
        <f aca="false">IF($A$1="Peak","-",IF(BaseLoad!AA156&gt;BaseLoad!$G156,U$8*$Z157,0))</f>
        <v>-</v>
      </c>
      <c r="V157" s="432" t="n">
        <f aca="false">SUM(B157:U157)</f>
        <v>0</v>
      </c>
      <c r="W157" s="432"/>
      <c r="X157" s="432"/>
      <c r="Y157" s="432"/>
      <c r="Z157" s="432" t="n">
        <f aca="false">CHOOSE(QUOTIENT(MONTH($A157),3)+1,BaseLoad!$AM$9,BaseLoad!$AN$9,BaseLoad!$AL$9,BaseLoad!$AO$9,BaseLoad!$AM$9)</f>
        <v>0.95</v>
      </c>
      <c r="AA157" s="432" t="n">
        <f aca="false">CHOOSE(QUOTIENT(MONTH($A157),3)+1,BaseLoad!$AM$15,BaseLoad!$AN$15,BaseLoad!$AL$15,BaseLoad!$AO$15,BaseLoad!$AM$15)</f>
        <v>705</v>
      </c>
      <c r="AB157" s="431"/>
      <c r="AD157" s="431"/>
    </row>
    <row r="158" customFormat="false" ht="12.75" hidden="false" customHeight="false" outlineLevel="0" collapsed="false">
      <c r="A158" s="400" t="n">
        <f aca="false">A157+30.417</f>
        <v>41041.716</v>
      </c>
      <c r="B158" s="432" t="str">
        <f aca="false">IF($A$1="Peak","-",IF(BaseLoad!H157&gt;BaseLoad!$G157,B$8*$Z158,0))</f>
        <v>-</v>
      </c>
      <c r="C158" s="432" t="str">
        <f aca="false">IF($A$1="Peak","-",IF(BaseLoad!I157&gt;BaseLoad!$G157,C$8*$Z158,0))</f>
        <v>-</v>
      </c>
      <c r="D158" s="432" t="str">
        <f aca="false">IF($A$1="Peak","-",IF(BaseLoad!J157&gt;BaseLoad!$G157,D$8*$Z158,0))</f>
        <v>-</v>
      </c>
      <c r="E158" s="432" t="str">
        <f aca="false">IF($A$1="Peak","-",IF(BaseLoad!K157&gt;BaseLoad!$G157,E$8*$Z158,0))</f>
        <v>-</v>
      </c>
      <c r="F158" s="432" t="str">
        <f aca="false">IF($A$1="Peak","-",IF(BaseLoad!L157&gt;BaseLoad!$G157,F$8*$Z158,0))</f>
        <v>-</v>
      </c>
      <c r="G158" s="432" t="str">
        <f aca="false">IF($A$1="Peak","-",IF(BaseLoad!M157&gt;BaseLoad!$G157,G$8*$Z158,0))</f>
        <v>-</v>
      </c>
      <c r="H158" s="432" t="str">
        <f aca="false">IF($A$1="Peak","-",IF(BaseLoad!N157&gt;BaseLoad!$G157,H$8*$Z158,0))</f>
        <v>-</v>
      </c>
      <c r="I158" s="432" t="str">
        <f aca="false">IF($A$1="Peak","-",IF(BaseLoad!O157&gt;BaseLoad!$G157,I$8*$Z158,0))</f>
        <v>-</v>
      </c>
      <c r="J158" s="432" t="str">
        <f aca="false">IF($A$1="Peak","-",IF(BaseLoad!P157&gt;BaseLoad!$G157,J$8*$Z158,0))</f>
        <v>-</v>
      </c>
      <c r="K158" s="432" t="str">
        <f aca="false">IF($A$1="Peak","-",IF(BaseLoad!Q157&gt;BaseLoad!$G157,K$8*$Z158,0))</f>
        <v>-</v>
      </c>
      <c r="L158" s="432" t="str">
        <f aca="false">IF($A$1="Peak","-",IF(BaseLoad!R157&gt;BaseLoad!$G157,L$8*$Z158,0))</f>
        <v>-</v>
      </c>
      <c r="M158" s="432" t="str">
        <f aca="false">IF($A$1="Peak","-",IF(BaseLoad!S157&gt;BaseLoad!$G157,M$8*$Z158,0))</f>
        <v>-</v>
      </c>
      <c r="N158" s="432" t="str">
        <f aca="false">IF($A$1="Peak","-",IF(BaseLoad!T157&gt;BaseLoad!$G157,N$8*$Z158,0))</f>
        <v>-</v>
      </c>
      <c r="O158" s="432" t="str">
        <f aca="false">IF($A$1="Peak","-",IF(BaseLoad!U157&gt;BaseLoad!$G157,O$8*$Z158,0))</f>
        <v>-</v>
      </c>
      <c r="P158" s="432" t="str">
        <f aca="false">IF($A$1="Peak","-",IF(BaseLoad!V157&gt;BaseLoad!$G157,P$8*$Z158,0))</f>
        <v>-</v>
      </c>
      <c r="Q158" s="432" t="str">
        <f aca="false">IF($A$1="Peak","-",IF(BaseLoad!W157&gt;BaseLoad!$G157,Q$8*$Z158,0))</f>
        <v>-</v>
      </c>
      <c r="R158" s="432" t="str">
        <f aca="false">IF($A$1="Peak","-",IF(BaseLoad!X157&gt;BaseLoad!$G157,R$8*$Z158,0))</f>
        <v>-</v>
      </c>
      <c r="S158" s="432" t="str">
        <f aca="false">IF($A$1="Peak","-",IF(BaseLoad!Y157&gt;BaseLoad!$G157,S$8*$Z158,0))</f>
        <v>-</v>
      </c>
      <c r="T158" s="432" t="str">
        <f aca="false">IF($A$1="Peak","-",IF(BaseLoad!Z157&gt;BaseLoad!$G157,T$8*$Z158,0))</f>
        <v>-</v>
      </c>
      <c r="U158" s="432" t="str">
        <f aca="false">IF($A$1="Peak","-",IF(BaseLoad!AA157&gt;BaseLoad!$G157,U$8*$Z158,0))</f>
        <v>-</v>
      </c>
      <c r="V158" s="432" t="n">
        <f aca="false">SUM(B158:U158)</f>
        <v>0</v>
      </c>
      <c r="W158" s="432"/>
      <c r="X158" s="432"/>
      <c r="Y158" s="432"/>
      <c r="Z158" s="432" t="n">
        <f aca="false">CHOOSE(QUOTIENT(MONTH($A158),3)+1,BaseLoad!$AM$9,BaseLoad!$AN$9,BaseLoad!$AL$9,BaseLoad!$AO$9,BaseLoad!$AM$9)</f>
        <v>0.95</v>
      </c>
      <c r="AA158" s="432" t="n">
        <f aca="false">CHOOSE(QUOTIENT(MONTH($A158),3)+1,BaseLoad!$AM$15,BaseLoad!$AN$15,BaseLoad!$AL$15,BaseLoad!$AO$15,BaseLoad!$AM$15)</f>
        <v>705</v>
      </c>
      <c r="AB158" s="431"/>
      <c r="AD158" s="431"/>
    </row>
    <row r="159" customFormat="false" ht="12.75" hidden="false" customHeight="false" outlineLevel="0" collapsed="false">
      <c r="A159" s="400" t="n">
        <f aca="false">A158+30.417</f>
        <v>41072.133</v>
      </c>
      <c r="B159" s="432" t="str">
        <f aca="false">IF($A$1="Peak","-",IF(BaseLoad!H158&gt;BaseLoad!$G158,B$8*$Z159,0))</f>
        <v>-</v>
      </c>
      <c r="C159" s="432" t="str">
        <f aca="false">IF($A$1="Peak","-",IF(BaseLoad!I158&gt;BaseLoad!$G158,C$8*$Z159,0))</f>
        <v>-</v>
      </c>
      <c r="D159" s="432" t="str">
        <f aca="false">IF($A$1="Peak","-",IF(BaseLoad!J158&gt;BaseLoad!$G158,D$8*$Z159,0))</f>
        <v>-</v>
      </c>
      <c r="E159" s="432" t="str">
        <f aca="false">IF($A$1="Peak","-",IF(BaseLoad!K158&gt;BaseLoad!$G158,E$8*$Z159,0))</f>
        <v>-</v>
      </c>
      <c r="F159" s="432" t="str">
        <f aca="false">IF($A$1="Peak","-",IF(BaseLoad!L158&gt;BaseLoad!$G158,F$8*$Z159,0))</f>
        <v>-</v>
      </c>
      <c r="G159" s="432" t="str">
        <f aca="false">IF($A$1="Peak","-",IF(BaseLoad!M158&gt;BaseLoad!$G158,G$8*$Z159,0))</f>
        <v>-</v>
      </c>
      <c r="H159" s="432" t="str">
        <f aca="false">IF($A$1="Peak","-",IF(BaseLoad!N158&gt;BaseLoad!$G158,H$8*$Z159,0))</f>
        <v>-</v>
      </c>
      <c r="I159" s="432" t="str">
        <f aca="false">IF($A$1="Peak","-",IF(BaseLoad!O158&gt;BaseLoad!$G158,I$8*$Z159,0))</f>
        <v>-</v>
      </c>
      <c r="J159" s="432" t="str">
        <f aca="false">IF($A$1="Peak","-",IF(BaseLoad!P158&gt;BaseLoad!$G158,J$8*$Z159,0))</f>
        <v>-</v>
      </c>
      <c r="K159" s="432" t="str">
        <f aca="false">IF($A$1="Peak","-",IF(BaseLoad!Q158&gt;BaseLoad!$G158,K$8*$Z159,0))</f>
        <v>-</v>
      </c>
      <c r="L159" s="432" t="str">
        <f aca="false">IF($A$1="Peak","-",IF(BaseLoad!R158&gt;BaseLoad!$G158,L$8*$Z159,0))</f>
        <v>-</v>
      </c>
      <c r="M159" s="432" t="str">
        <f aca="false">IF($A$1="Peak","-",IF(BaseLoad!S158&gt;BaseLoad!$G158,M$8*$Z159,0))</f>
        <v>-</v>
      </c>
      <c r="N159" s="432" t="str">
        <f aca="false">IF($A$1="Peak","-",IF(BaseLoad!T158&gt;BaseLoad!$G158,N$8*$Z159,0))</f>
        <v>-</v>
      </c>
      <c r="O159" s="432" t="str">
        <f aca="false">IF($A$1="Peak","-",IF(BaseLoad!U158&gt;BaseLoad!$G158,O$8*$Z159,0))</f>
        <v>-</v>
      </c>
      <c r="P159" s="432" t="str">
        <f aca="false">IF($A$1="Peak","-",IF(BaseLoad!V158&gt;BaseLoad!$G158,P$8*$Z159,0))</f>
        <v>-</v>
      </c>
      <c r="Q159" s="432" t="str">
        <f aca="false">IF($A$1="Peak","-",IF(BaseLoad!W158&gt;BaseLoad!$G158,Q$8*$Z159,0))</f>
        <v>-</v>
      </c>
      <c r="R159" s="432" t="str">
        <f aca="false">IF($A$1="Peak","-",IF(BaseLoad!X158&gt;BaseLoad!$G158,R$8*$Z159,0))</f>
        <v>-</v>
      </c>
      <c r="S159" s="432" t="str">
        <f aca="false">IF($A$1="Peak","-",IF(BaseLoad!Y158&gt;BaseLoad!$G158,S$8*$Z159,0))</f>
        <v>-</v>
      </c>
      <c r="T159" s="432" t="str">
        <f aca="false">IF($A$1="Peak","-",IF(BaseLoad!Z158&gt;BaseLoad!$G158,T$8*$Z159,0))</f>
        <v>-</v>
      </c>
      <c r="U159" s="432" t="str">
        <f aca="false">IF($A$1="Peak","-",IF(BaseLoad!AA158&gt;BaseLoad!$G158,U$8*$Z159,0))</f>
        <v>-</v>
      </c>
      <c r="V159" s="432" t="n">
        <f aca="false">SUM(B159:U159)</f>
        <v>0</v>
      </c>
      <c r="W159" s="432"/>
      <c r="X159" s="432"/>
      <c r="Y159" s="432"/>
      <c r="Z159" s="432" t="n">
        <f aca="false">CHOOSE(QUOTIENT(MONTH($A159),3)+1,BaseLoad!$AM$9,BaseLoad!$AN$9,BaseLoad!$AL$9,BaseLoad!$AO$9,BaseLoad!$AM$9)</f>
        <v>0.966121359095586</v>
      </c>
      <c r="AA159" s="432" t="n">
        <f aca="false">CHOOSE(QUOTIENT(MONTH($A159),3)+1,BaseLoad!$AM$15,BaseLoad!$AN$15,BaseLoad!$AL$15,BaseLoad!$AO$15,BaseLoad!$AM$15)</f>
        <v>705</v>
      </c>
      <c r="AB159" s="431"/>
      <c r="AD159" s="431"/>
    </row>
    <row r="160" customFormat="false" ht="12.75" hidden="false" customHeight="false" outlineLevel="0" collapsed="false">
      <c r="A160" s="400" t="n">
        <f aca="false">A159+30.417</f>
        <v>41102.55</v>
      </c>
      <c r="B160" s="432" t="str">
        <f aca="false">IF($A$1="Peak","-",IF(BaseLoad!H159&gt;BaseLoad!$G159,B$8*$Z160,0))</f>
        <v>-</v>
      </c>
      <c r="C160" s="432" t="str">
        <f aca="false">IF($A$1="Peak","-",IF(BaseLoad!I159&gt;BaseLoad!$G159,C$8*$Z160,0))</f>
        <v>-</v>
      </c>
      <c r="D160" s="432" t="str">
        <f aca="false">IF($A$1="Peak","-",IF(BaseLoad!J159&gt;BaseLoad!$G159,D$8*$Z160,0))</f>
        <v>-</v>
      </c>
      <c r="E160" s="432" t="str">
        <f aca="false">IF($A$1="Peak","-",IF(BaseLoad!K159&gt;BaseLoad!$G159,E$8*$Z160,0))</f>
        <v>-</v>
      </c>
      <c r="F160" s="432" t="str">
        <f aca="false">IF($A$1="Peak","-",IF(BaseLoad!L159&gt;BaseLoad!$G159,F$8*$Z160,0))</f>
        <v>-</v>
      </c>
      <c r="G160" s="432" t="str">
        <f aca="false">IF($A$1="Peak","-",IF(BaseLoad!M159&gt;BaseLoad!$G159,G$8*$Z160,0))</f>
        <v>-</v>
      </c>
      <c r="H160" s="432" t="str">
        <f aca="false">IF($A$1="Peak","-",IF(BaseLoad!N159&gt;BaseLoad!$G159,H$8*$Z160,0))</f>
        <v>-</v>
      </c>
      <c r="I160" s="432" t="str">
        <f aca="false">IF($A$1="Peak","-",IF(BaseLoad!O159&gt;BaseLoad!$G159,I$8*$Z160,0))</f>
        <v>-</v>
      </c>
      <c r="J160" s="432" t="str">
        <f aca="false">IF($A$1="Peak","-",IF(BaseLoad!P159&gt;BaseLoad!$G159,J$8*$Z160,0))</f>
        <v>-</v>
      </c>
      <c r="K160" s="432" t="str">
        <f aca="false">IF($A$1="Peak","-",IF(BaseLoad!Q159&gt;BaseLoad!$G159,K$8*$Z160,0))</f>
        <v>-</v>
      </c>
      <c r="L160" s="432" t="str">
        <f aca="false">IF($A$1="Peak","-",IF(BaseLoad!R159&gt;BaseLoad!$G159,L$8*$Z160,0))</f>
        <v>-</v>
      </c>
      <c r="M160" s="432" t="str">
        <f aca="false">IF($A$1="Peak","-",IF(BaseLoad!S159&gt;BaseLoad!$G159,M$8*$Z160,0))</f>
        <v>-</v>
      </c>
      <c r="N160" s="432" t="str">
        <f aca="false">IF($A$1="Peak","-",IF(BaseLoad!T159&gt;BaseLoad!$G159,N$8*$Z160,0))</f>
        <v>-</v>
      </c>
      <c r="O160" s="432" t="str">
        <f aca="false">IF($A$1="Peak","-",IF(BaseLoad!U159&gt;BaseLoad!$G159,O$8*$Z160,0))</f>
        <v>-</v>
      </c>
      <c r="P160" s="432" t="str">
        <f aca="false">IF($A$1="Peak","-",IF(BaseLoad!V159&gt;BaseLoad!$G159,P$8*$Z160,0))</f>
        <v>-</v>
      </c>
      <c r="Q160" s="432" t="str">
        <f aca="false">IF($A$1="Peak","-",IF(BaseLoad!W159&gt;BaseLoad!$G159,Q$8*$Z160,0))</f>
        <v>-</v>
      </c>
      <c r="R160" s="432" t="str">
        <f aca="false">IF($A$1="Peak","-",IF(BaseLoad!X159&gt;BaseLoad!$G159,R$8*$Z160,0))</f>
        <v>-</v>
      </c>
      <c r="S160" s="432" t="str">
        <f aca="false">IF($A$1="Peak","-",IF(BaseLoad!Y159&gt;BaseLoad!$G159,S$8*$Z160,0))</f>
        <v>-</v>
      </c>
      <c r="T160" s="432" t="str">
        <f aca="false">IF($A$1="Peak","-",IF(BaseLoad!Z159&gt;BaseLoad!$G159,T$8*$Z160,0))</f>
        <v>-</v>
      </c>
      <c r="U160" s="432" t="str">
        <f aca="false">IF($A$1="Peak","-",IF(BaseLoad!AA159&gt;BaseLoad!$G159,U$8*$Z160,0))</f>
        <v>-</v>
      </c>
      <c r="V160" s="432" t="n">
        <f aca="false">SUM(B160:U160)</f>
        <v>0</v>
      </c>
      <c r="W160" s="432"/>
      <c r="X160" s="432"/>
      <c r="Y160" s="432"/>
      <c r="Z160" s="432" t="n">
        <f aca="false">CHOOSE(QUOTIENT(MONTH($A160),3)+1,BaseLoad!$AM$9,BaseLoad!$AN$9,BaseLoad!$AL$9,BaseLoad!$AO$9,BaseLoad!$AM$9)</f>
        <v>0.966121359095586</v>
      </c>
      <c r="AA160" s="432" t="n">
        <f aca="false">CHOOSE(QUOTIENT(MONTH($A160),3)+1,BaseLoad!$AM$15,BaseLoad!$AN$15,BaseLoad!$AL$15,BaseLoad!$AO$15,BaseLoad!$AM$15)</f>
        <v>705</v>
      </c>
      <c r="AB160" s="431"/>
      <c r="AD160" s="431"/>
    </row>
    <row r="161" customFormat="false" ht="12.75" hidden="false" customHeight="false" outlineLevel="0" collapsed="false">
      <c r="A161" s="400" t="n">
        <f aca="false">A160+30.417</f>
        <v>41132.967</v>
      </c>
      <c r="B161" s="432" t="str">
        <f aca="false">IF($A$1="Peak","-",IF(BaseLoad!H160&gt;BaseLoad!$G160,B$8*$Z161,0))</f>
        <v>-</v>
      </c>
      <c r="C161" s="432" t="str">
        <f aca="false">IF($A$1="Peak","-",IF(BaseLoad!I160&gt;BaseLoad!$G160,C$8*$Z161,0))</f>
        <v>-</v>
      </c>
      <c r="D161" s="432" t="str">
        <f aca="false">IF($A$1="Peak","-",IF(BaseLoad!J160&gt;BaseLoad!$G160,D$8*$Z161,0))</f>
        <v>-</v>
      </c>
      <c r="E161" s="432" t="str">
        <f aca="false">IF($A$1="Peak","-",IF(BaseLoad!K160&gt;BaseLoad!$G160,E$8*$Z161,0))</f>
        <v>-</v>
      </c>
      <c r="F161" s="432" t="str">
        <f aca="false">IF($A$1="Peak","-",IF(BaseLoad!L160&gt;BaseLoad!$G160,F$8*$Z161,0))</f>
        <v>-</v>
      </c>
      <c r="G161" s="432" t="str">
        <f aca="false">IF($A$1="Peak","-",IF(BaseLoad!M160&gt;BaseLoad!$G160,G$8*$Z161,0))</f>
        <v>-</v>
      </c>
      <c r="H161" s="432" t="str">
        <f aca="false">IF($A$1="Peak","-",IF(BaseLoad!N160&gt;BaseLoad!$G160,H$8*$Z161,0))</f>
        <v>-</v>
      </c>
      <c r="I161" s="432" t="str">
        <f aca="false">IF($A$1="Peak","-",IF(BaseLoad!O160&gt;BaseLoad!$G160,I$8*$Z161,0))</f>
        <v>-</v>
      </c>
      <c r="J161" s="432" t="str">
        <f aca="false">IF($A$1="Peak","-",IF(BaseLoad!P160&gt;BaseLoad!$G160,J$8*$Z161,0))</f>
        <v>-</v>
      </c>
      <c r="K161" s="432" t="str">
        <f aca="false">IF($A$1="Peak","-",IF(BaseLoad!Q160&gt;BaseLoad!$G160,K$8*$Z161,0))</f>
        <v>-</v>
      </c>
      <c r="L161" s="432" t="str">
        <f aca="false">IF($A$1="Peak","-",IF(BaseLoad!R160&gt;BaseLoad!$G160,L$8*$Z161,0))</f>
        <v>-</v>
      </c>
      <c r="M161" s="432" t="str">
        <f aca="false">IF($A$1="Peak","-",IF(BaseLoad!S160&gt;BaseLoad!$G160,M$8*$Z161,0))</f>
        <v>-</v>
      </c>
      <c r="N161" s="432" t="str">
        <f aca="false">IF($A$1="Peak","-",IF(BaseLoad!T160&gt;BaseLoad!$G160,N$8*$Z161,0))</f>
        <v>-</v>
      </c>
      <c r="O161" s="432" t="str">
        <f aca="false">IF($A$1="Peak","-",IF(BaseLoad!U160&gt;BaseLoad!$G160,O$8*$Z161,0))</f>
        <v>-</v>
      </c>
      <c r="P161" s="432" t="str">
        <f aca="false">IF($A$1="Peak","-",IF(BaseLoad!V160&gt;BaseLoad!$G160,P$8*$Z161,0))</f>
        <v>-</v>
      </c>
      <c r="Q161" s="432" t="str">
        <f aca="false">IF($A$1="Peak","-",IF(BaseLoad!W160&gt;BaseLoad!$G160,Q$8*$Z161,0))</f>
        <v>-</v>
      </c>
      <c r="R161" s="432" t="str">
        <f aca="false">IF($A$1="Peak","-",IF(BaseLoad!X160&gt;BaseLoad!$G160,R$8*$Z161,0))</f>
        <v>-</v>
      </c>
      <c r="S161" s="432" t="str">
        <f aca="false">IF($A$1="Peak","-",IF(BaseLoad!Y160&gt;BaseLoad!$G160,S$8*$Z161,0))</f>
        <v>-</v>
      </c>
      <c r="T161" s="432" t="str">
        <f aca="false">IF($A$1="Peak","-",IF(BaseLoad!Z160&gt;BaseLoad!$G160,T$8*$Z161,0))</f>
        <v>-</v>
      </c>
      <c r="U161" s="432" t="str">
        <f aca="false">IF($A$1="Peak","-",IF(BaseLoad!AA160&gt;BaseLoad!$G160,U$8*$Z161,0))</f>
        <v>-</v>
      </c>
      <c r="V161" s="432" t="n">
        <f aca="false">SUM(B161:U161)</f>
        <v>0</v>
      </c>
      <c r="W161" s="432"/>
      <c r="X161" s="432"/>
      <c r="Y161" s="432"/>
      <c r="Z161" s="432" t="n">
        <f aca="false">CHOOSE(QUOTIENT(MONTH($A161),3)+1,BaseLoad!$AM$9,BaseLoad!$AN$9,BaseLoad!$AL$9,BaseLoad!$AO$9,BaseLoad!$AM$9)</f>
        <v>0.966121359095586</v>
      </c>
      <c r="AA161" s="432" t="n">
        <f aca="false">CHOOSE(QUOTIENT(MONTH($A161),3)+1,BaseLoad!$AM$15,BaseLoad!$AN$15,BaseLoad!$AL$15,BaseLoad!$AO$15,BaseLoad!$AM$15)</f>
        <v>705</v>
      </c>
      <c r="AB161" s="431"/>
      <c r="AD161" s="431"/>
    </row>
    <row r="162" customFormat="false" ht="12.75" hidden="false" customHeight="false" outlineLevel="0" collapsed="false">
      <c r="A162" s="400" t="n">
        <f aca="false">A161+30.417</f>
        <v>41163.384</v>
      </c>
      <c r="B162" s="432" t="str">
        <f aca="false">IF($A$1="Peak","-",IF(BaseLoad!H161&gt;BaseLoad!$G161,B$8*$Z162,0))</f>
        <v>-</v>
      </c>
      <c r="C162" s="432" t="str">
        <f aca="false">IF($A$1="Peak","-",IF(BaseLoad!I161&gt;BaseLoad!$G161,C$8*$Z162,0))</f>
        <v>-</v>
      </c>
      <c r="D162" s="432" t="str">
        <f aca="false">IF($A$1="Peak","-",IF(BaseLoad!J161&gt;BaseLoad!$G161,D$8*$Z162,0))</f>
        <v>-</v>
      </c>
      <c r="E162" s="432" t="str">
        <f aca="false">IF($A$1="Peak","-",IF(BaseLoad!K161&gt;BaseLoad!$G161,E$8*$Z162,0))</f>
        <v>-</v>
      </c>
      <c r="F162" s="432" t="str">
        <f aca="false">IF($A$1="Peak","-",IF(BaseLoad!L161&gt;BaseLoad!$G161,F$8*$Z162,0))</f>
        <v>-</v>
      </c>
      <c r="G162" s="432" t="str">
        <f aca="false">IF($A$1="Peak","-",IF(BaseLoad!M161&gt;BaseLoad!$G161,G$8*$Z162,0))</f>
        <v>-</v>
      </c>
      <c r="H162" s="432" t="str">
        <f aca="false">IF($A$1="Peak","-",IF(BaseLoad!N161&gt;BaseLoad!$G161,H$8*$Z162,0))</f>
        <v>-</v>
      </c>
      <c r="I162" s="432" t="str">
        <f aca="false">IF($A$1="Peak","-",IF(BaseLoad!O161&gt;BaseLoad!$G161,I$8*$Z162,0))</f>
        <v>-</v>
      </c>
      <c r="J162" s="432" t="str">
        <f aca="false">IF($A$1="Peak","-",IF(BaseLoad!P161&gt;BaseLoad!$G161,J$8*$Z162,0))</f>
        <v>-</v>
      </c>
      <c r="K162" s="432" t="str">
        <f aca="false">IF($A$1="Peak","-",IF(BaseLoad!Q161&gt;BaseLoad!$G161,K$8*$Z162,0))</f>
        <v>-</v>
      </c>
      <c r="L162" s="432" t="str">
        <f aca="false">IF($A$1="Peak","-",IF(BaseLoad!R161&gt;BaseLoad!$G161,L$8*$Z162,0))</f>
        <v>-</v>
      </c>
      <c r="M162" s="432" t="str">
        <f aca="false">IF($A$1="Peak","-",IF(BaseLoad!S161&gt;BaseLoad!$G161,M$8*$Z162,0))</f>
        <v>-</v>
      </c>
      <c r="N162" s="432" t="str">
        <f aca="false">IF($A$1="Peak","-",IF(BaseLoad!T161&gt;BaseLoad!$G161,N$8*$Z162,0))</f>
        <v>-</v>
      </c>
      <c r="O162" s="432" t="str">
        <f aca="false">IF($A$1="Peak","-",IF(BaseLoad!U161&gt;BaseLoad!$G161,O$8*$Z162,0))</f>
        <v>-</v>
      </c>
      <c r="P162" s="432" t="str">
        <f aca="false">IF($A$1="Peak","-",IF(BaseLoad!V161&gt;BaseLoad!$G161,P$8*$Z162,0))</f>
        <v>-</v>
      </c>
      <c r="Q162" s="432" t="str">
        <f aca="false">IF($A$1="Peak","-",IF(BaseLoad!W161&gt;BaseLoad!$G161,Q$8*$Z162,0))</f>
        <v>-</v>
      </c>
      <c r="R162" s="432" t="str">
        <f aca="false">IF($A$1="Peak","-",IF(BaseLoad!X161&gt;BaseLoad!$G161,R$8*$Z162,0))</f>
        <v>-</v>
      </c>
      <c r="S162" s="432" t="str">
        <f aca="false">IF($A$1="Peak","-",IF(BaseLoad!Y161&gt;BaseLoad!$G161,S$8*$Z162,0))</f>
        <v>-</v>
      </c>
      <c r="T162" s="432" t="str">
        <f aca="false">IF($A$1="Peak","-",IF(BaseLoad!Z161&gt;BaseLoad!$G161,T$8*$Z162,0))</f>
        <v>-</v>
      </c>
      <c r="U162" s="432" t="str">
        <f aca="false">IF($A$1="Peak","-",IF(BaseLoad!AA161&gt;BaseLoad!$G161,U$8*$Z162,0))</f>
        <v>-</v>
      </c>
      <c r="V162" s="432" t="n">
        <f aca="false">SUM(B162:U162)</f>
        <v>0</v>
      </c>
      <c r="W162" s="432"/>
      <c r="X162" s="432"/>
      <c r="Y162" s="432"/>
      <c r="Z162" s="432" t="n">
        <f aca="false">CHOOSE(QUOTIENT(MONTH($A162),3)+1,BaseLoad!$AM$9,BaseLoad!$AN$9,BaseLoad!$AL$9,BaseLoad!$AO$9,BaseLoad!$AM$9)</f>
        <v>0.95</v>
      </c>
      <c r="AA162" s="432" t="n">
        <f aca="false">CHOOSE(QUOTIENT(MONTH($A162),3)+1,BaseLoad!$AM$15,BaseLoad!$AN$15,BaseLoad!$AL$15,BaseLoad!$AO$15,BaseLoad!$AM$15)</f>
        <v>705</v>
      </c>
      <c r="AB162" s="431"/>
      <c r="AD162" s="431"/>
    </row>
    <row r="163" customFormat="false" ht="12.75" hidden="false" customHeight="false" outlineLevel="0" collapsed="false">
      <c r="A163" s="400" t="n">
        <f aca="false">A162+30.417</f>
        <v>41193.801</v>
      </c>
      <c r="B163" s="432" t="str">
        <f aca="false">IF($A$1="Peak","-",IF(BaseLoad!H162&gt;BaseLoad!$G162,B$8*$Z163,0))</f>
        <v>-</v>
      </c>
      <c r="C163" s="432" t="str">
        <f aca="false">IF($A$1="Peak","-",IF(BaseLoad!I162&gt;BaseLoad!$G162,C$8*$Z163,0))</f>
        <v>-</v>
      </c>
      <c r="D163" s="432" t="str">
        <f aca="false">IF($A$1="Peak","-",IF(BaseLoad!J162&gt;BaseLoad!$G162,D$8*$Z163,0))</f>
        <v>-</v>
      </c>
      <c r="E163" s="432" t="str">
        <f aca="false">IF($A$1="Peak","-",IF(BaseLoad!K162&gt;BaseLoad!$G162,E$8*$Z163,0))</f>
        <v>-</v>
      </c>
      <c r="F163" s="432" t="str">
        <f aca="false">IF($A$1="Peak","-",IF(BaseLoad!L162&gt;BaseLoad!$G162,F$8*$Z163,0))</f>
        <v>-</v>
      </c>
      <c r="G163" s="432" t="str">
        <f aca="false">IF($A$1="Peak","-",IF(BaseLoad!M162&gt;BaseLoad!$G162,G$8*$Z163,0))</f>
        <v>-</v>
      </c>
      <c r="H163" s="432" t="str">
        <f aca="false">IF($A$1="Peak","-",IF(BaseLoad!N162&gt;BaseLoad!$G162,H$8*$Z163,0))</f>
        <v>-</v>
      </c>
      <c r="I163" s="432" t="str">
        <f aca="false">IF($A$1="Peak","-",IF(BaseLoad!O162&gt;BaseLoad!$G162,I$8*$Z163,0))</f>
        <v>-</v>
      </c>
      <c r="J163" s="432" t="str">
        <f aca="false">IF($A$1="Peak","-",IF(BaseLoad!P162&gt;BaseLoad!$G162,J$8*$Z163,0))</f>
        <v>-</v>
      </c>
      <c r="K163" s="432" t="str">
        <f aca="false">IF($A$1="Peak","-",IF(BaseLoad!Q162&gt;BaseLoad!$G162,K$8*$Z163,0))</f>
        <v>-</v>
      </c>
      <c r="L163" s="432" t="str">
        <f aca="false">IF($A$1="Peak","-",IF(BaseLoad!R162&gt;BaseLoad!$G162,L$8*$Z163,0))</f>
        <v>-</v>
      </c>
      <c r="M163" s="432" t="str">
        <f aca="false">IF($A$1="Peak","-",IF(BaseLoad!S162&gt;BaseLoad!$G162,M$8*$Z163,0))</f>
        <v>-</v>
      </c>
      <c r="N163" s="432" t="str">
        <f aca="false">IF($A$1="Peak","-",IF(BaseLoad!T162&gt;BaseLoad!$G162,N$8*$Z163,0))</f>
        <v>-</v>
      </c>
      <c r="O163" s="432" t="str">
        <f aca="false">IF($A$1="Peak","-",IF(BaseLoad!U162&gt;BaseLoad!$G162,O$8*$Z163,0))</f>
        <v>-</v>
      </c>
      <c r="P163" s="432" t="str">
        <f aca="false">IF($A$1="Peak","-",IF(BaseLoad!V162&gt;BaseLoad!$G162,P$8*$Z163,0))</f>
        <v>-</v>
      </c>
      <c r="Q163" s="432" t="str">
        <f aca="false">IF($A$1="Peak","-",IF(BaseLoad!W162&gt;BaseLoad!$G162,Q$8*$Z163,0))</f>
        <v>-</v>
      </c>
      <c r="R163" s="432" t="str">
        <f aca="false">IF($A$1="Peak","-",IF(BaseLoad!X162&gt;BaseLoad!$G162,R$8*$Z163,0))</f>
        <v>-</v>
      </c>
      <c r="S163" s="432" t="str">
        <f aca="false">IF($A$1="Peak","-",IF(BaseLoad!Y162&gt;BaseLoad!$G162,S$8*$Z163,0))</f>
        <v>-</v>
      </c>
      <c r="T163" s="432" t="str">
        <f aca="false">IF($A$1="Peak","-",IF(BaseLoad!Z162&gt;BaseLoad!$G162,T$8*$Z163,0))</f>
        <v>-</v>
      </c>
      <c r="U163" s="432" t="str">
        <f aca="false">IF($A$1="Peak","-",IF(BaseLoad!AA162&gt;BaseLoad!$G162,U$8*$Z163,0))</f>
        <v>-</v>
      </c>
      <c r="V163" s="432" t="n">
        <f aca="false">SUM(B163:U163)</f>
        <v>0</v>
      </c>
      <c r="W163" s="432"/>
      <c r="X163" s="432"/>
      <c r="Y163" s="432"/>
      <c r="Z163" s="432" t="n">
        <f aca="false">CHOOSE(QUOTIENT(MONTH($A163),3)+1,BaseLoad!$AM$9,BaseLoad!$AN$9,BaseLoad!$AL$9,BaseLoad!$AO$9,BaseLoad!$AM$9)</f>
        <v>0.95</v>
      </c>
      <c r="AA163" s="432" t="n">
        <f aca="false">CHOOSE(QUOTIENT(MONTH($A163),3)+1,BaseLoad!$AM$15,BaseLoad!$AN$15,BaseLoad!$AL$15,BaseLoad!$AO$15,BaseLoad!$AM$15)</f>
        <v>705</v>
      </c>
      <c r="AB163" s="431"/>
      <c r="AD163" s="431"/>
    </row>
    <row r="164" customFormat="false" ht="12.75" hidden="false" customHeight="false" outlineLevel="0" collapsed="false">
      <c r="A164" s="400" t="n">
        <f aca="false">A163+30.417</f>
        <v>41224.218</v>
      </c>
      <c r="B164" s="432" t="str">
        <f aca="false">IF($A$1="Peak","-",IF(BaseLoad!H163&gt;BaseLoad!$G163,B$8*$Z164,0))</f>
        <v>-</v>
      </c>
      <c r="C164" s="432" t="str">
        <f aca="false">IF($A$1="Peak","-",IF(BaseLoad!I163&gt;BaseLoad!$G163,C$8*$Z164,0))</f>
        <v>-</v>
      </c>
      <c r="D164" s="432" t="str">
        <f aca="false">IF($A$1="Peak","-",IF(BaseLoad!J163&gt;BaseLoad!$G163,D$8*$Z164,0))</f>
        <v>-</v>
      </c>
      <c r="E164" s="432" t="str">
        <f aca="false">IF($A$1="Peak","-",IF(BaseLoad!K163&gt;BaseLoad!$G163,E$8*$Z164,0))</f>
        <v>-</v>
      </c>
      <c r="F164" s="432" t="str">
        <f aca="false">IF($A$1="Peak","-",IF(BaseLoad!L163&gt;BaseLoad!$G163,F$8*$Z164,0))</f>
        <v>-</v>
      </c>
      <c r="G164" s="432" t="str">
        <f aca="false">IF($A$1="Peak","-",IF(BaseLoad!M163&gt;BaseLoad!$G163,G$8*$Z164,0))</f>
        <v>-</v>
      </c>
      <c r="H164" s="432" t="str">
        <f aca="false">IF($A$1="Peak","-",IF(BaseLoad!N163&gt;BaseLoad!$G163,H$8*$Z164,0))</f>
        <v>-</v>
      </c>
      <c r="I164" s="432" t="str">
        <f aca="false">IF($A$1="Peak","-",IF(BaseLoad!O163&gt;BaseLoad!$G163,I$8*$Z164,0))</f>
        <v>-</v>
      </c>
      <c r="J164" s="432" t="str">
        <f aca="false">IF($A$1="Peak","-",IF(BaseLoad!P163&gt;BaseLoad!$G163,J$8*$Z164,0))</f>
        <v>-</v>
      </c>
      <c r="K164" s="432" t="str">
        <f aca="false">IF($A$1="Peak","-",IF(BaseLoad!Q163&gt;BaseLoad!$G163,K$8*$Z164,0))</f>
        <v>-</v>
      </c>
      <c r="L164" s="432" t="str">
        <f aca="false">IF($A$1="Peak","-",IF(BaseLoad!R163&gt;BaseLoad!$G163,L$8*$Z164,0))</f>
        <v>-</v>
      </c>
      <c r="M164" s="432" t="str">
        <f aca="false">IF($A$1="Peak","-",IF(BaseLoad!S163&gt;BaseLoad!$G163,M$8*$Z164,0))</f>
        <v>-</v>
      </c>
      <c r="N164" s="432" t="str">
        <f aca="false">IF($A$1="Peak","-",IF(BaseLoad!T163&gt;BaseLoad!$G163,N$8*$Z164,0))</f>
        <v>-</v>
      </c>
      <c r="O164" s="432" t="str">
        <f aca="false">IF($A$1="Peak","-",IF(BaseLoad!U163&gt;BaseLoad!$G163,O$8*$Z164,0))</f>
        <v>-</v>
      </c>
      <c r="P164" s="432" t="str">
        <f aca="false">IF($A$1="Peak","-",IF(BaseLoad!V163&gt;BaseLoad!$G163,P$8*$Z164,0))</f>
        <v>-</v>
      </c>
      <c r="Q164" s="432" t="str">
        <f aca="false">IF($A$1="Peak","-",IF(BaseLoad!W163&gt;BaseLoad!$G163,Q$8*$Z164,0))</f>
        <v>-</v>
      </c>
      <c r="R164" s="432" t="str">
        <f aca="false">IF($A$1="Peak","-",IF(BaseLoad!X163&gt;BaseLoad!$G163,R$8*$Z164,0))</f>
        <v>-</v>
      </c>
      <c r="S164" s="432" t="str">
        <f aca="false">IF($A$1="Peak","-",IF(BaseLoad!Y163&gt;BaseLoad!$G163,S$8*$Z164,0))</f>
        <v>-</v>
      </c>
      <c r="T164" s="432" t="str">
        <f aca="false">IF($A$1="Peak","-",IF(BaseLoad!Z163&gt;BaseLoad!$G163,T$8*$Z164,0))</f>
        <v>-</v>
      </c>
      <c r="U164" s="432" t="str">
        <f aca="false">IF($A$1="Peak","-",IF(BaseLoad!AA163&gt;BaseLoad!$G163,U$8*$Z164,0))</f>
        <v>-</v>
      </c>
      <c r="V164" s="432" t="n">
        <f aca="false">SUM(B164:U164)</f>
        <v>0</v>
      </c>
      <c r="W164" s="432"/>
      <c r="X164" s="432"/>
      <c r="Y164" s="432"/>
      <c r="Z164" s="432" t="n">
        <f aca="false">CHOOSE(QUOTIENT(MONTH($A164),3)+1,BaseLoad!$AM$9,BaseLoad!$AN$9,BaseLoad!$AL$9,BaseLoad!$AO$9,BaseLoad!$AM$9)</f>
        <v>0.95</v>
      </c>
      <c r="AA164" s="432" t="n">
        <f aca="false">CHOOSE(QUOTIENT(MONTH($A164),3)+1,BaseLoad!$AM$15,BaseLoad!$AN$15,BaseLoad!$AL$15,BaseLoad!$AO$15,BaseLoad!$AM$15)</f>
        <v>705</v>
      </c>
      <c r="AB164" s="431"/>
      <c r="AD164" s="431"/>
    </row>
    <row r="165" customFormat="false" ht="12.75" hidden="false" customHeight="false" outlineLevel="0" collapsed="false">
      <c r="A165" s="400" t="n">
        <f aca="false">A164+30.417</f>
        <v>41254.635</v>
      </c>
      <c r="B165" s="432" t="str">
        <f aca="false">IF($A$1="Peak","-",IF(BaseLoad!H164&gt;BaseLoad!$G164,B$8*$Z165,0))</f>
        <v>-</v>
      </c>
      <c r="C165" s="432" t="str">
        <f aca="false">IF($A$1="Peak","-",IF(BaseLoad!I164&gt;BaseLoad!$G164,C$8*$Z165,0))</f>
        <v>-</v>
      </c>
      <c r="D165" s="432" t="str">
        <f aca="false">IF($A$1="Peak","-",IF(BaseLoad!J164&gt;BaseLoad!$G164,D$8*$Z165,0))</f>
        <v>-</v>
      </c>
      <c r="E165" s="432" t="str">
        <f aca="false">IF($A$1="Peak","-",IF(BaseLoad!K164&gt;BaseLoad!$G164,E$8*$Z165,0))</f>
        <v>-</v>
      </c>
      <c r="F165" s="432" t="str">
        <f aca="false">IF($A$1="Peak","-",IF(BaseLoad!L164&gt;BaseLoad!$G164,F$8*$Z165,0))</f>
        <v>-</v>
      </c>
      <c r="G165" s="432" t="str">
        <f aca="false">IF($A$1="Peak","-",IF(BaseLoad!M164&gt;BaseLoad!$G164,G$8*$Z165,0))</f>
        <v>-</v>
      </c>
      <c r="H165" s="432" t="str">
        <f aca="false">IF($A$1="Peak","-",IF(BaseLoad!N164&gt;BaseLoad!$G164,H$8*$Z165,0))</f>
        <v>-</v>
      </c>
      <c r="I165" s="432" t="str">
        <f aca="false">IF($A$1="Peak","-",IF(BaseLoad!O164&gt;BaseLoad!$G164,I$8*$Z165,0))</f>
        <v>-</v>
      </c>
      <c r="J165" s="432" t="str">
        <f aca="false">IF($A$1="Peak","-",IF(BaseLoad!P164&gt;BaseLoad!$G164,J$8*$Z165,0))</f>
        <v>-</v>
      </c>
      <c r="K165" s="432" t="str">
        <f aca="false">IF($A$1="Peak","-",IF(BaseLoad!Q164&gt;BaseLoad!$G164,K$8*$Z165,0))</f>
        <v>-</v>
      </c>
      <c r="L165" s="432" t="str">
        <f aca="false">IF($A$1="Peak","-",IF(BaseLoad!R164&gt;BaseLoad!$G164,L$8*$Z165,0))</f>
        <v>-</v>
      </c>
      <c r="M165" s="432" t="str">
        <f aca="false">IF($A$1="Peak","-",IF(BaseLoad!S164&gt;BaseLoad!$G164,M$8*$Z165,0))</f>
        <v>-</v>
      </c>
      <c r="N165" s="432" t="str">
        <f aca="false">IF($A$1="Peak","-",IF(BaseLoad!T164&gt;BaseLoad!$G164,N$8*$Z165,0))</f>
        <v>-</v>
      </c>
      <c r="O165" s="432" t="str">
        <f aca="false">IF($A$1="Peak","-",IF(BaseLoad!U164&gt;BaseLoad!$G164,O$8*$Z165,0))</f>
        <v>-</v>
      </c>
      <c r="P165" s="432" t="str">
        <f aca="false">IF($A$1="Peak","-",IF(BaseLoad!V164&gt;BaseLoad!$G164,P$8*$Z165,0))</f>
        <v>-</v>
      </c>
      <c r="Q165" s="432" t="str">
        <f aca="false">IF($A$1="Peak","-",IF(BaseLoad!W164&gt;BaseLoad!$G164,Q$8*$Z165,0))</f>
        <v>-</v>
      </c>
      <c r="R165" s="432" t="str">
        <f aca="false">IF($A$1="Peak","-",IF(BaseLoad!X164&gt;BaseLoad!$G164,R$8*$Z165,0))</f>
        <v>-</v>
      </c>
      <c r="S165" s="432" t="str">
        <f aca="false">IF($A$1="Peak","-",IF(BaseLoad!Y164&gt;BaseLoad!$G164,S$8*$Z165,0))</f>
        <v>-</v>
      </c>
      <c r="T165" s="432" t="str">
        <f aca="false">IF($A$1="Peak","-",IF(BaseLoad!Z164&gt;BaseLoad!$G164,T$8*$Z165,0))</f>
        <v>-</v>
      </c>
      <c r="U165" s="432" t="str">
        <f aca="false">IF($A$1="Peak","-",IF(BaseLoad!AA164&gt;BaseLoad!$G164,U$8*$Z165,0))</f>
        <v>-</v>
      </c>
      <c r="V165" s="432" t="n">
        <f aca="false">SUM(B165:U165)</f>
        <v>0</v>
      </c>
      <c r="W165" s="432"/>
      <c r="X165" s="432"/>
      <c r="Y165" s="432" t="n">
        <f aca="false">SUM(V154:V165)</f>
        <v>0</v>
      </c>
      <c r="Z165" s="432" t="n">
        <f aca="false">CHOOSE(QUOTIENT(MONTH($A165),3)+1,BaseLoad!$AM$9,BaseLoad!$AN$9,BaseLoad!$AL$9,BaseLoad!$AO$9,BaseLoad!$AM$9)</f>
        <v>0.924276618786118</v>
      </c>
      <c r="AA165" s="432" t="n">
        <f aca="false">CHOOSE(QUOTIENT(MONTH($A165),3)+1,BaseLoad!$AM$15,BaseLoad!$AN$15,BaseLoad!$AL$15,BaseLoad!$AO$15,BaseLoad!$AM$15)</f>
        <v>705</v>
      </c>
      <c r="AB165" s="431"/>
      <c r="AD165" s="431"/>
    </row>
    <row r="166" customFormat="false" ht="12.75" hidden="false" customHeight="false" outlineLevel="0" collapsed="false">
      <c r="A166" s="400" t="n">
        <f aca="false">A165+30.417</f>
        <v>41285.052</v>
      </c>
      <c r="B166" s="432" t="str">
        <f aca="false">IF($A$1="Peak","-",IF(BaseLoad!H165&gt;BaseLoad!$G165,B$8*$Z166,0))</f>
        <v>-</v>
      </c>
      <c r="C166" s="432" t="str">
        <f aca="false">IF($A$1="Peak","-",IF(BaseLoad!I165&gt;BaseLoad!$G165,C$8*$Z166,0))</f>
        <v>-</v>
      </c>
      <c r="D166" s="432" t="str">
        <f aca="false">IF($A$1="Peak","-",IF(BaseLoad!J165&gt;BaseLoad!$G165,D$8*$Z166,0))</f>
        <v>-</v>
      </c>
      <c r="E166" s="432" t="str">
        <f aca="false">IF($A$1="Peak","-",IF(BaseLoad!K165&gt;BaseLoad!$G165,E$8*$Z166,0))</f>
        <v>-</v>
      </c>
      <c r="F166" s="432" t="str">
        <f aca="false">IF($A$1="Peak","-",IF(BaseLoad!L165&gt;BaseLoad!$G165,F$8*$Z166,0))</f>
        <v>-</v>
      </c>
      <c r="G166" s="432" t="str">
        <f aca="false">IF($A$1="Peak","-",IF(BaseLoad!M165&gt;BaseLoad!$G165,G$8*$Z166,0))</f>
        <v>-</v>
      </c>
      <c r="H166" s="432" t="str">
        <f aca="false">IF($A$1="Peak","-",IF(BaseLoad!N165&gt;BaseLoad!$G165,H$8*$Z166,0))</f>
        <v>-</v>
      </c>
      <c r="I166" s="432" t="str">
        <f aca="false">IF($A$1="Peak","-",IF(BaseLoad!O165&gt;BaseLoad!$G165,I$8*$Z166,0))</f>
        <v>-</v>
      </c>
      <c r="J166" s="432" t="str">
        <f aca="false">IF($A$1="Peak","-",IF(BaseLoad!P165&gt;BaseLoad!$G165,J$8*$Z166,0))</f>
        <v>-</v>
      </c>
      <c r="K166" s="432" t="str">
        <f aca="false">IF($A$1="Peak","-",IF(BaseLoad!Q165&gt;BaseLoad!$G165,K$8*$Z166,0))</f>
        <v>-</v>
      </c>
      <c r="L166" s="432" t="str">
        <f aca="false">IF($A$1="Peak","-",IF(BaseLoad!R165&gt;BaseLoad!$G165,L$8*$Z166,0))</f>
        <v>-</v>
      </c>
      <c r="M166" s="432" t="str">
        <f aca="false">IF($A$1="Peak","-",IF(BaseLoad!S165&gt;BaseLoad!$G165,M$8*$Z166,0))</f>
        <v>-</v>
      </c>
      <c r="N166" s="432" t="str">
        <f aca="false">IF($A$1="Peak","-",IF(BaseLoad!T165&gt;BaseLoad!$G165,N$8*$Z166,0))</f>
        <v>-</v>
      </c>
      <c r="O166" s="432" t="str">
        <f aca="false">IF($A$1="Peak","-",IF(BaseLoad!U165&gt;BaseLoad!$G165,O$8*$Z166,0))</f>
        <v>-</v>
      </c>
      <c r="P166" s="432" t="str">
        <f aca="false">IF($A$1="Peak","-",IF(BaseLoad!V165&gt;BaseLoad!$G165,P$8*$Z166,0))</f>
        <v>-</v>
      </c>
      <c r="Q166" s="432" t="str">
        <f aca="false">IF($A$1="Peak","-",IF(BaseLoad!W165&gt;BaseLoad!$G165,Q$8*$Z166,0))</f>
        <v>-</v>
      </c>
      <c r="R166" s="432" t="str">
        <f aca="false">IF($A$1="Peak","-",IF(BaseLoad!X165&gt;BaseLoad!$G165,R$8*$Z166,0))</f>
        <v>-</v>
      </c>
      <c r="S166" s="432" t="str">
        <f aca="false">IF($A$1="Peak","-",IF(BaseLoad!Y165&gt;BaseLoad!$G165,S$8*$Z166,0))</f>
        <v>-</v>
      </c>
      <c r="T166" s="432" t="str">
        <f aca="false">IF($A$1="Peak","-",IF(BaseLoad!Z165&gt;BaseLoad!$G165,T$8*$Z166,0))</f>
        <v>-</v>
      </c>
      <c r="U166" s="432" t="str">
        <f aca="false">IF($A$1="Peak","-",IF(BaseLoad!AA165&gt;BaseLoad!$G165,U$8*$Z166,0))</f>
        <v>-</v>
      </c>
      <c r="V166" s="432" t="n">
        <f aca="false">SUM(B166:U166)</f>
        <v>0</v>
      </c>
      <c r="W166" s="432"/>
      <c r="X166" s="432"/>
      <c r="Y166" s="432"/>
      <c r="Z166" s="432" t="n">
        <f aca="false">CHOOSE(QUOTIENT(MONTH($A166),3)+1,BaseLoad!$AM$9,BaseLoad!$AN$9,BaseLoad!$AL$9,BaseLoad!$AO$9,BaseLoad!$AM$9)</f>
        <v>0.924276618786118</v>
      </c>
      <c r="AA166" s="432" t="n">
        <f aca="false">CHOOSE(QUOTIENT(MONTH($A166),3)+1,BaseLoad!$AM$15,BaseLoad!$AN$15,BaseLoad!$AL$15,BaseLoad!$AO$15,BaseLoad!$AM$15)</f>
        <v>705</v>
      </c>
      <c r="AB166" s="431"/>
      <c r="AD166" s="431"/>
    </row>
    <row r="167" customFormat="false" ht="12.75" hidden="false" customHeight="false" outlineLevel="0" collapsed="false">
      <c r="A167" s="400" t="n">
        <f aca="false">A166+30.417</f>
        <v>41315.469</v>
      </c>
      <c r="B167" s="432" t="str">
        <f aca="false">IF($A$1="Peak","-",IF(BaseLoad!H166&gt;BaseLoad!$G166,B$8*$Z167,0))</f>
        <v>-</v>
      </c>
      <c r="C167" s="432" t="str">
        <f aca="false">IF($A$1="Peak","-",IF(BaseLoad!I166&gt;BaseLoad!$G166,C$8*$Z167,0))</f>
        <v>-</v>
      </c>
      <c r="D167" s="432" t="str">
        <f aca="false">IF($A$1="Peak","-",IF(BaseLoad!J166&gt;BaseLoad!$G166,D$8*$Z167,0))</f>
        <v>-</v>
      </c>
      <c r="E167" s="432" t="str">
        <f aca="false">IF($A$1="Peak","-",IF(BaseLoad!K166&gt;BaseLoad!$G166,E$8*$Z167,0))</f>
        <v>-</v>
      </c>
      <c r="F167" s="432" t="str">
        <f aca="false">IF($A$1="Peak","-",IF(BaseLoad!L166&gt;BaseLoad!$G166,F$8*$Z167,0))</f>
        <v>-</v>
      </c>
      <c r="G167" s="432" t="str">
        <f aca="false">IF($A$1="Peak","-",IF(BaseLoad!M166&gt;BaseLoad!$G166,G$8*$Z167,0))</f>
        <v>-</v>
      </c>
      <c r="H167" s="432" t="str">
        <f aca="false">IF($A$1="Peak","-",IF(BaseLoad!N166&gt;BaseLoad!$G166,H$8*$Z167,0))</f>
        <v>-</v>
      </c>
      <c r="I167" s="432" t="str">
        <f aca="false">IF($A$1="Peak","-",IF(BaseLoad!O166&gt;BaseLoad!$G166,I$8*$Z167,0))</f>
        <v>-</v>
      </c>
      <c r="J167" s="432" t="str">
        <f aca="false">IF($A$1="Peak","-",IF(BaseLoad!P166&gt;BaseLoad!$G166,J$8*$Z167,0))</f>
        <v>-</v>
      </c>
      <c r="K167" s="432" t="str">
        <f aca="false">IF($A$1="Peak","-",IF(BaseLoad!Q166&gt;BaseLoad!$G166,K$8*$Z167,0))</f>
        <v>-</v>
      </c>
      <c r="L167" s="432" t="str">
        <f aca="false">IF($A$1="Peak","-",IF(BaseLoad!R166&gt;BaseLoad!$G166,L$8*$Z167,0))</f>
        <v>-</v>
      </c>
      <c r="M167" s="432" t="str">
        <f aca="false">IF($A$1="Peak","-",IF(BaseLoad!S166&gt;BaseLoad!$G166,M$8*$Z167,0))</f>
        <v>-</v>
      </c>
      <c r="N167" s="432" t="str">
        <f aca="false">IF($A$1="Peak","-",IF(BaseLoad!T166&gt;BaseLoad!$G166,N$8*$Z167,0))</f>
        <v>-</v>
      </c>
      <c r="O167" s="432" t="str">
        <f aca="false">IF($A$1="Peak","-",IF(BaseLoad!U166&gt;BaseLoad!$G166,O$8*$Z167,0))</f>
        <v>-</v>
      </c>
      <c r="P167" s="432" t="str">
        <f aca="false">IF($A$1="Peak","-",IF(BaseLoad!V166&gt;BaseLoad!$G166,P$8*$Z167,0))</f>
        <v>-</v>
      </c>
      <c r="Q167" s="432" t="str">
        <f aca="false">IF($A$1="Peak","-",IF(BaseLoad!W166&gt;BaseLoad!$G166,Q$8*$Z167,0))</f>
        <v>-</v>
      </c>
      <c r="R167" s="432" t="str">
        <f aca="false">IF($A$1="Peak","-",IF(BaseLoad!X166&gt;BaseLoad!$G166,R$8*$Z167,0))</f>
        <v>-</v>
      </c>
      <c r="S167" s="432" t="str">
        <f aca="false">IF($A$1="Peak","-",IF(BaseLoad!Y166&gt;BaseLoad!$G166,S$8*$Z167,0))</f>
        <v>-</v>
      </c>
      <c r="T167" s="432" t="str">
        <f aca="false">IF($A$1="Peak","-",IF(BaseLoad!Z166&gt;BaseLoad!$G166,T$8*$Z167,0))</f>
        <v>-</v>
      </c>
      <c r="U167" s="432" t="str">
        <f aca="false">IF($A$1="Peak","-",IF(BaseLoad!AA166&gt;BaseLoad!$G166,U$8*$Z167,0))</f>
        <v>-</v>
      </c>
      <c r="V167" s="432" t="n">
        <f aca="false">SUM(B167:U167)</f>
        <v>0</v>
      </c>
      <c r="W167" s="432"/>
      <c r="X167" s="432"/>
      <c r="Y167" s="432"/>
      <c r="Z167" s="432" t="n">
        <f aca="false">CHOOSE(QUOTIENT(MONTH($A167),3)+1,BaseLoad!$AM$9,BaseLoad!$AN$9,BaseLoad!$AL$9,BaseLoad!$AO$9,BaseLoad!$AM$9)</f>
        <v>0.924276618786118</v>
      </c>
      <c r="AA167" s="432" t="n">
        <f aca="false">CHOOSE(QUOTIENT(MONTH($A167),3)+1,BaseLoad!$AM$15,BaseLoad!$AN$15,BaseLoad!$AL$15,BaseLoad!$AO$15,BaseLoad!$AM$15)</f>
        <v>705</v>
      </c>
      <c r="AB167" s="431"/>
      <c r="AD167" s="431"/>
    </row>
    <row r="168" customFormat="false" ht="12.75" hidden="false" customHeight="false" outlineLevel="0" collapsed="false">
      <c r="A168" s="400" t="n">
        <f aca="false">A167+30.417</f>
        <v>41345.886</v>
      </c>
      <c r="B168" s="432" t="str">
        <f aca="false">IF($A$1="Peak","-",IF(BaseLoad!H167&gt;BaseLoad!$G167,B$8*$Z168,0))</f>
        <v>-</v>
      </c>
      <c r="C168" s="432" t="str">
        <f aca="false">IF($A$1="Peak","-",IF(BaseLoad!I167&gt;BaseLoad!$G167,C$8*$Z168,0))</f>
        <v>-</v>
      </c>
      <c r="D168" s="432" t="str">
        <f aca="false">IF($A$1="Peak","-",IF(BaseLoad!J167&gt;BaseLoad!$G167,D$8*$Z168,0))</f>
        <v>-</v>
      </c>
      <c r="E168" s="432" t="str">
        <f aca="false">IF($A$1="Peak","-",IF(BaseLoad!K167&gt;BaseLoad!$G167,E$8*$Z168,0))</f>
        <v>-</v>
      </c>
      <c r="F168" s="432" t="str">
        <f aca="false">IF($A$1="Peak","-",IF(BaseLoad!L167&gt;BaseLoad!$G167,F$8*$Z168,0))</f>
        <v>-</v>
      </c>
      <c r="G168" s="432" t="str">
        <f aca="false">IF($A$1="Peak","-",IF(BaseLoad!M167&gt;BaseLoad!$G167,G$8*$Z168,0))</f>
        <v>-</v>
      </c>
      <c r="H168" s="432" t="str">
        <f aca="false">IF($A$1="Peak","-",IF(BaseLoad!N167&gt;BaseLoad!$G167,H$8*$Z168,0))</f>
        <v>-</v>
      </c>
      <c r="I168" s="432" t="str">
        <f aca="false">IF($A$1="Peak","-",IF(BaseLoad!O167&gt;BaseLoad!$G167,I$8*$Z168,0))</f>
        <v>-</v>
      </c>
      <c r="J168" s="432" t="str">
        <f aca="false">IF($A$1="Peak","-",IF(BaseLoad!P167&gt;BaseLoad!$G167,J$8*$Z168,0))</f>
        <v>-</v>
      </c>
      <c r="K168" s="432" t="str">
        <f aca="false">IF($A$1="Peak","-",IF(BaseLoad!Q167&gt;BaseLoad!$G167,K$8*$Z168,0))</f>
        <v>-</v>
      </c>
      <c r="L168" s="432" t="str">
        <f aca="false">IF($A$1="Peak","-",IF(BaseLoad!R167&gt;BaseLoad!$G167,L$8*$Z168,0))</f>
        <v>-</v>
      </c>
      <c r="M168" s="432" t="str">
        <f aca="false">IF($A$1="Peak","-",IF(BaseLoad!S167&gt;BaseLoad!$G167,M$8*$Z168,0))</f>
        <v>-</v>
      </c>
      <c r="N168" s="432" t="str">
        <f aca="false">IF($A$1="Peak","-",IF(BaseLoad!T167&gt;BaseLoad!$G167,N$8*$Z168,0))</f>
        <v>-</v>
      </c>
      <c r="O168" s="432" t="str">
        <f aca="false">IF($A$1="Peak","-",IF(BaseLoad!U167&gt;BaseLoad!$G167,O$8*$Z168,0))</f>
        <v>-</v>
      </c>
      <c r="P168" s="432" t="str">
        <f aca="false">IF($A$1="Peak","-",IF(BaseLoad!V167&gt;BaseLoad!$G167,P$8*$Z168,0))</f>
        <v>-</v>
      </c>
      <c r="Q168" s="432" t="str">
        <f aca="false">IF($A$1="Peak","-",IF(BaseLoad!W167&gt;BaseLoad!$G167,Q$8*$Z168,0))</f>
        <v>-</v>
      </c>
      <c r="R168" s="432" t="str">
        <f aca="false">IF($A$1="Peak","-",IF(BaseLoad!X167&gt;BaseLoad!$G167,R$8*$Z168,0))</f>
        <v>-</v>
      </c>
      <c r="S168" s="432" t="str">
        <f aca="false">IF($A$1="Peak","-",IF(BaseLoad!Y167&gt;BaseLoad!$G167,S$8*$Z168,0))</f>
        <v>-</v>
      </c>
      <c r="T168" s="432" t="str">
        <f aca="false">IF($A$1="Peak","-",IF(BaseLoad!Z167&gt;BaseLoad!$G167,T$8*$Z168,0))</f>
        <v>-</v>
      </c>
      <c r="U168" s="432" t="str">
        <f aca="false">IF($A$1="Peak","-",IF(BaseLoad!AA167&gt;BaseLoad!$G167,U$8*$Z168,0))</f>
        <v>-</v>
      </c>
      <c r="V168" s="432" t="n">
        <f aca="false">SUM(B168:U168)</f>
        <v>0</v>
      </c>
      <c r="W168" s="432"/>
      <c r="X168" s="432"/>
      <c r="Y168" s="432"/>
      <c r="Z168" s="432" t="n">
        <f aca="false">CHOOSE(QUOTIENT(MONTH($A168),3)+1,BaseLoad!$AM$9,BaseLoad!$AN$9,BaseLoad!$AL$9,BaseLoad!$AO$9,BaseLoad!$AM$9)</f>
        <v>0.95</v>
      </c>
      <c r="AA168" s="432" t="n">
        <f aca="false">CHOOSE(QUOTIENT(MONTH($A168),3)+1,BaseLoad!$AM$15,BaseLoad!$AN$15,BaseLoad!$AL$15,BaseLoad!$AO$15,BaseLoad!$AM$15)</f>
        <v>705</v>
      </c>
      <c r="AB168" s="431"/>
      <c r="AD168" s="431"/>
    </row>
    <row r="169" customFormat="false" ht="12.75" hidden="false" customHeight="false" outlineLevel="0" collapsed="false">
      <c r="A169" s="400" t="n">
        <f aca="false">A168+30.417</f>
        <v>41376.303</v>
      </c>
      <c r="B169" s="432" t="str">
        <f aca="false">IF($A$1="Peak","-",IF(BaseLoad!H168&gt;BaseLoad!$G168,B$8*$Z169,0))</f>
        <v>-</v>
      </c>
      <c r="C169" s="432" t="str">
        <f aca="false">IF($A$1="Peak","-",IF(BaseLoad!I168&gt;BaseLoad!$G168,C$8*$Z169,0))</f>
        <v>-</v>
      </c>
      <c r="D169" s="432" t="str">
        <f aca="false">IF($A$1="Peak","-",IF(BaseLoad!J168&gt;BaseLoad!$G168,D$8*$Z169,0))</f>
        <v>-</v>
      </c>
      <c r="E169" s="432" t="str">
        <f aca="false">IF($A$1="Peak","-",IF(BaseLoad!K168&gt;BaseLoad!$G168,E$8*$Z169,0))</f>
        <v>-</v>
      </c>
      <c r="F169" s="432" t="str">
        <f aca="false">IF($A$1="Peak","-",IF(BaseLoad!L168&gt;BaseLoad!$G168,F$8*$Z169,0))</f>
        <v>-</v>
      </c>
      <c r="G169" s="432" t="str">
        <f aca="false">IF($A$1="Peak","-",IF(BaseLoad!M168&gt;BaseLoad!$G168,G$8*$Z169,0))</f>
        <v>-</v>
      </c>
      <c r="H169" s="432" t="str">
        <f aca="false">IF($A$1="Peak","-",IF(BaseLoad!N168&gt;BaseLoad!$G168,H$8*$Z169,0))</f>
        <v>-</v>
      </c>
      <c r="I169" s="432" t="str">
        <f aca="false">IF($A$1="Peak","-",IF(BaseLoad!O168&gt;BaseLoad!$G168,I$8*$Z169,0))</f>
        <v>-</v>
      </c>
      <c r="J169" s="432" t="str">
        <f aca="false">IF($A$1="Peak","-",IF(BaseLoad!P168&gt;BaseLoad!$G168,J$8*$Z169,0))</f>
        <v>-</v>
      </c>
      <c r="K169" s="432" t="str">
        <f aca="false">IF($A$1="Peak","-",IF(BaseLoad!Q168&gt;BaseLoad!$G168,K$8*$Z169,0))</f>
        <v>-</v>
      </c>
      <c r="L169" s="432" t="str">
        <f aca="false">IF($A$1="Peak","-",IF(BaseLoad!R168&gt;BaseLoad!$G168,L$8*$Z169,0))</f>
        <v>-</v>
      </c>
      <c r="M169" s="432" t="str">
        <f aca="false">IF($A$1="Peak","-",IF(BaseLoad!S168&gt;BaseLoad!$G168,M$8*$Z169,0))</f>
        <v>-</v>
      </c>
      <c r="N169" s="432" t="str">
        <f aca="false">IF($A$1="Peak","-",IF(BaseLoad!T168&gt;BaseLoad!$G168,N$8*$Z169,0))</f>
        <v>-</v>
      </c>
      <c r="O169" s="432" t="str">
        <f aca="false">IF($A$1="Peak","-",IF(BaseLoad!U168&gt;BaseLoad!$G168,O$8*$Z169,0))</f>
        <v>-</v>
      </c>
      <c r="P169" s="432" t="str">
        <f aca="false">IF($A$1="Peak","-",IF(BaseLoad!V168&gt;BaseLoad!$G168,P$8*$Z169,0))</f>
        <v>-</v>
      </c>
      <c r="Q169" s="432" t="str">
        <f aca="false">IF($A$1="Peak","-",IF(BaseLoad!W168&gt;BaseLoad!$G168,Q$8*$Z169,0))</f>
        <v>-</v>
      </c>
      <c r="R169" s="432" t="str">
        <f aca="false">IF($A$1="Peak","-",IF(BaseLoad!X168&gt;BaseLoad!$G168,R$8*$Z169,0))</f>
        <v>-</v>
      </c>
      <c r="S169" s="432" t="str">
        <f aca="false">IF($A$1="Peak","-",IF(BaseLoad!Y168&gt;BaseLoad!$G168,S$8*$Z169,0))</f>
        <v>-</v>
      </c>
      <c r="T169" s="432" t="str">
        <f aca="false">IF($A$1="Peak","-",IF(BaseLoad!Z168&gt;BaseLoad!$G168,T$8*$Z169,0))</f>
        <v>-</v>
      </c>
      <c r="U169" s="432" t="str">
        <f aca="false">IF($A$1="Peak","-",IF(BaseLoad!AA168&gt;BaseLoad!$G168,U$8*$Z169,0))</f>
        <v>-</v>
      </c>
      <c r="V169" s="432" t="n">
        <f aca="false">SUM(B169:U169)</f>
        <v>0</v>
      </c>
      <c r="W169" s="432"/>
      <c r="X169" s="432"/>
      <c r="Y169" s="432"/>
      <c r="Z169" s="432" t="n">
        <f aca="false">CHOOSE(QUOTIENT(MONTH($A169),3)+1,BaseLoad!$AM$9,BaseLoad!$AN$9,BaseLoad!$AL$9,BaseLoad!$AO$9,BaseLoad!$AM$9)</f>
        <v>0.95</v>
      </c>
      <c r="AA169" s="432" t="n">
        <f aca="false">CHOOSE(QUOTIENT(MONTH($A169),3)+1,BaseLoad!$AM$15,BaseLoad!$AN$15,BaseLoad!$AL$15,BaseLoad!$AO$15,BaseLoad!$AM$15)</f>
        <v>705</v>
      </c>
      <c r="AB169" s="431"/>
      <c r="AD169" s="431"/>
    </row>
    <row r="170" customFormat="false" ht="12.75" hidden="false" customHeight="false" outlineLevel="0" collapsed="false">
      <c r="A170" s="400" t="n">
        <f aca="false">A169+30.417</f>
        <v>41406.72</v>
      </c>
      <c r="B170" s="432" t="str">
        <f aca="false">IF($A$1="Peak","-",IF(BaseLoad!H169&gt;BaseLoad!$G169,B$8*$Z170,0))</f>
        <v>-</v>
      </c>
      <c r="C170" s="432" t="str">
        <f aca="false">IF($A$1="Peak","-",IF(BaseLoad!I169&gt;BaseLoad!$G169,C$8*$Z170,0))</f>
        <v>-</v>
      </c>
      <c r="D170" s="432" t="str">
        <f aca="false">IF($A$1="Peak","-",IF(BaseLoad!J169&gt;BaseLoad!$G169,D$8*$Z170,0))</f>
        <v>-</v>
      </c>
      <c r="E170" s="432" t="str">
        <f aca="false">IF($A$1="Peak","-",IF(BaseLoad!K169&gt;BaseLoad!$G169,E$8*$Z170,0))</f>
        <v>-</v>
      </c>
      <c r="F170" s="432" t="str">
        <f aca="false">IF($A$1="Peak","-",IF(BaseLoad!L169&gt;BaseLoad!$G169,F$8*$Z170,0))</f>
        <v>-</v>
      </c>
      <c r="G170" s="432" t="str">
        <f aca="false">IF($A$1="Peak","-",IF(BaseLoad!M169&gt;BaseLoad!$G169,G$8*$Z170,0))</f>
        <v>-</v>
      </c>
      <c r="H170" s="432" t="str">
        <f aca="false">IF($A$1="Peak","-",IF(BaseLoad!N169&gt;BaseLoad!$G169,H$8*$Z170,0))</f>
        <v>-</v>
      </c>
      <c r="I170" s="432" t="str">
        <f aca="false">IF($A$1="Peak","-",IF(BaseLoad!O169&gt;BaseLoad!$G169,I$8*$Z170,0))</f>
        <v>-</v>
      </c>
      <c r="J170" s="432" t="str">
        <f aca="false">IF($A$1="Peak","-",IF(BaseLoad!P169&gt;BaseLoad!$G169,J$8*$Z170,0))</f>
        <v>-</v>
      </c>
      <c r="K170" s="432" t="str">
        <f aca="false">IF($A$1="Peak","-",IF(BaseLoad!Q169&gt;BaseLoad!$G169,K$8*$Z170,0))</f>
        <v>-</v>
      </c>
      <c r="L170" s="432" t="str">
        <f aca="false">IF($A$1="Peak","-",IF(BaseLoad!R169&gt;BaseLoad!$G169,L$8*$Z170,0))</f>
        <v>-</v>
      </c>
      <c r="M170" s="432" t="str">
        <f aca="false">IF($A$1="Peak","-",IF(BaseLoad!S169&gt;BaseLoad!$G169,M$8*$Z170,0))</f>
        <v>-</v>
      </c>
      <c r="N170" s="432" t="str">
        <f aca="false">IF($A$1="Peak","-",IF(BaseLoad!T169&gt;BaseLoad!$G169,N$8*$Z170,0))</f>
        <v>-</v>
      </c>
      <c r="O170" s="432" t="str">
        <f aca="false">IF($A$1="Peak","-",IF(BaseLoad!U169&gt;BaseLoad!$G169,O$8*$Z170,0))</f>
        <v>-</v>
      </c>
      <c r="P170" s="432" t="str">
        <f aca="false">IF($A$1="Peak","-",IF(BaseLoad!V169&gt;BaseLoad!$G169,P$8*$Z170,0))</f>
        <v>-</v>
      </c>
      <c r="Q170" s="432" t="str">
        <f aca="false">IF($A$1="Peak","-",IF(BaseLoad!W169&gt;BaseLoad!$G169,Q$8*$Z170,0))</f>
        <v>-</v>
      </c>
      <c r="R170" s="432" t="str">
        <f aca="false">IF($A$1="Peak","-",IF(BaseLoad!X169&gt;BaseLoad!$G169,R$8*$Z170,0))</f>
        <v>-</v>
      </c>
      <c r="S170" s="432" t="str">
        <f aca="false">IF($A$1="Peak","-",IF(BaseLoad!Y169&gt;BaseLoad!$G169,S$8*$Z170,0))</f>
        <v>-</v>
      </c>
      <c r="T170" s="432" t="str">
        <f aca="false">IF($A$1="Peak","-",IF(BaseLoad!Z169&gt;BaseLoad!$G169,T$8*$Z170,0))</f>
        <v>-</v>
      </c>
      <c r="U170" s="432" t="str">
        <f aca="false">IF($A$1="Peak","-",IF(BaseLoad!AA169&gt;BaseLoad!$G169,U$8*$Z170,0))</f>
        <v>-</v>
      </c>
      <c r="V170" s="432" t="n">
        <f aca="false">SUM(B170:U170)</f>
        <v>0</v>
      </c>
      <c r="W170" s="432"/>
      <c r="X170" s="432"/>
      <c r="Y170" s="432"/>
      <c r="Z170" s="432" t="n">
        <f aca="false">CHOOSE(QUOTIENT(MONTH($A170),3)+1,BaseLoad!$AM$9,BaseLoad!$AN$9,BaseLoad!$AL$9,BaseLoad!$AO$9,BaseLoad!$AM$9)</f>
        <v>0.95</v>
      </c>
      <c r="AA170" s="432" t="n">
        <f aca="false">CHOOSE(QUOTIENT(MONTH($A170),3)+1,BaseLoad!$AM$15,BaseLoad!$AN$15,BaseLoad!$AL$15,BaseLoad!$AO$15,BaseLoad!$AM$15)</f>
        <v>705</v>
      </c>
      <c r="AB170" s="431"/>
      <c r="AD170" s="431"/>
    </row>
    <row r="171" customFormat="false" ht="12.75" hidden="false" customHeight="false" outlineLevel="0" collapsed="false">
      <c r="A171" s="400" t="n">
        <f aca="false">A170+30.417</f>
        <v>41437.137</v>
      </c>
      <c r="B171" s="432" t="str">
        <f aca="false">IF($A$1="Peak","-",IF(BaseLoad!H170&gt;BaseLoad!$G170,B$8*$Z171,0))</f>
        <v>-</v>
      </c>
      <c r="C171" s="432" t="str">
        <f aca="false">IF($A$1="Peak","-",IF(BaseLoad!I170&gt;BaseLoad!$G170,C$8*$Z171,0))</f>
        <v>-</v>
      </c>
      <c r="D171" s="432" t="str">
        <f aca="false">IF($A$1="Peak","-",IF(BaseLoad!J170&gt;BaseLoad!$G170,D$8*$Z171,0))</f>
        <v>-</v>
      </c>
      <c r="E171" s="432" t="str">
        <f aca="false">IF($A$1="Peak","-",IF(BaseLoad!K170&gt;BaseLoad!$G170,E$8*$Z171,0))</f>
        <v>-</v>
      </c>
      <c r="F171" s="432" t="str">
        <f aca="false">IF($A$1="Peak","-",IF(BaseLoad!L170&gt;BaseLoad!$G170,F$8*$Z171,0))</f>
        <v>-</v>
      </c>
      <c r="G171" s="432" t="str">
        <f aca="false">IF($A$1="Peak","-",IF(BaseLoad!M170&gt;BaseLoad!$G170,G$8*$Z171,0))</f>
        <v>-</v>
      </c>
      <c r="H171" s="432" t="str">
        <f aca="false">IF($A$1="Peak","-",IF(BaseLoad!N170&gt;BaseLoad!$G170,H$8*$Z171,0))</f>
        <v>-</v>
      </c>
      <c r="I171" s="432" t="str">
        <f aca="false">IF($A$1="Peak","-",IF(BaseLoad!O170&gt;BaseLoad!$G170,I$8*$Z171,0))</f>
        <v>-</v>
      </c>
      <c r="J171" s="432" t="str">
        <f aca="false">IF($A$1="Peak","-",IF(BaseLoad!P170&gt;BaseLoad!$G170,J$8*$Z171,0))</f>
        <v>-</v>
      </c>
      <c r="K171" s="432" t="str">
        <f aca="false">IF($A$1="Peak","-",IF(BaseLoad!Q170&gt;BaseLoad!$G170,K$8*$Z171,0))</f>
        <v>-</v>
      </c>
      <c r="L171" s="432" t="str">
        <f aca="false">IF($A$1="Peak","-",IF(BaseLoad!R170&gt;BaseLoad!$G170,L$8*$Z171,0))</f>
        <v>-</v>
      </c>
      <c r="M171" s="432" t="str">
        <f aca="false">IF($A$1="Peak","-",IF(BaseLoad!S170&gt;BaseLoad!$G170,M$8*$Z171,0))</f>
        <v>-</v>
      </c>
      <c r="N171" s="432" t="str">
        <f aca="false">IF($A$1="Peak","-",IF(BaseLoad!T170&gt;BaseLoad!$G170,N$8*$Z171,0))</f>
        <v>-</v>
      </c>
      <c r="O171" s="432" t="str">
        <f aca="false">IF($A$1="Peak","-",IF(BaseLoad!U170&gt;BaseLoad!$G170,O$8*$Z171,0))</f>
        <v>-</v>
      </c>
      <c r="P171" s="432" t="str">
        <f aca="false">IF($A$1="Peak","-",IF(BaseLoad!V170&gt;BaseLoad!$G170,P$8*$Z171,0))</f>
        <v>-</v>
      </c>
      <c r="Q171" s="432" t="str">
        <f aca="false">IF($A$1="Peak","-",IF(BaseLoad!W170&gt;BaseLoad!$G170,Q$8*$Z171,0))</f>
        <v>-</v>
      </c>
      <c r="R171" s="432" t="str">
        <f aca="false">IF($A$1="Peak","-",IF(BaseLoad!X170&gt;BaseLoad!$G170,R$8*$Z171,0))</f>
        <v>-</v>
      </c>
      <c r="S171" s="432" t="str">
        <f aca="false">IF($A$1="Peak","-",IF(BaseLoad!Y170&gt;BaseLoad!$G170,S$8*$Z171,0))</f>
        <v>-</v>
      </c>
      <c r="T171" s="432" t="str">
        <f aca="false">IF($A$1="Peak","-",IF(BaseLoad!Z170&gt;BaseLoad!$G170,T$8*$Z171,0))</f>
        <v>-</v>
      </c>
      <c r="U171" s="432" t="str">
        <f aca="false">IF($A$1="Peak","-",IF(BaseLoad!AA170&gt;BaseLoad!$G170,U$8*$Z171,0))</f>
        <v>-</v>
      </c>
      <c r="V171" s="432" t="n">
        <f aca="false">SUM(B171:U171)</f>
        <v>0</v>
      </c>
      <c r="W171" s="432"/>
      <c r="X171" s="432"/>
      <c r="Y171" s="432"/>
      <c r="Z171" s="432" t="n">
        <f aca="false">CHOOSE(QUOTIENT(MONTH($A171),3)+1,BaseLoad!$AM$9,BaseLoad!$AN$9,BaseLoad!$AL$9,BaseLoad!$AO$9,BaseLoad!$AM$9)</f>
        <v>0.966121359095586</v>
      </c>
      <c r="AA171" s="432" t="n">
        <f aca="false">CHOOSE(QUOTIENT(MONTH($A171),3)+1,BaseLoad!$AM$15,BaseLoad!$AN$15,BaseLoad!$AL$15,BaseLoad!$AO$15,BaseLoad!$AM$15)</f>
        <v>705</v>
      </c>
      <c r="AB171" s="431"/>
      <c r="AD171" s="431"/>
    </row>
    <row r="172" customFormat="false" ht="12.75" hidden="false" customHeight="false" outlineLevel="0" collapsed="false">
      <c r="A172" s="400" t="n">
        <f aca="false">A171+30.417</f>
        <v>41467.554</v>
      </c>
      <c r="B172" s="432" t="str">
        <f aca="false">IF($A$1="Peak","-",IF(BaseLoad!H171&gt;BaseLoad!$G171,B$8*$Z172,0))</f>
        <v>-</v>
      </c>
      <c r="C172" s="432" t="str">
        <f aca="false">IF($A$1="Peak","-",IF(BaseLoad!I171&gt;BaseLoad!$G171,C$8*$Z172,0))</f>
        <v>-</v>
      </c>
      <c r="D172" s="432" t="str">
        <f aca="false">IF($A$1="Peak","-",IF(BaseLoad!J171&gt;BaseLoad!$G171,D$8*$Z172,0))</f>
        <v>-</v>
      </c>
      <c r="E172" s="432" t="str">
        <f aca="false">IF($A$1="Peak","-",IF(BaseLoad!K171&gt;BaseLoad!$G171,E$8*$Z172,0))</f>
        <v>-</v>
      </c>
      <c r="F172" s="432" t="str">
        <f aca="false">IF($A$1="Peak","-",IF(BaseLoad!L171&gt;BaseLoad!$G171,F$8*$Z172,0))</f>
        <v>-</v>
      </c>
      <c r="G172" s="432" t="str">
        <f aca="false">IF($A$1="Peak","-",IF(BaseLoad!M171&gt;BaseLoad!$G171,G$8*$Z172,0))</f>
        <v>-</v>
      </c>
      <c r="H172" s="432" t="str">
        <f aca="false">IF($A$1="Peak","-",IF(BaseLoad!N171&gt;BaseLoad!$G171,H$8*$Z172,0))</f>
        <v>-</v>
      </c>
      <c r="I172" s="432" t="str">
        <f aca="false">IF($A$1="Peak","-",IF(BaseLoad!O171&gt;BaseLoad!$G171,I$8*$Z172,0))</f>
        <v>-</v>
      </c>
      <c r="J172" s="432" t="str">
        <f aca="false">IF($A$1="Peak","-",IF(BaseLoad!P171&gt;BaseLoad!$G171,J$8*$Z172,0))</f>
        <v>-</v>
      </c>
      <c r="K172" s="432" t="str">
        <f aca="false">IF($A$1="Peak","-",IF(BaseLoad!Q171&gt;BaseLoad!$G171,K$8*$Z172,0))</f>
        <v>-</v>
      </c>
      <c r="L172" s="432" t="str">
        <f aca="false">IF($A$1="Peak","-",IF(BaseLoad!R171&gt;BaseLoad!$G171,L$8*$Z172,0))</f>
        <v>-</v>
      </c>
      <c r="M172" s="432" t="str">
        <f aca="false">IF($A$1="Peak","-",IF(BaseLoad!S171&gt;BaseLoad!$G171,M$8*$Z172,0))</f>
        <v>-</v>
      </c>
      <c r="N172" s="432" t="str">
        <f aca="false">IF($A$1="Peak","-",IF(BaseLoad!T171&gt;BaseLoad!$G171,N$8*$Z172,0))</f>
        <v>-</v>
      </c>
      <c r="O172" s="432" t="str">
        <f aca="false">IF($A$1="Peak","-",IF(BaseLoad!U171&gt;BaseLoad!$G171,O$8*$Z172,0))</f>
        <v>-</v>
      </c>
      <c r="P172" s="432" t="str">
        <f aca="false">IF($A$1="Peak","-",IF(BaseLoad!V171&gt;BaseLoad!$G171,P$8*$Z172,0))</f>
        <v>-</v>
      </c>
      <c r="Q172" s="432" t="str">
        <f aca="false">IF($A$1="Peak","-",IF(BaseLoad!W171&gt;BaseLoad!$G171,Q$8*$Z172,0))</f>
        <v>-</v>
      </c>
      <c r="R172" s="432" t="str">
        <f aca="false">IF($A$1="Peak","-",IF(BaseLoad!X171&gt;BaseLoad!$G171,R$8*$Z172,0))</f>
        <v>-</v>
      </c>
      <c r="S172" s="432" t="str">
        <f aca="false">IF($A$1="Peak","-",IF(BaseLoad!Y171&gt;BaseLoad!$G171,S$8*$Z172,0))</f>
        <v>-</v>
      </c>
      <c r="T172" s="432" t="str">
        <f aca="false">IF($A$1="Peak","-",IF(BaseLoad!Z171&gt;BaseLoad!$G171,T$8*$Z172,0))</f>
        <v>-</v>
      </c>
      <c r="U172" s="432" t="str">
        <f aca="false">IF($A$1="Peak","-",IF(BaseLoad!AA171&gt;BaseLoad!$G171,U$8*$Z172,0))</f>
        <v>-</v>
      </c>
      <c r="V172" s="432" t="n">
        <f aca="false">SUM(B172:U172)</f>
        <v>0</v>
      </c>
      <c r="W172" s="432"/>
      <c r="X172" s="432"/>
      <c r="Y172" s="432"/>
      <c r="Z172" s="432" t="n">
        <f aca="false">CHOOSE(QUOTIENT(MONTH($A172),3)+1,BaseLoad!$AM$9,BaseLoad!$AN$9,BaseLoad!$AL$9,BaseLoad!$AO$9,BaseLoad!$AM$9)</f>
        <v>0.966121359095586</v>
      </c>
      <c r="AA172" s="432" t="n">
        <f aca="false">CHOOSE(QUOTIENT(MONTH($A172),3)+1,BaseLoad!$AM$15,BaseLoad!$AN$15,BaseLoad!$AL$15,BaseLoad!$AO$15,BaseLoad!$AM$15)</f>
        <v>705</v>
      </c>
      <c r="AB172" s="431"/>
      <c r="AD172" s="431"/>
    </row>
    <row r="173" customFormat="false" ht="12.75" hidden="false" customHeight="false" outlineLevel="0" collapsed="false">
      <c r="A173" s="400" t="n">
        <f aca="false">A172+30.417</f>
        <v>41497.971</v>
      </c>
      <c r="B173" s="432" t="str">
        <f aca="false">IF($A$1="Peak","-",IF(BaseLoad!H172&gt;BaseLoad!$G172,B$8*$Z173,0))</f>
        <v>-</v>
      </c>
      <c r="C173" s="432" t="str">
        <f aca="false">IF($A$1="Peak","-",IF(BaseLoad!I172&gt;BaseLoad!$G172,C$8*$Z173,0))</f>
        <v>-</v>
      </c>
      <c r="D173" s="432" t="str">
        <f aca="false">IF($A$1="Peak","-",IF(BaseLoad!J172&gt;BaseLoad!$G172,D$8*$Z173,0))</f>
        <v>-</v>
      </c>
      <c r="E173" s="432" t="str">
        <f aca="false">IF($A$1="Peak","-",IF(BaseLoad!K172&gt;BaseLoad!$G172,E$8*$Z173,0))</f>
        <v>-</v>
      </c>
      <c r="F173" s="432" t="str">
        <f aca="false">IF($A$1="Peak","-",IF(BaseLoad!L172&gt;BaseLoad!$G172,F$8*$Z173,0))</f>
        <v>-</v>
      </c>
      <c r="G173" s="432" t="str">
        <f aca="false">IF($A$1="Peak","-",IF(BaseLoad!M172&gt;BaseLoad!$G172,G$8*$Z173,0))</f>
        <v>-</v>
      </c>
      <c r="H173" s="432" t="str">
        <f aca="false">IF($A$1="Peak","-",IF(BaseLoad!N172&gt;BaseLoad!$G172,H$8*$Z173,0))</f>
        <v>-</v>
      </c>
      <c r="I173" s="432" t="str">
        <f aca="false">IF($A$1="Peak","-",IF(BaseLoad!O172&gt;BaseLoad!$G172,I$8*$Z173,0))</f>
        <v>-</v>
      </c>
      <c r="J173" s="432" t="str">
        <f aca="false">IF($A$1="Peak","-",IF(BaseLoad!P172&gt;BaseLoad!$G172,J$8*$Z173,0))</f>
        <v>-</v>
      </c>
      <c r="K173" s="432" t="str">
        <f aca="false">IF($A$1="Peak","-",IF(BaseLoad!Q172&gt;BaseLoad!$G172,K$8*$Z173,0))</f>
        <v>-</v>
      </c>
      <c r="L173" s="432" t="str">
        <f aca="false">IF($A$1="Peak","-",IF(BaseLoad!R172&gt;BaseLoad!$G172,L$8*$Z173,0))</f>
        <v>-</v>
      </c>
      <c r="M173" s="432" t="str">
        <f aca="false">IF($A$1="Peak","-",IF(BaseLoad!S172&gt;BaseLoad!$G172,M$8*$Z173,0))</f>
        <v>-</v>
      </c>
      <c r="N173" s="432" t="str">
        <f aca="false">IF($A$1="Peak","-",IF(BaseLoad!T172&gt;BaseLoad!$G172,N$8*$Z173,0))</f>
        <v>-</v>
      </c>
      <c r="O173" s="432" t="str">
        <f aca="false">IF($A$1="Peak","-",IF(BaseLoad!U172&gt;BaseLoad!$G172,O$8*$Z173,0))</f>
        <v>-</v>
      </c>
      <c r="P173" s="432" t="str">
        <f aca="false">IF($A$1="Peak","-",IF(BaseLoad!V172&gt;BaseLoad!$G172,P$8*$Z173,0))</f>
        <v>-</v>
      </c>
      <c r="Q173" s="432" t="str">
        <f aca="false">IF($A$1="Peak","-",IF(BaseLoad!W172&gt;BaseLoad!$G172,Q$8*$Z173,0))</f>
        <v>-</v>
      </c>
      <c r="R173" s="432" t="str">
        <f aca="false">IF($A$1="Peak","-",IF(BaseLoad!X172&gt;BaseLoad!$G172,R$8*$Z173,0))</f>
        <v>-</v>
      </c>
      <c r="S173" s="432" t="str">
        <f aca="false">IF($A$1="Peak","-",IF(BaseLoad!Y172&gt;BaseLoad!$G172,S$8*$Z173,0))</f>
        <v>-</v>
      </c>
      <c r="T173" s="432" t="str">
        <f aca="false">IF($A$1="Peak","-",IF(BaseLoad!Z172&gt;BaseLoad!$G172,T$8*$Z173,0))</f>
        <v>-</v>
      </c>
      <c r="U173" s="432" t="str">
        <f aca="false">IF($A$1="Peak","-",IF(BaseLoad!AA172&gt;BaseLoad!$G172,U$8*$Z173,0))</f>
        <v>-</v>
      </c>
      <c r="V173" s="432" t="n">
        <f aca="false">SUM(B173:U173)</f>
        <v>0</v>
      </c>
      <c r="W173" s="432"/>
      <c r="X173" s="432"/>
      <c r="Y173" s="432"/>
      <c r="Z173" s="432" t="n">
        <f aca="false">CHOOSE(QUOTIENT(MONTH($A173),3)+1,BaseLoad!$AM$9,BaseLoad!$AN$9,BaseLoad!$AL$9,BaseLoad!$AO$9,BaseLoad!$AM$9)</f>
        <v>0.966121359095586</v>
      </c>
      <c r="AA173" s="432" t="n">
        <f aca="false">CHOOSE(QUOTIENT(MONTH($A173),3)+1,BaseLoad!$AM$15,BaseLoad!$AN$15,BaseLoad!$AL$15,BaseLoad!$AO$15,BaseLoad!$AM$15)</f>
        <v>705</v>
      </c>
      <c r="AB173" s="431"/>
      <c r="AD173" s="431"/>
    </row>
    <row r="174" customFormat="false" ht="12.75" hidden="false" customHeight="false" outlineLevel="0" collapsed="false">
      <c r="A174" s="400" t="n">
        <f aca="false">A173+30.417</f>
        <v>41528.388</v>
      </c>
      <c r="B174" s="432" t="str">
        <f aca="false">IF($A$1="Peak","-",IF(BaseLoad!H173&gt;BaseLoad!$G173,B$8*$Z174,0))</f>
        <v>-</v>
      </c>
      <c r="C174" s="432" t="str">
        <f aca="false">IF($A$1="Peak","-",IF(BaseLoad!I173&gt;BaseLoad!$G173,C$8*$Z174,0))</f>
        <v>-</v>
      </c>
      <c r="D174" s="432" t="str">
        <f aca="false">IF($A$1="Peak","-",IF(BaseLoad!J173&gt;BaseLoad!$G173,D$8*$Z174,0))</f>
        <v>-</v>
      </c>
      <c r="E174" s="432" t="str">
        <f aca="false">IF($A$1="Peak","-",IF(BaseLoad!K173&gt;BaseLoad!$G173,E$8*$Z174,0))</f>
        <v>-</v>
      </c>
      <c r="F174" s="432" t="str">
        <f aca="false">IF($A$1="Peak","-",IF(BaseLoad!L173&gt;BaseLoad!$G173,F$8*$Z174,0))</f>
        <v>-</v>
      </c>
      <c r="G174" s="432" t="str">
        <f aca="false">IF($A$1="Peak","-",IF(BaseLoad!M173&gt;BaseLoad!$G173,G$8*$Z174,0))</f>
        <v>-</v>
      </c>
      <c r="H174" s="432" t="str">
        <f aca="false">IF($A$1="Peak","-",IF(BaseLoad!N173&gt;BaseLoad!$G173,H$8*$Z174,0))</f>
        <v>-</v>
      </c>
      <c r="I174" s="432" t="str">
        <f aca="false">IF($A$1="Peak","-",IF(BaseLoad!O173&gt;BaseLoad!$G173,I$8*$Z174,0))</f>
        <v>-</v>
      </c>
      <c r="J174" s="432" t="str">
        <f aca="false">IF($A$1="Peak","-",IF(BaseLoad!P173&gt;BaseLoad!$G173,J$8*$Z174,0))</f>
        <v>-</v>
      </c>
      <c r="K174" s="432" t="str">
        <f aca="false">IF($A$1="Peak","-",IF(BaseLoad!Q173&gt;BaseLoad!$G173,K$8*$Z174,0))</f>
        <v>-</v>
      </c>
      <c r="L174" s="432" t="str">
        <f aca="false">IF($A$1="Peak","-",IF(BaseLoad!R173&gt;BaseLoad!$G173,L$8*$Z174,0))</f>
        <v>-</v>
      </c>
      <c r="M174" s="432" t="str">
        <f aca="false">IF($A$1="Peak","-",IF(BaseLoad!S173&gt;BaseLoad!$G173,M$8*$Z174,0))</f>
        <v>-</v>
      </c>
      <c r="N174" s="432" t="str">
        <f aca="false">IF($A$1="Peak","-",IF(BaseLoad!T173&gt;BaseLoad!$G173,N$8*$Z174,0))</f>
        <v>-</v>
      </c>
      <c r="O174" s="432" t="str">
        <f aca="false">IF($A$1="Peak","-",IF(BaseLoad!U173&gt;BaseLoad!$G173,O$8*$Z174,0))</f>
        <v>-</v>
      </c>
      <c r="P174" s="432" t="str">
        <f aca="false">IF($A$1="Peak","-",IF(BaseLoad!V173&gt;BaseLoad!$G173,P$8*$Z174,0))</f>
        <v>-</v>
      </c>
      <c r="Q174" s="432" t="str">
        <f aca="false">IF($A$1="Peak","-",IF(BaseLoad!W173&gt;BaseLoad!$G173,Q$8*$Z174,0))</f>
        <v>-</v>
      </c>
      <c r="R174" s="432" t="str">
        <f aca="false">IF($A$1="Peak","-",IF(BaseLoad!X173&gt;BaseLoad!$G173,R$8*$Z174,0))</f>
        <v>-</v>
      </c>
      <c r="S174" s="432" t="str">
        <f aca="false">IF($A$1="Peak","-",IF(BaseLoad!Y173&gt;BaseLoad!$G173,S$8*$Z174,0))</f>
        <v>-</v>
      </c>
      <c r="T174" s="432" t="str">
        <f aca="false">IF($A$1="Peak","-",IF(BaseLoad!Z173&gt;BaseLoad!$G173,T$8*$Z174,0))</f>
        <v>-</v>
      </c>
      <c r="U174" s="432" t="str">
        <f aca="false">IF($A$1="Peak","-",IF(BaseLoad!AA173&gt;BaseLoad!$G173,U$8*$Z174,0))</f>
        <v>-</v>
      </c>
      <c r="V174" s="432" t="n">
        <f aca="false">SUM(B174:U174)</f>
        <v>0</v>
      </c>
      <c r="W174" s="432"/>
      <c r="X174" s="432"/>
      <c r="Y174" s="432"/>
      <c r="Z174" s="432" t="n">
        <f aca="false">CHOOSE(QUOTIENT(MONTH($A174),3)+1,BaseLoad!$AM$9,BaseLoad!$AN$9,BaseLoad!$AL$9,BaseLoad!$AO$9,BaseLoad!$AM$9)</f>
        <v>0.95</v>
      </c>
      <c r="AA174" s="432" t="n">
        <f aca="false">CHOOSE(QUOTIENT(MONTH($A174),3)+1,BaseLoad!$AM$15,BaseLoad!$AN$15,BaseLoad!$AL$15,BaseLoad!$AO$15,BaseLoad!$AM$15)</f>
        <v>705</v>
      </c>
      <c r="AB174" s="431"/>
      <c r="AD174" s="431"/>
    </row>
    <row r="175" customFormat="false" ht="12.75" hidden="false" customHeight="false" outlineLevel="0" collapsed="false">
      <c r="A175" s="400" t="n">
        <f aca="false">A174+30.417</f>
        <v>41558.805</v>
      </c>
      <c r="B175" s="432" t="str">
        <f aca="false">IF($A$1="Peak","-",IF(BaseLoad!H174&gt;BaseLoad!$G174,B$8*$Z175,0))</f>
        <v>-</v>
      </c>
      <c r="C175" s="432" t="str">
        <f aca="false">IF($A$1="Peak","-",IF(BaseLoad!I174&gt;BaseLoad!$G174,C$8*$Z175,0))</f>
        <v>-</v>
      </c>
      <c r="D175" s="432" t="str">
        <f aca="false">IF($A$1="Peak","-",IF(BaseLoad!J174&gt;BaseLoad!$G174,D$8*$Z175,0))</f>
        <v>-</v>
      </c>
      <c r="E175" s="432" t="str">
        <f aca="false">IF($A$1="Peak","-",IF(BaseLoad!K174&gt;BaseLoad!$G174,E$8*$Z175,0))</f>
        <v>-</v>
      </c>
      <c r="F175" s="432" t="str">
        <f aca="false">IF($A$1="Peak","-",IF(BaseLoad!L174&gt;BaseLoad!$G174,F$8*$Z175,0))</f>
        <v>-</v>
      </c>
      <c r="G175" s="432" t="str">
        <f aca="false">IF($A$1="Peak","-",IF(BaseLoad!M174&gt;BaseLoad!$G174,G$8*$Z175,0))</f>
        <v>-</v>
      </c>
      <c r="H175" s="432" t="str">
        <f aca="false">IF($A$1="Peak","-",IF(BaseLoad!N174&gt;BaseLoad!$G174,H$8*$Z175,0))</f>
        <v>-</v>
      </c>
      <c r="I175" s="432" t="str">
        <f aca="false">IF($A$1="Peak","-",IF(BaseLoad!O174&gt;BaseLoad!$G174,I$8*$Z175,0))</f>
        <v>-</v>
      </c>
      <c r="J175" s="432" t="str">
        <f aca="false">IF($A$1="Peak","-",IF(BaseLoad!P174&gt;BaseLoad!$G174,J$8*$Z175,0))</f>
        <v>-</v>
      </c>
      <c r="K175" s="432" t="str">
        <f aca="false">IF($A$1="Peak","-",IF(BaseLoad!Q174&gt;BaseLoad!$G174,K$8*$Z175,0))</f>
        <v>-</v>
      </c>
      <c r="L175" s="432" t="str">
        <f aca="false">IF($A$1="Peak","-",IF(BaseLoad!R174&gt;BaseLoad!$G174,L$8*$Z175,0))</f>
        <v>-</v>
      </c>
      <c r="M175" s="432" t="str">
        <f aca="false">IF($A$1="Peak","-",IF(BaseLoad!S174&gt;BaseLoad!$G174,M$8*$Z175,0))</f>
        <v>-</v>
      </c>
      <c r="N175" s="432" t="str">
        <f aca="false">IF($A$1="Peak","-",IF(BaseLoad!T174&gt;BaseLoad!$G174,N$8*$Z175,0))</f>
        <v>-</v>
      </c>
      <c r="O175" s="432" t="str">
        <f aca="false">IF($A$1="Peak","-",IF(BaseLoad!U174&gt;BaseLoad!$G174,O$8*$Z175,0))</f>
        <v>-</v>
      </c>
      <c r="P175" s="432" t="str">
        <f aca="false">IF($A$1="Peak","-",IF(BaseLoad!V174&gt;BaseLoad!$G174,P$8*$Z175,0))</f>
        <v>-</v>
      </c>
      <c r="Q175" s="432" t="str">
        <f aca="false">IF($A$1="Peak","-",IF(BaseLoad!W174&gt;BaseLoad!$G174,Q$8*$Z175,0))</f>
        <v>-</v>
      </c>
      <c r="R175" s="432" t="str">
        <f aca="false">IF($A$1="Peak","-",IF(BaseLoad!X174&gt;BaseLoad!$G174,R$8*$Z175,0))</f>
        <v>-</v>
      </c>
      <c r="S175" s="432" t="str">
        <f aca="false">IF($A$1="Peak","-",IF(BaseLoad!Y174&gt;BaseLoad!$G174,S$8*$Z175,0))</f>
        <v>-</v>
      </c>
      <c r="T175" s="432" t="str">
        <f aca="false">IF($A$1="Peak","-",IF(BaseLoad!Z174&gt;BaseLoad!$G174,T$8*$Z175,0))</f>
        <v>-</v>
      </c>
      <c r="U175" s="432" t="str">
        <f aca="false">IF($A$1="Peak","-",IF(BaseLoad!AA174&gt;BaseLoad!$G174,U$8*$Z175,0))</f>
        <v>-</v>
      </c>
      <c r="V175" s="432" t="n">
        <f aca="false">SUM(B175:U175)</f>
        <v>0</v>
      </c>
      <c r="W175" s="432"/>
      <c r="X175" s="432"/>
      <c r="Y175" s="432"/>
      <c r="Z175" s="432" t="n">
        <f aca="false">CHOOSE(QUOTIENT(MONTH($A175),3)+1,BaseLoad!$AM$9,BaseLoad!$AN$9,BaseLoad!$AL$9,BaseLoad!$AO$9,BaseLoad!$AM$9)</f>
        <v>0.95</v>
      </c>
      <c r="AA175" s="432" t="n">
        <f aca="false">CHOOSE(QUOTIENT(MONTH($A175),3)+1,BaseLoad!$AM$15,BaseLoad!$AN$15,BaseLoad!$AL$15,BaseLoad!$AO$15,BaseLoad!$AM$15)</f>
        <v>705</v>
      </c>
      <c r="AB175" s="431"/>
      <c r="AD175" s="431"/>
    </row>
    <row r="176" customFormat="false" ht="12.75" hidden="false" customHeight="false" outlineLevel="0" collapsed="false">
      <c r="A176" s="400" t="n">
        <f aca="false">A175+30.417</f>
        <v>41589.222</v>
      </c>
      <c r="B176" s="432" t="str">
        <f aca="false">IF($A$1="Peak","-",IF(BaseLoad!H175&gt;BaseLoad!$G175,B$8*$Z176,0))</f>
        <v>-</v>
      </c>
      <c r="C176" s="432" t="str">
        <f aca="false">IF($A$1="Peak","-",IF(BaseLoad!I175&gt;BaseLoad!$G175,C$8*$Z176,0))</f>
        <v>-</v>
      </c>
      <c r="D176" s="432" t="str">
        <f aca="false">IF($A$1="Peak","-",IF(BaseLoad!J175&gt;BaseLoad!$G175,D$8*$Z176,0))</f>
        <v>-</v>
      </c>
      <c r="E176" s="432" t="str">
        <f aca="false">IF($A$1="Peak","-",IF(BaseLoad!K175&gt;BaseLoad!$G175,E$8*$Z176,0))</f>
        <v>-</v>
      </c>
      <c r="F176" s="432" t="str">
        <f aca="false">IF($A$1="Peak","-",IF(BaseLoad!L175&gt;BaseLoad!$G175,F$8*$Z176,0))</f>
        <v>-</v>
      </c>
      <c r="G176" s="432" t="str">
        <f aca="false">IF($A$1="Peak","-",IF(BaseLoad!M175&gt;BaseLoad!$G175,G$8*$Z176,0))</f>
        <v>-</v>
      </c>
      <c r="H176" s="432" t="str">
        <f aca="false">IF($A$1="Peak","-",IF(BaseLoad!N175&gt;BaseLoad!$G175,H$8*$Z176,0))</f>
        <v>-</v>
      </c>
      <c r="I176" s="432" t="str">
        <f aca="false">IF($A$1="Peak","-",IF(BaseLoad!O175&gt;BaseLoad!$G175,I$8*$Z176,0))</f>
        <v>-</v>
      </c>
      <c r="J176" s="432" t="str">
        <f aca="false">IF($A$1="Peak","-",IF(BaseLoad!P175&gt;BaseLoad!$G175,J$8*$Z176,0))</f>
        <v>-</v>
      </c>
      <c r="K176" s="432" t="str">
        <f aca="false">IF($A$1="Peak","-",IF(BaseLoad!Q175&gt;BaseLoad!$G175,K$8*$Z176,0))</f>
        <v>-</v>
      </c>
      <c r="L176" s="432" t="str">
        <f aca="false">IF($A$1="Peak","-",IF(BaseLoad!R175&gt;BaseLoad!$G175,L$8*$Z176,0))</f>
        <v>-</v>
      </c>
      <c r="M176" s="432" t="str">
        <f aca="false">IF($A$1="Peak","-",IF(BaseLoad!S175&gt;BaseLoad!$G175,M$8*$Z176,0))</f>
        <v>-</v>
      </c>
      <c r="N176" s="432" t="str">
        <f aca="false">IF($A$1="Peak","-",IF(BaseLoad!T175&gt;BaseLoad!$G175,N$8*$Z176,0))</f>
        <v>-</v>
      </c>
      <c r="O176" s="432" t="str">
        <f aca="false">IF($A$1="Peak","-",IF(BaseLoad!U175&gt;BaseLoad!$G175,O$8*$Z176,0))</f>
        <v>-</v>
      </c>
      <c r="P176" s="432" t="str">
        <f aca="false">IF($A$1="Peak","-",IF(BaseLoad!V175&gt;BaseLoad!$G175,P$8*$Z176,0))</f>
        <v>-</v>
      </c>
      <c r="Q176" s="432" t="str">
        <f aca="false">IF($A$1="Peak","-",IF(BaseLoad!W175&gt;BaseLoad!$G175,Q$8*$Z176,0))</f>
        <v>-</v>
      </c>
      <c r="R176" s="432" t="str">
        <f aca="false">IF($A$1="Peak","-",IF(BaseLoad!X175&gt;BaseLoad!$G175,R$8*$Z176,0))</f>
        <v>-</v>
      </c>
      <c r="S176" s="432" t="str">
        <f aca="false">IF($A$1="Peak","-",IF(BaseLoad!Y175&gt;BaseLoad!$G175,S$8*$Z176,0))</f>
        <v>-</v>
      </c>
      <c r="T176" s="432" t="str">
        <f aca="false">IF($A$1="Peak","-",IF(BaseLoad!Z175&gt;BaseLoad!$G175,T$8*$Z176,0))</f>
        <v>-</v>
      </c>
      <c r="U176" s="432" t="str">
        <f aca="false">IF($A$1="Peak","-",IF(BaseLoad!AA175&gt;BaseLoad!$G175,U$8*$Z176,0))</f>
        <v>-</v>
      </c>
      <c r="V176" s="432" t="n">
        <f aca="false">SUM(B176:U176)</f>
        <v>0</v>
      </c>
      <c r="W176" s="432"/>
      <c r="X176" s="432"/>
      <c r="Y176" s="432"/>
      <c r="Z176" s="432" t="n">
        <f aca="false">CHOOSE(QUOTIENT(MONTH($A176),3)+1,BaseLoad!$AM$9,BaseLoad!$AN$9,BaseLoad!$AL$9,BaseLoad!$AO$9,BaseLoad!$AM$9)</f>
        <v>0.95</v>
      </c>
      <c r="AA176" s="432" t="n">
        <f aca="false">CHOOSE(QUOTIENT(MONTH($A176),3)+1,BaseLoad!$AM$15,BaseLoad!$AN$15,BaseLoad!$AL$15,BaseLoad!$AO$15,BaseLoad!$AM$15)</f>
        <v>705</v>
      </c>
      <c r="AB176" s="431"/>
      <c r="AD176" s="431"/>
    </row>
    <row r="177" customFormat="false" ht="12.75" hidden="false" customHeight="false" outlineLevel="0" collapsed="false">
      <c r="A177" s="400" t="n">
        <f aca="false">A176+30.417</f>
        <v>41619.639</v>
      </c>
      <c r="B177" s="432" t="str">
        <f aca="false">IF($A$1="Peak","-",IF(BaseLoad!H176&gt;BaseLoad!$G176,B$8*$Z177,0))</f>
        <v>-</v>
      </c>
      <c r="C177" s="432" t="str">
        <f aca="false">IF($A$1="Peak","-",IF(BaseLoad!I176&gt;BaseLoad!$G176,C$8*$Z177,0))</f>
        <v>-</v>
      </c>
      <c r="D177" s="432" t="str">
        <f aca="false">IF($A$1="Peak","-",IF(BaseLoad!J176&gt;BaseLoad!$G176,D$8*$Z177,0))</f>
        <v>-</v>
      </c>
      <c r="E177" s="432" t="str">
        <f aca="false">IF($A$1="Peak","-",IF(BaseLoad!K176&gt;BaseLoad!$G176,E$8*$Z177,0))</f>
        <v>-</v>
      </c>
      <c r="F177" s="432" t="str">
        <f aca="false">IF($A$1="Peak","-",IF(BaseLoad!L176&gt;BaseLoad!$G176,F$8*$Z177,0))</f>
        <v>-</v>
      </c>
      <c r="G177" s="432" t="str">
        <f aca="false">IF($A$1="Peak","-",IF(BaseLoad!M176&gt;BaseLoad!$G176,G$8*$Z177,0))</f>
        <v>-</v>
      </c>
      <c r="H177" s="432" t="str">
        <f aca="false">IF($A$1="Peak","-",IF(BaseLoad!N176&gt;BaseLoad!$G176,H$8*$Z177,0))</f>
        <v>-</v>
      </c>
      <c r="I177" s="432" t="str">
        <f aca="false">IF($A$1="Peak","-",IF(BaseLoad!O176&gt;BaseLoad!$G176,I$8*$Z177,0))</f>
        <v>-</v>
      </c>
      <c r="J177" s="432" t="str">
        <f aca="false">IF($A$1="Peak","-",IF(BaseLoad!P176&gt;BaseLoad!$G176,J$8*$Z177,0))</f>
        <v>-</v>
      </c>
      <c r="K177" s="432" t="str">
        <f aca="false">IF($A$1="Peak","-",IF(BaseLoad!Q176&gt;BaseLoad!$G176,K$8*$Z177,0))</f>
        <v>-</v>
      </c>
      <c r="L177" s="432" t="str">
        <f aca="false">IF($A$1="Peak","-",IF(BaseLoad!R176&gt;BaseLoad!$G176,L$8*$Z177,0))</f>
        <v>-</v>
      </c>
      <c r="M177" s="432" t="str">
        <f aca="false">IF($A$1="Peak","-",IF(BaseLoad!S176&gt;BaseLoad!$G176,M$8*$Z177,0))</f>
        <v>-</v>
      </c>
      <c r="N177" s="432" t="str">
        <f aca="false">IF($A$1="Peak","-",IF(BaseLoad!T176&gt;BaseLoad!$G176,N$8*$Z177,0))</f>
        <v>-</v>
      </c>
      <c r="O177" s="432" t="str">
        <f aca="false">IF($A$1="Peak","-",IF(BaseLoad!U176&gt;BaseLoad!$G176,O$8*$Z177,0))</f>
        <v>-</v>
      </c>
      <c r="P177" s="432" t="str">
        <f aca="false">IF($A$1="Peak","-",IF(BaseLoad!V176&gt;BaseLoad!$G176,P$8*$Z177,0))</f>
        <v>-</v>
      </c>
      <c r="Q177" s="432" t="str">
        <f aca="false">IF($A$1="Peak","-",IF(BaseLoad!W176&gt;BaseLoad!$G176,Q$8*$Z177,0))</f>
        <v>-</v>
      </c>
      <c r="R177" s="432" t="str">
        <f aca="false">IF($A$1="Peak","-",IF(BaseLoad!X176&gt;BaseLoad!$G176,R$8*$Z177,0))</f>
        <v>-</v>
      </c>
      <c r="S177" s="432" t="str">
        <f aca="false">IF($A$1="Peak","-",IF(BaseLoad!Y176&gt;BaseLoad!$G176,S$8*$Z177,0))</f>
        <v>-</v>
      </c>
      <c r="T177" s="432" t="str">
        <f aca="false">IF($A$1="Peak","-",IF(BaseLoad!Z176&gt;BaseLoad!$G176,T$8*$Z177,0))</f>
        <v>-</v>
      </c>
      <c r="U177" s="432" t="str">
        <f aca="false">IF($A$1="Peak","-",IF(BaseLoad!AA176&gt;BaseLoad!$G176,U$8*$Z177,0))</f>
        <v>-</v>
      </c>
      <c r="V177" s="432" t="n">
        <f aca="false">SUM(B177:U177)</f>
        <v>0</v>
      </c>
      <c r="W177" s="432"/>
      <c r="X177" s="432"/>
      <c r="Y177" s="432" t="n">
        <f aca="false">SUM(V166:V177)</f>
        <v>0</v>
      </c>
      <c r="Z177" s="432" t="n">
        <f aca="false">CHOOSE(QUOTIENT(MONTH($A177),3)+1,BaseLoad!$AM$9,BaseLoad!$AN$9,BaseLoad!$AL$9,BaseLoad!$AO$9,BaseLoad!$AM$9)</f>
        <v>0.924276618786118</v>
      </c>
      <c r="AA177" s="432" t="n">
        <f aca="false">CHOOSE(QUOTIENT(MONTH($A177),3)+1,BaseLoad!$AM$15,BaseLoad!$AN$15,BaseLoad!$AL$15,BaseLoad!$AO$15,BaseLoad!$AM$15)</f>
        <v>705</v>
      </c>
      <c r="AB177" s="431"/>
      <c r="AD177" s="431"/>
    </row>
    <row r="178" customFormat="false" ht="12.75" hidden="false" customHeight="false" outlineLevel="0" collapsed="false">
      <c r="A178" s="400" t="n">
        <f aca="false">A177+30.417</f>
        <v>41650.056</v>
      </c>
      <c r="B178" s="432" t="str">
        <f aca="false">IF($A$1="Peak","-",IF(BaseLoad!H177&gt;BaseLoad!$G177,B$8*$Z178,0))</f>
        <v>-</v>
      </c>
      <c r="C178" s="432" t="str">
        <f aca="false">IF($A$1="Peak","-",IF(BaseLoad!I177&gt;BaseLoad!$G177,C$8*$Z178,0))</f>
        <v>-</v>
      </c>
      <c r="D178" s="432" t="str">
        <f aca="false">IF($A$1="Peak","-",IF(BaseLoad!J177&gt;BaseLoad!$G177,D$8*$Z178,0))</f>
        <v>-</v>
      </c>
      <c r="E178" s="432" t="str">
        <f aca="false">IF($A$1="Peak","-",IF(BaseLoad!K177&gt;BaseLoad!$G177,E$8*$Z178,0))</f>
        <v>-</v>
      </c>
      <c r="F178" s="432" t="str">
        <f aca="false">IF($A$1="Peak","-",IF(BaseLoad!L177&gt;BaseLoad!$G177,F$8*$Z178,0))</f>
        <v>-</v>
      </c>
      <c r="G178" s="432" t="str">
        <f aca="false">IF($A$1="Peak","-",IF(BaseLoad!M177&gt;BaseLoad!$G177,G$8*$Z178,0))</f>
        <v>-</v>
      </c>
      <c r="H178" s="432" t="str">
        <f aca="false">IF($A$1="Peak","-",IF(BaseLoad!N177&gt;BaseLoad!$G177,H$8*$Z178,0))</f>
        <v>-</v>
      </c>
      <c r="I178" s="432" t="str">
        <f aca="false">IF($A$1="Peak","-",IF(BaseLoad!O177&gt;BaseLoad!$G177,I$8*$Z178,0))</f>
        <v>-</v>
      </c>
      <c r="J178" s="432" t="str">
        <f aca="false">IF($A$1="Peak","-",IF(BaseLoad!P177&gt;BaseLoad!$G177,J$8*$Z178,0))</f>
        <v>-</v>
      </c>
      <c r="K178" s="432" t="str">
        <f aca="false">IF($A$1="Peak","-",IF(BaseLoad!Q177&gt;BaseLoad!$G177,K$8*$Z178,0))</f>
        <v>-</v>
      </c>
      <c r="L178" s="432" t="str">
        <f aca="false">IF($A$1="Peak","-",IF(BaseLoad!R177&gt;BaseLoad!$G177,L$8*$Z178,0))</f>
        <v>-</v>
      </c>
      <c r="M178" s="432" t="str">
        <f aca="false">IF($A$1="Peak","-",IF(BaseLoad!S177&gt;BaseLoad!$G177,M$8*$Z178,0))</f>
        <v>-</v>
      </c>
      <c r="N178" s="432" t="str">
        <f aca="false">IF($A$1="Peak","-",IF(BaseLoad!T177&gt;BaseLoad!$G177,N$8*$Z178,0))</f>
        <v>-</v>
      </c>
      <c r="O178" s="432" t="str">
        <f aca="false">IF($A$1="Peak","-",IF(BaseLoad!U177&gt;BaseLoad!$G177,O$8*$Z178,0))</f>
        <v>-</v>
      </c>
      <c r="P178" s="432" t="str">
        <f aca="false">IF($A$1="Peak","-",IF(BaseLoad!V177&gt;BaseLoad!$G177,P$8*$Z178,0))</f>
        <v>-</v>
      </c>
      <c r="Q178" s="432" t="str">
        <f aca="false">IF($A$1="Peak","-",IF(BaseLoad!W177&gt;BaseLoad!$G177,Q$8*$Z178,0))</f>
        <v>-</v>
      </c>
      <c r="R178" s="432" t="str">
        <f aca="false">IF($A$1="Peak","-",IF(BaseLoad!X177&gt;BaseLoad!$G177,R$8*$Z178,0))</f>
        <v>-</v>
      </c>
      <c r="S178" s="432" t="str">
        <f aca="false">IF($A$1="Peak","-",IF(BaseLoad!Y177&gt;BaseLoad!$G177,S$8*$Z178,0))</f>
        <v>-</v>
      </c>
      <c r="T178" s="432" t="str">
        <f aca="false">IF($A$1="Peak","-",IF(BaseLoad!Z177&gt;BaseLoad!$G177,T$8*$Z178,0))</f>
        <v>-</v>
      </c>
      <c r="U178" s="432" t="str">
        <f aca="false">IF($A$1="Peak","-",IF(BaseLoad!AA177&gt;BaseLoad!$G177,U$8*$Z178,0))</f>
        <v>-</v>
      </c>
      <c r="V178" s="432" t="n">
        <f aca="false">SUM(B178:U178)</f>
        <v>0</v>
      </c>
      <c r="W178" s="432"/>
      <c r="X178" s="432"/>
      <c r="Y178" s="432"/>
      <c r="Z178" s="432" t="n">
        <f aca="false">CHOOSE(QUOTIENT(MONTH($A178),3)+1,BaseLoad!$AM$9,BaseLoad!$AN$9,BaseLoad!$AL$9,BaseLoad!$AO$9,BaseLoad!$AM$9)</f>
        <v>0.924276618786118</v>
      </c>
      <c r="AA178" s="432" t="n">
        <f aca="false">CHOOSE(QUOTIENT(MONTH($A178),3)+1,BaseLoad!$AM$15,BaseLoad!$AN$15,BaseLoad!$AL$15,BaseLoad!$AO$15,BaseLoad!$AM$15)</f>
        <v>705</v>
      </c>
      <c r="AB178" s="431"/>
      <c r="AD178" s="431"/>
    </row>
    <row r="179" customFormat="false" ht="12.75" hidden="false" customHeight="false" outlineLevel="0" collapsed="false">
      <c r="A179" s="400" t="n">
        <f aca="false">A178+30.417</f>
        <v>41680.473</v>
      </c>
      <c r="B179" s="432" t="str">
        <f aca="false">IF($A$1="Peak","-",IF(BaseLoad!H178&gt;BaseLoad!$G178,B$8*$Z179,0))</f>
        <v>-</v>
      </c>
      <c r="C179" s="432" t="str">
        <f aca="false">IF($A$1="Peak","-",IF(BaseLoad!I178&gt;BaseLoad!$G178,C$8*$Z179,0))</f>
        <v>-</v>
      </c>
      <c r="D179" s="432" t="str">
        <f aca="false">IF($A$1="Peak","-",IF(BaseLoad!J178&gt;BaseLoad!$G178,D$8*$Z179,0))</f>
        <v>-</v>
      </c>
      <c r="E179" s="432" t="str">
        <f aca="false">IF($A$1="Peak","-",IF(BaseLoad!K178&gt;BaseLoad!$G178,E$8*$Z179,0))</f>
        <v>-</v>
      </c>
      <c r="F179" s="432" t="str">
        <f aca="false">IF($A$1="Peak","-",IF(BaseLoad!L178&gt;BaseLoad!$G178,F$8*$Z179,0))</f>
        <v>-</v>
      </c>
      <c r="G179" s="432" t="str">
        <f aca="false">IF($A$1="Peak","-",IF(BaseLoad!M178&gt;BaseLoad!$G178,G$8*$Z179,0))</f>
        <v>-</v>
      </c>
      <c r="H179" s="432" t="str">
        <f aca="false">IF($A$1="Peak","-",IF(BaseLoad!N178&gt;BaseLoad!$G178,H$8*$Z179,0))</f>
        <v>-</v>
      </c>
      <c r="I179" s="432" t="str">
        <f aca="false">IF($A$1="Peak","-",IF(BaseLoad!O178&gt;BaseLoad!$G178,I$8*$Z179,0))</f>
        <v>-</v>
      </c>
      <c r="J179" s="432" t="str">
        <f aca="false">IF($A$1="Peak","-",IF(BaseLoad!P178&gt;BaseLoad!$G178,J$8*$Z179,0))</f>
        <v>-</v>
      </c>
      <c r="K179" s="432" t="str">
        <f aca="false">IF($A$1="Peak","-",IF(BaseLoad!Q178&gt;BaseLoad!$G178,K$8*$Z179,0))</f>
        <v>-</v>
      </c>
      <c r="L179" s="432" t="str">
        <f aca="false">IF($A$1="Peak","-",IF(BaseLoad!R178&gt;BaseLoad!$G178,L$8*$Z179,0))</f>
        <v>-</v>
      </c>
      <c r="M179" s="432" t="str">
        <f aca="false">IF($A$1="Peak","-",IF(BaseLoad!S178&gt;BaseLoad!$G178,M$8*$Z179,0))</f>
        <v>-</v>
      </c>
      <c r="N179" s="432" t="str">
        <f aca="false">IF($A$1="Peak","-",IF(BaseLoad!T178&gt;BaseLoad!$G178,N$8*$Z179,0))</f>
        <v>-</v>
      </c>
      <c r="O179" s="432" t="str">
        <f aca="false">IF($A$1="Peak","-",IF(BaseLoad!U178&gt;BaseLoad!$G178,O$8*$Z179,0))</f>
        <v>-</v>
      </c>
      <c r="P179" s="432" t="str">
        <f aca="false">IF($A$1="Peak","-",IF(BaseLoad!V178&gt;BaseLoad!$G178,P$8*$Z179,0))</f>
        <v>-</v>
      </c>
      <c r="Q179" s="432" t="str">
        <f aca="false">IF($A$1="Peak","-",IF(BaseLoad!W178&gt;BaseLoad!$G178,Q$8*$Z179,0))</f>
        <v>-</v>
      </c>
      <c r="R179" s="432" t="str">
        <f aca="false">IF($A$1="Peak","-",IF(BaseLoad!X178&gt;BaseLoad!$G178,R$8*$Z179,0))</f>
        <v>-</v>
      </c>
      <c r="S179" s="432" t="str">
        <f aca="false">IF($A$1="Peak","-",IF(BaseLoad!Y178&gt;BaseLoad!$G178,S$8*$Z179,0))</f>
        <v>-</v>
      </c>
      <c r="T179" s="432" t="str">
        <f aca="false">IF($A$1="Peak","-",IF(BaseLoad!Z178&gt;BaseLoad!$G178,T$8*$Z179,0))</f>
        <v>-</v>
      </c>
      <c r="U179" s="432" t="str">
        <f aca="false">IF($A$1="Peak","-",IF(BaseLoad!AA178&gt;BaseLoad!$G178,U$8*$Z179,0))</f>
        <v>-</v>
      </c>
      <c r="V179" s="432" t="n">
        <f aca="false">SUM(B179:U179)</f>
        <v>0</v>
      </c>
      <c r="W179" s="432"/>
      <c r="X179" s="432"/>
      <c r="Y179" s="432"/>
      <c r="Z179" s="432" t="n">
        <f aca="false">CHOOSE(QUOTIENT(MONTH($A179),3)+1,BaseLoad!$AM$9,BaseLoad!$AN$9,BaseLoad!$AL$9,BaseLoad!$AO$9,BaseLoad!$AM$9)</f>
        <v>0.924276618786118</v>
      </c>
      <c r="AA179" s="432" t="n">
        <f aca="false">CHOOSE(QUOTIENT(MONTH($A179),3)+1,BaseLoad!$AM$15,BaseLoad!$AN$15,BaseLoad!$AL$15,BaseLoad!$AO$15,BaseLoad!$AM$15)</f>
        <v>705</v>
      </c>
      <c r="AB179" s="431"/>
      <c r="AD179" s="431"/>
    </row>
    <row r="180" customFormat="false" ht="12.75" hidden="false" customHeight="false" outlineLevel="0" collapsed="false">
      <c r="A180" s="400" t="n">
        <f aca="false">A179+30.417</f>
        <v>41710.89</v>
      </c>
      <c r="B180" s="432" t="str">
        <f aca="false">IF($A$1="Peak","-",IF(BaseLoad!H179&gt;BaseLoad!$G179,B$8*$Z180,0))</f>
        <v>-</v>
      </c>
      <c r="C180" s="432" t="str">
        <f aca="false">IF($A$1="Peak","-",IF(BaseLoad!I179&gt;BaseLoad!$G179,C$8*$Z180,0))</f>
        <v>-</v>
      </c>
      <c r="D180" s="432" t="str">
        <f aca="false">IF($A$1="Peak","-",IF(BaseLoad!J179&gt;BaseLoad!$G179,D$8*$Z180,0))</f>
        <v>-</v>
      </c>
      <c r="E180" s="432" t="str">
        <f aca="false">IF($A$1="Peak","-",IF(BaseLoad!K179&gt;BaseLoad!$G179,E$8*$Z180,0))</f>
        <v>-</v>
      </c>
      <c r="F180" s="432" t="str">
        <f aca="false">IF($A$1="Peak","-",IF(BaseLoad!L179&gt;BaseLoad!$G179,F$8*$Z180,0))</f>
        <v>-</v>
      </c>
      <c r="G180" s="432" t="str">
        <f aca="false">IF($A$1="Peak","-",IF(BaseLoad!M179&gt;BaseLoad!$G179,G$8*$Z180,0))</f>
        <v>-</v>
      </c>
      <c r="H180" s="432" t="str">
        <f aca="false">IF($A$1="Peak","-",IF(BaseLoad!N179&gt;BaseLoad!$G179,H$8*$Z180,0))</f>
        <v>-</v>
      </c>
      <c r="I180" s="432" t="str">
        <f aca="false">IF($A$1="Peak","-",IF(BaseLoad!O179&gt;BaseLoad!$G179,I$8*$Z180,0))</f>
        <v>-</v>
      </c>
      <c r="J180" s="432" t="str">
        <f aca="false">IF($A$1="Peak","-",IF(BaseLoad!P179&gt;BaseLoad!$G179,J$8*$Z180,0))</f>
        <v>-</v>
      </c>
      <c r="K180" s="432" t="str">
        <f aca="false">IF($A$1="Peak","-",IF(BaseLoad!Q179&gt;BaseLoad!$G179,K$8*$Z180,0))</f>
        <v>-</v>
      </c>
      <c r="L180" s="432" t="str">
        <f aca="false">IF($A$1="Peak","-",IF(BaseLoad!R179&gt;BaseLoad!$G179,L$8*$Z180,0))</f>
        <v>-</v>
      </c>
      <c r="M180" s="432" t="str">
        <f aca="false">IF($A$1="Peak","-",IF(BaseLoad!S179&gt;BaseLoad!$G179,M$8*$Z180,0))</f>
        <v>-</v>
      </c>
      <c r="N180" s="432" t="str">
        <f aca="false">IF($A$1="Peak","-",IF(BaseLoad!T179&gt;BaseLoad!$G179,N$8*$Z180,0))</f>
        <v>-</v>
      </c>
      <c r="O180" s="432" t="str">
        <f aca="false">IF($A$1="Peak","-",IF(BaseLoad!U179&gt;BaseLoad!$G179,O$8*$Z180,0))</f>
        <v>-</v>
      </c>
      <c r="P180" s="432" t="str">
        <f aca="false">IF($A$1="Peak","-",IF(BaseLoad!V179&gt;BaseLoad!$G179,P$8*$Z180,0))</f>
        <v>-</v>
      </c>
      <c r="Q180" s="432" t="str">
        <f aca="false">IF($A$1="Peak","-",IF(BaseLoad!W179&gt;BaseLoad!$G179,Q$8*$Z180,0))</f>
        <v>-</v>
      </c>
      <c r="R180" s="432" t="str">
        <f aca="false">IF($A$1="Peak","-",IF(BaseLoad!X179&gt;BaseLoad!$G179,R$8*$Z180,0))</f>
        <v>-</v>
      </c>
      <c r="S180" s="432" t="str">
        <f aca="false">IF($A$1="Peak","-",IF(BaseLoad!Y179&gt;BaseLoad!$G179,S$8*$Z180,0))</f>
        <v>-</v>
      </c>
      <c r="T180" s="432" t="str">
        <f aca="false">IF($A$1="Peak","-",IF(BaseLoad!Z179&gt;BaseLoad!$G179,T$8*$Z180,0))</f>
        <v>-</v>
      </c>
      <c r="U180" s="432" t="str">
        <f aca="false">IF($A$1="Peak","-",IF(BaseLoad!AA179&gt;BaseLoad!$G179,U$8*$Z180,0))</f>
        <v>-</v>
      </c>
      <c r="V180" s="432" t="n">
        <f aca="false">SUM(B180:U180)</f>
        <v>0</v>
      </c>
      <c r="W180" s="432"/>
      <c r="X180" s="432"/>
      <c r="Y180" s="432"/>
      <c r="Z180" s="432" t="n">
        <f aca="false">CHOOSE(QUOTIENT(MONTH($A180),3)+1,BaseLoad!$AM$9,BaseLoad!$AN$9,BaseLoad!$AL$9,BaseLoad!$AO$9,BaseLoad!$AM$9)</f>
        <v>0.95</v>
      </c>
      <c r="AA180" s="432" t="n">
        <f aca="false">CHOOSE(QUOTIENT(MONTH($A180),3)+1,BaseLoad!$AM$15,BaseLoad!$AN$15,BaseLoad!$AL$15,BaseLoad!$AO$15,BaseLoad!$AM$15)</f>
        <v>705</v>
      </c>
      <c r="AB180" s="431"/>
      <c r="AD180" s="431"/>
    </row>
    <row r="181" customFormat="false" ht="12.75" hidden="false" customHeight="false" outlineLevel="0" collapsed="false">
      <c r="A181" s="400" t="n">
        <f aca="false">A180+30.417</f>
        <v>41741.307</v>
      </c>
      <c r="B181" s="432" t="str">
        <f aca="false">IF($A$1="Peak","-",IF(BaseLoad!H180&gt;BaseLoad!$G180,B$8*$Z181,0))</f>
        <v>-</v>
      </c>
      <c r="C181" s="432" t="str">
        <f aca="false">IF($A$1="Peak","-",IF(BaseLoad!I180&gt;BaseLoad!$G180,C$8*$Z181,0))</f>
        <v>-</v>
      </c>
      <c r="D181" s="432" t="str">
        <f aca="false">IF($A$1="Peak","-",IF(BaseLoad!J180&gt;BaseLoad!$G180,D$8*$Z181,0))</f>
        <v>-</v>
      </c>
      <c r="E181" s="432" t="str">
        <f aca="false">IF($A$1="Peak","-",IF(BaseLoad!K180&gt;BaseLoad!$G180,E$8*$Z181,0))</f>
        <v>-</v>
      </c>
      <c r="F181" s="432" t="str">
        <f aca="false">IF($A$1="Peak","-",IF(BaseLoad!L180&gt;BaseLoad!$G180,F$8*$Z181,0))</f>
        <v>-</v>
      </c>
      <c r="G181" s="432" t="str">
        <f aca="false">IF($A$1="Peak","-",IF(BaseLoad!M180&gt;BaseLoad!$G180,G$8*$Z181,0))</f>
        <v>-</v>
      </c>
      <c r="H181" s="432" t="str">
        <f aca="false">IF($A$1="Peak","-",IF(BaseLoad!N180&gt;BaseLoad!$G180,H$8*$Z181,0))</f>
        <v>-</v>
      </c>
      <c r="I181" s="432" t="str">
        <f aca="false">IF($A$1="Peak","-",IF(BaseLoad!O180&gt;BaseLoad!$G180,I$8*$Z181,0))</f>
        <v>-</v>
      </c>
      <c r="J181" s="432" t="str">
        <f aca="false">IF($A$1="Peak","-",IF(BaseLoad!P180&gt;BaseLoad!$G180,J$8*$Z181,0))</f>
        <v>-</v>
      </c>
      <c r="K181" s="432" t="str">
        <f aca="false">IF($A$1="Peak","-",IF(BaseLoad!Q180&gt;BaseLoad!$G180,K$8*$Z181,0))</f>
        <v>-</v>
      </c>
      <c r="L181" s="432" t="str">
        <f aca="false">IF($A$1="Peak","-",IF(BaseLoad!R180&gt;BaseLoad!$G180,L$8*$Z181,0))</f>
        <v>-</v>
      </c>
      <c r="M181" s="432" t="str">
        <f aca="false">IF($A$1="Peak","-",IF(BaseLoad!S180&gt;BaseLoad!$G180,M$8*$Z181,0))</f>
        <v>-</v>
      </c>
      <c r="N181" s="432" t="str">
        <f aca="false">IF($A$1="Peak","-",IF(BaseLoad!T180&gt;BaseLoad!$G180,N$8*$Z181,0))</f>
        <v>-</v>
      </c>
      <c r="O181" s="432" t="str">
        <f aca="false">IF($A$1="Peak","-",IF(BaseLoad!U180&gt;BaseLoad!$G180,O$8*$Z181,0))</f>
        <v>-</v>
      </c>
      <c r="P181" s="432" t="str">
        <f aca="false">IF($A$1="Peak","-",IF(BaseLoad!V180&gt;BaseLoad!$G180,P$8*$Z181,0))</f>
        <v>-</v>
      </c>
      <c r="Q181" s="432" t="str">
        <f aca="false">IF($A$1="Peak","-",IF(BaseLoad!W180&gt;BaseLoad!$G180,Q$8*$Z181,0))</f>
        <v>-</v>
      </c>
      <c r="R181" s="432" t="str">
        <f aca="false">IF($A$1="Peak","-",IF(BaseLoad!X180&gt;BaseLoad!$G180,R$8*$Z181,0))</f>
        <v>-</v>
      </c>
      <c r="S181" s="432" t="str">
        <f aca="false">IF($A$1="Peak","-",IF(BaseLoad!Y180&gt;BaseLoad!$G180,S$8*$Z181,0))</f>
        <v>-</v>
      </c>
      <c r="T181" s="432" t="str">
        <f aca="false">IF($A$1="Peak","-",IF(BaseLoad!Z180&gt;BaseLoad!$G180,T$8*$Z181,0))</f>
        <v>-</v>
      </c>
      <c r="U181" s="432" t="str">
        <f aca="false">IF($A$1="Peak","-",IF(BaseLoad!AA180&gt;BaseLoad!$G180,U$8*$Z181,0))</f>
        <v>-</v>
      </c>
      <c r="V181" s="432" t="n">
        <f aca="false">SUM(B181:U181)</f>
        <v>0</v>
      </c>
      <c r="W181" s="432"/>
      <c r="X181" s="432"/>
      <c r="Y181" s="432"/>
      <c r="Z181" s="432" t="n">
        <f aca="false">CHOOSE(QUOTIENT(MONTH($A181),3)+1,BaseLoad!$AM$9,BaseLoad!$AN$9,BaseLoad!$AL$9,BaseLoad!$AO$9,BaseLoad!$AM$9)</f>
        <v>0.95</v>
      </c>
      <c r="AA181" s="432" t="n">
        <f aca="false">CHOOSE(QUOTIENT(MONTH($A181),3)+1,BaseLoad!$AM$15,BaseLoad!$AN$15,BaseLoad!$AL$15,BaseLoad!$AO$15,BaseLoad!$AM$15)</f>
        <v>705</v>
      </c>
      <c r="AB181" s="431"/>
      <c r="AD181" s="431"/>
    </row>
    <row r="182" customFormat="false" ht="12.75" hidden="false" customHeight="false" outlineLevel="0" collapsed="false">
      <c r="A182" s="400" t="n">
        <f aca="false">A181+30.417</f>
        <v>41771.724</v>
      </c>
      <c r="B182" s="432" t="str">
        <f aca="false">IF($A$1="Peak","-",IF(BaseLoad!H181&gt;BaseLoad!$G181,B$8*$Z182,0))</f>
        <v>-</v>
      </c>
      <c r="C182" s="432" t="str">
        <f aca="false">IF($A$1="Peak","-",IF(BaseLoad!I181&gt;BaseLoad!$G181,C$8*$Z182,0))</f>
        <v>-</v>
      </c>
      <c r="D182" s="432" t="str">
        <f aca="false">IF($A$1="Peak","-",IF(BaseLoad!J181&gt;BaseLoad!$G181,D$8*$Z182,0))</f>
        <v>-</v>
      </c>
      <c r="E182" s="432" t="str">
        <f aca="false">IF($A$1="Peak","-",IF(BaseLoad!K181&gt;BaseLoad!$G181,E$8*$Z182,0))</f>
        <v>-</v>
      </c>
      <c r="F182" s="432" t="str">
        <f aca="false">IF($A$1="Peak","-",IF(BaseLoad!L181&gt;BaseLoad!$G181,F$8*$Z182,0))</f>
        <v>-</v>
      </c>
      <c r="G182" s="432" t="str">
        <f aca="false">IF($A$1="Peak","-",IF(BaseLoad!M181&gt;BaseLoad!$G181,G$8*$Z182,0))</f>
        <v>-</v>
      </c>
      <c r="H182" s="432" t="str">
        <f aca="false">IF($A$1="Peak","-",IF(BaseLoad!N181&gt;BaseLoad!$G181,H$8*$Z182,0))</f>
        <v>-</v>
      </c>
      <c r="I182" s="432" t="str">
        <f aca="false">IF($A$1="Peak","-",IF(BaseLoad!O181&gt;BaseLoad!$G181,I$8*$Z182,0))</f>
        <v>-</v>
      </c>
      <c r="J182" s="432" t="str">
        <f aca="false">IF($A$1="Peak","-",IF(BaseLoad!P181&gt;BaseLoad!$G181,J$8*$Z182,0))</f>
        <v>-</v>
      </c>
      <c r="K182" s="432" t="str">
        <f aca="false">IF($A$1="Peak","-",IF(BaseLoad!Q181&gt;BaseLoad!$G181,K$8*$Z182,0))</f>
        <v>-</v>
      </c>
      <c r="L182" s="432" t="str">
        <f aca="false">IF($A$1="Peak","-",IF(BaseLoad!R181&gt;BaseLoad!$G181,L$8*$Z182,0))</f>
        <v>-</v>
      </c>
      <c r="M182" s="432" t="str">
        <f aca="false">IF($A$1="Peak","-",IF(BaseLoad!S181&gt;BaseLoad!$G181,M$8*$Z182,0))</f>
        <v>-</v>
      </c>
      <c r="N182" s="432" t="str">
        <f aca="false">IF($A$1="Peak","-",IF(BaseLoad!T181&gt;BaseLoad!$G181,N$8*$Z182,0))</f>
        <v>-</v>
      </c>
      <c r="O182" s="432" t="str">
        <f aca="false">IF($A$1="Peak","-",IF(BaseLoad!U181&gt;BaseLoad!$G181,O$8*$Z182,0))</f>
        <v>-</v>
      </c>
      <c r="P182" s="432" t="str">
        <f aca="false">IF($A$1="Peak","-",IF(BaseLoad!V181&gt;BaseLoad!$G181,P$8*$Z182,0))</f>
        <v>-</v>
      </c>
      <c r="Q182" s="432" t="str">
        <f aca="false">IF($A$1="Peak","-",IF(BaseLoad!W181&gt;BaseLoad!$G181,Q$8*$Z182,0))</f>
        <v>-</v>
      </c>
      <c r="R182" s="432" t="str">
        <f aca="false">IF($A$1="Peak","-",IF(BaseLoad!X181&gt;BaseLoad!$G181,R$8*$Z182,0))</f>
        <v>-</v>
      </c>
      <c r="S182" s="432" t="str">
        <f aca="false">IF($A$1="Peak","-",IF(BaseLoad!Y181&gt;BaseLoad!$G181,S$8*$Z182,0))</f>
        <v>-</v>
      </c>
      <c r="T182" s="432" t="str">
        <f aca="false">IF($A$1="Peak","-",IF(BaseLoad!Z181&gt;BaseLoad!$G181,T$8*$Z182,0))</f>
        <v>-</v>
      </c>
      <c r="U182" s="432" t="str">
        <f aca="false">IF($A$1="Peak","-",IF(BaseLoad!AA181&gt;BaseLoad!$G181,U$8*$Z182,0))</f>
        <v>-</v>
      </c>
      <c r="V182" s="432" t="n">
        <f aca="false">SUM(B182:U182)</f>
        <v>0</v>
      </c>
      <c r="W182" s="432"/>
      <c r="X182" s="432"/>
      <c r="Y182" s="432"/>
      <c r="Z182" s="432" t="n">
        <f aca="false">CHOOSE(QUOTIENT(MONTH($A182),3)+1,BaseLoad!$AM$9,BaseLoad!$AN$9,BaseLoad!$AL$9,BaseLoad!$AO$9,BaseLoad!$AM$9)</f>
        <v>0.95</v>
      </c>
      <c r="AA182" s="432" t="n">
        <f aca="false">CHOOSE(QUOTIENT(MONTH($A182),3)+1,BaseLoad!$AM$15,BaseLoad!$AN$15,BaseLoad!$AL$15,BaseLoad!$AO$15,BaseLoad!$AM$15)</f>
        <v>705</v>
      </c>
      <c r="AB182" s="431"/>
      <c r="AD182" s="431"/>
    </row>
    <row r="183" customFormat="false" ht="12.75" hidden="false" customHeight="false" outlineLevel="0" collapsed="false">
      <c r="A183" s="400" t="n">
        <f aca="false">A182+30.417</f>
        <v>41802.141</v>
      </c>
      <c r="B183" s="432" t="str">
        <f aca="false">IF($A$1="Peak","-",IF(BaseLoad!H182&gt;BaseLoad!$G182,B$8*$Z183,0))</f>
        <v>-</v>
      </c>
      <c r="C183" s="432" t="str">
        <f aca="false">IF($A$1="Peak","-",IF(BaseLoad!I182&gt;BaseLoad!$G182,C$8*$Z183,0))</f>
        <v>-</v>
      </c>
      <c r="D183" s="432" t="str">
        <f aca="false">IF($A$1="Peak","-",IF(BaseLoad!J182&gt;BaseLoad!$G182,D$8*$Z183,0))</f>
        <v>-</v>
      </c>
      <c r="E183" s="432" t="str">
        <f aca="false">IF($A$1="Peak","-",IF(BaseLoad!K182&gt;BaseLoad!$G182,E$8*$Z183,0))</f>
        <v>-</v>
      </c>
      <c r="F183" s="432" t="str">
        <f aca="false">IF($A$1="Peak","-",IF(BaseLoad!L182&gt;BaseLoad!$G182,F$8*$Z183,0))</f>
        <v>-</v>
      </c>
      <c r="G183" s="432" t="str">
        <f aca="false">IF($A$1="Peak","-",IF(BaseLoad!M182&gt;BaseLoad!$G182,G$8*$Z183,0))</f>
        <v>-</v>
      </c>
      <c r="H183" s="432" t="str">
        <f aca="false">IF($A$1="Peak","-",IF(BaseLoad!N182&gt;BaseLoad!$G182,H$8*$Z183,0))</f>
        <v>-</v>
      </c>
      <c r="I183" s="432" t="str">
        <f aca="false">IF($A$1="Peak","-",IF(BaseLoad!O182&gt;BaseLoad!$G182,I$8*$Z183,0))</f>
        <v>-</v>
      </c>
      <c r="J183" s="432" t="str">
        <f aca="false">IF($A$1="Peak","-",IF(BaseLoad!P182&gt;BaseLoad!$G182,J$8*$Z183,0))</f>
        <v>-</v>
      </c>
      <c r="K183" s="432" t="str">
        <f aca="false">IF($A$1="Peak","-",IF(BaseLoad!Q182&gt;BaseLoad!$G182,K$8*$Z183,0))</f>
        <v>-</v>
      </c>
      <c r="L183" s="432" t="str">
        <f aca="false">IF($A$1="Peak","-",IF(BaseLoad!R182&gt;BaseLoad!$G182,L$8*$Z183,0))</f>
        <v>-</v>
      </c>
      <c r="M183" s="432" t="str">
        <f aca="false">IF($A$1="Peak","-",IF(BaseLoad!S182&gt;BaseLoad!$G182,M$8*$Z183,0))</f>
        <v>-</v>
      </c>
      <c r="N183" s="432" t="str">
        <f aca="false">IF($A$1="Peak","-",IF(BaseLoad!T182&gt;BaseLoad!$G182,N$8*$Z183,0))</f>
        <v>-</v>
      </c>
      <c r="O183" s="432" t="str">
        <f aca="false">IF($A$1="Peak","-",IF(BaseLoad!U182&gt;BaseLoad!$G182,O$8*$Z183,0))</f>
        <v>-</v>
      </c>
      <c r="P183" s="432" t="str">
        <f aca="false">IF($A$1="Peak","-",IF(BaseLoad!V182&gt;BaseLoad!$G182,P$8*$Z183,0))</f>
        <v>-</v>
      </c>
      <c r="Q183" s="432" t="str">
        <f aca="false">IF($A$1="Peak","-",IF(BaseLoad!W182&gt;BaseLoad!$G182,Q$8*$Z183,0))</f>
        <v>-</v>
      </c>
      <c r="R183" s="432" t="str">
        <f aca="false">IF($A$1="Peak","-",IF(BaseLoad!X182&gt;BaseLoad!$G182,R$8*$Z183,0))</f>
        <v>-</v>
      </c>
      <c r="S183" s="432" t="str">
        <f aca="false">IF($A$1="Peak","-",IF(BaseLoad!Y182&gt;BaseLoad!$G182,S$8*$Z183,0))</f>
        <v>-</v>
      </c>
      <c r="T183" s="432" t="str">
        <f aca="false">IF($A$1="Peak","-",IF(BaseLoad!Z182&gt;BaseLoad!$G182,T$8*$Z183,0))</f>
        <v>-</v>
      </c>
      <c r="U183" s="432" t="str">
        <f aca="false">IF($A$1="Peak","-",IF(BaseLoad!AA182&gt;BaseLoad!$G182,U$8*$Z183,0))</f>
        <v>-</v>
      </c>
      <c r="V183" s="432" t="n">
        <f aca="false">SUM(B183:U183)</f>
        <v>0</v>
      </c>
      <c r="W183" s="432"/>
      <c r="X183" s="432"/>
      <c r="Y183" s="432"/>
      <c r="Z183" s="432" t="n">
        <f aca="false">CHOOSE(QUOTIENT(MONTH($A183),3)+1,BaseLoad!$AM$9,BaseLoad!$AN$9,BaseLoad!$AL$9,BaseLoad!$AO$9,BaseLoad!$AM$9)</f>
        <v>0.966121359095586</v>
      </c>
      <c r="AA183" s="432" t="n">
        <f aca="false">CHOOSE(QUOTIENT(MONTH($A183),3)+1,BaseLoad!$AM$15,BaseLoad!$AN$15,BaseLoad!$AL$15,BaseLoad!$AO$15,BaseLoad!$AM$15)</f>
        <v>705</v>
      </c>
      <c r="AB183" s="431"/>
      <c r="AD183" s="431"/>
    </row>
    <row r="184" customFormat="false" ht="12.75" hidden="false" customHeight="false" outlineLevel="0" collapsed="false">
      <c r="A184" s="400" t="n">
        <f aca="false">A183+30.417</f>
        <v>41832.558</v>
      </c>
      <c r="B184" s="432" t="str">
        <f aca="false">IF($A$1="Peak","-",IF(BaseLoad!H183&gt;BaseLoad!$G183,B$8*$Z184,0))</f>
        <v>-</v>
      </c>
      <c r="C184" s="432" t="str">
        <f aca="false">IF($A$1="Peak","-",IF(BaseLoad!I183&gt;BaseLoad!$G183,C$8*$Z184,0))</f>
        <v>-</v>
      </c>
      <c r="D184" s="432" t="str">
        <f aca="false">IF($A$1="Peak","-",IF(BaseLoad!J183&gt;BaseLoad!$G183,D$8*$Z184,0))</f>
        <v>-</v>
      </c>
      <c r="E184" s="432" t="str">
        <f aca="false">IF($A$1="Peak","-",IF(BaseLoad!K183&gt;BaseLoad!$G183,E$8*$Z184,0))</f>
        <v>-</v>
      </c>
      <c r="F184" s="432" t="str">
        <f aca="false">IF($A$1="Peak","-",IF(BaseLoad!L183&gt;BaseLoad!$G183,F$8*$Z184,0))</f>
        <v>-</v>
      </c>
      <c r="G184" s="432" t="str">
        <f aca="false">IF($A$1="Peak","-",IF(BaseLoad!M183&gt;BaseLoad!$G183,G$8*$Z184,0))</f>
        <v>-</v>
      </c>
      <c r="H184" s="432" t="str">
        <f aca="false">IF($A$1="Peak","-",IF(BaseLoad!N183&gt;BaseLoad!$G183,H$8*$Z184,0))</f>
        <v>-</v>
      </c>
      <c r="I184" s="432" t="str">
        <f aca="false">IF($A$1="Peak","-",IF(BaseLoad!O183&gt;BaseLoad!$G183,I$8*$Z184,0))</f>
        <v>-</v>
      </c>
      <c r="J184" s="432" t="str">
        <f aca="false">IF($A$1="Peak","-",IF(BaseLoad!P183&gt;BaseLoad!$G183,J$8*$Z184,0))</f>
        <v>-</v>
      </c>
      <c r="K184" s="432" t="str">
        <f aca="false">IF($A$1="Peak","-",IF(BaseLoad!Q183&gt;BaseLoad!$G183,K$8*$Z184,0))</f>
        <v>-</v>
      </c>
      <c r="L184" s="432" t="str">
        <f aca="false">IF($A$1="Peak","-",IF(BaseLoad!R183&gt;BaseLoad!$G183,L$8*$Z184,0))</f>
        <v>-</v>
      </c>
      <c r="M184" s="432" t="str">
        <f aca="false">IF($A$1="Peak","-",IF(BaseLoad!S183&gt;BaseLoad!$G183,M$8*$Z184,0))</f>
        <v>-</v>
      </c>
      <c r="N184" s="432" t="str">
        <f aca="false">IF($A$1="Peak","-",IF(BaseLoad!T183&gt;BaseLoad!$G183,N$8*$Z184,0))</f>
        <v>-</v>
      </c>
      <c r="O184" s="432" t="str">
        <f aca="false">IF($A$1="Peak","-",IF(BaseLoad!U183&gt;BaseLoad!$G183,O$8*$Z184,0))</f>
        <v>-</v>
      </c>
      <c r="P184" s="432" t="str">
        <f aca="false">IF($A$1="Peak","-",IF(BaseLoad!V183&gt;BaseLoad!$G183,P$8*$Z184,0))</f>
        <v>-</v>
      </c>
      <c r="Q184" s="432" t="str">
        <f aca="false">IF($A$1="Peak","-",IF(BaseLoad!W183&gt;BaseLoad!$G183,Q$8*$Z184,0))</f>
        <v>-</v>
      </c>
      <c r="R184" s="432" t="str">
        <f aca="false">IF($A$1="Peak","-",IF(BaseLoad!X183&gt;BaseLoad!$G183,R$8*$Z184,0))</f>
        <v>-</v>
      </c>
      <c r="S184" s="432" t="str">
        <f aca="false">IF($A$1="Peak","-",IF(BaseLoad!Y183&gt;BaseLoad!$G183,S$8*$Z184,0))</f>
        <v>-</v>
      </c>
      <c r="T184" s="432" t="str">
        <f aca="false">IF($A$1="Peak","-",IF(BaseLoad!Z183&gt;BaseLoad!$G183,T$8*$Z184,0))</f>
        <v>-</v>
      </c>
      <c r="U184" s="432" t="str">
        <f aca="false">IF($A$1="Peak","-",IF(BaseLoad!AA183&gt;BaseLoad!$G183,U$8*$Z184,0))</f>
        <v>-</v>
      </c>
      <c r="V184" s="432" t="n">
        <f aca="false">SUM(B184:U184)</f>
        <v>0</v>
      </c>
      <c r="W184" s="432"/>
      <c r="X184" s="432"/>
      <c r="Y184" s="432"/>
      <c r="Z184" s="432" t="n">
        <f aca="false">CHOOSE(QUOTIENT(MONTH($A184),3)+1,BaseLoad!$AM$9,BaseLoad!$AN$9,BaseLoad!$AL$9,BaseLoad!$AO$9,BaseLoad!$AM$9)</f>
        <v>0.966121359095586</v>
      </c>
      <c r="AA184" s="432" t="n">
        <f aca="false">CHOOSE(QUOTIENT(MONTH($A184),3)+1,BaseLoad!$AM$15,BaseLoad!$AN$15,BaseLoad!$AL$15,BaseLoad!$AO$15,BaseLoad!$AM$15)</f>
        <v>705</v>
      </c>
      <c r="AB184" s="431"/>
      <c r="AD184" s="431"/>
    </row>
    <row r="185" customFormat="false" ht="12.75" hidden="false" customHeight="false" outlineLevel="0" collapsed="false">
      <c r="A185" s="400" t="n">
        <f aca="false">A184+30.417</f>
        <v>41862.975</v>
      </c>
      <c r="B185" s="432" t="str">
        <f aca="false">IF($A$1="Peak","-",IF(BaseLoad!H184&gt;BaseLoad!$G184,B$8*$Z185,0))</f>
        <v>-</v>
      </c>
      <c r="C185" s="432" t="str">
        <f aca="false">IF($A$1="Peak","-",IF(BaseLoad!I184&gt;BaseLoad!$G184,C$8*$Z185,0))</f>
        <v>-</v>
      </c>
      <c r="D185" s="432" t="str">
        <f aca="false">IF($A$1="Peak","-",IF(BaseLoad!J184&gt;BaseLoad!$G184,D$8*$Z185,0))</f>
        <v>-</v>
      </c>
      <c r="E185" s="432" t="str">
        <f aca="false">IF($A$1="Peak","-",IF(BaseLoad!K184&gt;BaseLoad!$G184,E$8*$Z185,0))</f>
        <v>-</v>
      </c>
      <c r="F185" s="432" t="str">
        <f aca="false">IF($A$1="Peak","-",IF(BaseLoad!L184&gt;BaseLoad!$G184,F$8*$Z185,0))</f>
        <v>-</v>
      </c>
      <c r="G185" s="432" t="str">
        <f aca="false">IF($A$1="Peak","-",IF(BaseLoad!M184&gt;BaseLoad!$G184,G$8*$Z185,0))</f>
        <v>-</v>
      </c>
      <c r="H185" s="432" t="str">
        <f aca="false">IF($A$1="Peak","-",IF(BaseLoad!N184&gt;BaseLoad!$G184,H$8*$Z185,0))</f>
        <v>-</v>
      </c>
      <c r="I185" s="432" t="str">
        <f aca="false">IF($A$1="Peak","-",IF(BaseLoad!O184&gt;BaseLoad!$G184,I$8*$Z185,0))</f>
        <v>-</v>
      </c>
      <c r="J185" s="432" t="str">
        <f aca="false">IF($A$1="Peak","-",IF(BaseLoad!P184&gt;BaseLoad!$G184,J$8*$Z185,0))</f>
        <v>-</v>
      </c>
      <c r="K185" s="432" t="str">
        <f aca="false">IF($A$1="Peak","-",IF(BaseLoad!Q184&gt;BaseLoad!$G184,K$8*$Z185,0))</f>
        <v>-</v>
      </c>
      <c r="L185" s="432" t="str">
        <f aca="false">IF($A$1="Peak","-",IF(BaseLoad!R184&gt;BaseLoad!$G184,L$8*$Z185,0))</f>
        <v>-</v>
      </c>
      <c r="M185" s="432" t="str">
        <f aca="false">IF($A$1="Peak","-",IF(BaseLoad!S184&gt;BaseLoad!$G184,M$8*$Z185,0))</f>
        <v>-</v>
      </c>
      <c r="N185" s="432" t="str">
        <f aca="false">IF($A$1="Peak","-",IF(BaseLoad!T184&gt;BaseLoad!$G184,N$8*$Z185,0))</f>
        <v>-</v>
      </c>
      <c r="O185" s="432" t="str">
        <f aca="false">IF($A$1="Peak","-",IF(BaseLoad!U184&gt;BaseLoad!$G184,O$8*$Z185,0))</f>
        <v>-</v>
      </c>
      <c r="P185" s="432" t="str">
        <f aca="false">IF($A$1="Peak","-",IF(BaseLoad!V184&gt;BaseLoad!$G184,P$8*$Z185,0))</f>
        <v>-</v>
      </c>
      <c r="Q185" s="432" t="str">
        <f aca="false">IF($A$1="Peak","-",IF(BaseLoad!W184&gt;BaseLoad!$G184,Q$8*$Z185,0))</f>
        <v>-</v>
      </c>
      <c r="R185" s="432" t="str">
        <f aca="false">IF($A$1="Peak","-",IF(BaseLoad!X184&gt;BaseLoad!$G184,R$8*$Z185,0))</f>
        <v>-</v>
      </c>
      <c r="S185" s="432" t="str">
        <f aca="false">IF($A$1="Peak","-",IF(BaseLoad!Y184&gt;BaseLoad!$G184,S$8*$Z185,0))</f>
        <v>-</v>
      </c>
      <c r="T185" s="432" t="str">
        <f aca="false">IF($A$1="Peak","-",IF(BaseLoad!Z184&gt;BaseLoad!$G184,T$8*$Z185,0))</f>
        <v>-</v>
      </c>
      <c r="U185" s="432" t="str">
        <f aca="false">IF($A$1="Peak","-",IF(BaseLoad!AA184&gt;BaseLoad!$G184,U$8*$Z185,0))</f>
        <v>-</v>
      </c>
      <c r="V185" s="432" t="n">
        <f aca="false">SUM(B185:U185)</f>
        <v>0</v>
      </c>
      <c r="W185" s="432"/>
      <c r="X185" s="432"/>
      <c r="Y185" s="432"/>
      <c r="Z185" s="432" t="n">
        <f aca="false">CHOOSE(QUOTIENT(MONTH($A185),3)+1,BaseLoad!$AM$9,BaseLoad!$AN$9,BaseLoad!$AL$9,BaseLoad!$AO$9,BaseLoad!$AM$9)</f>
        <v>0.966121359095586</v>
      </c>
      <c r="AA185" s="432" t="n">
        <f aca="false">CHOOSE(QUOTIENT(MONTH($A185),3)+1,BaseLoad!$AM$15,BaseLoad!$AN$15,BaseLoad!$AL$15,BaseLoad!$AO$15,BaseLoad!$AM$15)</f>
        <v>705</v>
      </c>
      <c r="AB185" s="431"/>
      <c r="AD185" s="431"/>
    </row>
    <row r="186" customFormat="false" ht="12.75" hidden="false" customHeight="false" outlineLevel="0" collapsed="false">
      <c r="A186" s="400" t="n">
        <f aca="false">A185+30.417</f>
        <v>41893.392</v>
      </c>
      <c r="B186" s="432" t="str">
        <f aca="false">IF($A$1="Peak","-",IF(BaseLoad!H185&gt;BaseLoad!$G185,B$8*$Z186,0))</f>
        <v>-</v>
      </c>
      <c r="C186" s="432" t="str">
        <f aca="false">IF($A$1="Peak","-",IF(BaseLoad!I185&gt;BaseLoad!$G185,C$8*$Z186,0))</f>
        <v>-</v>
      </c>
      <c r="D186" s="432" t="str">
        <f aca="false">IF($A$1="Peak","-",IF(BaseLoad!J185&gt;BaseLoad!$G185,D$8*$Z186,0))</f>
        <v>-</v>
      </c>
      <c r="E186" s="432" t="str">
        <f aca="false">IF($A$1="Peak","-",IF(BaseLoad!K185&gt;BaseLoad!$G185,E$8*$Z186,0))</f>
        <v>-</v>
      </c>
      <c r="F186" s="432" t="str">
        <f aca="false">IF($A$1="Peak","-",IF(BaseLoad!L185&gt;BaseLoad!$G185,F$8*$Z186,0))</f>
        <v>-</v>
      </c>
      <c r="G186" s="432" t="str">
        <f aca="false">IF($A$1="Peak","-",IF(BaseLoad!M185&gt;BaseLoad!$G185,G$8*$Z186,0))</f>
        <v>-</v>
      </c>
      <c r="H186" s="432" t="str">
        <f aca="false">IF($A$1="Peak","-",IF(BaseLoad!N185&gt;BaseLoad!$G185,H$8*$Z186,0))</f>
        <v>-</v>
      </c>
      <c r="I186" s="432" t="str">
        <f aca="false">IF($A$1="Peak","-",IF(BaseLoad!O185&gt;BaseLoad!$G185,I$8*$Z186,0))</f>
        <v>-</v>
      </c>
      <c r="J186" s="432" t="str">
        <f aca="false">IF($A$1="Peak","-",IF(BaseLoad!P185&gt;BaseLoad!$G185,J$8*$Z186,0))</f>
        <v>-</v>
      </c>
      <c r="K186" s="432" t="str">
        <f aca="false">IF($A$1="Peak","-",IF(BaseLoad!Q185&gt;BaseLoad!$G185,K$8*$Z186,0))</f>
        <v>-</v>
      </c>
      <c r="L186" s="432" t="str">
        <f aca="false">IF($A$1="Peak","-",IF(BaseLoad!R185&gt;BaseLoad!$G185,L$8*$Z186,0))</f>
        <v>-</v>
      </c>
      <c r="M186" s="432" t="str">
        <f aca="false">IF($A$1="Peak","-",IF(BaseLoad!S185&gt;BaseLoad!$G185,M$8*$Z186,0))</f>
        <v>-</v>
      </c>
      <c r="N186" s="432" t="str">
        <f aca="false">IF($A$1="Peak","-",IF(BaseLoad!T185&gt;BaseLoad!$G185,N$8*$Z186,0))</f>
        <v>-</v>
      </c>
      <c r="O186" s="432" t="str">
        <f aca="false">IF($A$1="Peak","-",IF(BaseLoad!U185&gt;BaseLoad!$G185,O$8*$Z186,0))</f>
        <v>-</v>
      </c>
      <c r="P186" s="432" t="str">
        <f aca="false">IF($A$1="Peak","-",IF(BaseLoad!V185&gt;BaseLoad!$G185,P$8*$Z186,0))</f>
        <v>-</v>
      </c>
      <c r="Q186" s="432" t="str">
        <f aca="false">IF($A$1="Peak","-",IF(BaseLoad!W185&gt;BaseLoad!$G185,Q$8*$Z186,0))</f>
        <v>-</v>
      </c>
      <c r="R186" s="432" t="str">
        <f aca="false">IF($A$1="Peak","-",IF(BaseLoad!X185&gt;BaseLoad!$G185,R$8*$Z186,0))</f>
        <v>-</v>
      </c>
      <c r="S186" s="432" t="str">
        <f aca="false">IF($A$1="Peak","-",IF(BaseLoad!Y185&gt;BaseLoad!$G185,S$8*$Z186,0))</f>
        <v>-</v>
      </c>
      <c r="T186" s="432" t="str">
        <f aca="false">IF($A$1="Peak","-",IF(BaseLoad!Z185&gt;BaseLoad!$G185,T$8*$Z186,0))</f>
        <v>-</v>
      </c>
      <c r="U186" s="432" t="str">
        <f aca="false">IF($A$1="Peak","-",IF(BaseLoad!AA185&gt;BaseLoad!$G185,U$8*$Z186,0))</f>
        <v>-</v>
      </c>
      <c r="V186" s="432" t="n">
        <f aca="false">SUM(B186:U186)</f>
        <v>0</v>
      </c>
      <c r="W186" s="432"/>
      <c r="X186" s="432"/>
      <c r="Y186" s="432"/>
      <c r="Z186" s="432" t="n">
        <f aca="false">CHOOSE(QUOTIENT(MONTH($A186),3)+1,BaseLoad!$AM$9,BaseLoad!$AN$9,BaseLoad!$AL$9,BaseLoad!$AO$9,BaseLoad!$AM$9)</f>
        <v>0.95</v>
      </c>
      <c r="AA186" s="432" t="n">
        <f aca="false">CHOOSE(QUOTIENT(MONTH($A186),3)+1,BaseLoad!$AM$15,BaseLoad!$AN$15,BaseLoad!$AL$15,BaseLoad!$AO$15,BaseLoad!$AM$15)</f>
        <v>705</v>
      </c>
      <c r="AB186" s="431"/>
      <c r="AD186" s="431"/>
    </row>
    <row r="187" customFormat="false" ht="12.75" hidden="false" customHeight="false" outlineLevel="0" collapsed="false">
      <c r="A187" s="400" t="n">
        <f aca="false">A186+30.417</f>
        <v>41923.809</v>
      </c>
      <c r="B187" s="432" t="str">
        <f aca="false">IF($A$1="Peak","-",IF(BaseLoad!H186&gt;BaseLoad!$G186,B$8*$Z187,0))</f>
        <v>-</v>
      </c>
      <c r="C187" s="432" t="str">
        <f aca="false">IF($A$1="Peak","-",IF(BaseLoad!I186&gt;BaseLoad!$G186,C$8*$Z187,0))</f>
        <v>-</v>
      </c>
      <c r="D187" s="432" t="str">
        <f aca="false">IF($A$1="Peak","-",IF(BaseLoad!J186&gt;BaseLoad!$G186,D$8*$Z187,0))</f>
        <v>-</v>
      </c>
      <c r="E187" s="432" t="str">
        <f aca="false">IF($A$1="Peak","-",IF(BaseLoad!K186&gt;BaseLoad!$G186,E$8*$Z187,0))</f>
        <v>-</v>
      </c>
      <c r="F187" s="432" t="str">
        <f aca="false">IF($A$1="Peak","-",IF(BaseLoad!L186&gt;BaseLoad!$G186,F$8*$Z187,0))</f>
        <v>-</v>
      </c>
      <c r="G187" s="432" t="str">
        <f aca="false">IF($A$1="Peak","-",IF(BaseLoad!M186&gt;BaseLoad!$G186,G$8*$Z187,0))</f>
        <v>-</v>
      </c>
      <c r="H187" s="432" t="str">
        <f aca="false">IF($A$1="Peak","-",IF(BaseLoad!N186&gt;BaseLoad!$G186,H$8*$Z187,0))</f>
        <v>-</v>
      </c>
      <c r="I187" s="432" t="str">
        <f aca="false">IF($A$1="Peak","-",IF(BaseLoad!O186&gt;BaseLoad!$G186,I$8*$Z187,0))</f>
        <v>-</v>
      </c>
      <c r="J187" s="432" t="str">
        <f aca="false">IF($A$1="Peak","-",IF(BaseLoad!P186&gt;BaseLoad!$G186,J$8*$Z187,0))</f>
        <v>-</v>
      </c>
      <c r="K187" s="432" t="str">
        <f aca="false">IF($A$1="Peak","-",IF(BaseLoad!Q186&gt;BaseLoad!$G186,K$8*$Z187,0))</f>
        <v>-</v>
      </c>
      <c r="L187" s="432" t="str">
        <f aca="false">IF($A$1="Peak","-",IF(BaseLoad!R186&gt;BaseLoad!$G186,L$8*$Z187,0))</f>
        <v>-</v>
      </c>
      <c r="M187" s="432" t="str">
        <f aca="false">IF($A$1="Peak","-",IF(BaseLoad!S186&gt;BaseLoad!$G186,M$8*$Z187,0))</f>
        <v>-</v>
      </c>
      <c r="N187" s="432" t="str">
        <f aca="false">IF($A$1="Peak","-",IF(BaseLoad!T186&gt;BaseLoad!$G186,N$8*$Z187,0))</f>
        <v>-</v>
      </c>
      <c r="O187" s="432" t="str">
        <f aca="false">IF($A$1="Peak","-",IF(BaseLoad!U186&gt;BaseLoad!$G186,O$8*$Z187,0))</f>
        <v>-</v>
      </c>
      <c r="P187" s="432" t="str">
        <f aca="false">IF($A$1="Peak","-",IF(BaseLoad!V186&gt;BaseLoad!$G186,P$8*$Z187,0))</f>
        <v>-</v>
      </c>
      <c r="Q187" s="432" t="str">
        <f aca="false">IF($A$1="Peak","-",IF(BaseLoad!W186&gt;BaseLoad!$G186,Q$8*$Z187,0))</f>
        <v>-</v>
      </c>
      <c r="R187" s="432" t="str">
        <f aca="false">IF($A$1="Peak","-",IF(BaseLoad!X186&gt;BaseLoad!$G186,R$8*$Z187,0))</f>
        <v>-</v>
      </c>
      <c r="S187" s="432" t="str">
        <f aca="false">IF($A$1="Peak","-",IF(BaseLoad!Y186&gt;BaseLoad!$G186,S$8*$Z187,0))</f>
        <v>-</v>
      </c>
      <c r="T187" s="432" t="str">
        <f aca="false">IF($A$1="Peak","-",IF(BaseLoad!Z186&gt;BaseLoad!$G186,T$8*$Z187,0))</f>
        <v>-</v>
      </c>
      <c r="U187" s="432" t="str">
        <f aca="false">IF($A$1="Peak","-",IF(BaseLoad!AA186&gt;BaseLoad!$G186,U$8*$Z187,0))</f>
        <v>-</v>
      </c>
      <c r="V187" s="432" t="n">
        <f aca="false">SUM(B187:U187)</f>
        <v>0</v>
      </c>
      <c r="W187" s="432"/>
      <c r="X187" s="432"/>
      <c r="Y187" s="432"/>
      <c r="Z187" s="432" t="n">
        <f aca="false">CHOOSE(QUOTIENT(MONTH($A187),3)+1,BaseLoad!$AM$9,BaseLoad!$AN$9,BaseLoad!$AL$9,BaseLoad!$AO$9,BaseLoad!$AM$9)</f>
        <v>0.95</v>
      </c>
      <c r="AA187" s="432" t="n">
        <f aca="false">CHOOSE(QUOTIENT(MONTH($A187),3)+1,BaseLoad!$AM$15,BaseLoad!$AN$15,BaseLoad!$AL$15,BaseLoad!$AO$15,BaseLoad!$AM$15)</f>
        <v>705</v>
      </c>
      <c r="AB187" s="431"/>
      <c r="AD187" s="431"/>
    </row>
    <row r="188" customFormat="false" ht="12.75" hidden="false" customHeight="false" outlineLevel="0" collapsed="false">
      <c r="A188" s="400" t="n">
        <f aca="false">A187+30.417</f>
        <v>41954.226</v>
      </c>
      <c r="B188" s="432" t="str">
        <f aca="false">IF($A$1="Peak","-",IF(BaseLoad!H187&gt;BaseLoad!$G187,B$8*$Z188,0))</f>
        <v>-</v>
      </c>
      <c r="C188" s="432" t="str">
        <f aca="false">IF($A$1="Peak","-",IF(BaseLoad!I187&gt;BaseLoad!$G187,C$8*$Z188,0))</f>
        <v>-</v>
      </c>
      <c r="D188" s="432" t="str">
        <f aca="false">IF($A$1="Peak","-",IF(BaseLoad!J187&gt;BaseLoad!$G187,D$8*$Z188,0))</f>
        <v>-</v>
      </c>
      <c r="E188" s="432" t="str">
        <f aca="false">IF($A$1="Peak","-",IF(BaseLoad!K187&gt;BaseLoad!$G187,E$8*$Z188,0))</f>
        <v>-</v>
      </c>
      <c r="F188" s="432" t="str">
        <f aca="false">IF($A$1="Peak","-",IF(BaseLoad!L187&gt;BaseLoad!$G187,F$8*$Z188,0))</f>
        <v>-</v>
      </c>
      <c r="G188" s="432" t="str">
        <f aca="false">IF($A$1="Peak","-",IF(BaseLoad!M187&gt;BaseLoad!$G187,G$8*$Z188,0))</f>
        <v>-</v>
      </c>
      <c r="H188" s="432" t="str">
        <f aca="false">IF($A$1="Peak","-",IF(BaseLoad!N187&gt;BaseLoad!$G187,H$8*$Z188,0))</f>
        <v>-</v>
      </c>
      <c r="I188" s="432" t="str">
        <f aca="false">IF($A$1="Peak","-",IF(BaseLoad!O187&gt;BaseLoad!$G187,I$8*$Z188,0))</f>
        <v>-</v>
      </c>
      <c r="J188" s="432" t="str">
        <f aca="false">IF($A$1="Peak","-",IF(BaseLoad!P187&gt;BaseLoad!$G187,J$8*$Z188,0))</f>
        <v>-</v>
      </c>
      <c r="K188" s="432" t="str">
        <f aca="false">IF($A$1="Peak","-",IF(BaseLoad!Q187&gt;BaseLoad!$G187,K$8*$Z188,0))</f>
        <v>-</v>
      </c>
      <c r="L188" s="432" t="str">
        <f aca="false">IF($A$1="Peak","-",IF(BaseLoad!R187&gt;BaseLoad!$G187,L$8*$Z188,0))</f>
        <v>-</v>
      </c>
      <c r="M188" s="432" t="str">
        <f aca="false">IF($A$1="Peak","-",IF(BaseLoad!S187&gt;BaseLoad!$G187,M$8*$Z188,0))</f>
        <v>-</v>
      </c>
      <c r="N188" s="432" t="str">
        <f aca="false">IF($A$1="Peak","-",IF(BaseLoad!T187&gt;BaseLoad!$G187,N$8*$Z188,0))</f>
        <v>-</v>
      </c>
      <c r="O188" s="432" t="str">
        <f aca="false">IF($A$1="Peak","-",IF(BaseLoad!U187&gt;BaseLoad!$G187,O$8*$Z188,0))</f>
        <v>-</v>
      </c>
      <c r="P188" s="432" t="str">
        <f aca="false">IF($A$1="Peak","-",IF(BaseLoad!V187&gt;BaseLoad!$G187,P$8*$Z188,0))</f>
        <v>-</v>
      </c>
      <c r="Q188" s="432" t="str">
        <f aca="false">IF($A$1="Peak","-",IF(BaseLoad!W187&gt;BaseLoad!$G187,Q$8*$Z188,0))</f>
        <v>-</v>
      </c>
      <c r="R188" s="432" t="str">
        <f aca="false">IF($A$1="Peak","-",IF(BaseLoad!X187&gt;BaseLoad!$G187,R$8*$Z188,0))</f>
        <v>-</v>
      </c>
      <c r="S188" s="432" t="str">
        <f aca="false">IF($A$1="Peak","-",IF(BaseLoad!Y187&gt;BaseLoad!$G187,S$8*$Z188,0))</f>
        <v>-</v>
      </c>
      <c r="T188" s="432" t="str">
        <f aca="false">IF($A$1="Peak","-",IF(BaseLoad!Z187&gt;BaseLoad!$G187,T$8*$Z188,0))</f>
        <v>-</v>
      </c>
      <c r="U188" s="432" t="str">
        <f aca="false">IF($A$1="Peak","-",IF(BaseLoad!AA187&gt;BaseLoad!$G187,U$8*$Z188,0))</f>
        <v>-</v>
      </c>
      <c r="V188" s="432" t="n">
        <f aca="false">SUM(B188:U188)</f>
        <v>0</v>
      </c>
      <c r="W188" s="432"/>
      <c r="X188" s="432"/>
      <c r="Y188" s="432"/>
      <c r="Z188" s="432" t="n">
        <f aca="false">CHOOSE(QUOTIENT(MONTH($A188),3)+1,BaseLoad!$AM$9,BaseLoad!$AN$9,BaseLoad!$AL$9,BaseLoad!$AO$9,BaseLoad!$AM$9)</f>
        <v>0.95</v>
      </c>
      <c r="AA188" s="432" t="n">
        <f aca="false">CHOOSE(QUOTIENT(MONTH($A188),3)+1,BaseLoad!$AM$15,BaseLoad!$AN$15,BaseLoad!$AL$15,BaseLoad!$AO$15,BaseLoad!$AM$15)</f>
        <v>705</v>
      </c>
      <c r="AB188" s="431"/>
      <c r="AD188" s="431"/>
    </row>
    <row r="189" customFormat="false" ht="12.75" hidden="false" customHeight="false" outlineLevel="0" collapsed="false">
      <c r="A189" s="400" t="n">
        <f aca="false">A188+30.417</f>
        <v>41984.643</v>
      </c>
      <c r="B189" s="432" t="str">
        <f aca="false">IF($A$1="Peak","-",IF(BaseLoad!H188&gt;BaseLoad!$G188,B$8*$Z189,0))</f>
        <v>-</v>
      </c>
      <c r="C189" s="432" t="str">
        <f aca="false">IF($A$1="Peak","-",IF(BaseLoad!I188&gt;BaseLoad!$G188,C$8*$Z189,0))</f>
        <v>-</v>
      </c>
      <c r="D189" s="432" t="str">
        <f aca="false">IF($A$1="Peak","-",IF(BaseLoad!J188&gt;BaseLoad!$G188,D$8*$Z189,0))</f>
        <v>-</v>
      </c>
      <c r="E189" s="432" t="str">
        <f aca="false">IF($A$1="Peak","-",IF(BaseLoad!K188&gt;BaseLoad!$G188,E$8*$Z189,0))</f>
        <v>-</v>
      </c>
      <c r="F189" s="432" t="str">
        <f aca="false">IF($A$1="Peak","-",IF(BaseLoad!L188&gt;BaseLoad!$G188,F$8*$Z189,0))</f>
        <v>-</v>
      </c>
      <c r="G189" s="432" t="str">
        <f aca="false">IF($A$1="Peak","-",IF(BaseLoad!M188&gt;BaseLoad!$G188,G$8*$Z189,0))</f>
        <v>-</v>
      </c>
      <c r="H189" s="432" t="str">
        <f aca="false">IF($A$1="Peak","-",IF(BaseLoad!N188&gt;BaseLoad!$G188,H$8*$Z189,0))</f>
        <v>-</v>
      </c>
      <c r="I189" s="432" t="str">
        <f aca="false">IF($A$1="Peak","-",IF(BaseLoad!O188&gt;BaseLoad!$G188,I$8*$Z189,0))</f>
        <v>-</v>
      </c>
      <c r="J189" s="432" t="str">
        <f aca="false">IF($A$1="Peak","-",IF(BaseLoad!P188&gt;BaseLoad!$G188,J$8*$Z189,0))</f>
        <v>-</v>
      </c>
      <c r="K189" s="432" t="str">
        <f aca="false">IF($A$1="Peak","-",IF(BaseLoad!Q188&gt;BaseLoad!$G188,K$8*$Z189,0))</f>
        <v>-</v>
      </c>
      <c r="L189" s="432" t="str">
        <f aca="false">IF($A$1="Peak","-",IF(BaseLoad!R188&gt;BaseLoad!$G188,L$8*$Z189,0))</f>
        <v>-</v>
      </c>
      <c r="M189" s="432" t="str">
        <f aca="false">IF($A$1="Peak","-",IF(BaseLoad!S188&gt;BaseLoad!$G188,M$8*$Z189,0))</f>
        <v>-</v>
      </c>
      <c r="N189" s="432" t="str">
        <f aca="false">IF($A$1="Peak","-",IF(BaseLoad!T188&gt;BaseLoad!$G188,N$8*$Z189,0))</f>
        <v>-</v>
      </c>
      <c r="O189" s="432" t="str">
        <f aca="false">IF($A$1="Peak","-",IF(BaseLoad!U188&gt;BaseLoad!$G188,O$8*$Z189,0))</f>
        <v>-</v>
      </c>
      <c r="P189" s="432" t="str">
        <f aca="false">IF($A$1="Peak","-",IF(BaseLoad!V188&gt;BaseLoad!$G188,P$8*$Z189,0))</f>
        <v>-</v>
      </c>
      <c r="Q189" s="432" t="str">
        <f aca="false">IF($A$1="Peak","-",IF(BaseLoad!W188&gt;BaseLoad!$G188,Q$8*$Z189,0))</f>
        <v>-</v>
      </c>
      <c r="R189" s="432" t="str">
        <f aca="false">IF($A$1="Peak","-",IF(BaseLoad!X188&gt;BaseLoad!$G188,R$8*$Z189,0))</f>
        <v>-</v>
      </c>
      <c r="S189" s="432" t="str">
        <f aca="false">IF($A$1="Peak","-",IF(BaseLoad!Y188&gt;BaseLoad!$G188,S$8*$Z189,0))</f>
        <v>-</v>
      </c>
      <c r="T189" s="432" t="str">
        <f aca="false">IF($A$1="Peak","-",IF(BaseLoad!Z188&gt;BaseLoad!$G188,T$8*$Z189,0))</f>
        <v>-</v>
      </c>
      <c r="U189" s="432" t="str">
        <f aca="false">IF($A$1="Peak","-",IF(BaseLoad!AA188&gt;BaseLoad!$G188,U$8*$Z189,0))</f>
        <v>-</v>
      </c>
      <c r="V189" s="432" t="n">
        <f aca="false">SUM(B189:U189)</f>
        <v>0</v>
      </c>
      <c r="W189" s="432"/>
      <c r="X189" s="432"/>
      <c r="Y189" s="432" t="n">
        <f aca="false">SUM(V178:V189)</f>
        <v>0</v>
      </c>
      <c r="Z189" s="432" t="n">
        <f aca="false">CHOOSE(QUOTIENT(MONTH($A189),3)+1,BaseLoad!$AM$9,BaseLoad!$AN$9,BaseLoad!$AL$9,BaseLoad!$AO$9,BaseLoad!$AM$9)</f>
        <v>0.924276618786118</v>
      </c>
      <c r="AA189" s="432" t="n">
        <f aca="false">CHOOSE(QUOTIENT(MONTH($A189),3)+1,BaseLoad!$AM$15,BaseLoad!$AN$15,BaseLoad!$AL$15,BaseLoad!$AO$15,BaseLoad!$AM$15)</f>
        <v>705</v>
      </c>
      <c r="AB189" s="431"/>
      <c r="AD189" s="431"/>
    </row>
    <row r="190" customFormat="false" ht="12.75" hidden="false" customHeight="false" outlineLevel="0" collapsed="false">
      <c r="A190" s="400" t="n">
        <f aca="false">A189+30.417</f>
        <v>42015.06</v>
      </c>
      <c r="B190" s="432" t="str">
        <f aca="false">IF($A$1="Peak","-",IF(BaseLoad!H189&gt;BaseLoad!$G189,B$8*$Z190,0))</f>
        <v>-</v>
      </c>
      <c r="C190" s="432" t="str">
        <f aca="false">IF($A$1="Peak","-",IF(BaseLoad!I189&gt;BaseLoad!$G189,C$8*$Z190,0))</f>
        <v>-</v>
      </c>
      <c r="D190" s="432" t="str">
        <f aca="false">IF($A$1="Peak","-",IF(BaseLoad!J189&gt;BaseLoad!$G189,D$8*$Z190,0))</f>
        <v>-</v>
      </c>
      <c r="E190" s="432" t="str">
        <f aca="false">IF($A$1="Peak","-",IF(BaseLoad!K189&gt;BaseLoad!$G189,E$8*$Z190,0))</f>
        <v>-</v>
      </c>
      <c r="F190" s="432" t="str">
        <f aca="false">IF($A$1="Peak","-",IF(BaseLoad!L189&gt;BaseLoad!$G189,F$8*$Z190,0))</f>
        <v>-</v>
      </c>
      <c r="G190" s="432" t="str">
        <f aca="false">IF($A$1="Peak","-",IF(BaseLoad!M189&gt;BaseLoad!$G189,G$8*$Z190,0))</f>
        <v>-</v>
      </c>
      <c r="H190" s="432" t="str">
        <f aca="false">IF($A$1="Peak","-",IF(BaseLoad!N189&gt;BaseLoad!$G189,H$8*$Z190,0))</f>
        <v>-</v>
      </c>
      <c r="I190" s="432" t="str">
        <f aca="false">IF($A$1="Peak","-",IF(BaseLoad!O189&gt;BaseLoad!$G189,I$8*$Z190,0))</f>
        <v>-</v>
      </c>
      <c r="J190" s="432" t="str">
        <f aca="false">IF($A$1="Peak","-",IF(BaseLoad!P189&gt;BaseLoad!$G189,J$8*$Z190,0))</f>
        <v>-</v>
      </c>
      <c r="K190" s="432" t="str">
        <f aca="false">IF($A$1="Peak","-",IF(BaseLoad!Q189&gt;BaseLoad!$G189,K$8*$Z190,0))</f>
        <v>-</v>
      </c>
      <c r="L190" s="432" t="str">
        <f aca="false">IF($A$1="Peak","-",IF(BaseLoad!R189&gt;BaseLoad!$G189,L$8*$Z190,0))</f>
        <v>-</v>
      </c>
      <c r="M190" s="432" t="str">
        <f aca="false">IF($A$1="Peak","-",IF(BaseLoad!S189&gt;BaseLoad!$G189,M$8*$Z190,0))</f>
        <v>-</v>
      </c>
      <c r="N190" s="432" t="str">
        <f aca="false">IF($A$1="Peak","-",IF(BaseLoad!T189&gt;BaseLoad!$G189,N$8*$Z190,0))</f>
        <v>-</v>
      </c>
      <c r="O190" s="432" t="str">
        <f aca="false">IF($A$1="Peak","-",IF(BaseLoad!U189&gt;BaseLoad!$G189,O$8*$Z190,0))</f>
        <v>-</v>
      </c>
      <c r="P190" s="432" t="str">
        <f aca="false">IF($A$1="Peak","-",IF(BaseLoad!V189&gt;BaseLoad!$G189,P$8*$Z190,0))</f>
        <v>-</v>
      </c>
      <c r="Q190" s="432" t="str">
        <f aca="false">IF($A$1="Peak","-",IF(BaseLoad!W189&gt;BaseLoad!$G189,Q$8*$Z190,0))</f>
        <v>-</v>
      </c>
      <c r="R190" s="432" t="str">
        <f aca="false">IF($A$1="Peak","-",IF(BaseLoad!X189&gt;BaseLoad!$G189,R$8*$Z190,0))</f>
        <v>-</v>
      </c>
      <c r="S190" s="432" t="str">
        <f aca="false">IF($A$1="Peak","-",IF(BaseLoad!Y189&gt;BaseLoad!$G189,S$8*$Z190,0))</f>
        <v>-</v>
      </c>
      <c r="T190" s="432" t="str">
        <f aca="false">IF($A$1="Peak","-",IF(BaseLoad!Z189&gt;BaseLoad!$G189,T$8*$Z190,0))</f>
        <v>-</v>
      </c>
      <c r="U190" s="432" t="str">
        <f aca="false">IF($A$1="Peak","-",IF(BaseLoad!AA189&gt;BaseLoad!$G189,U$8*$Z190,0))</f>
        <v>-</v>
      </c>
      <c r="V190" s="432" t="n">
        <f aca="false">SUM(B190:U190)</f>
        <v>0</v>
      </c>
      <c r="W190" s="432"/>
      <c r="X190" s="432"/>
      <c r="Y190" s="432"/>
      <c r="Z190" s="432" t="n">
        <f aca="false">CHOOSE(QUOTIENT(MONTH($A190),3)+1,BaseLoad!$AM$9,BaseLoad!$AN$9,BaseLoad!$AL$9,BaseLoad!$AO$9,BaseLoad!$AM$9)</f>
        <v>0.924276618786118</v>
      </c>
      <c r="AA190" s="432" t="n">
        <f aca="false">CHOOSE(QUOTIENT(MONTH($A190),3)+1,BaseLoad!$AM$15,BaseLoad!$AN$15,BaseLoad!$AL$15,BaseLoad!$AO$15,BaseLoad!$AM$15)</f>
        <v>705</v>
      </c>
      <c r="AB190" s="431"/>
      <c r="AD190" s="431"/>
    </row>
    <row r="191" customFormat="false" ht="12.75" hidden="false" customHeight="false" outlineLevel="0" collapsed="false">
      <c r="A191" s="400" t="n">
        <f aca="false">A190+30.417</f>
        <v>42045.477</v>
      </c>
      <c r="B191" s="432" t="str">
        <f aca="false">IF($A$1="Peak","-",IF(BaseLoad!H190&gt;BaseLoad!$G190,B$8*$Z191,0))</f>
        <v>-</v>
      </c>
      <c r="C191" s="432" t="str">
        <f aca="false">IF($A$1="Peak","-",IF(BaseLoad!I190&gt;BaseLoad!$G190,C$8*$Z191,0))</f>
        <v>-</v>
      </c>
      <c r="D191" s="432" t="str">
        <f aca="false">IF($A$1="Peak","-",IF(BaseLoad!J190&gt;BaseLoad!$G190,D$8*$Z191,0))</f>
        <v>-</v>
      </c>
      <c r="E191" s="432" t="str">
        <f aca="false">IF($A$1="Peak","-",IF(BaseLoad!K190&gt;BaseLoad!$G190,E$8*$Z191,0))</f>
        <v>-</v>
      </c>
      <c r="F191" s="432" t="str">
        <f aca="false">IF($A$1="Peak","-",IF(BaseLoad!L190&gt;BaseLoad!$G190,F$8*$Z191,0))</f>
        <v>-</v>
      </c>
      <c r="G191" s="432" t="str">
        <f aca="false">IF($A$1="Peak","-",IF(BaseLoad!M190&gt;BaseLoad!$G190,G$8*$Z191,0))</f>
        <v>-</v>
      </c>
      <c r="H191" s="432" t="str">
        <f aca="false">IF($A$1="Peak","-",IF(BaseLoad!N190&gt;BaseLoad!$G190,H$8*$Z191,0))</f>
        <v>-</v>
      </c>
      <c r="I191" s="432" t="str">
        <f aca="false">IF($A$1="Peak","-",IF(BaseLoad!O190&gt;BaseLoad!$G190,I$8*$Z191,0))</f>
        <v>-</v>
      </c>
      <c r="J191" s="432" t="str">
        <f aca="false">IF($A$1="Peak","-",IF(BaseLoad!P190&gt;BaseLoad!$G190,J$8*$Z191,0))</f>
        <v>-</v>
      </c>
      <c r="K191" s="432" t="str">
        <f aca="false">IF($A$1="Peak","-",IF(BaseLoad!Q190&gt;BaseLoad!$G190,K$8*$Z191,0))</f>
        <v>-</v>
      </c>
      <c r="L191" s="432" t="str">
        <f aca="false">IF($A$1="Peak","-",IF(BaseLoad!R190&gt;BaseLoad!$G190,L$8*$Z191,0))</f>
        <v>-</v>
      </c>
      <c r="M191" s="432" t="str">
        <f aca="false">IF($A$1="Peak","-",IF(BaseLoad!S190&gt;BaseLoad!$G190,M$8*$Z191,0))</f>
        <v>-</v>
      </c>
      <c r="N191" s="432" t="str">
        <f aca="false">IF($A$1="Peak","-",IF(BaseLoad!T190&gt;BaseLoad!$G190,N$8*$Z191,0))</f>
        <v>-</v>
      </c>
      <c r="O191" s="432" t="str">
        <f aca="false">IF($A$1="Peak","-",IF(BaseLoad!U190&gt;BaseLoad!$G190,O$8*$Z191,0))</f>
        <v>-</v>
      </c>
      <c r="P191" s="432" t="str">
        <f aca="false">IF($A$1="Peak","-",IF(BaseLoad!V190&gt;BaseLoad!$G190,P$8*$Z191,0))</f>
        <v>-</v>
      </c>
      <c r="Q191" s="432" t="str">
        <f aca="false">IF($A$1="Peak","-",IF(BaseLoad!W190&gt;BaseLoad!$G190,Q$8*$Z191,0))</f>
        <v>-</v>
      </c>
      <c r="R191" s="432" t="str">
        <f aca="false">IF($A$1="Peak","-",IF(BaseLoad!X190&gt;BaseLoad!$G190,R$8*$Z191,0))</f>
        <v>-</v>
      </c>
      <c r="S191" s="432" t="str">
        <f aca="false">IF($A$1="Peak","-",IF(BaseLoad!Y190&gt;BaseLoad!$G190,S$8*$Z191,0))</f>
        <v>-</v>
      </c>
      <c r="T191" s="432" t="str">
        <f aca="false">IF($A$1="Peak","-",IF(BaseLoad!Z190&gt;BaseLoad!$G190,T$8*$Z191,0))</f>
        <v>-</v>
      </c>
      <c r="U191" s="432" t="str">
        <f aca="false">IF($A$1="Peak","-",IF(BaseLoad!AA190&gt;BaseLoad!$G190,U$8*$Z191,0))</f>
        <v>-</v>
      </c>
      <c r="V191" s="432" t="n">
        <f aca="false">SUM(B191:U191)</f>
        <v>0</v>
      </c>
      <c r="W191" s="432"/>
      <c r="X191" s="432"/>
      <c r="Y191" s="432"/>
      <c r="Z191" s="432" t="n">
        <f aca="false">CHOOSE(QUOTIENT(MONTH($A191),3)+1,BaseLoad!$AM$9,BaseLoad!$AN$9,BaseLoad!$AL$9,BaseLoad!$AO$9,BaseLoad!$AM$9)</f>
        <v>0.924276618786118</v>
      </c>
      <c r="AA191" s="432" t="n">
        <f aca="false">CHOOSE(QUOTIENT(MONTH($A191),3)+1,BaseLoad!$AM$15,BaseLoad!$AN$15,BaseLoad!$AL$15,BaseLoad!$AO$15,BaseLoad!$AM$15)</f>
        <v>705</v>
      </c>
      <c r="AB191" s="431"/>
      <c r="AD191" s="431"/>
    </row>
    <row r="192" customFormat="false" ht="12.75" hidden="false" customHeight="false" outlineLevel="0" collapsed="false">
      <c r="A192" s="400" t="n">
        <f aca="false">A191+30.417</f>
        <v>42075.894</v>
      </c>
      <c r="B192" s="432" t="str">
        <f aca="false">IF($A$1="Peak","-",IF(BaseLoad!H191&gt;BaseLoad!$G191,B$8*$Z192,0))</f>
        <v>-</v>
      </c>
      <c r="C192" s="432" t="str">
        <f aca="false">IF($A$1="Peak","-",IF(BaseLoad!I191&gt;BaseLoad!$G191,C$8*$Z192,0))</f>
        <v>-</v>
      </c>
      <c r="D192" s="432" t="str">
        <f aca="false">IF($A$1="Peak","-",IF(BaseLoad!J191&gt;BaseLoad!$G191,D$8*$Z192,0))</f>
        <v>-</v>
      </c>
      <c r="E192" s="432" t="str">
        <f aca="false">IF($A$1="Peak","-",IF(BaseLoad!K191&gt;BaseLoad!$G191,E$8*$Z192,0))</f>
        <v>-</v>
      </c>
      <c r="F192" s="432" t="str">
        <f aca="false">IF($A$1="Peak","-",IF(BaseLoad!L191&gt;BaseLoad!$G191,F$8*$Z192,0))</f>
        <v>-</v>
      </c>
      <c r="G192" s="432" t="str">
        <f aca="false">IF($A$1="Peak","-",IF(BaseLoad!M191&gt;BaseLoad!$G191,G$8*$Z192,0))</f>
        <v>-</v>
      </c>
      <c r="H192" s="432" t="str">
        <f aca="false">IF($A$1="Peak","-",IF(BaseLoad!N191&gt;BaseLoad!$G191,H$8*$Z192,0))</f>
        <v>-</v>
      </c>
      <c r="I192" s="432" t="str">
        <f aca="false">IF($A$1="Peak","-",IF(BaseLoad!O191&gt;BaseLoad!$G191,I$8*$Z192,0))</f>
        <v>-</v>
      </c>
      <c r="J192" s="432" t="str">
        <f aca="false">IF($A$1="Peak","-",IF(BaseLoad!P191&gt;BaseLoad!$G191,J$8*$Z192,0))</f>
        <v>-</v>
      </c>
      <c r="K192" s="432" t="str">
        <f aca="false">IF($A$1="Peak","-",IF(BaseLoad!Q191&gt;BaseLoad!$G191,K$8*$Z192,0))</f>
        <v>-</v>
      </c>
      <c r="L192" s="432" t="str">
        <f aca="false">IF($A$1="Peak","-",IF(BaseLoad!R191&gt;BaseLoad!$G191,L$8*$Z192,0))</f>
        <v>-</v>
      </c>
      <c r="M192" s="432" t="str">
        <f aca="false">IF($A$1="Peak","-",IF(BaseLoad!S191&gt;BaseLoad!$G191,M$8*$Z192,0))</f>
        <v>-</v>
      </c>
      <c r="N192" s="432" t="str">
        <f aca="false">IF($A$1="Peak","-",IF(BaseLoad!T191&gt;BaseLoad!$G191,N$8*$Z192,0))</f>
        <v>-</v>
      </c>
      <c r="O192" s="432" t="str">
        <f aca="false">IF($A$1="Peak","-",IF(BaseLoad!U191&gt;BaseLoad!$G191,O$8*$Z192,0))</f>
        <v>-</v>
      </c>
      <c r="P192" s="432" t="str">
        <f aca="false">IF($A$1="Peak","-",IF(BaseLoad!V191&gt;BaseLoad!$G191,P$8*$Z192,0))</f>
        <v>-</v>
      </c>
      <c r="Q192" s="432" t="str">
        <f aca="false">IF($A$1="Peak","-",IF(BaseLoad!W191&gt;BaseLoad!$G191,Q$8*$Z192,0))</f>
        <v>-</v>
      </c>
      <c r="R192" s="432" t="str">
        <f aca="false">IF($A$1="Peak","-",IF(BaseLoad!X191&gt;BaseLoad!$G191,R$8*$Z192,0))</f>
        <v>-</v>
      </c>
      <c r="S192" s="432" t="str">
        <f aca="false">IF($A$1="Peak","-",IF(BaseLoad!Y191&gt;BaseLoad!$G191,S$8*$Z192,0))</f>
        <v>-</v>
      </c>
      <c r="T192" s="432" t="str">
        <f aca="false">IF($A$1="Peak","-",IF(BaseLoad!Z191&gt;BaseLoad!$G191,T$8*$Z192,0))</f>
        <v>-</v>
      </c>
      <c r="U192" s="432" t="str">
        <f aca="false">IF($A$1="Peak","-",IF(BaseLoad!AA191&gt;BaseLoad!$G191,U$8*$Z192,0))</f>
        <v>-</v>
      </c>
      <c r="V192" s="432" t="n">
        <f aca="false">SUM(B192:U192)</f>
        <v>0</v>
      </c>
      <c r="W192" s="432"/>
      <c r="X192" s="432"/>
      <c r="Y192" s="432"/>
      <c r="Z192" s="432" t="n">
        <f aca="false">CHOOSE(QUOTIENT(MONTH($A192),3)+1,BaseLoad!$AM$9,BaseLoad!$AN$9,BaseLoad!$AL$9,BaseLoad!$AO$9,BaseLoad!$AM$9)</f>
        <v>0.95</v>
      </c>
      <c r="AA192" s="432" t="n">
        <f aca="false">CHOOSE(QUOTIENT(MONTH($A192),3)+1,BaseLoad!$AM$15,BaseLoad!$AN$15,BaseLoad!$AL$15,BaseLoad!$AO$15,BaseLoad!$AM$15)</f>
        <v>705</v>
      </c>
      <c r="AB192" s="431"/>
      <c r="AD192" s="431"/>
    </row>
    <row r="193" customFormat="false" ht="12.75" hidden="false" customHeight="false" outlineLevel="0" collapsed="false">
      <c r="A193" s="400" t="n">
        <f aca="false">A192+30.417</f>
        <v>42106.311</v>
      </c>
      <c r="B193" s="432" t="str">
        <f aca="false">IF($A$1="Peak","-",IF(BaseLoad!H192&gt;BaseLoad!$G192,B$8*$Z193,0))</f>
        <v>-</v>
      </c>
      <c r="C193" s="432" t="str">
        <f aca="false">IF($A$1="Peak","-",IF(BaseLoad!I192&gt;BaseLoad!$G192,C$8*$Z193,0))</f>
        <v>-</v>
      </c>
      <c r="D193" s="432" t="str">
        <f aca="false">IF($A$1="Peak","-",IF(BaseLoad!J192&gt;BaseLoad!$G192,D$8*$Z193,0))</f>
        <v>-</v>
      </c>
      <c r="E193" s="432" t="str">
        <f aca="false">IF($A$1="Peak","-",IF(BaseLoad!K192&gt;BaseLoad!$G192,E$8*$Z193,0))</f>
        <v>-</v>
      </c>
      <c r="F193" s="432" t="str">
        <f aca="false">IF($A$1="Peak","-",IF(BaseLoad!L192&gt;BaseLoad!$G192,F$8*$Z193,0))</f>
        <v>-</v>
      </c>
      <c r="G193" s="432" t="str">
        <f aca="false">IF($A$1="Peak","-",IF(BaseLoad!M192&gt;BaseLoad!$G192,G$8*$Z193,0))</f>
        <v>-</v>
      </c>
      <c r="H193" s="432" t="str">
        <f aca="false">IF($A$1="Peak","-",IF(BaseLoad!N192&gt;BaseLoad!$G192,H$8*$Z193,0))</f>
        <v>-</v>
      </c>
      <c r="I193" s="432" t="str">
        <f aca="false">IF($A$1="Peak","-",IF(BaseLoad!O192&gt;BaseLoad!$G192,I$8*$Z193,0))</f>
        <v>-</v>
      </c>
      <c r="J193" s="432" t="str">
        <f aca="false">IF($A$1="Peak","-",IF(BaseLoad!P192&gt;BaseLoad!$G192,J$8*$Z193,0))</f>
        <v>-</v>
      </c>
      <c r="K193" s="432" t="str">
        <f aca="false">IF($A$1="Peak","-",IF(BaseLoad!Q192&gt;BaseLoad!$G192,K$8*$Z193,0))</f>
        <v>-</v>
      </c>
      <c r="L193" s="432" t="str">
        <f aca="false">IF($A$1="Peak","-",IF(BaseLoad!R192&gt;BaseLoad!$G192,L$8*$Z193,0))</f>
        <v>-</v>
      </c>
      <c r="M193" s="432" t="str">
        <f aca="false">IF($A$1="Peak","-",IF(BaseLoad!S192&gt;BaseLoad!$G192,M$8*$Z193,0))</f>
        <v>-</v>
      </c>
      <c r="N193" s="432" t="str">
        <f aca="false">IF($A$1="Peak","-",IF(BaseLoad!T192&gt;BaseLoad!$G192,N$8*$Z193,0))</f>
        <v>-</v>
      </c>
      <c r="O193" s="432" t="str">
        <f aca="false">IF($A$1="Peak","-",IF(BaseLoad!U192&gt;BaseLoad!$G192,O$8*$Z193,0))</f>
        <v>-</v>
      </c>
      <c r="P193" s="432" t="str">
        <f aca="false">IF($A$1="Peak","-",IF(BaseLoad!V192&gt;BaseLoad!$G192,P$8*$Z193,0))</f>
        <v>-</v>
      </c>
      <c r="Q193" s="432" t="str">
        <f aca="false">IF($A$1="Peak","-",IF(BaseLoad!W192&gt;BaseLoad!$G192,Q$8*$Z193,0))</f>
        <v>-</v>
      </c>
      <c r="R193" s="432" t="str">
        <f aca="false">IF($A$1="Peak","-",IF(BaseLoad!X192&gt;BaseLoad!$G192,R$8*$Z193,0))</f>
        <v>-</v>
      </c>
      <c r="S193" s="432" t="str">
        <f aca="false">IF($A$1="Peak","-",IF(BaseLoad!Y192&gt;BaseLoad!$G192,S$8*$Z193,0))</f>
        <v>-</v>
      </c>
      <c r="T193" s="432" t="str">
        <f aca="false">IF($A$1="Peak","-",IF(BaseLoad!Z192&gt;BaseLoad!$G192,T$8*$Z193,0))</f>
        <v>-</v>
      </c>
      <c r="U193" s="432" t="str">
        <f aca="false">IF($A$1="Peak","-",IF(BaseLoad!AA192&gt;BaseLoad!$G192,U$8*$Z193,0))</f>
        <v>-</v>
      </c>
      <c r="V193" s="432" t="n">
        <f aca="false">SUM(B193:U193)</f>
        <v>0</v>
      </c>
      <c r="W193" s="432"/>
      <c r="X193" s="432"/>
      <c r="Y193" s="432"/>
      <c r="Z193" s="432" t="n">
        <f aca="false">CHOOSE(QUOTIENT(MONTH($A193),3)+1,BaseLoad!$AM$9,BaseLoad!$AN$9,BaseLoad!$AL$9,BaseLoad!$AO$9,BaseLoad!$AM$9)</f>
        <v>0.95</v>
      </c>
      <c r="AA193" s="432" t="n">
        <f aca="false">CHOOSE(QUOTIENT(MONTH($A193),3)+1,BaseLoad!$AM$15,BaseLoad!$AN$15,BaseLoad!$AL$15,BaseLoad!$AO$15,BaseLoad!$AM$15)</f>
        <v>705</v>
      </c>
      <c r="AB193" s="431"/>
      <c r="AD193" s="431"/>
    </row>
    <row r="194" customFormat="false" ht="12.75" hidden="false" customHeight="false" outlineLevel="0" collapsed="false">
      <c r="A194" s="400" t="n">
        <f aca="false">A193+30.417</f>
        <v>42136.728</v>
      </c>
      <c r="B194" s="432" t="str">
        <f aca="false">IF($A$1="Peak","-",IF(BaseLoad!H193&gt;BaseLoad!$G193,B$8*$Z194,0))</f>
        <v>-</v>
      </c>
      <c r="C194" s="432" t="str">
        <f aca="false">IF($A$1="Peak","-",IF(BaseLoad!I193&gt;BaseLoad!$G193,C$8*$Z194,0))</f>
        <v>-</v>
      </c>
      <c r="D194" s="432" t="str">
        <f aca="false">IF($A$1="Peak","-",IF(BaseLoad!J193&gt;BaseLoad!$G193,D$8*$Z194,0))</f>
        <v>-</v>
      </c>
      <c r="E194" s="432" t="str">
        <f aca="false">IF($A$1="Peak","-",IF(BaseLoad!K193&gt;BaseLoad!$G193,E$8*$Z194,0))</f>
        <v>-</v>
      </c>
      <c r="F194" s="432" t="str">
        <f aca="false">IF($A$1="Peak","-",IF(BaseLoad!L193&gt;BaseLoad!$G193,F$8*$Z194,0))</f>
        <v>-</v>
      </c>
      <c r="G194" s="432" t="str">
        <f aca="false">IF($A$1="Peak","-",IF(BaseLoad!M193&gt;BaseLoad!$G193,G$8*$Z194,0))</f>
        <v>-</v>
      </c>
      <c r="H194" s="432" t="str">
        <f aca="false">IF($A$1="Peak","-",IF(BaseLoad!N193&gt;BaseLoad!$G193,H$8*$Z194,0))</f>
        <v>-</v>
      </c>
      <c r="I194" s="432" t="str">
        <f aca="false">IF($A$1="Peak","-",IF(BaseLoad!O193&gt;BaseLoad!$G193,I$8*$Z194,0))</f>
        <v>-</v>
      </c>
      <c r="J194" s="432" t="str">
        <f aca="false">IF($A$1="Peak","-",IF(BaseLoad!P193&gt;BaseLoad!$G193,J$8*$Z194,0))</f>
        <v>-</v>
      </c>
      <c r="K194" s="432" t="str">
        <f aca="false">IF($A$1="Peak","-",IF(BaseLoad!Q193&gt;BaseLoad!$G193,K$8*$Z194,0))</f>
        <v>-</v>
      </c>
      <c r="L194" s="432" t="str">
        <f aca="false">IF($A$1="Peak","-",IF(BaseLoad!R193&gt;BaseLoad!$G193,L$8*$Z194,0))</f>
        <v>-</v>
      </c>
      <c r="M194" s="432" t="str">
        <f aca="false">IF($A$1="Peak","-",IF(BaseLoad!S193&gt;BaseLoad!$G193,M$8*$Z194,0))</f>
        <v>-</v>
      </c>
      <c r="N194" s="432" t="str">
        <f aca="false">IF($A$1="Peak","-",IF(BaseLoad!T193&gt;BaseLoad!$G193,N$8*$Z194,0))</f>
        <v>-</v>
      </c>
      <c r="O194" s="432" t="str">
        <f aca="false">IF($A$1="Peak","-",IF(BaseLoad!U193&gt;BaseLoad!$G193,O$8*$Z194,0))</f>
        <v>-</v>
      </c>
      <c r="P194" s="432" t="str">
        <f aca="false">IF($A$1="Peak","-",IF(BaseLoad!V193&gt;BaseLoad!$G193,P$8*$Z194,0))</f>
        <v>-</v>
      </c>
      <c r="Q194" s="432" t="str">
        <f aca="false">IF($A$1="Peak","-",IF(BaseLoad!W193&gt;BaseLoad!$G193,Q$8*$Z194,0))</f>
        <v>-</v>
      </c>
      <c r="R194" s="432" t="str">
        <f aca="false">IF($A$1="Peak","-",IF(BaseLoad!X193&gt;BaseLoad!$G193,R$8*$Z194,0))</f>
        <v>-</v>
      </c>
      <c r="S194" s="432" t="str">
        <f aca="false">IF($A$1="Peak","-",IF(BaseLoad!Y193&gt;BaseLoad!$G193,S$8*$Z194,0))</f>
        <v>-</v>
      </c>
      <c r="T194" s="432" t="str">
        <f aca="false">IF($A$1="Peak","-",IF(BaseLoad!Z193&gt;BaseLoad!$G193,T$8*$Z194,0))</f>
        <v>-</v>
      </c>
      <c r="U194" s="432" t="str">
        <f aca="false">IF($A$1="Peak","-",IF(BaseLoad!AA193&gt;BaseLoad!$G193,U$8*$Z194,0))</f>
        <v>-</v>
      </c>
      <c r="V194" s="432" t="n">
        <f aca="false">SUM(B194:U194)</f>
        <v>0</v>
      </c>
      <c r="W194" s="432"/>
      <c r="X194" s="432"/>
      <c r="Y194" s="432"/>
      <c r="Z194" s="432" t="n">
        <f aca="false">CHOOSE(QUOTIENT(MONTH($A194),3)+1,BaseLoad!$AM$9,BaseLoad!$AN$9,BaseLoad!$AL$9,BaseLoad!$AO$9,BaseLoad!$AM$9)</f>
        <v>0.95</v>
      </c>
      <c r="AA194" s="432" t="n">
        <f aca="false">CHOOSE(QUOTIENT(MONTH($A194),3)+1,BaseLoad!$AM$15,BaseLoad!$AN$15,BaseLoad!$AL$15,BaseLoad!$AO$15,BaseLoad!$AM$15)</f>
        <v>705</v>
      </c>
      <c r="AB194" s="431"/>
      <c r="AD194" s="431"/>
    </row>
    <row r="195" customFormat="false" ht="12.75" hidden="false" customHeight="false" outlineLevel="0" collapsed="false">
      <c r="A195" s="400" t="n">
        <f aca="false">A194+30.417</f>
        <v>42167.145</v>
      </c>
      <c r="B195" s="432" t="str">
        <f aca="false">IF($A$1="Peak","-",IF(BaseLoad!H194&gt;BaseLoad!$G194,B$8*$Z195,0))</f>
        <v>-</v>
      </c>
      <c r="C195" s="432" t="str">
        <f aca="false">IF($A$1="Peak","-",IF(BaseLoad!I194&gt;BaseLoad!$G194,C$8*$Z195,0))</f>
        <v>-</v>
      </c>
      <c r="D195" s="432" t="str">
        <f aca="false">IF($A$1="Peak","-",IF(BaseLoad!J194&gt;BaseLoad!$G194,D$8*$Z195,0))</f>
        <v>-</v>
      </c>
      <c r="E195" s="432" t="str">
        <f aca="false">IF($A$1="Peak","-",IF(BaseLoad!K194&gt;BaseLoad!$G194,E$8*$Z195,0))</f>
        <v>-</v>
      </c>
      <c r="F195" s="432" t="str">
        <f aca="false">IF($A$1="Peak","-",IF(BaseLoad!L194&gt;BaseLoad!$G194,F$8*$Z195,0))</f>
        <v>-</v>
      </c>
      <c r="G195" s="432" t="str">
        <f aca="false">IF($A$1="Peak","-",IF(BaseLoad!M194&gt;BaseLoad!$G194,G$8*$Z195,0))</f>
        <v>-</v>
      </c>
      <c r="H195" s="432" t="str">
        <f aca="false">IF($A$1="Peak","-",IF(BaseLoad!N194&gt;BaseLoad!$G194,H$8*$Z195,0))</f>
        <v>-</v>
      </c>
      <c r="I195" s="432" t="str">
        <f aca="false">IF($A$1="Peak","-",IF(BaseLoad!O194&gt;BaseLoad!$G194,I$8*$Z195,0))</f>
        <v>-</v>
      </c>
      <c r="J195" s="432" t="str">
        <f aca="false">IF($A$1="Peak","-",IF(BaseLoad!P194&gt;BaseLoad!$G194,J$8*$Z195,0))</f>
        <v>-</v>
      </c>
      <c r="K195" s="432" t="str">
        <f aca="false">IF($A$1="Peak","-",IF(BaseLoad!Q194&gt;BaseLoad!$G194,K$8*$Z195,0))</f>
        <v>-</v>
      </c>
      <c r="L195" s="432" t="str">
        <f aca="false">IF($A$1="Peak","-",IF(BaseLoad!R194&gt;BaseLoad!$G194,L$8*$Z195,0))</f>
        <v>-</v>
      </c>
      <c r="M195" s="432" t="str">
        <f aca="false">IF($A$1="Peak","-",IF(BaseLoad!S194&gt;BaseLoad!$G194,M$8*$Z195,0))</f>
        <v>-</v>
      </c>
      <c r="N195" s="432" t="str">
        <f aca="false">IF($A$1="Peak","-",IF(BaseLoad!T194&gt;BaseLoad!$G194,N$8*$Z195,0))</f>
        <v>-</v>
      </c>
      <c r="O195" s="432" t="str">
        <f aca="false">IF($A$1="Peak","-",IF(BaseLoad!U194&gt;BaseLoad!$G194,O$8*$Z195,0))</f>
        <v>-</v>
      </c>
      <c r="P195" s="432" t="str">
        <f aca="false">IF($A$1="Peak","-",IF(BaseLoad!V194&gt;BaseLoad!$G194,P$8*$Z195,0))</f>
        <v>-</v>
      </c>
      <c r="Q195" s="432" t="str">
        <f aca="false">IF($A$1="Peak","-",IF(BaseLoad!W194&gt;BaseLoad!$G194,Q$8*$Z195,0))</f>
        <v>-</v>
      </c>
      <c r="R195" s="432" t="str">
        <f aca="false">IF($A$1="Peak","-",IF(BaseLoad!X194&gt;BaseLoad!$G194,R$8*$Z195,0))</f>
        <v>-</v>
      </c>
      <c r="S195" s="432" t="str">
        <f aca="false">IF($A$1="Peak","-",IF(BaseLoad!Y194&gt;BaseLoad!$G194,S$8*$Z195,0))</f>
        <v>-</v>
      </c>
      <c r="T195" s="432" t="str">
        <f aca="false">IF($A$1="Peak","-",IF(BaseLoad!Z194&gt;BaseLoad!$G194,T$8*$Z195,0))</f>
        <v>-</v>
      </c>
      <c r="U195" s="432" t="str">
        <f aca="false">IF($A$1="Peak","-",IF(BaseLoad!AA194&gt;BaseLoad!$G194,U$8*$Z195,0))</f>
        <v>-</v>
      </c>
      <c r="V195" s="432" t="n">
        <f aca="false">SUM(B195:U195)</f>
        <v>0</v>
      </c>
      <c r="W195" s="432"/>
      <c r="X195" s="432"/>
      <c r="Y195" s="432"/>
      <c r="Z195" s="432" t="n">
        <f aca="false">CHOOSE(QUOTIENT(MONTH($A195),3)+1,BaseLoad!$AM$9,BaseLoad!$AN$9,BaseLoad!$AL$9,BaseLoad!$AO$9,BaseLoad!$AM$9)</f>
        <v>0.966121359095586</v>
      </c>
      <c r="AA195" s="432" t="n">
        <f aca="false">CHOOSE(QUOTIENT(MONTH($A195),3)+1,BaseLoad!$AM$15,BaseLoad!$AN$15,BaseLoad!$AL$15,BaseLoad!$AO$15,BaseLoad!$AM$15)</f>
        <v>705</v>
      </c>
      <c r="AB195" s="431"/>
      <c r="AD195" s="431"/>
    </row>
    <row r="196" customFormat="false" ht="12.75" hidden="false" customHeight="false" outlineLevel="0" collapsed="false">
      <c r="A196" s="400" t="n">
        <f aca="false">A195+30.417</f>
        <v>42197.562</v>
      </c>
      <c r="B196" s="432" t="str">
        <f aca="false">IF($A$1="Peak","-",IF(BaseLoad!H195&gt;BaseLoad!$G195,B$8*$Z196,0))</f>
        <v>-</v>
      </c>
      <c r="C196" s="432" t="str">
        <f aca="false">IF($A$1="Peak","-",IF(BaseLoad!I195&gt;BaseLoad!$G195,C$8*$Z196,0))</f>
        <v>-</v>
      </c>
      <c r="D196" s="432" t="str">
        <f aca="false">IF($A$1="Peak","-",IF(BaseLoad!J195&gt;BaseLoad!$G195,D$8*$Z196,0))</f>
        <v>-</v>
      </c>
      <c r="E196" s="432" t="str">
        <f aca="false">IF($A$1="Peak","-",IF(BaseLoad!K195&gt;BaseLoad!$G195,E$8*$Z196,0))</f>
        <v>-</v>
      </c>
      <c r="F196" s="432" t="str">
        <f aca="false">IF($A$1="Peak","-",IF(BaseLoad!L195&gt;BaseLoad!$G195,F$8*$Z196,0))</f>
        <v>-</v>
      </c>
      <c r="G196" s="432" t="str">
        <f aca="false">IF($A$1="Peak","-",IF(BaseLoad!M195&gt;BaseLoad!$G195,G$8*$Z196,0))</f>
        <v>-</v>
      </c>
      <c r="H196" s="432" t="str">
        <f aca="false">IF($A$1="Peak","-",IF(BaseLoad!N195&gt;BaseLoad!$G195,H$8*$Z196,0))</f>
        <v>-</v>
      </c>
      <c r="I196" s="432" t="str">
        <f aca="false">IF($A$1="Peak","-",IF(BaseLoad!O195&gt;BaseLoad!$G195,I$8*$Z196,0))</f>
        <v>-</v>
      </c>
      <c r="J196" s="432" t="str">
        <f aca="false">IF($A$1="Peak","-",IF(BaseLoad!P195&gt;BaseLoad!$G195,J$8*$Z196,0))</f>
        <v>-</v>
      </c>
      <c r="K196" s="432" t="str">
        <f aca="false">IF($A$1="Peak","-",IF(BaseLoad!Q195&gt;BaseLoad!$G195,K$8*$Z196,0))</f>
        <v>-</v>
      </c>
      <c r="L196" s="432" t="str">
        <f aca="false">IF($A$1="Peak","-",IF(BaseLoad!R195&gt;BaseLoad!$G195,L$8*$Z196,0))</f>
        <v>-</v>
      </c>
      <c r="M196" s="432" t="str">
        <f aca="false">IF($A$1="Peak","-",IF(BaseLoad!S195&gt;BaseLoad!$G195,M$8*$Z196,0))</f>
        <v>-</v>
      </c>
      <c r="N196" s="432" t="str">
        <f aca="false">IF($A$1="Peak","-",IF(BaseLoad!T195&gt;BaseLoad!$G195,N$8*$Z196,0))</f>
        <v>-</v>
      </c>
      <c r="O196" s="432" t="str">
        <f aca="false">IF($A$1="Peak","-",IF(BaseLoad!U195&gt;BaseLoad!$G195,O$8*$Z196,0))</f>
        <v>-</v>
      </c>
      <c r="P196" s="432" t="str">
        <f aca="false">IF($A$1="Peak","-",IF(BaseLoad!V195&gt;BaseLoad!$G195,P$8*$Z196,0))</f>
        <v>-</v>
      </c>
      <c r="Q196" s="432" t="str">
        <f aca="false">IF($A$1="Peak","-",IF(BaseLoad!W195&gt;BaseLoad!$G195,Q$8*$Z196,0))</f>
        <v>-</v>
      </c>
      <c r="R196" s="432" t="str">
        <f aca="false">IF($A$1="Peak","-",IF(BaseLoad!X195&gt;BaseLoad!$G195,R$8*$Z196,0))</f>
        <v>-</v>
      </c>
      <c r="S196" s="432" t="str">
        <f aca="false">IF($A$1="Peak","-",IF(BaseLoad!Y195&gt;BaseLoad!$G195,S$8*$Z196,0))</f>
        <v>-</v>
      </c>
      <c r="T196" s="432" t="str">
        <f aca="false">IF($A$1="Peak","-",IF(BaseLoad!Z195&gt;BaseLoad!$G195,T$8*$Z196,0))</f>
        <v>-</v>
      </c>
      <c r="U196" s="432" t="str">
        <f aca="false">IF($A$1="Peak","-",IF(BaseLoad!AA195&gt;BaseLoad!$G195,U$8*$Z196,0))</f>
        <v>-</v>
      </c>
      <c r="V196" s="432" t="n">
        <f aca="false">SUM(B196:U196)</f>
        <v>0</v>
      </c>
      <c r="W196" s="432"/>
      <c r="X196" s="432"/>
      <c r="Y196" s="432"/>
      <c r="Z196" s="432" t="n">
        <f aca="false">CHOOSE(QUOTIENT(MONTH($A196),3)+1,BaseLoad!$AM$9,BaseLoad!$AN$9,BaseLoad!$AL$9,BaseLoad!$AO$9,BaseLoad!$AM$9)</f>
        <v>0.966121359095586</v>
      </c>
      <c r="AA196" s="432" t="n">
        <f aca="false">CHOOSE(QUOTIENT(MONTH($A196),3)+1,BaseLoad!$AM$15,BaseLoad!$AN$15,BaseLoad!$AL$15,BaseLoad!$AO$15,BaseLoad!$AM$15)</f>
        <v>705</v>
      </c>
      <c r="AB196" s="431"/>
      <c r="AD196" s="431"/>
    </row>
    <row r="197" customFormat="false" ht="12.75" hidden="false" customHeight="false" outlineLevel="0" collapsed="false">
      <c r="A197" s="400" t="n">
        <f aca="false">A196+30.417</f>
        <v>42227.979</v>
      </c>
      <c r="B197" s="432" t="str">
        <f aca="false">IF($A$1="Peak","-",IF(BaseLoad!H196&gt;BaseLoad!$G196,B$8*$Z197,0))</f>
        <v>-</v>
      </c>
      <c r="C197" s="432" t="str">
        <f aca="false">IF($A$1="Peak","-",IF(BaseLoad!I196&gt;BaseLoad!$G196,C$8*$Z197,0))</f>
        <v>-</v>
      </c>
      <c r="D197" s="432" t="str">
        <f aca="false">IF($A$1="Peak","-",IF(BaseLoad!J196&gt;BaseLoad!$G196,D$8*$Z197,0))</f>
        <v>-</v>
      </c>
      <c r="E197" s="432" t="str">
        <f aca="false">IF($A$1="Peak","-",IF(BaseLoad!K196&gt;BaseLoad!$G196,E$8*$Z197,0))</f>
        <v>-</v>
      </c>
      <c r="F197" s="432" t="str">
        <f aca="false">IF($A$1="Peak","-",IF(BaseLoad!L196&gt;BaseLoad!$G196,F$8*$Z197,0))</f>
        <v>-</v>
      </c>
      <c r="G197" s="432" t="str">
        <f aca="false">IF($A$1="Peak","-",IF(BaseLoad!M196&gt;BaseLoad!$G196,G$8*$Z197,0))</f>
        <v>-</v>
      </c>
      <c r="H197" s="432" t="str">
        <f aca="false">IF($A$1="Peak","-",IF(BaseLoad!N196&gt;BaseLoad!$G196,H$8*$Z197,0))</f>
        <v>-</v>
      </c>
      <c r="I197" s="432" t="str">
        <f aca="false">IF($A$1="Peak","-",IF(BaseLoad!O196&gt;BaseLoad!$G196,I$8*$Z197,0))</f>
        <v>-</v>
      </c>
      <c r="J197" s="432" t="str">
        <f aca="false">IF($A$1="Peak","-",IF(BaseLoad!P196&gt;BaseLoad!$G196,J$8*$Z197,0))</f>
        <v>-</v>
      </c>
      <c r="K197" s="432" t="str">
        <f aca="false">IF($A$1="Peak","-",IF(BaseLoad!Q196&gt;BaseLoad!$G196,K$8*$Z197,0))</f>
        <v>-</v>
      </c>
      <c r="L197" s="432" t="str">
        <f aca="false">IF($A$1="Peak","-",IF(BaseLoad!R196&gt;BaseLoad!$G196,L$8*$Z197,0))</f>
        <v>-</v>
      </c>
      <c r="M197" s="432" t="str">
        <f aca="false">IF($A$1="Peak","-",IF(BaseLoad!S196&gt;BaseLoad!$G196,M$8*$Z197,0))</f>
        <v>-</v>
      </c>
      <c r="N197" s="432" t="str">
        <f aca="false">IF($A$1="Peak","-",IF(BaseLoad!T196&gt;BaseLoad!$G196,N$8*$Z197,0))</f>
        <v>-</v>
      </c>
      <c r="O197" s="432" t="str">
        <f aca="false">IF($A$1="Peak","-",IF(BaseLoad!U196&gt;BaseLoad!$G196,O$8*$Z197,0))</f>
        <v>-</v>
      </c>
      <c r="P197" s="432" t="str">
        <f aca="false">IF($A$1="Peak","-",IF(BaseLoad!V196&gt;BaseLoad!$G196,P$8*$Z197,0))</f>
        <v>-</v>
      </c>
      <c r="Q197" s="432" t="str">
        <f aca="false">IF($A$1="Peak","-",IF(BaseLoad!W196&gt;BaseLoad!$G196,Q$8*$Z197,0))</f>
        <v>-</v>
      </c>
      <c r="R197" s="432" t="str">
        <f aca="false">IF($A$1="Peak","-",IF(BaseLoad!X196&gt;BaseLoad!$G196,R$8*$Z197,0))</f>
        <v>-</v>
      </c>
      <c r="S197" s="432" t="str">
        <f aca="false">IF($A$1="Peak","-",IF(BaseLoad!Y196&gt;BaseLoad!$G196,S$8*$Z197,0))</f>
        <v>-</v>
      </c>
      <c r="T197" s="432" t="str">
        <f aca="false">IF($A$1="Peak","-",IF(BaseLoad!Z196&gt;BaseLoad!$G196,T$8*$Z197,0))</f>
        <v>-</v>
      </c>
      <c r="U197" s="432" t="str">
        <f aca="false">IF($A$1="Peak","-",IF(BaseLoad!AA196&gt;BaseLoad!$G196,U$8*$Z197,0))</f>
        <v>-</v>
      </c>
      <c r="V197" s="432" t="n">
        <f aca="false">SUM(B197:U197)</f>
        <v>0</v>
      </c>
      <c r="W197" s="432"/>
      <c r="X197" s="432"/>
      <c r="Y197" s="432"/>
      <c r="Z197" s="432" t="n">
        <f aca="false">CHOOSE(QUOTIENT(MONTH($A197),3)+1,BaseLoad!$AM$9,BaseLoad!$AN$9,BaseLoad!$AL$9,BaseLoad!$AO$9,BaseLoad!$AM$9)</f>
        <v>0.966121359095586</v>
      </c>
      <c r="AA197" s="432" t="n">
        <f aca="false">CHOOSE(QUOTIENT(MONTH($A197),3)+1,BaseLoad!$AM$15,BaseLoad!$AN$15,BaseLoad!$AL$15,BaseLoad!$AO$15,BaseLoad!$AM$15)</f>
        <v>705</v>
      </c>
      <c r="AB197" s="431"/>
      <c r="AD197" s="431"/>
    </row>
    <row r="198" customFormat="false" ht="12.75" hidden="false" customHeight="false" outlineLevel="0" collapsed="false">
      <c r="A198" s="400" t="n">
        <f aca="false">A197+30.417</f>
        <v>42258.396</v>
      </c>
      <c r="B198" s="432" t="str">
        <f aca="false">IF($A$1="Peak","-",IF(BaseLoad!H197&gt;BaseLoad!$G197,B$8*$Z198,0))</f>
        <v>-</v>
      </c>
      <c r="C198" s="432" t="str">
        <f aca="false">IF($A$1="Peak","-",IF(BaseLoad!I197&gt;BaseLoad!$G197,C$8*$Z198,0))</f>
        <v>-</v>
      </c>
      <c r="D198" s="432" t="str">
        <f aca="false">IF($A$1="Peak","-",IF(BaseLoad!J197&gt;BaseLoad!$G197,D$8*$Z198,0))</f>
        <v>-</v>
      </c>
      <c r="E198" s="432" t="str">
        <f aca="false">IF($A$1="Peak","-",IF(BaseLoad!K197&gt;BaseLoad!$G197,E$8*$Z198,0))</f>
        <v>-</v>
      </c>
      <c r="F198" s="432" t="str">
        <f aca="false">IF($A$1="Peak","-",IF(BaseLoad!L197&gt;BaseLoad!$G197,F$8*$Z198,0))</f>
        <v>-</v>
      </c>
      <c r="G198" s="432" t="str">
        <f aca="false">IF($A$1="Peak","-",IF(BaseLoad!M197&gt;BaseLoad!$G197,G$8*$Z198,0))</f>
        <v>-</v>
      </c>
      <c r="H198" s="432" t="str">
        <f aca="false">IF($A$1="Peak","-",IF(BaseLoad!N197&gt;BaseLoad!$G197,H$8*$Z198,0))</f>
        <v>-</v>
      </c>
      <c r="I198" s="432" t="str">
        <f aca="false">IF($A$1="Peak","-",IF(BaseLoad!O197&gt;BaseLoad!$G197,I$8*$Z198,0))</f>
        <v>-</v>
      </c>
      <c r="J198" s="432" t="str">
        <f aca="false">IF($A$1="Peak","-",IF(BaseLoad!P197&gt;BaseLoad!$G197,J$8*$Z198,0))</f>
        <v>-</v>
      </c>
      <c r="K198" s="432" t="str">
        <f aca="false">IF($A$1="Peak","-",IF(BaseLoad!Q197&gt;BaseLoad!$G197,K$8*$Z198,0))</f>
        <v>-</v>
      </c>
      <c r="L198" s="432" t="str">
        <f aca="false">IF($A$1="Peak","-",IF(BaseLoad!R197&gt;BaseLoad!$G197,L$8*$Z198,0))</f>
        <v>-</v>
      </c>
      <c r="M198" s="432" t="str">
        <f aca="false">IF($A$1="Peak","-",IF(BaseLoad!S197&gt;BaseLoad!$G197,M$8*$Z198,0))</f>
        <v>-</v>
      </c>
      <c r="N198" s="432" t="str">
        <f aca="false">IF($A$1="Peak","-",IF(BaseLoad!T197&gt;BaseLoad!$G197,N$8*$Z198,0))</f>
        <v>-</v>
      </c>
      <c r="O198" s="432" t="str">
        <f aca="false">IF($A$1="Peak","-",IF(BaseLoad!U197&gt;BaseLoad!$G197,O$8*$Z198,0))</f>
        <v>-</v>
      </c>
      <c r="P198" s="432" t="str">
        <f aca="false">IF($A$1="Peak","-",IF(BaseLoad!V197&gt;BaseLoad!$G197,P$8*$Z198,0))</f>
        <v>-</v>
      </c>
      <c r="Q198" s="432" t="str">
        <f aca="false">IF($A$1="Peak","-",IF(BaseLoad!W197&gt;BaseLoad!$G197,Q$8*$Z198,0))</f>
        <v>-</v>
      </c>
      <c r="R198" s="432" t="str">
        <f aca="false">IF($A$1="Peak","-",IF(BaseLoad!X197&gt;BaseLoad!$G197,R$8*$Z198,0))</f>
        <v>-</v>
      </c>
      <c r="S198" s="432" t="str">
        <f aca="false">IF($A$1="Peak","-",IF(BaseLoad!Y197&gt;BaseLoad!$G197,S$8*$Z198,0))</f>
        <v>-</v>
      </c>
      <c r="T198" s="432" t="str">
        <f aca="false">IF($A$1="Peak","-",IF(BaseLoad!Z197&gt;BaseLoad!$G197,T$8*$Z198,0))</f>
        <v>-</v>
      </c>
      <c r="U198" s="432" t="str">
        <f aca="false">IF($A$1="Peak","-",IF(BaseLoad!AA197&gt;BaseLoad!$G197,U$8*$Z198,0))</f>
        <v>-</v>
      </c>
      <c r="V198" s="432" t="n">
        <f aca="false">SUM(B198:U198)</f>
        <v>0</v>
      </c>
      <c r="W198" s="432"/>
      <c r="X198" s="432"/>
      <c r="Y198" s="432"/>
      <c r="Z198" s="432" t="n">
        <f aca="false">CHOOSE(QUOTIENT(MONTH($A198),3)+1,BaseLoad!$AM$9,BaseLoad!$AN$9,BaseLoad!$AL$9,BaseLoad!$AO$9,BaseLoad!$AM$9)</f>
        <v>0.95</v>
      </c>
      <c r="AA198" s="432" t="n">
        <f aca="false">CHOOSE(QUOTIENT(MONTH($A198),3)+1,BaseLoad!$AM$15,BaseLoad!$AN$15,BaseLoad!$AL$15,BaseLoad!$AO$15,BaseLoad!$AM$15)</f>
        <v>705</v>
      </c>
      <c r="AB198" s="431"/>
      <c r="AD198" s="431"/>
    </row>
    <row r="199" customFormat="false" ht="12.75" hidden="false" customHeight="false" outlineLevel="0" collapsed="false">
      <c r="A199" s="400" t="n">
        <f aca="false">A198+30.417</f>
        <v>42288.813</v>
      </c>
      <c r="B199" s="432" t="str">
        <f aca="false">IF($A$1="Peak","-",IF(BaseLoad!H198&gt;BaseLoad!$G198,B$8*$Z199,0))</f>
        <v>-</v>
      </c>
      <c r="C199" s="432" t="str">
        <f aca="false">IF($A$1="Peak","-",IF(BaseLoad!I198&gt;BaseLoad!$G198,C$8*$Z199,0))</f>
        <v>-</v>
      </c>
      <c r="D199" s="432" t="str">
        <f aca="false">IF($A$1="Peak","-",IF(BaseLoad!J198&gt;BaseLoad!$G198,D$8*$Z199,0))</f>
        <v>-</v>
      </c>
      <c r="E199" s="432" t="str">
        <f aca="false">IF($A$1="Peak","-",IF(BaseLoad!K198&gt;BaseLoad!$G198,E$8*$Z199,0))</f>
        <v>-</v>
      </c>
      <c r="F199" s="432" t="str">
        <f aca="false">IF($A$1="Peak","-",IF(BaseLoad!L198&gt;BaseLoad!$G198,F$8*$Z199,0))</f>
        <v>-</v>
      </c>
      <c r="G199" s="432" t="str">
        <f aca="false">IF($A$1="Peak","-",IF(BaseLoad!M198&gt;BaseLoad!$G198,G$8*$Z199,0))</f>
        <v>-</v>
      </c>
      <c r="H199" s="432" t="str">
        <f aca="false">IF($A$1="Peak","-",IF(BaseLoad!N198&gt;BaseLoad!$G198,H$8*$Z199,0))</f>
        <v>-</v>
      </c>
      <c r="I199" s="432" t="str">
        <f aca="false">IF($A$1="Peak","-",IF(BaseLoad!O198&gt;BaseLoad!$G198,I$8*$Z199,0))</f>
        <v>-</v>
      </c>
      <c r="J199" s="432" t="str">
        <f aca="false">IF($A$1="Peak","-",IF(BaseLoad!P198&gt;BaseLoad!$G198,J$8*$Z199,0))</f>
        <v>-</v>
      </c>
      <c r="K199" s="432" t="str">
        <f aca="false">IF($A$1="Peak","-",IF(BaseLoad!Q198&gt;BaseLoad!$G198,K$8*$Z199,0))</f>
        <v>-</v>
      </c>
      <c r="L199" s="432" t="str">
        <f aca="false">IF($A$1="Peak","-",IF(BaseLoad!R198&gt;BaseLoad!$G198,L$8*$Z199,0))</f>
        <v>-</v>
      </c>
      <c r="M199" s="432" t="str">
        <f aca="false">IF($A$1="Peak","-",IF(BaseLoad!S198&gt;BaseLoad!$G198,M$8*$Z199,0))</f>
        <v>-</v>
      </c>
      <c r="N199" s="432" t="str">
        <f aca="false">IF($A$1="Peak","-",IF(BaseLoad!T198&gt;BaseLoad!$G198,N$8*$Z199,0))</f>
        <v>-</v>
      </c>
      <c r="O199" s="432" t="str">
        <f aca="false">IF($A$1="Peak","-",IF(BaseLoad!U198&gt;BaseLoad!$G198,O$8*$Z199,0))</f>
        <v>-</v>
      </c>
      <c r="P199" s="432" t="str">
        <f aca="false">IF($A$1="Peak","-",IF(BaseLoad!V198&gt;BaseLoad!$G198,P$8*$Z199,0))</f>
        <v>-</v>
      </c>
      <c r="Q199" s="432" t="str">
        <f aca="false">IF($A$1="Peak","-",IF(BaseLoad!W198&gt;BaseLoad!$G198,Q$8*$Z199,0))</f>
        <v>-</v>
      </c>
      <c r="R199" s="432" t="str">
        <f aca="false">IF($A$1="Peak","-",IF(BaseLoad!X198&gt;BaseLoad!$G198,R$8*$Z199,0))</f>
        <v>-</v>
      </c>
      <c r="S199" s="432" t="str">
        <f aca="false">IF($A$1="Peak","-",IF(BaseLoad!Y198&gt;BaseLoad!$G198,S$8*$Z199,0))</f>
        <v>-</v>
      </c>
      <c r="T199" s="432" t="str">
        <f aca="false">IF($A$1="Peak","-",IF(BaseLoad!Z198&gt;BaseLoad!$G198,T$8*$Z199,0))</f>
        <v>-</v>
      </c>
      <c r="U199" s="432" t="str">
        <f aca="false">IF($A$1="Peak","-",IF(BaseLoad!AA198&gt;BaseLoad!$G198,U$8*$Z199,0))</f>
        <v>-</v>
      </c>
      <c r="V199" s="432" t="n">
        <f aca="false">SUM(B199:U199)</f>
        <v>0</v>
      </c>
      <c r="W199" s="432"/>
      <c r="X199" s="432"/>
      <c r="Y199" s="432"/>
      <c r="Z199" s="432" t="n">
        <f aca="false">CHOOSE(QUOTIENT(MONTH($A199),3)+1,BaseLoad!$AM$9,BaseLoad!$AN$9,BaseLoad!$AL$9,BaseLoad!$AO$9,BaseLoad!$AM$9)</f>
        <v>0.95</v>
      </c>
      <c r="AA199" s="432" t="n">
        <f aca="false">CHOOSE(QUOTIENT(MONTH($A199),3)+1,BaseLoad!$AM$15,BaseLoad!$AN$15,BaseLoad!$AL$15,BaseLoad!$AO$15,BaseLoad!$AM$15)</f>
        <v>705</v>
      </c>
      <c r="AB199" s="431"/>
      <c r="AD199" s="431"/>
    </row>
    <row r="200" customFormat="false" ht="12.75" hidden="false" customHeight="false" outlineLevel="0" collapsed="false">
      <c r="A200" s="400" t="n">
        <f aca="false">A199+30.417</f>
        <v>42319.23</v>
      </c>
      <c r="B200" s="432" t="str">
        <f aca="false">IF($A$1="Peak","-",IF(BaseLoad!H199&gt;BaseLoad!$G199,B$8*$Z200,0))</f>
        <v>-</v>
      </c>
      <c r="C200" s="432" t="str">
        <f aca="false">IF($A$1="Peak","-",IF(BaseLoad!I199&gt;BaseLoad!$G199,C$8*$Z200,0))</f>
        <v>-</v>
      </c>
      <c r="D200" s="432" t="str">
        <f aca="false">IF($A$1="Peak","-",IF(BaseLoad!J199&gt;BaseLoad!$G199,D$8*$Z200,0))</f>
        <v>-</v>
      </c>
      <c r="E200" s="432" t="str">
        <f aca="false">IF($A$1="Peak","-",IF(BaseLoad!K199&gt;BaseLoad!$G199,E$8*$Z200,0))</f>
        <v>-</v>
      </c>
      <c r="F200" s="432" t="str">
        <f aca="false">IF($A$1="Peak","-",IF(BaseLoad!L199&gt;BaseLoad!$G199,F$8*$Z200,0))</f>
        <v>-</v>
      </c>
      <c r="G200" s="432" t="str">
        <f aca="false">IF($A$1="Peak","-",IF(BaseLoad!M199&gt;BaseLoad!$G199,G$8*$Z200,0))</f>
        <v>-</v>
      </c>
      <c r="H200" s="432" t="str">
        <f aca="false">IF($A$1="Peak","-",IF(BaseLoad!N199&gt;BaseLoad!$G199,H$8*$Z200,0))</f>
        <v>-</v>
      </c>
      <c r="I200" s="432" t="str">
        <f aca="false">IF($A$1="Peak","-",IF(BaseLoad!O199&gt;BaseLoad!$G199,I$8*$Z200,0))</f>
        <v>-</v>
      </c>
      <c r="J200" s="432" t="str">
        <f aca="false">IF($A$1="Peak","-",IF(BaseLoad!P199&gt;BaseLoad!$G199,J$8*$Z200,0))</f>
        <v>-</v>
      </c>
      <c r="K200" s="432" t="str">
        <f aca="false">IF($A$1="Peak","-",IF(BaseLoad!Q199&gt;BaseLoad!$G199,K$8*$Z200,0))</f>
        <v>-</v>
      </c>
      <c r="L200" s="432" t="str">
        <f aca="false">IF($A$1="Peak","-",IF(BaseLoad!R199&gt;BaseLoad!$G199,L$8*$Z200,0))</f>
        <v>-</v>
      </c>
      <c r="M200" s="432" t="str">
        <f aca="false">IF($A$1="Peak","-",IF(BaseLoad!S199&gt;BaseLoad!$G199,M$8*$Z200,0))</f>
        <v>-</v>
      </c>
      <c r="N200" s="432" t="str">
        <f aca="false">IF($A$1="Peak","-",IF(BaseLoad!T199&gt;BaseLoad!$G199,N$8*$Z200,0))</f>
        <v>-</v>
      </c>
      <c r="O200" s="432" t="str">
        <f aca="false">IF($A$1="Peak","-",IF(BaseLoad!U199&gt;BaseLoad!$G199,O$8*$Z200,0))</f>
        <v>-</v>
      </c>
      <c r="P200" s="432" t="str">
        <f aca="false">IF($A$1="Peak","-",IF(BaseLoad!V199&gt;BaseLoad!$G199,P$8*$Z200,0))</f>
        <v>-</v>
      </c>
      <c r="Q200" s="432" t="str">
        <f aca="false">IF($A$1="Peak","-",IF(BaseLoad!W199&gt;BaseLoad!$G199,Q$8*$Z200,0))</f>
        <v>-</v>
      </c>
      <c r="R200" s="432" t="str">
        <f aca="false">IF($A$1="Peak","-",IF(BaseLoad!X199&gt;BaseLoad!$G199,R$8*$Z200,0))</f>
        <v>-</v>
      </c>
      <c r="S200" s="432" t="str">
        <f aca="false">IF($A$1="Peak","-",IF(BaseLoad!Y199&gt;BaseLoad!$G199,S$8*$Z200,0))</f>
        <v>-</v>
      </c>
      <c r="T200" s="432" t="str">
        <f aca="false">IF($A$1="Peak","-",IF(BaseLoad!Z199&gt;BaseLoad!$G199,T$8*$Z200,0))</f>
        <v>-</v>
      </c>
      <c r="U200" s="432" t="str">
        <f aca="false">IF($A$1="Peak","-",IF(BaseLoad!AA199&gt;BaseLoad!$G199,U$8*$Z200,0))</f>
        <v>-</v>
      </c>
      <c r="V200" s="432" t="n">
        <f aca="false">SUM(B200:U200)</f>
        <v>0</v>
      </c>
      <c r="W200" s="432"/>
      <c r="X200" s="432"/>
      <c r="Y200" s="432"/>
      <c r="Z200" s="432" t="n">
        <f aca="false">CHOOSE(QUOTIENT(MONTH($A200),3)+1,BaseLoad!$AM$9,BaseLoad!$AN$9,BaseLoad!$AL$9,BaseLoad!$AO$9,BaseLoad!$AM$9)</f>
        <v>0.95</v>
      </c>
      <c r="AA200" s="432" t="n">
        <f aca="false">CHOOSE(QUOTIENT(MONTH($A200),3)+1,BaseLoad!$AM$15,BaseLoad!$AN$15,BaseLoad!$AL$15,BaseLoad!$AO$15,BaseLoad!$AM$15)</f>
        <v>705</v>
      </c>
      <c r="AB200" s="431"/>
      <c r="AD200" s="431"/>
    </row>
    <row r="201" customFormat="false" ht="12.75" hidden="false" customHeight="false" outlineLevel="0" collapsed="false">
      <c r="A201" s="400" t="n">
        <f aca="false">A200+30.417</f>
        <v>42349.647</v>
      </c>
      <c r="B201" s="432" t="str">
        <f aca="false">IF($A$1="Peak","-",IF(BaseLoad!H200&gt;BaseLoad!$G200,B$8*$Z201,0))</f>
        <v>-</v>
      </c>
      <c r="C201" s="432" t="str">
        <f aca="false">IF($A$1="Peak","-",IF(BaseLoad!I200&gt;BaseLoad!$G200,C$8*$Z201,0))</f>
        <v>-</v>
      </c>
      <c r="D201" s="432" t="str">
        <f aca="false">IF($A$1="Peak","-",IF(BaseLoad!J200&gt;BaseLoad!$G200,D$8*$Z201,0))</f>
        <v>-</v>
      </c>
      <c r="E201" s="432" t="str">
        <f aca="false">IF($A$1="Peak","-",IF(BaseLoad!K200&gt;BaseLoad!$G200,E$8*$Z201,0))</f>
        <v>-</v>
      </c>
      <c r="F201" s="432" t="str">
        <f aca="false">IF($A$1="Peak","-",IF(BaseLoad!L200&gt;BaseLoad!$G200,F$8*$Z201,0))</f>
        <v>-</v>
      </c>
      <c r="G201" s="432" t="str">
        <f aca="false">IF($A$1="Peak","-",IF(BaseLoad!M200&gt;BaseLoad!$G200,G$8*$Z201,0))</f>
        <v>-</v>
      </c>
      <c r="H201" s="432" t="str">
        <f aca="false">IF($A$1="Peak","-",IF(BaseLoad!N200&gt;BaseLoad!$G200,H$8*$Z201,0))</f>
        <v>-</v>
      </c>
      <c r="I201" s="432" t="str">
        <f aca="false">IF($A$1="Peak","-",IF(BaseLoad!O200&gt;BaseLoad!$G200,I$8*$Z201,0))</f>
        <v>-</v>
      </c>
      <c r="J201" s="432" t="str">
        <f aca="false">IF($A$1="Peak","-",IF(BaseLoad!P200&gt;BaseLoad!$G200,J$8*$Z201,0))</f>
        <v>-</v>
      </c>
      <c r="K201" s="432" t="str">
        <f aca="false">IF($A$1="Peak","-",IF(BaseLoad!Q200&gt;BaseLoad!$G200,K$8*$Z201,0))</f>
        <v>-</v>
      </c>
      <c r="L201" s="432" t="str">
        <f aca="false">IF($A$1="Peak","-",IF(BaseLoad!R200&gt;BaseLoad!$G200,L$8*$Z201,0))</f>
        <v>-</v>
      </c>
      <c r="M201" s="432" t="str">
        <f aca="false">IF($A$1="Peak","-",IF(BaseLoad!S200&gt;BaseLoad!$G200,M$8*$Z201,0))</f>
        <v>-</v>
      </c>
      <c r="N201" s="432" t="str">
        <f aca="false">IF($A$1="Peak","-",IF(BaseLoad!T200&gt;BaseLoad!$G200,N$8*$Z201,0))</f>
        <v>-</v>
      </c>
      <c r="O201" s="432" t="str">
        <f aca="false">IF($A$1="Peak","-",IF(BaseLoad!U200&gt;BaseLoad!$G200,O$8*$Z201,0))</f>
        <v>-</v>
      </c>
      <c r="P201" s="432" t="str">
        <f aca="false">IF($A$1="Peak","-",IF(BaseLoad!V200&gt;BaseLoad!$G200,P$8*$Z201,0))</f>
        <v>-</v>
      </c>
      <c r="Q201" s="432" t="str">
        <f aca="false">IF($A$1="Peak","-",IF(BaseLoad!W200&gt;BaseLoad!$G200,Q$8*$Z201,0))</f>
        <v>-</v>
      </c>
      <c r="R201" s="432" t="str">
        <f aca="false">IF($A$1="Peak","-",IF(BaseLoad!X200&gt;BaseLoad!$G200,R$8*$Z201,0))</f>
        <v>-</v>
      </c>
      <c r="S201" s="432" t="str">
        <f aca="false">IF($A$1="Peak","-",IF(BaseLoad!Y200&gt;BaseLoad!$G200,S$8*$Z201,0))</f>
        <v>-</v>
      </c>
      <c r="T201" s="432" t="str">
        <f aca="false">IF($A$1="Peak","-",IF(BaseLoad!Z200&gt;BaseLoad!$G200,T$8*$Z201,0))</f>
        <v>-</v>
      </c>
      <c r="U201" s="432" t="str">
        <f aca="false">IF($A$1="Peak","-",IF(BaseLoad!AA200&gt;BaseLoad!$G200,U$8*$Z201,0))</f>
        <v>-</v>
      </c>
      <c r="V201" s="432" t="n">
        <f aca="false">SUM(B201:U201)</f>
        <v>0</v>
      </c>
      <c r="W201" s="432"/>
      <c r="X201" s="432"/>
      <c r="Y201" s="432" t="n">
        <f aca="false">SUM(V190:V201)</f>
        <v>0</v>
      </c>
      <c r="Z201" s="432" t="n">
        <f aca="false">CHOOSE(QUOTIENT(MONTH($A201),3)+1,BaseLoad!$AM$9,BaseLoad!$AN$9,BaseLoad!$AL$9,BaseLoad!$AO$9,BaseLoad!$AM$9)</f>
        <v>0.924276618786118</v>
      </c>
      <c r="AA201" s="432" t="n">
        <f aca="false">CHOOSE(QUOTIENT(MONTH($A201),3)+1,BaseLoad!$AM$15,BaseLoad!$AN$15,BaseLoad!$AL$15,BaseLoad!$AO$15,BaseLoad!$AM$15)</f>
        <v>705</v>
      </c>
      <c r="AB201" s="431"/>
      <c r="AD201" s="431"/>
    </row>
    <row r="202" customFormat="false" ht="12.75" hidden="false" customHeight="false" outlineLevel="0" collapsed="false">
      <c r="A202" s="400" t="n">
        <f aca="false">A201+30.417</f>
        <v>42380.064</v>
      </c>
      <c r="B202" s="432" t="str">
        <f aca="false">IF($A$1="Peak","-",IF(BaseLoad!H201&gt;BaseLoad!$G201,B$8*$Z202,0))</f>
        <v>-</v>
      </c>
      <c r="C202" s="432" t="str">
        <f aca="false">IF($A$1="Peak","-",IF(BaseLoad!I201&gt;BaseLoad!$G201,C$8*$Z202,0))</f>
        <v>-</v>
      </c>
      <c r="D202" s="432" t="str">
        <f aca="false">IF($A$1="Peak","-",IF(BaseLoad!J201&gt;BaseLoad!$G201,D$8*$Z202,0))</f>
        <v>-</v>
      </c>
      <c r="E202" s="432" t="str">
        <f aca="false">IF($A$1="Peak","-",IF(BaseLoad!K201&gt;BaseLoad!$G201,E$8*$Z202,0))</f>
        <v>-</v>
      </c>
      <c r="F202" s="432" t="str">
        <f aca="false">IF($A$1="Peak","-",IF(BaseLoad!L201&gt;BaseLoad!$G201,F$8*$Z202,0))</f>
        <v>-</v>
      </c>
      <c r="G202" s="432" t="str">
        <f aca="false">IF($A$1="Peak","-",IF(BaseLoad!M201&gt;BaseLoad!$G201,G$8*$Z202,0))</f>
        <v>-</v>
      </c>
      <c r="H202" s="432" t="str">
        <f aca="false">IF($A$1="Peak","-",IF(BaseLoad!N201&gt;BaseLoad!$G201,H$8*$Z202,0))</f>
        <v>-</v>
      </c>
      <c r="I202" s="432" t="str">
        <f aca="false">IF($A$1="Peak","-",IF(BaseLoad!O201&gt;BaseLoad!$G201,I$8*$Z202,0))</f>
        <v>-</v>
      </c>
      <c r="J202" s="432" t="str">
        <f aca="false">IF($A$1="Peak","-",IF(BaseLoad!P201&gt;BaseLoad!$G201,J$8*$Z202,0))</f>
        <v>-</v>
      </c>
      <c r="K202" s="432" t="str">
        <f aca="false">IF($A$1="Peak","-",IF(BaseLoad!Q201&gt;BaseLoad!$G201,K$8*$Z202,0))</f>
        <v>-</v>
      </c>
      <c r="L202" s="432" t="str">
        <f aca="false">IF($A$1="Peak","-",IF(BaseLoad!R201&gt;BaseLoad!$G201,L$8*$Z202,0))</f>
        <v>-</v>
      </c>
      <c r="M202" s="432" t="str">
        <f aca="false">IF($A$1="Peak","-",IF(BaseLoad!S201&gt;BaseLoad!$G201,M$8*$Z202,0))</f>
        <v>-</v>
      </c>
      <c r="N202" s="432" t="str">
        <f aca="false">IF($A$1="Peak","-",IF(BaseLoad!T201&gt;BaseLoad!$G201,N$8*$Z202,0))</f>
        <v>-</v>
      </c>
      <c r="O202" s="432" t="str">
        <f aca="false">IF($A$1="Peak","-",IF(BaseLoad!U201&gt;BaseLoad!$G201,O$8*$Z202,0))</f>
        <v>-</v>
      </c>
      <c r="P202" s="432" t="str">
        <f aca="false">IF($A$1="Peak","-",IF(BaseLoad!V201&gt;BaseLoad!$G201,P$8*$Z202,0))</f>
        <v>-</v>
      </c>
      <c r="Q202" s="432" t="str">
        <f aca="false">IF($A$1="Peak","-",IF(BaseLoad!W201&gt;BaseLoad!$G201,Q$8*$Z202,0))</f>
        <v>-</v>
      </c>
      <c r="R202" s="432" t="str">
        <f aca="false">IF($A$1="Peak","-",IF(BaseLoad!X201&gt;BaseLoad!$G201,R$8*$Z202,0))</f>
        <v>-</v>
      </c>
      <c r="S202" s="432" t="str">
        <f aca="false">IF($A$1="Peak","-",IF(BaseLoad!Y201&gt;BaseLoad!$G201,S$8*$Z202,0))</f>
        <v>-</v>
      </c>
      <c r="T202" s="432" t="str">
        <f aca="false">IF($A$1="Peak","-",IF(BaseLoad!Z201&gt;BaseLoad!$G201,T$8*$Z202,0))</f>
        <v>-</v>
      </c>
      <c r="U202" s="432" t="str">
        <f aca="false">IF($A$1="Peak","-",IF(BaseLoad!AA201&gt;BaseLoad!$G201,U$8*$Z202,0))</f>
        <v>-</v>
      </c>
      <c r="V202" s="432" t="n">
        <f aca="false">SUM(B202:U202)</f>
        <v>0</v>
      </c>
      <c r="W202" s="432"/>
      <c r="X202" s="432"/>
      <c r="Y202" s="432"/>
      <c r="Z202" s="432" t="n">
        <f aca="false">CHOOSE(QUOTIENT(MONTH($A202),3)+1,BaseLoad!$AM$9,BaseLoad!$AN$9,BaseLoad!$AL$9,BaseLoad!$AO$9,BaseLoad!$AM$9)</f>
        <v>0.924276618786118</v>
      </c>
      <c r="AA202" s="432" t="n">
        <f aca="false">CHOOSE(QUOTIENT(MONTH($A202),3)+1,BaseLoad!$AM$15,BaseLoad!$AN$15,BaseLoad!$AL$15,BaseLoad!$AO$15,BaseLoad!$AM$15)</f>
        <v>705</v>
      </c>
      <c r="AB202" s="431"/>
      <c r="AD202" s="431"/>
    </row>
    <row r="203" customFormat="false" ht="12.75" hidden="false" customHeight="false" outlineLevel="0" collapsed="false">
      <c r="A203" s="400" t="n">
        <f aca="false">A202+30.417</f>
        <v>42410.481</v>
      </c>
      <c r="B203" s="432" t="str">
        <f aca="false">IF($A$1="Peak","-",IF(BaseLoad!H202&gt;BaseLoad!$G202,B$8*$Z203,0))</f>
        <v>-</v>
      </c>
      <c r="C203" s="432" t="str">
        <f aca="false">IF($A$1="Peak","-",IF(BaseLoad!I202&gt;BaseLoad!$G202,C$8*$Z203,0))</f>
        <v>-</v>
      </c>
      <c r="D203" s="432" t="str">
        <f aca="false">IF($A$1="Peak","-",IF(BaseLoad!J202&gt;BaseLoad!$G202,D$8*$Z203,0))</f>
        <v>-</v>
      </c>
      <c r="E203" s="432" t="str">
        <f aca="false">IF($A$1="Peak","-",IF(BaseLoad!K202&gt;BaseLoad!$G202,E$8*$Z203,0))</f>
        <v>-</v>
      </c>
      <c r="F203" s="432" t="str">
        <f aca="false">IF($A$1="Peak","-",IF(BaseLoad!L202&gt;BaseLoad!$G202,F$8*$Z203,0))</f>
        <v>-</v>
      </c>
      <c r="G203" s="432" t="str">
        <f aca="false">IF($A$1="Peak","-",IF(BaseLoad!M202&gt;BaseLoad!$G202,G$8*$Z203,0))</f>
        <v>-</v>
      </c>
      <c r="H203" s="432" t="str">
        <f aca="false">IF($A$1="Peak","-",IF(BaseLoad!N202&gt;BaseLoad!$G202,H$8*$Z203,0))</f>
        <v>-</v>
      </c>
      <c r="I203" s="432" t="str">
        <f aca="false">IF($A$1="Peak","-",IF(BaseLoad!O202&gt;BaseLoad!$G202,I$8*$Z203,0))</f>
        <v>-</v>
      </c>
      <c r="J203" s="432" t="str">
        <f aca="false">IF($A$1="Peak","-",IF(BaseLoad!P202&gt;BaseLoad!$G202,J$8*$Z203,0))</f>
        <v>-</v>
      </c>
      <c r="K203" s="432" t="str">
        <f aca="false">IF($A$1="Peak","-",IF(BaseLoad!Q202&gt;BaseLoad!$G202,K$8*$Z203,0))</f>
        <v>-</v>
      </c>
      <c r="L203" s="432" t="str">
        <f aca="false">IF($A$1="Peak","-",IF(BaseLoad!R202&gt;BaseLoad!$G202,L$8*$Z203,0))</f>
        <v>-</v>
      </c>
      <c r="M203" s="432" t="str">
        <f aca="false">IF($A$1="Peak","-",IF(BaseLoad!S202&gt;BaseLoad!$G202,M$8*$Z203,0))</f>
        <v>-</v>
      </c>
      <c r="N203" s="432" t="str">
        <f aca="false">IF($A$1="Peak","-",IF(BaseLoad!T202&gt;BaseLoad!$G202,N$8*$Z203,0))</f>
        <v>-</v>
      </c>
      <c r="O203" s="432" t="str">
        <f aca="false">IF($A$1="Peak","-",IF(BaseLoad!U202&gt;BaseLoad!$G202,O$8*$Z203,0))</f>
        <v>-</v>
      </c>
      <c r="P203" s="432" t="str">
        <f aca="false">IF($A$1="Peak","-",IF(BaseLoad!V202&gt;BaseLoad!$G202,P$8*$Z203,0))</f>
        <v>-</v>
      </c>
      <c r="Q203" s="432" t="str">
        <f aca="false">IF($A$1="Peak","-",IF(BaseLoad!W202&gt;BaseLoad!$G202,Q$8*$Z203,0))</f>
        <v>-</v>
      </c>
      <c r="R203" s="432" t="str">
        <f aca="false">IF($A$1="Peak","-",IF(BaseLoad!X202&gt;BaseLoad!$G202,R$8*$Z203,0))</f>
        <v>-</v>
      </c>
      <c r="S203" s="432" t="str">
        <f aca="false">IF($A$1="Peak","-",IF(BaseLoad!Y202&gt;BaseLoad!$G202,S$8*$Z203,0))</f>
        <v>-</v>
      </c>
      <c r="T203" s="432" t="str">
        <f aca="false">IF($A$1="Peak","-",IF(BaseLoad!Z202&gt;BaseLoad!$G202,T$8*$Z203,0))</f>
        <v>-</v>
      </c>
      <c r="U203" s="432" t="str">
        <f aca="false">IF($A$1="Peak","-",IF(BaseLoad!AA202&gt;BaseLoad!$G202,U$8*$Z203,0))</f>
        <v>-</v>
      </c>
      <c r="V203" s="432" t="n">
        <f aca="false">SUM(B203:U203)</f>
        <v>0</v>
      </c>
      <c r="W203" s="432"/>
      <c r="X203" s="432"/>
      <c r="Y203" s="432"/>
      <c r="Z203" s="432" t="n">
        <f aca="false">CHOOSE(QUOTIENT(MONTH($A203),3)+1,BaseLoad!$AM$9,BaseLoad!$AN$9,BaseLoad!$AL$9,BaseLoad!$AO$9,BaseLoad!$AM$9)</f>
        <v>0.924276618786118</v>
      </c>
      <c r="AA203" s="432" t="n">
        <f aca="false">CHOOSE(QUOTIENT(MONTH($A203),3)+1,BaseLoad!$AM$15,BaseLoad!$AN$15,BaseLoad!$AL$15,BaseLoad!$AO$15,BaseLoad!$AM$15)</f>
        <v>705</v>
      </c>
      <c r="AB203" s="431"/>
      <c r="AD203" s="431"/>
    </row>
    <row r="204" customFormat="false" ht="12.75" hidden="false" customHeight="false" outlineLevel="0" collapsed="false">
      <c r="A204" s="400" t="n">
        <f aca="false">A203+30.417</f>
        <v>42440.898</v>
      </c>
      <c r="B204" s="432" t="str">
        <f aca="false">IF($A$1="Peak","-",IF(BaseLoad!H203&gt;BaseLoad!$G203,B$8*$Z204,0))</f>
        <v>-</v>
      </c>
      <c r="C204" s="432" t="str">
        <f aca="false">IF($A$1="Peak","-",IF(BaseLoad!I203&gt;BaseLoad!$G203,C$8*$Z204,0))</f>
        <v>-</v>
      </c>
      <c r="D204" s="432" t="str">
        <f aca="false">IF($A$1="Peak","-",IF(BaseLoad!J203&gt;BaseLoad!$G203,D$8*$Z204,0))</f>
        <v>-</v>
      </c>
      <c r="E204" s="432" t="str">
        <f aca="false">IF($A$1="Peak","-",IF(BaseLoad!K203&gt;BaseLoad!$G203,E$8*$Z204,0))</f>
        <v>-</v>
      </c>
      <c r="F204" s="432" t="str">
        <f aca="false">IF($A$1="Peak","-",IF(BaseLoad!L203&gt;BaseLoad!$G203,F$8*$Z204,0))</f>
        <v>-</v>
      </c>
      <c r="G204" s="432" t="str">
        <f aca="false">IF($A$1="Peak","-",IF(BaseLoad!M203&gt;BaseLoad!$G203,G$8*$Z204,0))</f>
        <v>-</v>
      </c>
      <c r="H204" s="432" t="str">
        <f aca="false">IF($A$1="Peak","-",IF(BaseLoad!N203&gt;BaseLoad!$G203,H$8*$Z204,0))</f>
        <v>-</v>
      </c>
      <c r="I204" s="432" t="str">
        <f aca="false">IF($A$1="Peak","-",IF(BaseLoad!O203&gt;BaseLoad!$G203,I$8*$Z204,0))</f>
        <v>-</v>
      </c>
      <c r="J204" s="432" t="str">
        <f aca="false">IF($A$1="Peak","-",IF(BaseLoad!P203&gt;BaseLoad!$G203,J$8*$Z204,0))</f>
        <v>-</v>
      </c>
      <c r="K204" s="432" t="str">
        <f aca="false">IF($A$1="Peak","-",IF(BaseLoad!Q203&gt;BaseLoad!$G203,K$8*$Z204,0))</f>
        <v>-</v>
      </c>
      <c r="L204" s="432" t="str">
        <f aca="false">IF($A$1="Peak","-",IF(BaseLoad!R203&gt;BaseLoad!$G203,L$8*$Z204,0))</f>
        <v>-</v>
      </c>
      <c r="M204" s="432" t="str">
        <f aca="false">IF($A$1="Peak","-",IF(BaseLoad!S203&gt;BaseLoad!$G203,M$8*$Z204,0))</f>
        <v>-</v>
      </c>
      <c r="N204" s="432" t="str">
        <f aca="false">IF($A$1="Peak","-",IF(BaseLoad!T203&gt;BaseLoad!$G203,N$8*$Z204,0))</f>
        <v>-</v>
      </c>
      <c r="O204" s="432" t="str">
        <f aca="false">IF($A$1="Peak","-",IF(BaseLoad!U203&gt;BaseLoad!$G203,O$8*$Z204,0))</f>
        <v>-</v>
      </c>
      <c r="P204" s="432" t="str">
        <f aca="false">IF($A$1="Peak","-",IF(BaseLoad!V203&gt;BaseLoad!$G203,P$8*$Z204,0))</f>
        <v>-</v>
      </c>
      <c r="Q204" s="432" t="str">
        <f aca="false">IF($A$1="Peak","-",IF(BaseLoad!W203&gt;BaseLoad!$G203,Q$8*$Z204,0))</f>
        <v>-</v>
      </c>
      <c r="R204" s="432" t="str">
        <f aca="false">IF($A$1="Peak","-",IF(BaseLoad!X203&gt;BaseLoad!$G203,R$8*$Z204,0))</f>
        <v>-</v>
      </c>
      <c r="S204" s="432" t="str">
        <f aca="false">IF($A$1="Peak","-",IF(BaseLoad!Y203&gt;BaseLoad!$G203,S$8*$Z204,0))</f>
        <v>-</v>
      </c>
      <c r="T204" s="432" t="str">
        <f aca="false">IF($A$1="Peak","-",IF(BaseLoad!Z203&gt;BaseLoad!$G203,T$8*$Z204,0))</f>
        <v>-</v>
      </c>
      <c r="U204" s="432" t="str">
        <f aca="false">IF($A$1="Peak","-",IF(BaseLoad!AA203&gt;BaseLoad!$G203,U$8*$Z204,0))</f>
        <v>-</v>
      </c>
      <c r="V204" s="432" t="n">
        <f aca="false">SUM(B204:U204)</f>
        <v>0</v>
      </c>
      <c r="W204" s="432"/>
      <c r="X204" s="432"/>
      <c r="Y204" s="432"/>
      <c r="Z204" s="432" t="n">
        <f aca="false">CHOOSE(QUOTIENT(MONTH($A204),3)+1,BaseLoad!$AM$9,BaseLoad!$AN$9,BaseLoad!$AL$9,BaseLoad!$AO$9,BaseLoad!$AM$9)</f>
        <v>0.95</v>
      </c>
      <c r="AA204" s="432" t="n">
        <f aca="false">CHOOSE(QUOTIENT(MONTH($A204),3)+1,BaseLoad!$AM$15,BaseLoad!$AN$15,BaseLoad!$AL$15,BaseLoad!$AO$15,BaseLoad!$AM$15)</f>
        <v>705</v>
      </c>
      <c r="AB204" s="431"/>
      <c r="AD204" s="431"/>
    </row>
    <row r="205" customFormat="false" ht="12.75" hidden="false" customHeight="false" outlineLevel="0" collapsed="false">
      <c r="A205" s="400" t="n">
        <f aca="false">A204+30.417</f>
        <v>42471.315</v>
      </c>
      <c r="B205" s="432" t="str">
        <f aca="false">IF($A$1="Peak","-",IF(BaseLoad!H204&gt;BaseLoad!$G204,B$8*$Z205,0))</f>
        <v>-</v>
      </c>
      <c r="C205" s="432" t="str">
        <f aca="false">IF($A$1="Peak","-",IF(BaseLoad!I204&gt;BaseLoad!$G204,C$8*$Z205,0))</f>
        <v>-</v>
      </c>
      <c r="D205" s="432" t="str">
        <f aca="false">IF($A$1="Peak","-",IF(BaseLoad!J204&gt;BaseLoad!$G204,D$8*$Z205,0))</f>
        <v>-</v>
      </c>
      <c r="E205" s="432" t="str">
        <f aca="false">IF($A$1="Peak","-",IF(BaseLoad!K204&gt;BaseLoad!$G204,E$8*$Z205,0))</f>
        <v>-</v>
      </c>
      <c r="F205" s="432" t="str">
        <f aca="false">IF($A$1="Peak","-",IF(BaseLoad!L204&gt;BaseLoad!$G204,F$8*$Z205,0))</f>
        <v>-</v>
      </c>
      <c r="G205" s="432" t="str">
        <f aca="false">IF($A$1="Peak","-",IF(BaseLoad!M204&gt;BaseLoad!$G204,G$8*$Z205,0))</f>
        <v>-</v>
      </c>
      <c r="H205" s="432" t="str">
        <f aca="false">IF($A$1="Peak","-",IF(BaseLoad!N204&gt;BaseLoad!$G204,H$8*$Z205,0))</f>
        <v>-</v>
      </c>
      <c r="I205" s="432" t="str">
        <f aca="false">IF($A$1="Peak","-",IF(BaseLoad!O204&gt;BaseLoad!$G204,I$8*$Z205,0))</f>
        <v>-</v>
      </c>
      <c r="J205" s="432" t="str">
        <f aca="false">IF($A$1="Peak","-",IF(BaseLoad!P204&gt;BaseLoad!$G204,J$8*$Z205,0))</f>
        <v>-</v>
      </c>
      <c r="K205" s="432" t="str">
        <f aca="false">IF($A$1="Peak","-",IF(BaseLoad!Q204&gt;BaseLoad!$G204,K$8*$Z205,0))</f>
        <v>-</v>
      </c>
      <c r="L205" s="432" t="str">
        <f aca="false">IF($A$1="Peak","-",IF(BaseLoad!R204&gt;BaseLoad!$G204,L$8*$Z205,0))</f>
        <v>-</v>
      </c>
      <c r="M205" s="432" t="str">
        <f aca="false">IF($A$1="Peak","-",IF(BaseLoad!S204&gt;BaseLoad!$G204,M$8*$Z205,0))</f>
        <v>-</v>
      </c>
      <c r="N205" s="432" t="str">
        <f aca="false">IF($A$1="Peak","-",IF(BaseLoad!T204&gt;BaseLoad!$G204,N$8*$Z205,0))</f>
        <v>-</v>
      </c>
      <c r="O205" s="432" t="str">
        <f aca="false">IF($A$1="Peak","-",IF(BaseLoad!U204&gt;BaseLoad!$G204,O$8*$Z205,0))</f>
        <v>-</v>
      </c>
      <c r="P205" s="432" t="str">
        <f aca="false">IF($A$1="Peak","-",IF(BaseLoad!V204&gt;BaseLoad!$G204,P$8*$Z205,0))</f>
        <v>-</v>
      </c>
      <c r="Q205" s="432" t="str">
        <f aca="false">IF($A$1="Peak","-",IF(BaseLoad!W204&gt;BaseLoad!$G204,Q$8*$Z205,0))</f>
        <v>-</v>
      </c>
      <c r="R205" s="432" t="str">
        <f aca="false">IF($A$1="Peak","-",IF(BaseLoad!X204&gt;BaseLoad!$G204,R$8*$Z205,0))</f>
        <v>-</v>
      </c>
      <c r="S205" s="432" t="str">
        <f aca="false">IF($A$1="Peak","-",IF(BaseLoad!Y204&gt;BaseLoad!$G204,S$8*$Z205,0))</f>
        <v>-</v>
      </c>
      <c r="T205" s="432" t="str">
        <f aca="false">IF($A$1="Peak","-",IF(BaseLoad!Z204&gt;BaseLoad!$G204,T$8*$Z205,0))</f>
        <v>-</v>
      </c>
      <c r="U205" s="432" t="str">
        <f aca="false">IF($A$1="Peak","-",IF(BaseLoad!AA204&gt;BaseLoad!$G204,U$8*$Z205,0))</f>
        <v>-</v>
      </c>
      <c r="V205" s="432" t="n">
        <f aca="false">SUM(B205:U205)</f>
        <v>0</v>
      </c>
      <c r="W205" s="432"/>
      <c r="X205" s="432"/>
      <c r="Y205" s="432"/>
      <c r="Z205" s="432" t="n">
        <f aca="false">CHOOSE(QUOTIENT(MONTH($A205),3)+1,BaseLoad!$AM$9,BaseLoad!$AN$9,BaseLoad!$AL$9,BaseLoad!$AO$9,BaseLoad!$AM$9)</f>
        <v>0.95</v>
      </c>
      <c r="AA205" s="432" t="n">
        <f aca="false">CHOOSE(QUOTIENT(MONTH($A205),3)+1,BaseLoad!$AM$15,BaseLoad!$AN$15,BaseLoad!$AL$15,BaseLoad!$AO$15,BaseLoad!$AM$15)</f>
        <v>705</v>
      </c>
      <c r="AB205" s="431"/>
      <c r="AD205" s="431"/>
    </row>
    <row r="206" customFormat="false" ht="12.75" hidden="false" customHeight="false" outlineLevel="0" collapsed="false">
      <c r="A206" s="400" t="n">
        <f aca="false">A205+30.417</f>
        <v>42501.732</v>
      </c>
      <c r="B206" s="432" t="str">
        <f aca="false">IF($A$1="Peak","-",IF(BaseLoad!H205&gt;BaseLoad!$G205,B$8*$Z206,0))</f>
        <v>-</v>
      </c>
      <c r="C206" s="432" t="str">
        <f aca="false">IF($A$1="Peak","-",IF(BaseLoad!I205&gt;BaseLoad!$G205,C$8*$Z206,0))</f>
        <v>-</v>
      </c>
      <c r="D206" s="432" t="str">
        <f aca="false">IF($A$1="Peak","-",IF(BaseLoad!J205&gt;BaseLoad!$G205,D$8*$Z206,0))</f>
        <v>-</v>
      </c>
      <c r="E206" s="432" t="str">
        <f aca="false">IF($A$1="Peak","-",IF(BaseLoad!K205&gt;BaseLoad!$G205,E$8*$Z206,0))</f>
        <v>-</v>
      </c>
      <c r="F206" s="432" t="str">
        <f aca="false">IF($A$1="Peak","-",IF(BaseLoad!L205&gt;BaseLoad!$G205,F$8*$Z206,0))</f>
        <v>-</v>
      </c>
      <c r="G206" s="432" t="str">
        <f aca="false">IF($A$1="Peak","-",IF(BaseLoad!M205&gt;BaseLoad!$G205,G$8*$Z206,0))</f>
        <v>-</v>
      </c>
      <c r="H206" s="432" t="str">
        <f aca="false">IF($A$1="Peak","-",IF(BaseLoad!N205&gt;BaseLoad!$G205,H$8*$Z206,0))</f>
        <v>-</v>
      </c>
      <c r="I206" s="432" t="str">
        <f aca="false">IF($A$1="Peak","-",IF(BaseLoad!O205&gt;BaseLoad!$G205,I$8*$Z206,0))</f>
        <v>-</v>
      </c>
      <c r="J206" s="432" t="str">
        <f aca="false">IF($A$1="Peak","-",IF(BaseLoad!P205&gt;BaseLoad!$G205,J$8*$Z206,0))</f>
        <v>-</v>
      </c>
      <c r="K206" s="432" t="str">
        <f aca="false">IF($A$1="Peak","-",IF(BaseLoad!Q205&gt;BaseLoad!$G205,K$8*$Z206,0))</f>
        <v>-</v>
      </c>
      <c r="L206" s="432" t="str">
        <f aca="false">IF($A$1="Peak","-",IF(BaseLoad!R205&gt;BaseLoad!$G205,L$8*$Z206,0))</f>
        <v>-</v>
      </c>
      <c r="M206" s="432" t="str">
        <f aca="false">IF($A$1="Peak","-",IF(BaseLoad!S205&gt;BaseLoad!$G205,M$8*$Z206,0))</f>
        <v>-</v>
      </c>
      <c r="N206" s="432" t="str">
        <f aca="false">IF($A$1="Peak","-",IF(BaseLoad!T205&gt;BaseLoad!$G205,N$8*$Z206,0))</f>
        <v>-</v>
      </c>
      <c r="O206" s="432" t="str">
        <f aca="false">IF($A$1="Peak","-",IF(BaseLoad!U205&gt;BaseLoad!$G205,O$8*$Z206,0))</f>
        <v>-</v>
      </c>
      <c r="P206" s="432" t="str">
        <f aca="false">IF($A$1="Peak","-",IF(BaseLoad!V205&gt;BaseLoad!$G205,P$8*$Z206,0))</f>
        <v>-</v>
      </c>
      <c r="Q206" s="432" t="str">
        <f aca="false">IF($A$1="Peak","-",IF(BaseLoad!W205&gt;BaseLoad!$G205,Q$8*$Z206,0))</f>
        <v>-</v>
      </c>
      <c r="R206" s="432" t="str">
        <f aca="false">IF($A$1="Peak","-",IF(BaseLoad!X205&gt;BaseLoad!$G205,R$8*$Z206,0))</f>
        <v>-</v>
      </c>
      <c r="S206" s="432" t="str">
        <f aca="false">IF($A$1="Peak","-",IF(BaseLoad!Y205&gt;BaseLoad!$G205,S$8*$Z206,0))</f>
        <v>-</v>
      </c>
      <c r="T206" s="432" t="str">
        <f aca="false">IF($A$1="Peak","-",IF(BaseLoad!Z205&gt;BaseLoad!$G205,T$8*$Z206,0))</f>
        <v>-</v>
      </c>
      <c r="U206" s="432" t="str">
        <f aca="false">IF($A$1="Peak","-",IF(BaseLoad!AA205&gt;BaseLoad!$G205,U$8*$Z206,0))</f>
        <v>-</v>
      </c>
      <c r="V206" s="432" t="n">
        <f aca="false">SUM(B206:U206)</f>
        <v>0</v>
      </c>
      <c r="W206" s="432"/>
      <c r="X206" s="432"/>
      <c r="Y206" s="432"/>
      <c r="Z206" s="432" t="n">
        <f aca="false">CHOOSE(QUOTIENT(MONTH($A206),3)+1,BaseLoad!$AM$9,BaseLoad!$AN$9,BaseLoad!$AL$9,BaseLoad!$AO$9,BaseLoad!$AM$9)</f>
        <v>0.95</v>
      </c>
      <c r="AA206" s="432" t="n">
        <f aca="false">CHOOSE(QUOTIENT(MONTH($A206),3)+1,BaseLoad!$AM$15,BaseLoad!$AN$15,BaseLoad!$AL$15,BaseLoad!$AO$15,BaseLoad!$AM$15)</f>
        <v>705</v>
      </c>
      <c r="AB206" s="431"/>
      <c r="AD206" s="431"/>
    </row>
    <row r="207" customFormat="false" ht="12.75" hidden="false" customHeight="false" outlineLevel="0" collapsed="false">
      <c r="A207" s="400" t="n">
        <f aca="false">A206+30.417</f>
        <v>42532.149</v>
      </c>
      <c r="B207" s="432" t="str">
        <f aca="false">IF($A$1="Peak","-",IF(BaseLoad!H206&gt;BaseLoad!$G206,B$8*$Z207,0))</f>
        <v>-</v>
      </c>
      <c r="C207" s="432" t="str">
        <f aca="false">IF($A$1="Peak","-",IF(BaseLoad!I206&gt;BaseLoad!$G206,C$8*$Z207,0))</f>
        <v>-</v>
      </c>
      <c r="D207" s="432" t="str">
        <f aca="false">IF($A$1="Peak","-",IF(BaseLoad!J206&gt;BaseLoad!$G206,D$8*$Z207,0))</f>
        <v>-</v>
      </c>
      <c r="E207" s="432" t="str">
        <f aca="false">IF($A$1="Peak","-",IF(BaseLoad!K206&gt;BaseLoad!$G206,E$8*$Z207,0))</f>
        <v>-</v>
      </c>
      <c r="F207" s="432" t="str">
        <f aca="false">IF($A$1="Peak","-",IF(BaseLoad!L206&gt;BaseLoad!$G206,F$8*$Z207,0))</f>
        <v>-</v>
      </c>
      <c r="G207" s="432" t="str">
        <f aca="false">IF($A$1="Peak","-",IF(BaseLoad!M206&gt;BaseLoad!$G206,G$8*$Z207,0))</f>
        <v>-</v>
      </c>
      <c r="H207" s="432" t="str">
        <f aca="false">IF($A$1="Peak","-",IF(BaseLoad!N206&gt;BaseLoad!$G206,H$8*$Z207,0))</f>
        <v>-</v>
      </c>
      <c r="I207" s="432" t="str">
        <f aca="false">IF($A$1="Peak","-",IF(BaseLoad!O206&gt;BaseLoad!$G206,I$8*$Z207,0))</f>
        <v>-</v>
      </c>
      <c r="J207" s="432" t="str">
        <f aca="false">IF($A$1="Peak","-",IF(BaseLoad!P206&gt;BaseLoad!$G206,J$8*$Z207,0))</f>
        <v>-</v>
      </c>
      <c r="K207" s="432" t="str">
        <f aca="false">IF($A$1="Peak","-",IF(BaseLoad!Q206&gt;BaseLoad!$G206,K$8*$Z207,0))</f>
        <v>-</v>
      </c>
      <c r="L207" s="432" t="str">
        <f aca="false">IF($A$1="Peak","-",IF(BaseLoad!R206&gt;BaseLoad!$G206,L$8*$Z207,0))</f>
        <v>-</v>
      </c>
      <c r="M207" s="432" t="str">
        <f aca="false">IF($A$1="Peak","-",IF(BaseLoad!S206&gt;BaseLoad!$G206,M$8*$Z207,0))</f>
        <v>-</v>
      </c>
      <c r="N207" s="432" t="str">
        <f aca="false">IF($A$1="Peak","-",IF(BaseLoad!T206&gt;BaseLoad!$G206,N$8*$Z207,0))</f>
        <v>-</v>
      </c>
      <c r="O207" s="432" t="str">
        <f aca="false">IF($A$1="Peak","-",IF(BaseLoad!U206&gt;BaseLoad!$G206,O$8*$Z207,0))</f>
        <v>-</v>
      </c>
      <c r="P207" s="432" t="str">
        <f aca="false">IF($A$1="Peak","-",IF(BaseLoad!V206&gt;BaseLoad!$G206,P$8*$Z207,0))</f>
        <v>-</v>
      </c>
      <c r="Q207" s="432" t="str">
        <f aca="false">IF($A$1="Peak","-",IF(BaseLoad!W206&gt;BaseLoad!$G206,Q$8*$Z207,0))</f>
        <v>-</v>
      </c>
      <c r="R207" s="432" t="str">
        <f aca="false">IF($A$1="Peak","-",IF(BaseLoad!X206&gt;BaseLoad!$G206,R$8*$Z207,0))</f>
        <v>-</v>
      </c>
      <c r="S207" s="432" t="str">
        <f aca="false">IF($A$1="Peak","-",IF(BaseLoad!Y206&gt;BaseLoad!$G206,S$8*$Z207,0))</f>
        <v>-</v>
      </c>
      <c r="T207" s="432" t="str">
        <f aca="false">IF($A$1="Peak","-",IF(BaseLoad!Z206&gt;BaseLoad!$G206,T$8*$Z207,0))</f>
        <v>-</v>
      </c>
      <c r="U207" s="432" t="str">
        <f aca="false">IF($A$1="Peak","-",IF(BaseLoad!AA206&gt;BaseLoad!$G206,U$8*$Z207,0))</f>
        <v>-</v>
      </c>
      <c r="V207" s="432" t="n">
        <f aca="false">SUM(B207:U207)</f>
        <v>0</v>
      </c>
      <c r="W207" s="432"/>
      <c r="X207" s="432"/>
      <c r="Y207" s="432"/>
      <c r="Z207" s="432" t="n">
        <f aca="false">CHOOSE(QUOTIENT(MONTH($A207),3)+1,BaseLoad!$AM$9,BaseLoad!$AN$9,BaseLoad!$AL$9,BaseLoad!$AO$9,BaseLoad!$AM$9)</f>
        <v>0.966121359095586</v>
      </c>
      <c r="AA207" s="432" t="n">
        <f aca="false">CHOOSE(QUOTIENT(MONTH($A207),3)+1,BaseLoad!$AM$15,BaseLoad!$AN$15,BaseLoad!$AL$15,BaseLoad!$AO$15,BaseLoad!$AM$15)</f>
        <v>705</v>
      </c>
      <c r="AB207" s="431"/>
      <c r="AD207" s="431"/>
    </row>
    <row r="208" customFormat="false" ht="12.75" hidden="false" customHeight="false" outlineLevel="0" collapsed="false">
      <c r="A208" s="400" t="n">
        <f aca="false">A207+30.417</f>
        <v>42562.566</v>
      </c>
      <c r="B208" s="432" t="str">
        <f aca="false">IF($A$1="Peak","-",IF(BaseLoad!H207&gt;BaseLoad!$G207,B$8*$Z208,0))</f>
        <v>-</v>
      </c>
      <c r="C208" s="432" t="str">
        <f aca="false">IF($A$1="Peak","-",IF(BaseLoad!I207&gt;BaseLoad!$G207,C$8*$Z208,0))</f>
        <v>-</v>
      </c>
      <c r="D208" s="432" t="str">
        <f aca="false">IF($A$1="Peak","-",IF(BaseLoad!J207&gt;BaseLoad!$G207,D$8*$Z208,0))</f>
        <v>-</v>
      </c>
      <c r="E208" s="432" t="str">
        <f aca="false">IF($A$1="Peak","-",IF(BaseLoad!K207&gt;BaseLoad!$G207,E$8*$Z208,0))</f>
        <v>-</v>
      </c>
      <c r="F208" s="432" t="str">
        <f aca="false">IF($A$1="Peak","-",IF(BaseLoad!L207&gt;BaseLoad!$G207,F$8*$Z208,0))</f>
        <v>-</v>
      </c>
      <c r="G208" s="432" t="str">
        <f aca="false">IF($A$1="Peak","-",IF(BaseLoad!M207&gt;BaseLoad!$G207,G$8*$Z208,0))</f>
        <v>-</v>
      </c>
      <c r="H208" s="432" t="str">
        <f aca="false">IF($A$1="Peak","-",IF(BaseLoad!N207&gt;BaseLoad!$G207,H$8*$Z208,0))</f>
        <v>-</v>
      </c>
      <c r="I208" s="432" t="str">
        <f aca="false">IF($A$1="Peak","-",IF(BaseLoad!O207&gt;BaseLoad!$G207,I$8*$Z208,0))</f>
        <v>-</v>
      </c>
      <c r="J208" s="432" t="str">
        <f aca="false">IF($A$1="Peak","-",IF(BaseLoad!P207&gt;BaseLoad!$G207,J$8*$Z208,0))</f>
        <v>-</v>
      </c>
      <c r="K208" s="432" t="str">
        <f aca="false">IF($A$1="Peak","-",IF(BaseLoad!Q207&gt;BaseLoad!$G207,K$8*$Z208,0))</f>
        <v>-</v>
      </c>
      <c r="L208" s="432" t="str">
        <f aca="false">IF($A$1="Peak","-",IF(BaseLoad!R207&gt;BaseLoad!$G207,L$8*$Z208,0))</f>
        <v>-</v>
      </c>
      <c r="M208" s="432" t="str">
        <f aca="false">IF($A$1="Peak","-",IF(BaseLoad!S207&gt;BaseLoad!$G207,M$8*$Z208,0))</f>
        <v>-</v>
      </c>
      <c r="N208" s="432" t="str">
        <f aca="false">IF($A$1="Peak","-",IF(BaseLoad!T207&gt;BaseLoad!$G207,N$8*$Z208,0))</f>
        <v>-</v>
      </c>
      <c r="O208" s="432" t="str">
        <f aca="false">IF($A$1="Peak","-",IF(BaseLoad!U207&gt;BaseLoad!$G207,O$8*$Z208,0))</f>
        <v>-</v>
      </c>
      <c r="P208" s="432" t="str">
        <f aca="false">IF($A$1="Peak","-",IF(BaseLoad!V207&gt;BaseLoad!$G207,P$8*$Z208,0))</f>
        <v>-</v>
      </c>
      <c r="Q208" s="432" t="str">
        <f aca="false">IF($A$1="Peak","-",IF(BaseLoad!W207&gt;BaseLoad!$G207,Q$8*$Z208,0))</f>
        <v>-</v>
      </c>
      <c r="R208" s="432" t="str">
        <f aca="false">IF($A$1="Peak","-",IF(BaseLoad!X207&gt;BaseLoad!$G207,R$8*$Z208,0))</f>
        <v>-</v>
      </c>
      <c r="S208" s="432" t="str">
        <f aca="false">IF($A$1="Peak","-",IF(BaseLoad!Y207&gt;BaseLoad!$G207,S$8*$Z208,0))</f>
        <v>-</v>
      </c>
      <c r="T208" s="432" t="str">
        <f aca="false">IF($A$1="Peak","-",IF(BaseLoad!Z207&gt;BaseLoad!$G207,T$8*$Z208,0))</f>
        <v>-</v>
      </c>
      <c r="U208" s="432" t="str">
        <f aca="false">IF($A$1="Peak","-",IF(BaseLoad!AA207&gt;BaseLoad!$G207,U$8*$Z208,0))</f>
        <v>-</v>
      </c>
      <c r="V208" s="432" t="n">
        <f aca="false">SUM(B208:U208)</f>
        <v>0</v>
      </c>
      <c r="W208" s="432"/>
      <c r="X208" s="432"/>
      <c r="Y208" s="432"/>
      <c r="Z208" s="432" t="n">
        <f aca="false">CHOOSE(QUOTIENT(MONTH($A208),3)+1,BaseLoad!$AM$9,BaseLoad!$AN$9,BaseLoad!$AL$9,BaseLoad!$AO$9,BaseLoad!$AM$9)</f>
        <v>0.966121359095586</v>
      </c>
      <c r="AA208" s="432" t="n">
        <f aca="false">CHOOSE(QUOTIENT(MONTH($A208),3)+1,BaseLoad!$AM$15,BaseLoad!$AN$15,BaseLoad!$AL$15,BaseLoad!$AO$15,BaseLoad!$AM$15)</f>
        <v>705</v>
      </c>
      <c r="AB208" s="431"/>
      <c r="AD208" s="431"/>
    </row>
    <row r="209" customFormat="false" ht="12.75" hidden="false" customHeight="false" outlineLevel="0" collapsed="false">
      <c r="A209" s="400" t="n">
        <f aca="false">A208+30.417</f>
        <v>42592.983</v>
      </c>
      <c r="B209" s="432" t="str">
        <f aca="false">IF($A$1="Peak","-",IF(BaseLoad!H208&gt;BaseLoad!$G208,B$8*$Z209,0))</f>
        <v>-</v>
      </c>
      <c r="C209" s="432" t="str">
        <f aca="false">IF($A$1="Peak","-",IF(BaseLoad!I208&gt;BaseLoad!$G208,C$8*$Z209,0))</f>
        <v>-</v>
      </c>
      <c r="D209" s="432" t="str">
        <f aca="false">IF($A$1="Peak","-",IF(BaseLoad!J208&gt;BaseLoad!$G208,D$8*$Z209,0))</f>
        <v>-</v>
      </c>
      <c r="E209" s="432" t="str">
        <f aca="false">IF($A$1="Peak","-",IF(BaseLoad!K208&gt;BaseLoad!$G208,E$8*$Z209,0))</f>
        <v>-</v>
      </c>
      <c r="F209" s="432" t="str">
        <f aca="false">IF($A$1="Peak","-",IF(BaseLoad!L208&gt;BaseLoad!$G208,F$8*$Z209,0))</f>
        <v>-</v>
      </c>
      <c r="G209" s="432" t="str">
        <f aca="false">IF($A$1="Peak","-",IF(BaseLoad!M208&gt;BaseLoad!$G208,G$8*$Z209,0))</f>
        <v>-</v>
      </c>
      <c r="H209" s="432" t="str">
        <f aca="false">IF($A$1="Peak","-",IF(BaseLoad!N208&gt;BaseLoad!$G208,H$8*$Z209,0))</f>
        <v>-</v>
      </c>
      <c r="I209" s="432" t="str">
        <f aca="false">IF($A$1="Peak","-",IF(BaseLoad!O208&gt;BaseLoad!$G208,I$8*$Z209,0))</f>
        <v>-</v>
      </c>
      <c r="J209" s="432" t="str">
        <f aca="false">IF($A$1="Peak","-",IF(BaseLoad!P208&gt;BaseLoad!$G208,J$8*$Z209,0))</f>
        <v>-</v>
      </c>
      <c r="K209" s="432" t="str">
        <f aca="false">IF($A$1="Peak","-",IF(BaseLoad!Q208&gt;BaseLoad!$G208,K$8*$Z209,0))</f>
        <v>-</v>
      </c>
      <c r="L209" s="432" t="str">
        <f aca="false">IF($A$1="Peak","-",IF(BaseLoad!R208&gt;BaseLoad!$G208,L$8*$Z209,0))</f>
        <v>-</v>
      </c>
      <c r="M209" s="432" t="str">
        <f aca="false">IF($A$1="Peak","-",IF(BaseLoad!S208&gt;BaseLoad!$G208,M$8*$Z209,0))</f>
        <v>-</v>
      </c>
      <c r="N209" s="432" t="str">
        <f aca="false">IF($A$1="Peak","-",IF(BaseLoad!T208&gt;BaseLoad!$G208,N$8*$Z209,0))</f>
        <v>-</v>
      </c>
      <c r="O209" s="432" t="str">
        <f aca="false">IF($A$1="Peak","-",IF(BaseLoad!U208&gt;BaseLoad!$G208,O$8*$Z209,0))</f>
        <v>-</v>
      </c>
      <c r="P209" s="432" t="str">
        <f aca="false">IF($A$1="Peak","-",IF(BaseLoad!V208&gt;BaseLoad!$G208,P$8*$Z209,0))</f>
        <v>-</v>
      </c>
      <c r="Q209" s="432" t="str">
        <f aca="false">IF($A$1="Peak","-",IF(BaseLoad!W208&gt;BaseLoad!$G208,Q$8*$Z209,0))</f>
        <v>-</v>
      </c>
      <c r="R209" s="432" t="str">
        <f aca="false">IF($A$1="Peak","-",IF(BaseLoad!X208&gt;BaseLoad!$G208,R$8*$Z209,0))</f>
        <v>-</v>
      </c>
      <c r="S209" s="432" t="str">
        <f aca="false">IF($A$1="Peak","-",IF(BaseLoad!Y208&gt;BaseLoad!$G208,S$8*$Z209,0))</f>
        <v>-</v>
      </c>
      <c r="T209" s="432" t="str">
        <f aca="false">IF($A$1="Peak","-",IF(BaseLoad!Z208&gt;BaseLoad!$G208,T$8*$Z209,0))</f>
        <v>-</v>
      </c>
      <c r="U209" s="432" t="str">
        <f aca="false">IF($A$1="Peak","-",IF(BaseLoad!AA208&gt;BaseLoad!$G208,U$8*$Z209,0))</f>
        <v>-</v>
      </c>
      <c r="V209" s="432" t="n">
        <f aca="false">SUM(B209:U209)</f>
        <v>0</v>
      </c>
      <c r="W209" s="432"/>
      <c r="X209" s="432"/>
      <c r="Y209" s="432"/>
      <c r="Z209" s="432" t="n">
        <f aca="false">CHOOSE(QUOTIENT(MONTH($A209),3)+1,BaseLoad!$AM$9,BaseLoad!$AN$9,BaseLoad!$AL$9,BaseLoad!$AO$9,BaseLoad!$AM$9)</f>
        <v>0.966121359095586</v>
      </c>
      <c r="AA209" s="432" t="n">
        <f aca="false">CHOOSE(QUOTIENT(MONTH($A209),3)+1,BaseLoad!$AM$15,BaseLoad!$AN$15,BaseLoad!$AL$15,BaseLoad!$AO$15,BaseLoad!$AM$15)</f>
        <v>705</v>
      </c>
      <c r="AB209" s="431"/>
      <c r="AD209" s="431"/>
    </row>
    <row r="210" customFormat="false" ht="12.75" hidden="false" customHeight="false" outlineLevel="0" collapsed="false">
      <c r="A210" s="400" t="n">
        <f aca="false">A209+30.417</f>
        <v>42623.4</v>
      </c>
      <c r="B210" s="432" t="str">
        <f aca="false">IF($A$1="Peak","-",IF(BaseLoad!H209&gt;BaseLoad!$G209,B$8*$Z210,0))</f>
        <v>-</v>
      </c>
      <c r="C210" s="432" t="str">
        <f aca="false">IF($A$1="Peak","-",IF(BaseLoad!I209&gt;BaseLoad!$G209,C$8*$Z210,0))</f>
        <v>-</v>
      </c>
      <c r="D210" s="432" t="str">
        <f aca="false">IF($A$1="Peak","-",IF(BaseLoad!J209&gt;BaseLoad!$G209,D$8*$Z210,0))</f>
        <v>-</v>
      </c>
      <c r="E210" s="432" t="str">
        <f aca="false">IF($A$1="Peak","-",IF(BaseLoad!K209&gt;BaseLoad!$G209,E$8*$Z210,0))</f>
        <v>-</v>
      </c>
      <c r="F210" s="432" t="str">
        <f aca="false">IF($A$1="Peak","-",IF(BaseLoad!L209&gt;BaseLoad!$G209,F$8*$Z210,0))</f>
        <v>-</v>
      </c>
      <c r="G210" s="432" t="str">
        <f aca="false">IF($A$1="Peak","-",IF(BaseLoad!M209&gt;BaseLoad!$G209,G$8*$Z210,0))</f>
        <v>-</v>
      </c>
      <c r="H210" s="432" t="str">
        <f aca="false">IF($A$1="Peak","-",IF(BaseLoad!N209&gt;BaseLoad!$G209,H$8*$Z210,0))</f>
        <v>-</v>
      </c>
      <c r="I210" s="432" t="str">
        <f aca="false">IF($A$1="Peak","-",IF(BaseLoad!O209&gt;BaseLoad!$G209,I$8*$Z210,0))</f>
        <v>-</v>
      </c>
      <c r="J210" s="432" t="str">
        <f aca="false">IF($A$1="Peak","-",IF(BaseLoad!P209&gt;BaseLoad!$G209,J$8*$Z210,0))</f>
        <v>-</v>
      </c>
      <c r="K210" s="432" t="str">
        <f aca="false">IF($A$1="Peak","-",IF(BaseLoad!Q209&gt;BaseLoad!$G209,K$8*$Z210,0))</f>
        <v>-</v>
      </c>
      <c r="L210" s="432" t="str">
        <f aca="false">IF($A$1="Peak","-",IF(BaseLoad!R209&gt;BaseLoad!$G209,L$8*$Z210,0))</f>
        <v>-</v>
      </c>
      <c r="M210" s="432" t="str">
        <f aca="false">IF($A$1="Peak","-",IF(BaseLoad!S209&gt;BaseLoad!$G209,M$8*$Z210,0))</f>
        <v>-</v>
      </c>
      <c r="N210" s="432" t="str">
        <f aca="false">IF($A$1="Peak","-",IF(BaseLoad!T209&gt;BaseLoad!$G209,N$8*$Z210,0))</f>
        <v>-</v>
      </c>
      <c r="O210" s="432" t="str">
        <f aca="false">IF($A$1="Peak","-",IF(BaseLoad!U209&gt;BaseLoad!$G209,O$8*$Z210,0))</f>
        <v>-</v>
      </c>
      <c r="P210" s="432" t="str">
        <f aca="false">IF($A$1="Peak","-",IF(BaseLoad!V209&gt;BaseLoad!$G209,P$8*$Z210,0))</f>
        <v>-</v>
      </c>
      <c r="Q210" s="432" t="str">
        <f aca="false">IF($A$1="Peak","-",IF(BaseLoad!W209&gt;BaseLoad!$G209,Q$8*$Z210,0))</f>
        <v>-</v>
      </c>
      <c r="R210" s="432" t="str">
        <f aca="false">IF($A$1="Peak","-",IF(BaseLoad!X209&gt;BaseLoad!$G209,R$8*$Z210,0))</f>
        <v>-</v>
      </c>
      <c r="S210" s="432" t="str">
        <f aca="false">IF($A$1="Peak","-",IF(BaseLoad!Y209&gt;BaseLoad!$G209,S$8*$Z210,0))</f>
        <v>-</v>
      </c>
      <c r="T210" s="432" t="str">
        <f aca="false">IF($A$1="Peak","-",IF(BaseLoad!Z209&gt;BaseLoad!$G209,T$8*$Z210,0))</f>
        <v>-</v>
      </c>
      <c r="U210" s="432" t="str">
        <f aca="false">IF($A$1="Peak","-",IF(BaseLoad!AA209&gt;BaseLoad!$G209,U$8*$Z210,0))</f>
        <v>-</v>
      </c>
      <c r="V210" s="432" t="n">
        <f aca="false">SUM(B210:U210)</f>
        <v>0</v>
      </c>
      <c r="W210" s="432"/>
      <c r="X210" s="432"/>
      <c r="Y210" s="432"/>
      <c r="Z210" s="432" t="n">
        <f aca="false">CHOOSE(QUOTIENT(MONTH($A210),3)+1,BaseLoad!$AM$9,BaseLoad!$AN$9,BaseLoad!$AL$9,BaseLoad!$AO$9,BaseLoad!$AM$9)</f>
        <v>0.95</v>
      </c>
      <c r="AA210" s="432" t="n">
        <f aca="false">CHOOSE(QUOTIENT(MONTH($A210),3)+1,BaseLoad!$AM$15,BaseLoad!$AN$15,BaseLoad!$AL$15,BaseLoad!$AO$15,BaseLoad!$AM$15)</f>
        <v>705</v>
      </c>
      <c r="AB210" s="431"/>
      <c r="AD210" s="431"/>
    </row>
    <row r="211" customFormat="false" ht="12.75" hidden="false" customHeight="false" outlineLevel="0" collapsed="false">
      <c r="A211" s="400" t="n">
        <f aca="false">A210+30.417</f>
        <v>42653.817</v>
      </c>
      <c r="B211" s="432" t="str">
        <f aca="false">IF($A$1="Peak","-",IF(BaseLoad!H210&gt;BaseLoad!$G210,B$8*$Z211,0))</f>
        <v>-</v>
      </c>
      <c r="C211" s="432" t="str">
        <f aca="false">IF($A$1="Peak","-",IF(BaseLoad!I210&gt;BaseLoad!$G210,C$8*$Z211,0))</f>
        <v>-</v>
      </c>
      <c r="D211" s="432" t="str">
        <f aca="false">IF($A$1="Peak","-",IF(BaseLoad!J210&gt;BaseLoad!$G210,D$8*$Z211,0))</f>
        <v>-</v>
      </c>
      <c r="E211" s="432" t="str">
        <f aca="false">IF($A$1="Peak","-",IF(BaseLoad!K210&gt;BaseLoad!$G210,E$8*$Z211,0))</f>
        <v>-</v>
      </c>
      <c r="F211" s="432" t="str">
        <f aca="false">IF($A$1="Peak","-",IF(BaseLoad!L210&gt;BaseLoad!$G210,F$8*$Z211,0))</f>
        <v>-</v>
      </c>
      <c r="G211" s="432" t="str">
        <f aca="false">IF($A$1="Peak","-",IF(BaseLoad!M210&gt;BaseLoad!$G210,G$8*$Z211,0))</f>
        <v>-</v>
      </c>
      <c r="H211" s="432" t="str">
        <f aca="false">IF($A$1="Peak","-",IF(BaseLoad!N210&gt;BaseLoad!$G210,H$8*$Z211,0))</f>
        <v>-</v>
      </c>
      <c r="I211" s="432" t="str">
        <f aca="false">IF($A$1="Peak","-",IF(BaseLoad!O210&gt;BaseLoad!$G210,I$8*$Z211,0))</f>
        <v>-</v>
      </c>
      <c r="J211" s="432" t="str">
        <f aca="false">IF($A$1="Peak","-",IF(BaseLoad!P210&gt;BaseLoad!$G210,J$8*$Z211,0))</f>
        <v>-</v>
      </c>
      <c r="K211" s="432" t="str">
        <f aca="false">IF($A$1="Peak","-",IF(BaseLoad!Q210&gt;BaseLoad!$G210,K$8*$Z211,0))</f>
        <v>-</v>
      </c>
      <c r="L211" s="432" t="str">
        <f aca="false">IF($A$1="Peak","-",IF(BaseLoad!R210&gt;BaseLoad!$G210,L$8*$Z211,0))</f>
        <v>-</v>
      </c>
      <c r="M211" s="432" t="str">
        <f aca="false">IF($A$1="Peak","-",IF(BaseLoad!S210&gt;BaseLoad!$G210,M$8*$Z211,0))</f>
        <v>-</v>
      </c>
      <c r="N211" s="432" t="str">
        <f aca="false">IF($A$1="Peak","-",IF(BaseLoad!T210&gt;BaseLoad!$G210,N$8*$Z211,0))</f>
        <v>-</v>
      </c>
      <c r="O211" s="432" t="str">
        <f aca="false">IF($A$1="Peak","-",IF(BaseLoad!U210&gt;BaseLoad!$G210,O$8*$Z211,0))</f>
        <v>-</v>
      </c>
      <c r="P211" s="432" t="str">
        <f aca="false">IF($A$1="Peak","-",IF(BaseLoad!V210&gt;BaseLoad!$G210,P$8*$Z211,0))</f>
        <v>-</v>
      </c>
      <c r="Q211" s="432" t="str">
        <f aca="false">IF($A$1="Peak","-",IF(BaseLoad!W210&gt;BaseLoad!$G210,Q$8*$Z211,0))</f>
        <v>-</v>
      </c>
      <c r="R211" s="432" t="str">
        <f aca="false">IF($A$1="Peak","-",IF(BaseLoad!X210&gt;BaseLoad!$G210,R$8*$Z211,0))</f>
        <v>-</v>
      </c>
      <c r="S211" s="432" t="str">
        <f aca="false">IF($A$1="Peak","-",IF(BaseLoad!Y210&gt;BaseLoad!$G210,S$8*$Z211,0))</f>
        <v>-</v>
      </c>
      <c r="T211" s="432" t="str">
        <f aca="false">IF($A$1="Peak","-",IF(BaseLoad!Z210&gt;BaseLoad!$G210,T$8*$Z211,0))</f>
        <v>-</v>
      </c>
      <c r="U211" s="432" t="str">
        <f aca="false">IF($A$1="Peak","-",IF(BaseLoad!AA210&gt;BaseLoad!$G210,U$8*$Z211,0))</f>
        <v>-</v>
      </c>
      <c r="V211" s="432" t="n">
        <f aca="false">SUM(B211:U211)</f>
        <v>0</v>
      </c>
      <c r="W211" s="432"/>
      <c r="X211" s="432"/>
      <c r="Y211" s="432"/>
      <c r="Z211" s="432" t="n">
        <f aca="false">CHOOSE(QUOTIENT(MONTH($A211),3)+1,BaseLoad!$AM$9,BaseLoad!$AN$9,BaseLoad!$AL$9,BaseLoad!$AO$9,BaseLoad!$AM$9)</f>
        <v>0.95</v>
      </c>
      <c r="AA211" s="432" t="n">
        <f aca="false">CHOOSE(QUOTIENT(MONTH($A211),3)+1,BaseLoad!$AM$15,BaseLoad!$AN$15,BaseLoad!$AL$15,BaseLoad!$AO$15,BaseLoad!$AM$15)</f>
        <v>705</v>
      </c>
      <c r="AB211" s="431"/>
      <c r="AD211" s="431"/>
    </row>
    <row r="212" customFormat="false" ht="12.75" hidden="false" customHeight="false" outlineLevel="0" collapsed="false">
      <c r="A212" s="400" t="n">
        <f aca="false">A211+30.417</f>
        <v>42684.234</v>
      </c>
      <c r="B212" s="432" t="str">
        <f aca="false">IF($A$1="Peak","-",IF(BaseLoad!H211&gt;BaseLoad!$G211,B$8*$Z212,0))</f>
        <v>-</v>
      </c>
      <c r="C212" s="432" t="str">
        <f aca="false">IF($A$1="Peak","-",IF(BaseLoad!I211&gt;BaseLoad!$G211,C$8*$Z212,0))</f>
        <v>-</v>
      </c>
      <c r="D212" s="432" t="str">
        <f aca="false">IF($A$1="Peak","-",IF(BaseLoad!J211&gt;BaseLoad!$G211,D$8*$Z212,0))</f>
        <v>-</v>
      </c>
      <c r="E212" s="432" t="str">
        <f aca="false">IF($A$1="Peak","-",IF(BaseLoad!K211&gt;BaseLoad!$G211,E$8*$Z212,0))</f>
        <v>-</v>
      </c>
      <c r="F212" s="432" t="str">
        <f aca="false">IF($A$1="Peak","-",IF(BaseLoad!L211&gt;BaseLoad!$G211,F$8*$Z212,0))</f>
        <v>-</v>
      </c>
      <c r="G212" s="432" t="str">
        <f aca="false">IF($A$1="Peak","-",IF(BaseLoad!M211&gt;BaseLoad!$G211,G$8*$Z212,0))</f>
        <v>-</v>
      </c>
      <c r="H212" s="432" t="str">
        <f aca="false">IF($A$1="Peak","-",IF(BaseLoad!N211&gt;BaseLoad!$G211,H$8*$Z212,0))</f>
        <v>-</v>
      </c>
      <c r="I212" s="432" t="str">
        <f aca="false">IF($A$1="Peak","-",IF(BaseLoad!O211&gt;BaseLoad!$G211,I$8*$Z212,0))</f>
        <v>-</v>
      </c>
      <c r="J212" s="432" t="str">
        <f aca="false">IF($A$1="Peak","-",IF(BaseLoad!P211&gt;BaseLoad!$G211,J$8*$Z212,0))</f>
        <v>-</v>
      </c>
      <c r="K212" s="432" t="str">
        <f aca="false">IF($A$1="Peak","-",IF(BaseLoad!Q211&gt;BaseLoad!$G211,K$8*$Z212,0))</f>
        <v>-</v>
      </c>
      <c r="L212" s="432" t="str">
        <f aca="false">IF($A$1="Peak","-",IF(BaseLoad!R211&gt;BaseLoad!$G211,L$8*$Z212,0))</f>
        <v>-</v>
      </c>
      <c r="M212" s="432" t="str">
        <f aca="false">IF($A$1="Peak","-",IF(BaseLoad!S211&gt;BaseLoad!$G211,M$8*$Z212,0))</f>
        <v>-</v>
      </c>
      <c r="N212" s="432" t="str">
        <f aca="false">IF($A$1="Peak","-",IF(BaseLoad!T211&gt;BaseLoad!$G211,N$8*$Z212,0))</f>
        <v>-</v>
      </c>
      <c r="O212" s="432" t="str">
        <f aca="false">IF($A$1="Peak","-",IF(BaseLoad!U211&gt;BaseLoad!$G211,O$8*$Z212,0))</f>
        <v>-</v>
      </c>
      <c r="P212" s="432" t="str">
        <f aca="false">IF($A$1="Peak","-",IF(BaseLoad!V211&gt;BaseLoad!$G211,P$8*$Z212,0))</f>
        <v>-</v>
      </c>
      <c r="Q212" s="432" t="str">
        <f aca="false">IF($A$1="Peak","-",IF(BaseLoad!W211&gt;BaseLoad!$G211,Q$8*$Z212,0))</f>
        <v>-</v>
      </c>
      <c r="R212" s="432" t="str">
        <f aca="false">IF($A$1="Peak","-",IF(BaseLoad!X211&gt;BaseLoad!$G211,R$8*$Z212,0))</f>
        <v>-</v>
      </c>
      <c r="S212" s="432" t="str">
        <f aca="false">IF($A$1="Peak","-",IF(BaseLoad!Y211&gt;BaseLoad!$G211,S$8*$Z212,0))</f>
        <v>-</v>
      </c>
      <c r="T212" s="432" t="str">
        <f aca="false">IF($A$1="Peak","-",IF(BaseLoad!Z211&gt;BaseLoad!$G211,T$8*$Z212,0))</f>
        <v>-</v>
      </c>
      <c r="U212" s="432" t="str">
        <f aca="false">IF($A$1="Peak","-",IF(BaseLoad!AA211&gt;BaseLoad!$G211,U$8*$Z212,0))</f>
        <v>-</v>
      </c>
      <c r="V212" s="432" t="n">
        <f aca="false">SUM(B212:U212)</f>
        <v>0</v>
      </c>
      <c r="W212" s="432"/>
      <c r="X212" s="432"/>
      <c r="Y212" s="432"/>
      <c r="Z212" s="432" t="n">
        <f aca="false">CHOOSE(QUOTIENT(MONTH($A212),3)+1,BaseLoad!$AM$9,BaseLoad!$AN$9,BaseLoad!$AL$9,BaseLoad!$AO$9,BaseLoad!$AM$9)</f>
        <v>0.95</v>
      </c>
      <c r="AA212" s="432" t="n">
        <f aca="false">CHOOSE(QUOTIENT(MONTH($A212),3)+1,BaseLoad!$AM$15,BaseLoad!$AN$15,BaseLoad!$AL$15,BaseLoad!$AO$15,BaseLoad!$AM$15)</f>
        <v>705</v>
      </c>
      <c r="AB212" s="431"/>
      <c r="AD212" s="431"/>
    </row>
    <row r="213" customFormat="false" ht="12.75" hidden="false" customHeight="false" outlineLevel="0" collapsed="false">
      <c r="A213" s="400" t="n">
        <f aca="false">A212+30.417</f>
        <v>42714.651</v>
      </c>
      <c r="B213" s="432" t="str">
        <f aca="false">IF($A$1="Peak","-",IF(BaseLoad!H212&gt;BaseLoad!$G212,B$8*$Z213,0))</f>
        <v>-</v>
      </c>
      <c r="C213" s="432" t="str">
        <f aca="false">IF($A$1="Peak","-",IF(BaseLoad!I212&gt;BaseLoad!$G212,C$8*$Z213,0))</f>
        <v>-</v>
      </c>
      <c r="D213" s="432" t="str">
        <f aca="false">IF($A$1="Peak","-",IF(BaseLoad!J212&gt;BaseLoad!$G212,D$8*$Z213,0))</f>
        <v>-</v>
      </c>
      <c r="E213" s="432" t="str">
        <f aca="false">IF($A$1="Peak","-",IF(BaseLoad!K212&gt;BaseLoad!$G212,E$8*$Z213,0))</f>
        <v>-</v>
      </c>
      <c r="F213" s="432" t="str">
        <f aca="false">IF($A$1="Peak","-",IF(BaseLoad!L212&gt;BaseLoad!$G212,F$8*$Z213,0))</f>
        <v>-</v>
      </c>
      <c r="G213" s="432" t="str">
        <f aca="false">IF($A$1="Peak","-",IF(BaseLoad!M212&gt;BaseLoad!$G212,G$8*$Z213,0))</f>
        <v>-</v>
      </c>
      <c r="H213" s="432" t="str">
        <f aca="false">IF($A$1="Peak","-",IF(BaseLoad!N212&gt;BaseLoad!$G212,H$8*$Z213,0))</f>
        <v>-</v>
      </c>
      <c r="I213" s="432" t="str">
        <f aca="false">IF($A$1="Peak","-",IF(BaseLoad!O212&gt;BaseLoad!$G212,I$8*$Z213,0))</f>
        <v>-</v>
      </c>
      <c r="J213" s="432" t="str">
        <f aca="false">IF($A$1="Peak","-",IF(BaseLoad!P212&gt;BaseLoad!$G212,J$8*$Z213,0))</f>
        <v>-</v>
      </c>
      <c r="K213" s="432" t="str">
        <f aca="false">IF($A$1="Peak","-",IF(BaseLoad!Q212&gt;BaseLoad!$G212,K$8*$Z213,0))</f>
        <v>-</v>
      </c>
      <c r="L213" s="432" t="str">
        <f aca="false">IF($A$1="Peak","-",IF(BaseLoad!R212&gt;BaseLoad!$G212,L$8*$Z213,0))</f>
        <v>-</v>
      </c>
      <c r="M213" s="432" t="str">
        <f aca="false">IF($A$1="Peak","-",IF(BaseLoad!S212&gt;BaseLoad!$G212,M$8*$Z213,0))</f>
        <v>-</v>
      </c>
      <c r="N213" s="432" t="str">
        <f aca="false">IF($A$1="Peak","-",IF(BaseLoad!T212&gt;BaseLoad!$G212,N$8*$Z213,0))</f>
        <v>-</v>
      </c>
      <c r="O213" s="432" t="str">
        <f aca="false">IF($A$1="Peak","-",IF(BaseLoad!U212&gt;BaseLoad!$G212,O$8*$Z213,0))</f>
        <v>-</v>
      </c>
      <c r="P213" s="432" t="str">
        <f aca="false">IF($A$1="Peak","-",IF(BaseLoad!V212&gt;BaseLoad!$G212,P$8*$Z213,0))</f>
        <v>-</v>
      </c>
      <c r="Q213" s="432" t="str">
        <f aca="false">IF($A$1="Peak","-",IF(BaseLoad!W212&gt;BaseLoad!$G212,Q$8*$Z213,0))</f>
        <v>-</v>
      </c>
      <c r="R213" s="432" t="str">
        <f aca="false">IF($A$1="Peak","-",IF(BaseLoad!X212&gt;BaseLoad!$G212,R$8*$Z213,0))</f>
        <v>-</v>
      </c>
      <c r="S213" s="432" t="str">
        <f aca="false">IF($A$1="Peak","-",IF(BaseLoad!Y212&gt;BaseLoad!$G212,S$8*$Z213,0))</f>
        <v>-</v>
      </c>
      <c r="T213" s="432" t="str">
        <f aca="false">IF($A$1="Peak","-",IF(BaseLoad!Z212&gt;BaseLoad!$G212,T$8*$Z213,0))</f>
        <v>-</v>
      </c>
      <c r="U213" s="432" t="str">
        <f aca="false">IF($A$1="Peak","-",IF(BaseLoad!AA212&gt;BaseLoad!$G212,U$8*$Z213,0))</f>
        <v>-</v>
      </c>
      <c r="V213" s="432" t="n">
        <f aca="false">SUM(B213:U213)</f>
        <v>0</v>
      </c>
      <c r="W213" s="432"/>
      <c r="X213" s="432"/>
      <c r="Y213" s="432" t="n">
        <f aca="false">SUM(V202:V213)</f>
        <v>0</v>
      </c>
      <c r="Z213" s="432" t="n">
        <f aca="false">CHOOSE(QUOTIENT(MONTH($A213),3)+1,BaseLoad!$AM$9,BaseLoad!$AN$9,BaseLoad!$AL$9,BaseLoad!$AO$9,BaseLoad!$AM$9)</f>
        <v>0.924276618786118</v>
      </c>
      <c r="AA213" s="432" t="n">
        <f aca="false">CHOOSE(QUOTIENT(MONTH($A213),3)+1,BaseLoad!$AM$15,BaseLoad!$AN$15,BaseLoad!$AL$15,BaseLoad!$AO$15,BaseLoad!$AM$15)</f>
        <v>705</v>
      </c>
      <c r="AB213" s="431"/>
      <c r="AD213" s="431"/>
    </row>
    <row r="214" customFormat="false" ht="12.75" hidden="false" customHeight="false" outlineLevel="0" collapsed="false">
      <c r="A214" s="400" t="n">
        <f aca="false">A213+30.417</f>
        <v>42745.068</v>
      </c>
      <c r="B214" s="432" t="str">
        <f aca="false">IF($A$1="Peak","-",IF(BaseLoad!H213&gt;BaseLoad!$G213,B$8*$Z214,0))</f>
        <v>-</v>
      </c>
      <c r="C214" s="432" t="str">
        <f aca="false">IF($A$1="Peak","-",IF(BaseLoad!I213&gt;BaseLoad!$G213,C$8*$Z214,0))</f>
        <v>-</v>
      </c>
      <c r="D214" s="432" t="str">
        <f aca="false">IF($A$1="Peak","-",IF(BaseLoad!J213&gt;BaseLoad!$G213,D$8*$Z214,0))</f>
        <v>-</v>
      </c>
      <c r="E214" s="432" t="str">
        <f aca="false">IF($A$1="Peak","-",IF(BaseLoad!K213&gt;BaseLoad!$G213,E$8*$Z214,0))</f>
        <v>-</v>
      </c>
      <c r="F214" s="432" t="str">
        <f aca="false">IF($A$1="Peak","-",IF(BaseLoad!L213&gt;BaseLoad!$G213,F$8*$Z214,0))</f>
        <v>-</v>
      </c>
      <c r="G214" s="432" t="str">
        <f aca="false">IF($A$1="Peak","-",IF(BaseLoad!M213&gt;BaseLoad!$G213,G$8*$Z214,0))</f>
        <v>-</v>
      </c>
      <c r="H214" s="432" t="str">
        <f aca="false">IF($A$1="Peak","-",IF(BaseLoad!N213&gt;BaseLoad!$G213,H$8*$Z214,0))</f>
        <v>-</v>
      </c>
      <c r="I214" s="432" t="str">
        <f aca="false">IF($A$1="Peak","-",IF(BaseLoad!O213&gt;BaseLoad!$G213,I$8*$Z214,0))</f>
        <v>-</v>
      </c>
      <c r="J214" s="432" t="str">
        <f aca="false">IF($A$1="Peak","-",IF(BaseLoad!P213&gt;BaseLoad!$G213,J$8*$Z214,0))</f>
        <v>-</v>
      </c>
      <c r="K214" s="432" t="str">
        <f aca="false">IF($A$1="Peak","-",IF(BaseLoad!Q213&gt;BaseLoad!$G213,K$8*$Z214,0))</f>
        <v>-</v>
      </c>
      <c r="L214" s="432" t="str">
        <f aca="false">IF($A$1="Peak","-",IF(BaseLoad!R213&gt;BaseLoad!$G213,L$8*$Z214,0))</f>
        <v>-</v>
      </c>
      <c r="M214" s="432" t="str">
        <f aca="false">IF($A$1="Peak","-",IF(BaseLoad!S213&gt;BaseLoad!$G213,M$8*$Z214,0))</f>
        <v>-</v>
      </c>
      <c r="N214" s="432" t="str">
        <f aca="false">IF($A$1="Peak","-",IF(BaseLoad!T213&gt;BaseLoad!$G213,N$8*$Z214,0))</f>
        <v>-</v>
      </c>
      <c r="O214" s="432" t="str">
        <f aca="false">IF($A$1="Peak","-",IF(BaseLoad!U213&gt;BaseLoad!$G213,O$8*$Z214,0))</f>
        <v>-</v>
      </c>
      <c r="P214" s="432" t="str">
        <f aca="false">IF($A$1="Peak","-",IF(BaseLoad!V213&gt;BaseLoad!$G213,P$8*$Z214,0))</f>
        <v>-</v>
      </c>
      <c r="Q214" s="432" t="str">
        <f aca="false">IF($A$1="Peak","-",IF(BaseLoad!W213&gt;BaseLoad!$G213,Q$8*$Z214,0))</f>
        <v>-</v>
      </c>
      <c r="R214" s="432" t="str">
        <f aca="false">IF($A$1="Peak","-",IF(BaseLoad!X213&gt;BaseLoad!$G213,R$8*$Z214,0))</f>
        <v>-</v>
      </c>
      <c r="S214" s="432" t="str">
        <f aca="false">IF($A$1="Peak","-",IF(BaseLoad!Y213&gt;BaseLoad!$G213,S$8*$Z214,0))</f>
        <v>-</v>
      </c>
      <c r="T214" s="432" t="str">
        <f aca="false">IF($A$1="Peak","-",IF(BaseLoad!Z213&gt;BaseLoad!$G213,T$8*$Z214,0))</f>
        <v>-</v>
      </c>
      <c r="U214" s="432" t="str">
        <f aca="false">IF($A$1="Peak","-",IF(BaseLoad!AA213&gt;BaseLoad!$G213,U$8*$Z214,0))</f>
        <v>-</v>
      </c>
      <c r="V214" s="432" t="n">
        <f aca="false">SUM(B214:U214)</f>
        <v>0</v>
      </c>
      <c r="W214" s="432"/>
      <c r="X214" s="432"/>
      <c r="Y214" s="432"/>
      <c r="Z214" s="432" t="n">
        <f aca="false">CHOOSE(QUOTIENT(MONTH($A214),3)+1,BaseLoad!$AM$9,BaseLoad!$AN$9,BaseLoad!$AL$9,BaseLoad!$AO$9,BaseLoad!$AM$9)</f>
        <v>0.924276618786118</v>
      </c>
      <c r="AA214" s="432" t="n">
        <f aca="false">CHOOSE(QUOTIENT(MONTH($A214),3)+1,BaseLoad!$AM$15,BaseLoad!$AN$15,BaseLoad!$AL$15,BaseLoad!$AO$15,BaseLoad!$AM$15)</f>
        <v>705</v>
      </c>
      <c r="AB214" s="431"/>
      <c r="AD214" s="431"/>
    </row>
    <row r="215" customFormat="false" ht="12.75" hidden="false" customHeight="false" outlineLevel="0" collapsed="false">
      <c r="A215" s="400" t="n">
        <f aca="false">A214+30.417</f>
        <v>42775.485</v>
      </c>
      <c r="B215" s="432" t="str">
        <f aca="false">IF($A$1="Peak","-",IF(BaseLoad!H214&gt;BaseLoad!$G214,B$8*$Z215,0))</f>
        <v>-</v>
      </c>
      <c r="C215" s="432" t="str">
        <f aca="false">IF($A$1="Peak","-",IF(BaseLoad!I214&gt;BaseLoad!$G214,C$8*$Z215,0))</f>
        <v>-</v>
      </c>
      <c r="D215" s="432" t="str">
        <f aca="false">IF($A$1="Peak","-",IF(BaseLoad!J214&gt;BaseLoad!$G214,D$8*$Z215,0))</f>
        <v>-</v>
      </c>
      <c r="E215" s="432" t="str">
        <f aca="false">IF($A$1="Peak","-",IF(BaseLoad!K214&gt;BaseLoad!$G214,E$8*$Z215,0))</f>
        <v>-</v>
      </c>
      <c r="F215" s="432" t="str">
        <f aca="false">IF($A$1="Peak","-",IF(BaseLoad!L214&gt;BaseLoad!$G214,F$8*$Z215,0))</f>
        <v>-</v>
      </c>
      <c r="G215" s="432" t="str">
        <f aca="false">IF($A$1="Peak","-",IF(BaseLoad!M214&gt;BaseLoad!$G214,G$8*$Z215,0))</f>
        <v>-</v>
      </c>
      <c r="H215" s="432" t="str">
        <f aca="false">IF($A$1="Peak","-",IF(BaseLoad!N214&gt;BaseLoad!$G214,H$8*$Z215,0))</f>
        <v>-</v>
      </c>
      <c r="I215" s="432" t="str">
        <f aca="false">IF($A$1="Peak","-",IF(BaseLoad!O214&gt;BaseLoad!$G214,I$8*$Z215,0))</f>
        <v>-</v>
      </c>
      <c r="J215" s="432" t="str">
        <f aca="false">IF($A$1="Peak","-",IF(BaseLoad!P214&gt;BaseLoad!$G214,J$8*$Z215,0))</f>
        <v>-</v>
      </c>
      <c r="K215" s="432" t="str">
        <f aca="false">IF($A$1="Peak","-",IF(BaseLoad!Q214&gt;BaseLoad!$G214,K$8*$Z215,0))</f>
        <v>-</v>
      </c>
      <c r="L215" s="432" t="str">
        <f aca="false">IF($A$1="Peak","-",IF(BaseLoad!R214&gt;BaseLoad!$G214,L$8*$Z215,0))</f>
        <v>-</v>
      </c>
      <c r="M215" s="432" t="str">
        <f aca="false">IF($A$1="Peak","-",IF(BaseLoad!S214&gt;BaseLoad!$G214,M$8*$Z215,0))</f>
        <v>-</v>
      </c>
      <c r="N215" s="432" t="str">
        <f aca="false">IF($A$1="Peak","-",IF(BaseLoad!T214&gt;BaseLoad!$G214,N$8*$Z215,0))</f>
        <v>-</v>
      </c>
      <c r="O215" s="432" t="str">
        <f aca="false">IF($A$1="Peak","-",IF(BaseLoad!U214&gt;BaseLoad!$G214,O$8*$Z215,0))</f>
        <v>-</v>
      </c>
      <c r="P215" s="432" t="str">
        <f aca="false">IF($A$1="Peak","-",IF(BaseLoad!V214&gt;BaseLoad!$G214,P$8*$Z215,0))</f>
        <v>-</v>
      </c>
      <c r="Q215" s="432" t="str">
        <f aca="false">IF($A$1="Peak","-",IF(BaseLoad!W214&gt;BaseLoad!$G214,Q$8*$Z215,0))</f>
        <v>-</v>
      </c>
      <c r="R215" s="432" t="str">
        <f aca="false">IF($A$1="Peak","-",IF(BaseLoad!X214&gt;BaseLoad!$G214,R$8*$Z215,0))</f>
        <v>-</v>
      </c>
      <c r="S215" s="432" t="str">
        <f aca="false">IF($A$1="Peak","-",IF(BaseLoad!Y214&gt;BaseLoad!$G214,S$8*$Z215,0))</f>
        <v>-</v>
      </c>
      <c r="T215" s="432" t="str">
        <f aca="false">IF($A$1="Peak","-",IF(BaseLoad!Z214&gt;BaseLoad!$G214,T$8*$Z215,0))</f>
        <v>-</v>
      </c>
      <c r="U215" s="432" t="str">
        <f aca="false">IF($A$1="Peak","-",IF(BaseLoad!AA214&gt;BaseLoad!$G214,U$8*$Z215,0))</f>
        <v>-</v>
      </c>
      <c r="V215" s="432" t="n">
        <f aca="false">SUM(B215:U215)</f>
        <v>0</v>
      </c>
      <c r="W215" s="432"/>
      <c r="X215" s="432"/>
      <c r="Y215" s="432"/>
      <c r="Z215" s="432" t="n">
        <f aca="false">CHOOSE(QUOTIENT(MONTH($A215),3)+1,BaseLoad!$AM$9,BaseLoad!$AN$9,BaseLoad!$AL$9,BaseLoad!$AO$9,BaseLoad!$AM$9)</f>
        <v>0.924276618786118</v>
      </c>
      <c r="AA215" s="432" t="n">
        <f aca="false">CHOOSE(QUOTIENT(MONTH($A215),3)+1,BaseLoad!$AM$15,BaseLoad!$AN$15,BaseLoad!$AL$15,BaseLoad!$AO$15,BaseLoad!$AM$15)</f>
        <v>705</v>
      </c>
      <c r="AB215" s="431"/>
      <c r="AD215" s="431"/>
    </row>
    <row r="216" customFormat="false" ht="12.75" hidden="false" customHeight="false" outlineLevel="0" collapsed="false">
      <c r="A216" s="400" t="n">
        <f aca="false">A215+30.417</f>
        <v>42805.902</v>
      </c>
      <c r="B216" s="432" t="str">
        <f aca="false">IF($A$1="Peak","-",IF(BaseLoad!H215&gt;BaseLoad!$G215,B$8*$Z216,0))</f>
        <v>-</v>
      </c>
      <c r="C216" s="432" t="str">
        <f aca="false">IF($A$1="Peak","-",IF(BaseLoad!I215&gt;BaseLoad!$G215,C$8*$Z216,0))</f>
        <v>-</v>
      </c>
      <c r="D216" s="432" t="str">
        <f aca="false">IF($A$1="Peak","-",IF(BaseLoad!J215&gt;BaseLoad!$G215,D$8*$Z216,0))</f>
        <v>-</v>
      </c>
      <c r="E216" s="432" t="str">
        <f aca="false">IF($A$1="Peak","-",IF(BaseLoad!K215&gt;BaseLoad!$G215,E$8*$Z216,0))</f>
        <v>-</v>
      </c>
      <c r="F216" s="432" t="str">
        <f aca="false">IF($A$1="Peak","-",IF(BaseLoad!L215&gt;BaseLoad!$G215,F$8*$Z216,0))</f>
        <v>-</v>
      </c>
      <c r="G216" s="432" t="str">
        <f aca="false">IF($A$1="Peak","-",IF(BaseLoad!M215&gt;BaseLoad!$G215,G$8*$Z216,0))</f>
        <v>-</v>
      </c>
      <c r="H216" s="432" t="str">
        <f aca="false">IF($A$1="Peak","-",IF(BaseLoad!N215&gt;BaseLoad!$G215,H$8*$Z216,0))</f>
        <v>-</v>
      </c>
      <c r="I216" s="432" t="str">
        <f aca="false">IF($A$1="Peak","-",IF(BaseLoad!O215&gt;BaseLoad!$G215,I$8*$Z216,0))</f>
        <v>-</v>
      </c>
      <c r="J216" s="432" t="str">
        <f aca="false">IF($A$1="Peak","-",IF(BaseLoad!P215&gt;BaseLoad!$G215,J$8*$Z216,0))</f>
        <v>-</v>
      </c>
      <c r="K216" s="432" t="str">
        <f aca="false">IF($A$1="Peak","-",IF(BaseLoad!Q215&gt;BaseLoad!$G215,K$8*$Z216,0))</f>
        <v>-</v>
      </c>
      <c r="L216" s="432" t="str">
        <f aca="false">IF($A$1="Peak","-",IF(BaseLoad!R215&gt;BaseLoad!$G215,L$8*$Z216,0))</f>
        <v>-</v>
      </c>
      <c r="M216" s="432" t="str">
        <f aca="false">IF($A$1="Peak","-",IF(BaseLoad!S215&gt;BaseLoad!$G215,M$8*$Z216,0))</f>
        <v>-</v>
      </c>
      <c r="N216" s="432" t="str">
        <f aca="false">IF($A$1="Peak","-",IF(BaseLoad!T215&gt;BaseLoad!$G215,N$8*$Z216,0))</f>
        <v>-</v>
      </c>
      <c r="O216" s="432" t="str">
        <f aca="false">IF($A$1="Peak","-",IF(BaseLoad!U215&gt;BaseLoad!$G215,O$8*$Z216,0))</f>
        <v>-</v>
      </c>
      <c r="P216" s="432" t="str">
        <f aca="false">IF($A$1="Peak","-",IF(BaseLoad!V215&gt;BaseLoad!$G215,P$8*$Z216,0))</f>
        <v>-</v>
      </c>
      <c r="Q216" s="432" t="str">
        <f aca="false">IF($A$1="Peak","-",IF(BaseLoad!W215&gt;BaseLoad!$G215,Q$8*$Z216,0))</f>
        <v>-</v>
      </c>
      <c r="R216" s="432" t="str">
        <f aca="false">IF($A$1="Peak","-",IF(BaseLoad!X215&gt;BaseLoad!$G215,R$8*$Z216,0))</f>
        <v>-</v>
      </c>
      <c r="S216" s="432" t="str">
        <f aca="false">IF($A$1="Peak","-",IF(BaseLoad!Y215&gt;BaseLoad!$G215,S$8*$Z216,0))</f>
        <v>-</v>
      </c>
      <c r="T216" s="432" t="str">
        <f aca="false">IF($A$1="Peak","-",IF(BaseLoad!Z215&gt;BaseLoad!$G215,T$8*$Z216,0))</f>
        <v>-</v>
      </c>
      <c r="U216" s="432" t="str">
        <f aca="false">IF($A$1="Peak","-",IF(BaseLoad!AA215&gt;BaseLoad!$G215,U$8*$Z216,0))</f>
        <v>-</v>
      </c>
      <c r="V216" s="432" t="n">
        <f aca="false">SUM(B216:U216)</f>
        <v>0</v>
      </c>
      <c r="W216" s="432"/>
      <c r="X216" s="432"/>
      <c r="Y216" s="432"/>
      <c r="Z216" s="432" t="n">
        <f aca="false">CHOOSE(QUOTIENT(MONTH($A216),3)+1,BaseLoad!$AM$9,BaseLoad!$AN$9,BaseLoad!$AL$9,BaseLoad!$AO$9,BaseLoad!$AM$9)</f>
        <v>0.95</v>
      </c>
      <c r="AA216" s="432" t="n">
        <f aca="false">CHOOSE(QUOTIENT(MONTH($A216),3)+1,BaseLoad!$AM$15,BaseLoad!$AN$15,BaseLoad!$AL$15,BaseLoad!$AO$15,BaseLoad!$AM$15)</f>
        <v>705</v>
      </c>
      <c r="AB216" s="431"/>
      <c r="AD216" s="431"/>
    </row>
    <row r="217" customFormat="false" ht="12.75" hidden="false" customHeight="false" outlineLevel="0" collapsed="false">
      <c r="A217" s="400" t="n">
        <f aca="false">A216+30.417</f>
        <v>42836.319</v>
      </c>
      <c r="B217" s="432" t="str">
        <f aca="false">IF($A$1="Peak","-",IF(BaseLoad!H216&gt;BaseLoad!$G216,B$8*$Z217,0))</f>
        <v>-</v>
      </c>
      <c r="C217" s="432" t="str">
        <f aca="false">IF($A$1="Peak","-",IF(BaseLoad!I216&gt;BaseLoad!$G216,C$8*$Z217,0))</f>
        <v>-</v>
      </c>
      <c r="D217" s="432" t="str">
        <f aca="false">IF($A$1="Peak","-",IF(BaseLoad!J216&gt;BaseLoad!$G216,D$8*$Z217,0))</f>
        <v>-</v>
      </c>
      <c r="E217" s="432" t="str">
        <f aca="false">IF($A$1="Peak","-",IF(BaseLoad!K216&gt;BaseLoad!$G216,E$8*$Z217,0))</f>
        <v>-</v>
      </c>
      <c r="F217" s="432" t="str">
        <f aca="false">IF($A$1="Peak","-",IF(BaseLoad!L216&gt;BaseLoad!$G216,F$8*$Z217,0))</f>
        <v>-</v>
      </c>
      <c r="G217" s="432" t="str">
        <f aca="false">IF($A$1="Peak","-",IF(BaseLoad!M216&gt;BaseLoad!$G216,G$8*$Z217,0))</f>
        <v>-</v>
      </c>
      <c r="H217" s="432" t="str">
        <f aca="false">IF($A$1="Peak","-",IF(BaseLoad!N216&gt;BaseLoad!$G216,H$8*$Z217,0))</f>
        <v>-</v>
      </c>
      <c r="I217" s="432" t="str">
        <f aca="false">IF($A$1="Peak","-",IF(BaseLoad!O216&gt;BaseLoad!$G216,I$8*$Z217,0))</f>
        <v>-</v>
      </c>
      <c r="J217" s="432" t="str">
        <f aca="false">IF($A$1="Peak","-",IF(BaseLoad!P216&gt;BaseLoad!$G216,J$8*$Z217,0))</f>
        <v>-</v>
      </c>
      <c r="K217" s="432" t="str">
        <f aca="false">IF($A$1="Peak","-",IF(BaseLoad!Q216&gt;BaseLoad!$G216,K$8*$Z217,0))</f>
        <v>-</v>
      </c>
      <c r="L217" s="432" t="str">
        <f aca="false">IF($A$1="Peak","-",IF(BaseLoad!R216&gt;BaseLoad!$G216,L$8*$Z217,0))</f>
        <v>-</v>
      </c>
      <c r="M217" s="432" t="str">
        <f aca="false">IF($A$1="Peak","-",IF(BaseLoad!S216&gt;BaseLoad!$G216,M$8*$Z217,0))</f>
        <v>-</v>
      </c>
      <c r="N217" s="432" t="str">
        <f aca="false">IF($A$1="Peak","-",IF(BaseLoad!T216&gt;BaseLoad!$G216,N$8*$Z217,0))</f>
        <v>-</v>
      </c>
      <c r="O217" s="432" t="str">
        <f aca="false">IF($A$1="Peak","-",IF(BaseLoad!U216&gt;BaseLoad!$G216,O$8*$Z217,0))</f>
        <v>-</v>
      </c>
      <c r="P217" s="432" t="str">
        <f aca="false">IF($A$1="Peak","-",IF(BaseLoad!V216&gt;BaseLoad!$G216,P$8*$Z217,0))</f>
        <v>-</v>
      </c>
      <c r="Q217" s="432" t="str">
        <f aca="false">IF($A$1="Peak","-",IF(BaseLoad!W216&gt;BaseLoad!$G216,Q$8*$Z217,0))</f>
        <v>-</v>
      </c>
      <c r="R217" s="432" t="str">
        <f aca="false">IF($A$1="Peak","-",IF(BaseLoad!X216&gt;BaseLoad!$G216,R$8*$Z217,0))</f>
        <v>-</v>
      </c>
      <c r="S217" s="432" t="str">
        <f aca="false">IF($A$1="Peak","-",IF(BaseLoad!Y216&gt;BaseLoad!$G216,S$8*$Z217,0))</f>
        <v>-</v>
      </c>
      <c r="T217" s="432" t="str">
        <f aca="false">IF($A$1="Peak","-",IF(BaseLoad!Z216&gt;BaseLoad!$G216,T$8*$Z217,0))</f>
        <v>-</v>
      </c>
      <c r="U217" s="432" t="str">
        <f aca="false">IF($A$1="Peak","-",IF(BaseLoad!AA216&gt;BaseLoad!$G216,U$8*$Z217,0))</f>
        <v>-</v>
      </c>
      <c r="V217" s="432" t="n">
        <f aca="false">SUM(B217:U217)</f>
        <v>0</v>
      </c>
      <c r="W217" s="432"/>
      <c r="X217" s="432"/>
      <c r="Y217" s="432"/>
      <c r="Z217" s="432" t="n">
        <f aca="false">CHOOSE(QUOTIENT(MONTH($A217),3)+1,BaseLoad!$AM$9,BaseLoad!$AN$9,BaseLoad!$AL$9,BaseLoad!$AO$9,BaseLoad!$AM$9)</f>
        <v>0.95</v>
      </c>
      <c r="AA217" s="432" t="n">
        <f aca="false">CHOOSE(QUOTIENT(MONTH($A217),3)+1,BaseLoad!$AM$15,BaseLoad!$AN$15,BaseLoad!$AL$15,BaseLoad!$AO$15,BaseLoad!$AM$15)</f>
        <v>705</v>
      </c>
      <c r="AB217" s="431"/>
      <c r="AD217" s="431"/>
    </row>
    <row r="218" customFormat="false" ht="12.75" hidden="false" customHeight="false" outlineLevel="0" collapsed="false">
      <c r="A218" s="400" t="n">
        <f aca="false">A217+30.417</f>
        <v>42866.736</v>
      </c>
      <c r="B218" s="432" t="str">
        <f aca="false">IF($A$1="Peak","-",IF(BaseLoad!H217&gt;BaseLoad!$G217,B$8*$Z218,0))</f>
        <v>-</v>
      </c>
      <c r="C218" s="432" t="str">
        <f aca="false">IF($A$1="Peak","-",IF(BaseLoad!I217&gt;BaseLoad!$G217,C$8*$Z218,0))</f>
        <v>-</v>
      </c>
      <c r="D218" s="432" t="str">
        <f aca="false">IF($A$1="Peak","-",IF(BaseLoad!J217&gt;BaseLoad!$G217,D$8*$Z218,0))</f>
        <v>-</v>
      </c>
      <c r="E218" s="432" t="str">
        <f aca="false">IF($A$1="Peak","-",IF(BaseLoad!K217&gt;BaseLoad!$G217,E$8*$Z218,0))</f>
        <v>-</v>
      </c>
      <c r="F218" s="432" t="str">
        <f aca="false">IF($A$1="Peak","-",IF(BaseLoad!L217&gt;BaseLoad!$G217,F$8*$Z218,0))</f>
        <v>-</v>
      </c>
      <c r="G218" s="432" t="str">
        <f aca="false">IF($A$1="Peak","-",IF(BaseLoad!M217&gt;BaseLoad!$G217,G$8*$Z218,0))</f>
        <v>-</v>
      </c>
      <c r="H218" s="432" t="str">
        <f aca="false">IF($A$1="Peak","-",IF(BaseLoad!N217&gt;BaseLoad!$G217,H$8*$Z218,0))</f>
        <v>-</v>
      </c>
      <c r="I218" s="432" t="str">
        <f aca="false">IF($A$1="Peak","-",IF(BaseLoad!O217&gt;BaseLoad!$G217,I$8*$Z218,0))</f>
        <v>-</v>
      </c>
      <c r="J218" s="432" t="str">
        <f aca="false">IF($A$1="Peak","-",IF(BaseLoad!P217&gt;BaseLoad!$G217,J$8*$Z218,0))</f>
        <v>-</v>
      </c>
      <c r="K218" s="432" t="str">
        <f aca="false">IF($A$1="Peak","-",IF(BaseLoad!Q217&gt;BaseLoad!$G217,K$8*$Z218,0))</f>
        <v>-</v>
      </c>
      <c r="L218" s="432" t="str">
        <f aca="false">IF($A$1="Peak","-",IF(BaseLoad!R217&gt;BaseLoad!$G217,L$8*$Z218,0))</f>
        <v>-</v>
      </c>
      <c r="M218" s="432" t="str">
        <f aca="false">IF($A$1="Peak","-",IF(BaseLoad!S217&gt;BaseLoad!$G217,M$8*$Z218,0))</f>
        <v>-</v>
      </c>
      <c r="N218" s="432" t="str">
        <f aca="false">IF($A$1="Peak","-",IF(BaseLoad!T217&gt;BaseLoad!$G217,N$8*$Z218,0))</f>
        <v>-</v>
      </c>
      <c r="O218" s="432" t="str">
        <f aca="false">IF($A$1="Peak","-",IF(BaseLoad!U217&gt;BaseLoad!$G217,O$8*$Z218,0))</f>
        <v>-</v>
      </c>
      <c r="P218" s="432" t="str">
        <f aca="false">IF($A$1="Peak","-",IF(BaseLoad!V217&gt;BaseLoad!$G217,P$8*$Z218,0))</f>
        <v>-</v>
      </c>
      <c r="Q218" s="432" t="str">
        <f aca="false">IF($A$1="Peak","-",IF(BaseLoad!W217&gt;BaseLoad!$G217,Q$8*$Z218,0))</f>
        <v>-</v>
      </c>
      <c r="R218" s="432" t="str">
        <f aca="false">IF($A$1="Peak","-",IF(BaseLoad!X217&gt;BaseLoad!$G217,R$8*$Z218,0))</f>
        <v>-</v>
      </c>
      <c r="S218" s="432" t="str">
        <f aca="false">IF($A$1="Peak","-",IF(BaseLoad!Y217&gt;BaseLoad!$G217,S$8*$Z218,0))</f>
        <v>-</v>
      </c>
      <c r="T218" s="432" t="str">
        <f aca="false">IF($A$1="Peak","-",IF(BaseLoad!Z217&gt;BaseLoad!$G217,T$8*$Z218,0))</f>
        <v>-</v>
      </c>
      <c r="U218" s="432" t="str">
        <f aca="false">IF($A$1="Peak","-",IF(BaseLoad!AA217&gt;BaseLoad!$G217,U$8*$Z218,0))</f>
        <v>-</v>
      </c>
      <c r="V218" s="432" t="n">
        <f aca="false">SUM(B218:U218)</f>
        <v>0</v>
      </c>
      <c r="W218" s="432"/>
      <c r="X218" s="432"/>
      <c r="Y218" s="432"/>
      <c r="Z218" s="432" t="n">
        <f aca="false">CHOOSE(QUOTIENT(MONTH($A218),3)+1,BaseLoad!$AM$9,BaseLoad!$AN$9,BaseLoad!$AL$9,BaseLoad!$AO$9,BaseLoad!$AM$9)</f>
        <v>0.95</v>
      </c>
      <c r="AA218" s="432" t="n">
        <f aca="false">CHOOSE(QUOTIENT(MONTH($A218),3)+1,BaseLoad!$AM$15,BaseLoad!$AN$15,BaseLoad!$AL$15,BaseLoad!$AO$15,BaseLoad!$AM$15)</f>
        <v>705</v>
      </c>
      <c r="AB218" s="431"/>
      <c r="AD218" s="431"/>
    </row>
    <row r="219" customFormat="false" ht="12.75" hidden="false" customHeight="false" outlineLevel="0" collapsed="false">
      <c r="A219" s="400" t="n">
        <f aca="false">A218+30.417</f>
        <v>42897.153</v>
      </c>
      <c r="B219" s="432" t="str">
        <f aca="false">IF($A$1="Peak","-",IF(BaseLoad!H218&gt;BaseLoad!$G218,B$8*$Z219,0))</f>
        <v>-</v>
      </c>
      <c r="C219" s="432" t="str">
        <f aca="false">IF($A$1="Peak","-",IF(BaseLoad!I218&gt;BaseLoad!$G218,C$8*$Z219,0))</f>
        <v>-</v>
      </c>
      <c r="D219" s="432" t="str">
        <f aca="false">IF($A$1="Peak","-",IF(BaseLoad!J218&gt;BaseLoad!$G218,D$8*$Z219,0))</f>
        <v>-</v>
      </c>
      <c r="E219" s="432" t="str">
        <f aca="false">IF($A$1="Peak","-",IF(BaseLoad!K218&gt;BaseLoad!$G218,E$8*$Z219,0))</f>
        <v>-</v>
      </c>
      <c r="F219" s="432" t="str">
        <f aca="false">IF($A$1="Peak","-",IF(BaseLoad!L218&gt;BaseLoad!$G218,F$8*$Z219,0))</f>
        <v>-</v>
      </c>
      <c r="G219" s="432" t="str">
        <f aca="false">IF($A$1="Peak","-",IF(BaseLoad!M218&gt;BaseLoad!$G218,G$8*$Z219,0))</f>
        <v>-</v>
      </c>
      <c r="H219" s="432" t="str">
        <f aca="false">IF($A$1="Peak","-",IF(BaseLoad!N218&gt;BaseLoad!$G218,H$8*$Z219,0))</f>
        <v>-</v>
      </c>
      <c r="I219" s="432" t="str">
        <f aca="false">IF($A$1="Peak","-",IF(BaseLoad!O218&gt;BaseLoad!$G218,I$8*$Z219,0))</f>
        <v>-</v>
      </c>
      <c r="J219" s="432" t="str">
        <f aca="false">IF($A$1="Peak","-",IF(BaseLoad!P218&gt;BaseLoad!$G218,J$8*$Z219,0))</f>
        <v>-</v>
      </c>
      <c r="K219" s="432" t="str">
        <f aca="false">IF($A$1="Peak","-",IF(BaseLoad!Q218&gt;BaseLoad!$G218,K$8*$Z219,0))</f>
        <v>-</v>
      </c>
      <c r="L219" s="432" t="str">
        <f aca="false">IF($A$1="Peak","-",IF(BaseLoad!R218&gt;BaseLoad!$G218,L$8*$Z219,0))</f>
        <v>-</v>
      </c>
      <c r="M219" s="432" t="str">
        <f aca="false">IF($A$1="Peak","-",IF(BaseLoad!S218&gt;BaseLoad!$G218,M$8*$Z219,0))</f>
        <v>-</v>
      </c>
      <c r="N219" s="432" t="str">
        <f aca="false">IF($A$1="Peak","-",IF(BaseLoad!T218&gt;BaseLoad!$G218,N$8*$Z219,0))</f>
        <v>-</v>
      </c>
      <c r="O219" s="432" t="str">
        <f aca="false">IF($A$1="Peak","-",IF(BaseLoad!U218&gt;BaseLoad!$G218,O$8*$Z219,0))</f>
        <v>-</v>
      </c>
      <c r="P219" s="432" t="str">
        <f aca="false">IF($A$1="Peak","-",IF(BaseLoad!V218&gt;BaseLoad!$G218,P$8*$Z219,0))</f>
        <v>-</v>
      </c>
      <c r="Q219" s="432" t="str">
        <f aca="false">IF($A$1="Peak","-",IF(BaseLoad!W218&gt;BaseLoad!$G218,Q$8*$Z219,0))</f>
        <v>-</v>
      </c>
      <c r="R219" s="432" t="str">
        <f aca="false">IF($A$1="Peak","-",IF(BaseLoad!X218&gt;BaseLoad!$G218,R$8*$Z219,0))</f>
        <v>-</v>
      </c>
      <c r="S219" s="432" t="str">
        <f aca="false">IF($A$1="Peak","-",IF(BaseLoad!Y218&gt;BaseLoad!$G218,S$8*$Z219,0))</f>
        <v>-</v>
      </c>
      <c r="T219" s="432" t="str">
        <f aca="false">IF($A$1="Peak","-",IF(BaseLoad!Z218&gt;BaseLoad!$G218,T$8*$Z219,0))</f>
        <v>-</v>
      </c>
      <c r="U219" s="432" t="str">
        <f aca="false">IF($A$1="Peak","-",IF(BaseLoad!AA218&gt;BaseLoad!$G218,U$8*$Z219,0))</f>
        <v>-</v>
      </c>
      <c r="V219" s="432" t="n">
        <f aca="false">SUM(B219:U219)</f>
        <v>0</v>
      </c>
      <c r="W219" s="432"/>
      <c r="X219" s="432"/>
      <c r="Y219" s="432"/>
      <c r="Z219" s="432" t="n">
        <f aca="false">CHOOSE(QUOTIENT(MONTH($A219),3)+1,BaseLoad!$AM$9,BaseLoad!$AN$9,BaseLoad!$AL$9,BaseLoad!$AO$9,BaseLoad!$AM$9)</f>
        <v>0.966121359095586</v>
      </c>
      <c r="AA219" s="432" t="n">
        <f aca="false">CHOOSE(QUOTIENT(MONTH($A219),3)+1,BaseLoad!$AM$15,BaseLoad!$AN$15,BaseLoad!$AL$15,BaseLoad!$AO$15,BaseLoad!$AM$15)</f>
        <v>705</v>
      </c>
      <c r="AB219" s="431"/>
      <c r="AD219" s="431"/>
    </row>
    <row r="220" customFormat="false" ht="12.75" hidden="false" customHeight="false" outlineLevel="0" collapsed="false">
      <c r="A220" s="400" t="n">
        <f aca="false">A219+30.417</f>
        <v>42927.57</v>
      </c>
      <c r="B220" s="432" t="str">
        <f aca="false">IF($A$1="Peak","-",IF(BaseLoad!H219&gt;BaseLoad!$G219,B$8*$Z220,0))</f>
        <v>-</v>
      </c>
      <c r="C220" s="432" t="str">
        <f aca="false">IF($A$1="Peak","-",IF(BaseLoad!I219&gt;BaseLoad!$G219,C$8*$Z220,0))</f>
        <v>-</v>
      </c>
      <c r="D220" s="432" t="str">
        <f aca="false">IF($A$1="Peak","-",IF(BaseLoad!J219&gt;BaseLoad!$G219,D$8*$Z220,0))</f>
        <v>-</v>
      </c>
      <c r="E220" s="432" t="str">
        <f aca="false">IF($A$1="Peak","-",IF(BaseLoad!K219&gt;BaseLoad!$G219,E$8*$Z220,0))</f>
        <v>-</v>
      </c>
      <c r="F220" s="432" t="str">
        <f aca="false">IF($A$1="Peak","-",IF(BaseLoad!L219&gt;BaseLoad!$G219,F$8*$Z220,0))</f>
        <v>-</v>
      </c>
      <c r="G220" s="432" t="str">
        <f aca="false">IF($A$1="Peak","-",IF(BaseLoad!M219&gt;BaseLoad!$G219,G$8*$Z220,0))</f>
        <v>-</v>
      </c>
      <c r="H220" s="432" t="str">
        <f aca="false">IF($A$1="Peak","-",IF(BaseLoad!N219&gt;BaseLoad!$G219,H$8*$Z220,0))</f>
        <v>-</v>
      </c>
      <c r="I220" s="432" t="str">
        <f aca="false">IF($A$1="Peak","-",IF(BaseLoad!O219&gt;BaseLoad!$G219,I$8*$Z220,0))</f>
        <v>-</v>
      </c>
      <c r="J220" s="432" t="str">
        <f aca="false">IF($A$1="Peak","-",IF(BaseLoad!P219&gt;BaseLoad!$G219,J$8*$Z220,0))</f>
        <v>-</v>
      </c>
      <c r="K220" s="432" t="str">
        <f aca="false">IF($A$1="Peak","-",IF(BaseLoad!Q219&gt;BaseLoad!$G219,K$8*$Z220,0))</f>
        <v>-</v>
      </c>
      <c r="L220" s="432" t="str">
        <f aca="false">IF($A$1="Peak","-",IF(BaseLoad!R219&gt;BaseLoad!$G219,L$8*$Z220,0))</f>
        <v>-</v>
      </c>
      <c r="M220" s="432" t="str">
        <f aca="false">IF($A$1="Peak","-",IF(BaseLoad!S219&gt;BaseLoad!$G219,M$8*$Z220,0))</f>
        <v>-</v>
      </c>
      <c r="N220" s="432" t="str">
        <f aca="false">IF($A$1="Peak","-",IF(BaseLoad!T219&gt;BaseLoad!$G219,N$8*$Z220,0))</f>
        <v>-</v>
      </c>
      <c r="O220" s="432" t="str">
        <f aca="false">IF($A$1="Peak","-",IF(BaseLoad!U219&gt;BaseLoad!$G219,O$8*$Z220,0))</f>
        <v>-</v>
      </c>
      <c r="P220" s="432" t="str">
        <f aca="false">IF($A$1="Peak","-",IF(BaseLoad!V219&gt;BaseLoad!$G219,P$8*$Z220,0))</f>
        <v>-</v>
      </c>
      <c r="Q220" s="432" t="str">
        <f aca="false">IF($A$1="Peak","-",IF(BaseLoad!W219&gt;BaseLoad!$G219,Q$8*$Z220,0))</f>
        <v>-</v>
      </c>
      <c r="R220" s="432" t="str">
        <f aca="false">IF($A$1="Peak","-",IF(BaseLoad!X219&gt;BaseLoad!$G219,R$8*$Z220,0))</f>
        <v>-</v>
      </c>
      <c r="S220" s="432" t="str">
        <f aca="false">IF($A$1="Peak","-",IF(BaseLoad!Y219&gt;BaseLoad!$G219,S$8*$Z220,0))</f>
        <v>-</v>
      </c>
      <c r="T220" s="432" t="str">
        <f aca="false">IF($A$1="Peak","-",IF(BaseLoad!Z219&gt;BaseLoad!$G219,T$8*$Z220,0))</f>
        <v>-</v>
      </c>
      <c r="U220" s="432" t="str">
        <f aca="false">IF($A$1="Peak","-",IF(BaseLoad!AA219&gt;BaseLoad!$G219,U$8*$Z220,0))</f>
        <v>-</v>
      </c>
      <c r="V220" s="432" t="n">
        <f aca="false">SUM(B220:U220)</f>
        <v>0</v>
      </c>
      <c r="W220" s="432"/>
      <c r="X220" s="432"/>
      <c r="Y220" s="432"/>
      <c r="Z220" s="432" t="n">
        <f aca="false">CHOOSE(QUOTIENT(MONTH($A220),3)+1,BaseLoad!$AM$9,BaseLoad!$AN$9,BaseLoad!$AL$9,BaseLoad!$AO$9,BaseLoad!$AM$9)</f>
        <v>0.966121359095586</v>
      </c>
      <c r="AA220" s="432" t="n">
        <f aca="false">CHOOSE(QUOTIENT(MONTH($A220),3)+1,BaseLoad!$AM$15,BaseLoad!$AN$15,BaseLoad!$AL$15,BaseLoad!$AO$15,BaseLoad!$AM$15)</f>
        <v>705</v>
      </c>
      <c r="AB220" s="431"/>
      <c r="AD220" s="431"/>
    </row>
    <row r="221" customFormat="false" ht="12.75" hidden="false" customHeight="false" outlineLevel="0" collapsed="false">
      <c r="A221" s="400" t="n">
        <f aca="false">A220+30.417</f>
        <v>42957.987</v>
      </c>
      <c r="B221" s="432" t="str">
        <f aca="false">IF($A$1="Peak","-",IF(BaseLoad!H220&gt;BaseLoad!$G220,B$8*$Z221,0))</f>
        <v>-</v>
      </c>
      <c r="C221" s="432" t="str">
        <f aca="false">IF($A$1="Peak","-",IF(BaseLoad!I220&gt;BaseLoad!$G220,C$8*$Z221,0))</f>
        <v>-</v>
      </c>
      <c r="D221" s="432" t="str">
        <f aca="false">IF($A$1="Peak","-",IF(BaseLoad!J220&gt;BaseLoad!$G220,D$8*$Z221,0))</f>
        <v>-</v>
      </c>
      <c r="E221" s="432" t="str">
        <f aca="false">IF($A$1="Peak","-",IF(BaseLoad!K220&gt;BaseLoad!$G220,E$8*$Z221,0))</f>
        <v>-</v>
      </c>
      <c r="F221" s="432" t="str">
        <f aca="false">IF($A$1="Peak","-",IF(BaseLoad!L220&gt;BaseLoad!$G220,F$8*$Z221,0))</f>
        <v>-</v>
      </c>
      <c r="G221" s="432" t="str">
        <f aca="false">IF($A$1="Peak","-",IF(BaseLoad!M220&gt;BaseLoad!$G220,G$8*$Z221,0))</f>
        <v>-</v>
      </c>
      <c r="H221" s="432" t="str">
        <f aca="false">IF($A$1="Peak","-",IF(BaseLoad!N220&gt;BaseLoad!$G220,H$8*$Z221,0))</f>
        <v>-</v>
      </c>
      <c r="I221" s="432" t="str">
        <f aca="false">IF($A$1="Peak","-",IF(BaseLoad!O220&gt;BaseLoad!$G220,I$8*$Z221,0))</f>
        <v>-</v>
      </c>
      <c r="J221" s="432" t="str">
        <f aca="false">IF($A$1="Peak","-",IF(BaseLoad!P220&gt;BaseLoad!$G220,J$8*$Z221,0))</f>
        <v>-</v>
      </c>
      <c r="K221" s="432" t="str">
        <f aca="false">IF($A$1="Peak","-",IF(BaseLoad!Q220&gt;BaseLoad!$G220,K$8*$Z221,0))</f>
        <v>-</v>
      </c>
      <c r="L221" s="432" t="str">
        <f aca="false">IF($A$1="Peak","-",IF(BaseLoad!R220&gt;BaseLoad!$G220,L$8*$Z221,0))</f>
        <v>-</v>
      </c>
      <c r="M221" s="432" t="str">
        <f aca="false">IF($A$1="Peak","-",IF(BaseLoad!S220&gt;BaseLoad!$G220,M$8*$Z221,0))</f>
        <v>-</v>
      </c>
      <c r="N221" s="432" t="str">
        <f aca="false">IF($A$1="Peak","-",IF(BaseLoad!T220&gt;BaseLoad!$G220,N$8*$Z221,0))</f>
        <v>-</v>
      </c>
      <c r="O221" s="432" t="str">
        <f aca="false">IF($A$1="Peak","-",IF(BaseLoad!U220&gt;BaseLoad!$G220,O$8*$Z221,0))</f>
        <v>-</v>
      </c>
      <c r="P221" s="432" t="str">
        <f aca="false">IF($A$1="Peak","-",IF(BaseLoad!V220&gt;BaseLoad!$G220,P$8*$Z221,0))</f>
        <v>-</v>
      </c>
      <c r="Q221" s="432" t="str">
        <f aca="false">IF($A$1="Peak","-",IF(BaseLoad!W220&gt;BaseLoad!$G220,Q$8*$Z221,0))</f>
        <v>-</v>
      </c>
      <c r="R221" s="432" t="str">
        <f aca="false">IF($A$1="Peak","-",IF(BaseLoad!X220&gt;BaseLoad!$G220,R$8*$Z221,0))</f>
        <v>-</v>
      </c>
      <c r="S221" s="432" t="str">
        <f aca="false">IF($A$1="Peak","-",IF(BaseLoad!Y220&gt;BaseLoad!$G220,S$8*$Z221,0))</f>
        <v>-</v>
      </c>
      <c r="T221" s="432" t="str">
        <f aca="false">IF($A$1="Peak","-",IF(BaseLoad!Z220&gt;BaseLoad!$G220,T$8*$Z221,0))</f>
        <v>-</v>
      </c>
      <c r="U221" s="432" t="str">
        <f aca="false">IF($A$1="Peak","-",IF(BaseLoad!AA220&gt;BaseLoad!$G220,U$8*$Z221,0))</f>
        <v>-</v>
      </c>
      <c r="V221" s="432" t="n">
        <f aca="false">SUM(B221:U221)</f>
        <v>0</v>
      </c>
      <c r="W221" s="432"/>
      <c r="X221" s="432"/>
      <c r="Y221" s="432"/>
      <c r="Z221" s="432" t="n">
        <f aca="false">CHOOSE(QUOTIENT(MONTH($A221),3)+1,BaseLoad!$AM$9,BaseLoad!$AN$9,BaseLoad!$AL$9,BaseLoad!$AO$9,BaseLoad!$AM$9)</f>
        <v>0.966121359095586</v>
      </c>
      <c r="AA221" s="432" t="n">
        <f aca="false">CHOOSE(QUOTIENT(MONTH($A221),3)+1,BaseLoad!$AM$15,BaseLoad!$AN$15,BaseLoad!$AL$15,BaseLoad!$AO$15,BaseLoad!$AM$15)</f>
        <v>705</v>
      </c>
      <c r="AB221" s="431"/>
      <c r="AD221" s="431"/>
    </row>
    <row r="222" customFormat="false" ht="12.75" hidden="false" customHeight="false" outlineLevel="0" collapsed="false">
      <c r="A222" s="400" t="n">
        <f aca="false">A221+30.417</f>
        <v>42988.404</v>
      </c>
      <c r="B222" s="432" t="str">
        <f aca="false">IF($A$1="Peak","-",IF(BaseLoad!H221&gt;BaseLoad!$G221,B$8*$Z222,0))</f>
        <v>-</v>
      </c>
      <c r="C222" s="432" t="str">
        <f aca="false">IF($A$1="Peak","-",IF(BaseLoad!I221&gt;BaseLoad!$G221,C$8*$Z222,0))</f>
        <v>-</v>
      </c>
      <c r="D222" s="432" t="str">
        <f aca="false">IF($A$1="Peak","-",IF(BaseLoad!J221&gt;BaseLoad!$G221,D$8*$Z222,0))</f>
        <v>-</v>
      </c>
      <c r="E222" s="432" t="str">
        <f aca="false">IF($A$1="Peak","-",IF(BaseLoad!K221&gt;BaseLoad!$G221,E$8*$Z222,0))</f>
        <v>-</v>
      </c>
      <c r="F222" s="432" t="str">
        <f aca="false">IF($A$1="Peak","-",IF(BaseLoad!L221&gt;BaseLoad!$G221,F$8*$Z222,0))</f>
        <v>-</v>
      </c>
      <c r="G222" s="432" t="str">
        <f aca="false">IF($A$1="Peak","-",IF(BaseLoad!M221&gt;BaseLoad!$G221,G$8*$Z222,0))</f>
        <v>-</v>
      </c>
      <c r="H222" s="432" t="str">
        <f aca="false">IF($A$1="Peak","-",IF(BaseLoad!N221&gt;BaseLoad!$G221,H$8*$Z222,0))</f>
        <v>-</v>
      </c>
      <c r="I222" s="432" t="str">
        <f aca="false">IF($A$1="Peak","-",IF(BaseLoad!O221&gt;BaseLoad!$G221,I$8*$Z222,0))</f>
        <v>-</v>
      </c>
      <c r="J222" s="432" t="str">
        <f aca="false">IF($A$1="Peak","-",IF(BaseLoad!P221&gt;BaseLoad!$G221,J$8*$Z222,0))</f>
        <v>-</v>
      </c>
      <c r="K222" s="432" t="str">
        <f aca="false">IF($A$1="Peak","-",IF(BaseLoad!Q221&gt;BaseLoad!$G221,K$8*$Z222,0))</f>
        <v>-</v>
      </c>
      <c r="L222" s="432" t="str">
        <f aca="false">IF($A$1="Peak","-",IF(BaseLoad!R221&gt;BaseLoad!$G221,L$8*$Z222,0))</f>
        <v>-</v>
      </c>
      <c r="M222" s="432" t="str">
        <f aca="false">IF($A$1="Peak","-",IF(BaseLoad!S221&gt;BaseLoad!$G221,M$8*$Z222,0))</f>
        <v>-</v>
      </c>
      <c r="N222" s="432" t="str">
        <f aca="false">IF($A$1="Peak","-",IF(BaseLoad!T221&gt;BaseLoad!$G221,N$8*$Z222,0))</f>
        <v>-</v>
      </c>
      <c r="O222" s="432" t="str">
        <f aca="false">IF($A$1="Peak","-",IF(BaseLoad!U221&gt;BaseLoad!$G221,O$8*$Z222,0))</f>
        <v>-</v>
      </c>
      <c r="P222" s="432" t="str">
        <f aca="false">IF($A$1="Peak","-",IF(BaseLoad!V221&gt;BaseLoad!$G221,P$8*$Z222,0))</f>
        <v>-</v>
      </c>
      <c r="Q222" s="432" t="str">
        <f aca="false">IF($A$1="Peak","-",IF(BaseLoad!W221&gt;BaseLoad!$G221,Q$8*$Z222,0))</f>
        <v>-</v>
      </c>
      <c r="R222" s="432" t="str">
        <f aca="false">IF($A$1="Peak","-",IF(BaseLoad!X221&gt;BaseLoad!$G221,R$8*$Z222,0))</f>
        <v>-</v>
      </c>
      <c r="S222" s="432" t="str">
        <f aca="false">IF($A$1="Peak","-",IF(BaseLoad!Y221&gt;BaseLoad!$G221,S$8*$Z222,0))</f>
        <v>-</v>
      </c>
      <c r="T222" s="432" t="str">
        <f aca="false">IF($A$1="Peak","-",IF(BaseLoad!Z221&gt;BaseLoad!$G221,T$8*$Z222,0))</f>
        <v>-</v>
      </c>
      <c r="U222" s="432" t="str">
        <f aca="false">IF($A$1="Peak","-",IF(BaseLoad!AA221&gt;BaseLoad!$G221,U$8*$Z222,0))</f>
        <v>-</v>
      </c>
      <c r="V222" s="432" t="n">
        <f aca="false">SUM(B222:U222)</f>
        <v>0</v>
      </c>
      <c r="W222" s="432"/>
      <c r="X222" s="432"/>
      <c r="Y222" s="432"/>
      <c r="Z222" s="432" t="n">
        <f aca="false">CHOOSE(QUOTIENT(MONTH($A222),3)+1,BaseLoad!$AM$9,BaseLoad!$AN$9,BaseLoad!$AL$9,BaseLoad!$AO$9,BaseLoad!$AM$9)</f>
        <v>0.95</v>
      </c>
      <c r="AA222" s="432" t="n">
        <f aca="false">CHOOSE(QUOTIENT(MONTH($A222),3)+1,BaseLoad!$AM$15,BaseLoad!$AN$15,BaseLoad!$AL$15,BaseLoad!$AO$15,BaseLoad!$AM$15)</f>
        <v>705</v>
      </c>
      <c r="AB222" s="431"/>
      <c r="AD222" s="431"/>
    </row>
    <row r="223" customFormat="false" ht="12.75" hidden="false" customHeight="false" outlineLevel="0" collapsed="false">
      <c r="A223" s="400" t="n">
        <f aca="false">A222+30.417</f>
        <v>43018.821</v>
      </c>
      <c r="B223" s="432" t="str">
        <f aca="false">IF($A$1="Peak","-",IF(BaseLoad!H222&gt;BaseLoad!$G222,B$8*$Z223,0))</f>
        <v>-</v>
      </c>
      <c r="C223" s="432" t="str">
        <f aca="false">IF($A$1="Peak","-",IF(BaseLoad!I222&gt;BaseLoad!$G222,C$8*$Z223,0))</f>
        <v>-</v>
      </c>
      <c r="D223" s="432" t="str">
        <f aca="false">IF($A$1="Peak","-",IF(BaseLoad!J222&gt;BaseLoad!$G222,D$8*$Z223,0))</f>
        <v>-</v>
      </c>
      <c r="E223" s="432" t="str">
        <f aca="false">IF($A$1="Peak","-",IF(BaseLoad!K222&gt;BaseLoad!$G222,E$8*$Z223,0))</f>
        <v>-</v>
      </c>
      <c r="F223" s="432" t="str">
        <f aca="false">IF($A$1="Peak","-",IF(BaseLoad!L222&gt;BaseLoad!$G222,F$8*$Z223,0))</f>
        <v>-</v>
      </c>
      <c r="G223" s="432" t="str">
        <f aca="false">IF($A$1="Peak","-",IF(BaseLoad!M222&gt;BaseLoad!$G222,G$8*$Z223,0))</f>
        <v>-</v>
      </c>
      <c r="H223" s="432" t="str">
        <f aca="false">IF($A$1="Peak","-",IF(BaseLoad!N222&gt;BaseLoad!$G222,H$8*$Z223,0))</f>
        <v>-</v>
      </c>
      <c r="I223" s="432" t="str">
        <f aca="false">IF($A$1="Peak","-",IF(BaseLoad!O222&gt;BaseLoad!$G222,I$8*$Z223,0))</f>
        <v>-</v>
      </c>
      <c r="J223" s="432" t="str">
        <f aca="false">IF($A$1="Peak","-",IF(BaseLoad!P222&gt;BaseLoad!$G222,J$8*$Z223,0))</f>
        <v>-</v>
      </c>
      <c r="K223" s="432" t="str">
        <f aca="false">IF($A$1="Peak","-",IF(BaseLoad!Q222&gt;BaseLoad!$G222,K$8*$Z223,0))</f>
        <v>-</v>
      </c>
      <c r="L223" s="432" t="str">
        <f aca="false">IF($A$1="Peak","-",IF(BaseLoad!R222&gt;BaseLoad!$G222,L$8*$Z223,0))</f>
        <v>-</v>
      </c>
      <c r="M223" s="432" t="str">
        <f aca="false">IF($A$1="Peak","-",IF(BaseLoad!S222&gt;BaseLoad!$G222,M$8*$Z223,0))</f>
        <v>-</v>
      </c>
      <c r="N223" s="432" t="str">
        <f aca="false">IF($A$1="Peak","-",IF(BaseLoad!T222&gt;BaseLoad!$G222,N$8*$Z223,0))</f>
        <v>-</v>
      </c>
      <c r="O223" s="432" t="str">
        <f aca="false">IF($A$1="Peak","-",IF(BaseLoad!U222&gt;BaseLoad!$G222,O$8*$Z223,0))</f>
        <v>-</v>
      </c>
      <c r="P223" s="432" t="str">
        <f aca="false">IF($A$1="Peak","-",IF(BaseLoad!V222&gt;BaseLoad!$G222,P$8*$Z223,0))</f>
        <v>-</v>
      </c>
      <c r="Q223" s="432" t="str">
        <f aca="false">IF($A$1="Peak","-",IF(BaseLoad!W222&gt;BaseLoad!$G222,Q$8*$Z223,0))</f>
        <v>-</v>
      </c>
      <c r="R223" s="432" t="str">
        <f aca="false">IF($A$1="Peak","-",IF(BaseLoad!X222&gt;BaseLoad!$G222,R$8*$Z223,0))</f>
        <v>-</v>
      </c>
      <c r="S223" s="432" t="str">
        <f aca="false">IF($A$1="Peak","-",IF(BaseLoad!Y222&gt;BaseLoad!$G222,S$8*$Z223,0))</f>
        <v>-</v>
      </c>
      <c r="T223" s="432" t="str">
        <f aca="false">IF($A$1="Peak","-",IF(BaseLoad!Z222&gt;BaseLoad!$G222,T$8*$Z223,0))</f>
        <v>-</v>
      </c>
      <c r="U223" s="432" t="str">
        <f aca="false">IF($A$1="Peak","-",IF(BaseLoad!AA222&gt;BaseLoad!$G222,U$8*$Z223,0))</f>
        <v>-</v>
      </c>
      <c r="V223" s="432" t="n">
        <f aca="false">SUM(B223:U223)</f>
        <v>0</v>
      </c>
      <c r="W223" s="432"/>
      <c r="X223" s="432"/>
      <c r="Y223" s="432"/>
      <c r="Z223" s="432" t="n">
        <f aca="false">CHOOSE(QUOTIENT(MONTH($A223),3)+1,BaseLoad!$AM$9,BaseLoad!$AN$9,BaseLoad!$AL$9,BaseLoad!$AO$9,BaseLoad!$AM$9)</f>
        <v>0.95</v>
      </c>
      <c r="AA223" s="432" t="n">
        <f aca="false">CHOOSE(QUOTIENT(MONTH($A223),3)+1,BaseLoad!$AM$15,BaseLoad!$AN$15,BaseLoad!$AL$15,BaseLoad!$AO$15,BaseLoad!$AM$15)</f>
        <v>705</v>
      </c>
      <c r="AB223" s="431"/>
      <c r="AD223" s="431"/>
    </row>
    <row r="224" customFormat="false" ht="12.75" hidden="false" customHeight="false" outlineLevel="0" collapsed="false">
      <c r="A224" s="400" t="n">
        <f aca="false">A223+30.417</f>
        <v>43049.238</v>
      </c>
      <c r="B224" s="432" t="str">
        <f aca="false">IF($A$1="Peak","-",IF(BaseLoad!H223&gt;BaseLoad!$G223,B$8*$Z224,0))</f>
        <v>-</v>
      </c>
      <c r="C224" s="432" t="str">
        <f aca="false">IF($A$1="Peak","-",IF(BaseLoad!I223&gt;BaseLoad!$G223,C$8*$Z224,0))</f>
        <v>-</v>
      </c>
      <c r="D224" s="432" t="str">
        <f aca="false">IF($A$1="Peak","-",IF(BaseLoad!J223&gt;BaseLoad!$G223,D$8*$Z224,0))</f>
        <v>-</v>
      </c>
      <c r="E224" s="432" t="str">
        <f aca="false">IF($A$1="Peak","-",IF(BaseLoad!K223&gt;BaseLoad!$G223,E$8*$Z224,0))</f>
        <v>-</v>
      </c>
      <c r="F224" s="432" t="str">
        <f aca="false">IF($A$1="Peak","-",IF(BaseLoad!L223&gt;BaseLoad!$G223,F$8*$Z224,0))</f>
        <v>-</v>
      </c>
      <c r="G224" s="432" t="str">
        <f aca="false">IF($A$1="Peak","-",IF(BaseLoad!M223&gt;BaseLoad!$G223,G$8*$Z224,0))</f>
        <v>-</v>
      </c>
      <c r="H224" s="432" t="str">
        <f aca="false">IF($A$1="Peak","-",IF(BaseLoad!N223&gt;BaseLoad!$G223,H$8*$Z224,0))</f>
        <v>-</v>
      </c>
      <c r="I224" s="432" t="str">
        <f aca="false">IF($A$1="Peak","-",IF(BaseLoad!O223&gt;BaseLoad!$G223,I$8*$Z224,0))</f>
        <v>-</v>
      </c>
      <c r="J224" s="432" t="str">
        <f aca="false">IF($A$1="Peak","-",IF(BaseLoad!P223&gt;BaseLoad!$G223,J$8*$Z224,0))</f>
        <v>-</v>
      </c>
      <c r="K224" s="432" t="str">
        <f aca="false">IF($A$1="Peak","-",IF(BaseLoad!Q223&gt;BaseLoad!$G223,K$8*$Z224,0))</f>
        <v>-</v>
      </c>
      <c r="L224" s="432" t="str">
        <f aca="false">IF($A$1="Peak","-",IF(BaseLoad!R223&gt;BaseLoad!$G223,L$8*$Z224,0))</f>
        <v>-</v>
      </c>
      <c r="M224" s="432" t="str">
        <f aca="false">IF($A$1="Peak","-",IF(BaseLoad!S223&gt;BaseLoad!$G223,M$8*$Z224,0))</f>
        <v>-</v>
      </c>
      <c r="N224" s="432" t="str">
        <f aca="false">IF($A$1="Peak","-",IF(BaseLoad!T223&gt;BaseLoad!$G223,N$8*$Z224,0))</f>
        <v>-</v>
      </c>
      <c r="O224" s="432" t="str">
        <f aca="false">IF($A$1="Peak","-",IF(BaseLoad!U223&gt;BaseLoad!$G223,O$8*$Z224,0))</f>
        <v>-</v>
      </c>
      <c r="P224" s="432" t="str">
        <f aca="false">IF($A$1="Peak","-",IF(BaseLoad!V223&gt;BaseLoad!$G223,P$8*$Z224,0))</f>
        <v>-</v>
      </c>
      <c r="Q224" s="432" t="str">
        <f aca="false">IF($A$1="Peak","-",IF(BaseLoad!W223&gt;BaseLoad!$G223,Q$8*$Z224,0))</f>
        <v>-</v>
      </c>
      <c r="R224" s="432" t="str">
        <f aca="false">IF($A$1="Peak","-",IF(BaseLoad!X223&gt;BaseLoad!$G223,R$8*$Z224,0))</f>
        <v>-</v>
      </c>
      <c r="S224" s="432" t="str">
        <f aca="false">IF($A$1="Peak","-",IF(BaseLoad!Y223&gt;BaseLoad!$G223,S$8*$Z224,0))</f>
        <v>-</v>
      </c>
      <c r="T224" s="432" t="str">
        <f aca="false">IF($A$1="Peak","-",IF(BaseLoad!Z223&gt;BaseLoad!$G223,T$8*$Z224,0))</f>
        <v>-</v>
      </c>
      <c r="U224" s="432" t="str">
        <f aca="false">IF($A$1="Peak","-",IF(BaseLoad!AA223&gt;BaseLoad!$G223,U$8*$Z224,0))</f>
        <v>-</v>
      </c>
      <c r="V224" s="432" t="n">
        <f aca="false">SUM(B224:U224)</f>
        <v>0</v>
      </c>
      <c r="W224" s="432"/>
      <c r="X224" s="432"/>
      <c r="Y224" s="432"/>
      <c r="Z224" s="432" t="n">
        <f aca="false">CHOOSE(QUOTIENT(MONTH($A224),3)+1,BaseLoad!$AM$9,BaseLoad!$AN$9,BaseLoad!$AL$9,BaseLoad!$AO$9,BaseLoad!$AM$9)</f>
        <v>0.95</v>
      </c>
      <c r="AA224" s="432" t="n">
        <f aca="false">CHOOSE(QUOTIENT(MONTH($A224),3)+1,BaseLoad!$AM$15,BaseLoad!$AN$15,BaseLoad!$AL$15,BaseLoad!$AO$15,BaseLoad!$AM$15)</f>
        <v>705</v>
      </c>
      <c r="AB224" s="431"/>
      <c r="AD224" s="431"/>
    </row>
    <row r="225" customFormat="false" ht="12.75" hidden="false" customHeight="false" outlineLevel="0" collapsed="false">
      <c r="A225" s="400" t="n">
        <f aca="false">A224+30.417</f>
        <v>43079.655</v>
      </c>
      <c r="B225" s="432" t="str">
        <f aca="false">IF($A$1="Peak","-",IF(BaseLoad!H224&gt;BaseLoad!$G224,B$8*$Z225,0))</f>
        <v>-</v>
      </c>
      <c r="C225" s="432" t="str">
        <f aca="false">IF($A$1="Peak","-",IF(BaseLoad!I224&gt;BaseLoad!$G224,C$8*$Z225,0))</f>
        <v>-</v>
      </c>
      <c r="D225" s="432" t="str">
        <f aca="false">IF($A$1="Peak","-",IF(BaseLoad!J224&gt;BaseLoad!$G224,D$8*$Z225,0))</f>
        <v>-</v>
      </c>
      <c r="E225" s="432" t="str">
        <f aca="false">IF($A$1="Peak","-",IF(BaseLoad!K224&gt;BaseLoad!$G224,E$8*$Z225,0))</f>
        <v>-</v>
      </c>
      <c r="F225" s="432" t="str">
        <f aca="false">IF($A$1="Peak","-",IF(BaseLoad!L224&gt;BaseLoad!$G224,F$8*$Z225,0))</f>
        <v>-</v>
      </c>
      <c r="G225" s="432" t="str">
        <f aca="false">IF($A$1="Peak","-",IF(BaseLoad!M224&gt;BaseLoad!$G224,G$8*$Z225,0))</f>
        <v>-</v>
      </c>
      <c r="H225" s="432" t="str">
        <f aca="false">IF($A$1="Peak","-",IF(BaseLoad!N224&gt;BaseLoad!$G224,H$8*$Z225,0))</f>
        <v>-</v>
      </c>
      <c r="I225" s="432" t="str">
        <f aca="false">IF($A$1="Peak","-",IF(BaseLoad!O224&gt;BaseLoad!$G224,I$8*$Z225,0))</f>
        <v>-</v>
      </c>
      <c r="J225" s="432" t="str">
        <f aca="false">IF($A$1="Peak","-",IF(BaseLoad!P224&gt;BaseLoad!$G224,J$8*$Z225,0))</f>
        <v>-</v>
      </c>
      <c r="K225" s="432" t="str">
        <f aca="false">IF($A$1="Peak","-",IF(BaseLoad!Q224&gt;BaseLoad!$G224,K$8*$Z225,0))</f>
        <v>-</v>
      </c>
      <c r="L225" s="432" t="str">
        <f aca="false">IF($A$1="Peak","-",IF(BaseLoad!R224&gt;BaseLoad!$G224,L$8*$Z225,0))</f>
        <v>-</v>
      </c>
      <c r="M225" s="432" t="str">
        <f aca="false">IF($A$1="Peak","-",IF(BaseLoad!S224&gt;BaseLoad!$G224,M$8*$Z225,0))</f>
        <v>-</v>
      </c>
      <c r="N225" s="432" t="str">
        <f aca="false">IF($A$1="Peak","-",IF(BaseLoad!T224&gt;BaseLoad!$G224,N$8*$Z225,0))</f>
        <v>-</v>
      </c>
      <c r="O225" s="432" t="str">
        <f aca="false">IF($A$1="Peak","-",IF(BaseLoad!U224&gt;BaseLoad!$G224,O$8*$Z225,0))</f>
        <v>-</v>
      </c>
      <c r="P225" s="432" t="str">
        <f aca="false">IF($A$1="Peak","-",IF(BaseLoad!V224&gt;BaseLoad!$G224,P$8*$Z225,0))</f>
        <v>-</v>
      </c>
      <c r="Q225" s="432" t="str">
        <f aca="false">IF($A$1="Peak","-",IF(BaseLoad!W224&gt;BaseLoad!$G224,Q$8*$Z225,0))</f>
        <v>-</v>
      </c>
      <c r="R225" s="432" t="str">
        <f aca="false">IF($A$1="Peak","-",IF(BaseLoad!X224&gt;BaseLoad!$G224,R$8*$Z225,0))</f>
        <v>-</v>
      </c>
      <c r="S225" s="432" t="str">
        <f aca="false">IF($A$1="Peak","-",IF(BaseLoad!Y224&gt;BaseLoad!$G224,S$8*$Z225,0))</f>
        <v>-</v>
      </c>
      <c r="T225" s="432" t="str">
        <f aca="false">IF($A$1="Peak","-",IF(BaseLoad!Z224&gt;BaseLoad!$G224,T$8*$Z225,0))</f>
        <v>-</v>
      </c>
      <c r="U225" s="432" t="str">
        <f aca="false">IF($A$1="Peak","-",IF(BaseLoad!AA224&gt;BaseLoad!$G224,U$8*$Z225,0))</f>
        <v>-</v>
      </c>
      <c r="V225" s="432" t="n">
        <f aca="false">SUM(B225:U225)</f>
        <v>0</v>
      </c>
      <c r="W225" s="432"/>
      <c r="X225" s="432"/>
      <c r="Y225" s="432" t="n">
        <f aca="false">SUM(V214:V225)</f>
        <v>0</v>
      </c>
      <c r="Z225" s="432" t="n">
        <f aca="false">CHOOSE(QUOTIENT(MONTH($A225),3)+1,BaseLoad!$AM$9,BaseLoad!$AN$9,BaseLoad!$AL$9,BaseLoad!$AO$9,BaseLoad!$AM$9)</f>
        <v>0.924276618786118</v>
      </c>
      <c r="AA225" s="432" t="n">
        <f aca="false">CHOOSE(QUOTIENT(MONTH($A225),3)+1,BaseLoad!$AM$15,BaseLoad!$AN$15,BaseLoad!$AL$15,BaseLoad!$AO$15,BaseLoad!$AM$15)</f>
        <v>705</v>
      </c>
      <c r="AB225" s="431"/>
      <c r="AD225" s="431"/>
    </row>
    <row r="226" customFormat="false" ht="12.75" hidden="false" customHeight="false" outlineLevel="0" collapsed="false">
      <c r="A226" s="400" t="n">
        <f aca="false">A225+30.417</f>
        <v>43110.072</v>
      </c>
      <c r="B226" s="432" t="str">
        <f aca="false">IF($A$1="Peak","-",IF(BaseLoad!H225&gt;BaseLoad!$G225,B$8*$Z226,0))</f>
        <v>-</v>
      </c>
      <c r="C226" s="432" t="str">
        <f aca="false">IF($A$1="Peak","-",IF(BaseLoad!I225&gt;BaseLoad!$G225,C$8*$Z226,0))</f>
        <v>-</v>
      </c>
      <c r="D226" s="432" t="str">
        <f aca="false">IF($A$1="Peak","-",IF(BaseLoad!J225&gt;BaseLoad!$G225,D$8*$Z226,0))</f>
        <v>-</v>
      </c>
      <c r="E226" s="432" t="str">
        <f aca="false">IF($A$1="Peak","-",IF(BaseLoad!K225&gt;BaseLoad!$G225,E$8*$Z226,0))</f>
        <v>-</v>
      </c>
      <c r="F226" s="432" t="str">
        <f aca="false">IF($A$1="Peak","-",IF(BaseLoad!L225&gt;BaseLoad!$G225,F$8*$Z226,0))</f>
        <v>-</v>
      </c>
      <c r="G226" s="432" t="str">
        <f aca="false">IF($A$1="Peak","-",IF(BaseLoad!M225&gt;BaseLoad!$G225,G$8*$Z226,0))</f>
        <v>-</v>
      </c>
      <c r="H226" s="432" t="str">
        <f aca="false">IF($A$1="Peak","-",IF(BaseLoad!N225&gt;BaseLoad!$G225,H$8*$Z226,0))</f>
        <v>-</v>
      </c>
      <c r="I226" s="432" t="str">
        <f aca="false">IF($A$1="Peak","-",IF(BaseLoad!O225&gt;BaseLoad!$G225,I$8*$Z226,0))</f>
        <v>-</v>
      </c>
      <c r="J226" s="432" t="str">
        <f aca="false">IF($A$1="Peak","-",IF(BaseLoad!P225&gt;BaseLoad!$G225,J$8*$Z226,0))</f>
        <v>-</v>
      </c>
      <c r="K226" s="432" t="str">
        <f aca="false">IF($A$1="Peak","-",IF(BaseLoad!Q225&gt;BaseLoad!$G225,K$8*$Z226,0))</f>
        <v>-</v>
      </c>
      <c r="L226" s="432" t="str">
        <f aca="false">IF($A$1="Peak","-",IF(BaseLoad!R225&gt;BaseLoad!$G225,L$8*$Z226,0))</f>
        <v>-</v>
      </c>
      <c r="M226" s="432" t="str">
        <f aca="false">IF($A$1="Peak","-",IF(BaseLoad!S225&gt;BaseLoad!$G225,M$8*$Z226,0))</f>
        <v>-</v>
      </c>
      <c r="N226" s="432" t="str">
        <f aca="false">IF($A$1="Peak","-",IF(BaseLoad!T225&gt;BaseLoad!$G225,N$8*$Z226,0))</f>
        <v>-</v>
      </c>
      <c r="O226" s="432" t="str">
        <f aca="false">IF($A$1="Peak","-",IF(BaseLoad!U225&gt;BaseLoad!$G225,O$8*$Z226,0))</f>
        <v>-</v>
      </c>
      <c r="P226" s="432" t="str">
        <f aca="false">IF($A$1="Peak","-",IF(BaseLoad!V225&gt;BaseLoad!$G225,P$8*$Z226,0))</f>
        <v>-</v>
      </c>
      <c r="Q226" s="432" t="str">
        <f aca="false">IF($A$1="Peak","-",IF(BaseLoad!W225&gt;BaseLoad!$G225,Q$8*$Z226,0))</f>
        <v>-</v>
      </c>
      <c r="R226" s="432" t="str">
        <f aca="false">IF($A$1="Peak","-",IF(BaseLoad!X225&gt;BaseLoad!$G225,R$8*$Z226,0))</f>
        <v>-</v>
      </c>
      <c r="S226" s="432" t="str">
        <f aca="false">IF($A$1="Peak","-",IF(BaseLoad!Y225&gt;BaseLoad!$G225,S$8*$Z226,0))</f>
        <v>-</v>
      </c>
      <c r="T226" s="432" t="str">
        <f aca="false">IF($A$1="Peak","-",IF(BaseLoad!Z225&gt;BaseLoad!$G225,T$8*$Z226,0))</f>
        <v>-</v>
      </c>
      <c r="U226" s="432" t="str">
        <f aca="false">IF($A$1="Peak","-",IF(BaseLoad!AA225&gt;BaseLoad!$G225,U$8*$Z226,0))</f>
        <v>-</v>
      </c>
      <c r="V226" s="432" t="n">
        <f aca="false">SUM(B226:U226)</f>
        <v>0</v>
      </c>
      <c r="W226" s="432"/>
      <c r="X226" s="432"/>
      <c r="Y226" s="432"/>
      <c r="Z226" s="432" t="n">
        <f aca="false">CHOOSE(QUOTIENT(MONTH($A226),3)+1,BaseLoad!$AM$9,BaseLoad!$AN$9,BaseLoad!$AL$9,BaseLoad!$AO$9,BaseLoad!$AM$9)</f>
        <v>0.924276618786118</v>
      </c>
      <c r="AA226" s="432" t="n">
        <f aca="false">CHOOSE(QUOTIENT(MONTH($A226),3)+1,BaseLoad!$AM$15,BaseLoad!$AN$15,BaseLoad!$AL$15,BaseLoad!$AO$15,BaseLoad!$AM$15)</f>
        <v>705</v>
      </c>
      <c r="AB226" s="431"/>
      <c r="AD226" s="431"/>
    </row>
    <row r="227" customFormat="false" ht="12.75" hidden="false" customHeight="false" outlineLevel="0" collapsed="false">
      <c r="A227" s="400" t="n">
        <f aca="false">A226+30.417</f>
        <v>43140.489</v>
      </c>
      <c r="B227" s="432" t="str">
        <f aca="false">IF($A$1="Peak","-",IF(BaseLoad!H226&gt;BaseLoad!$G226,B$8*$Z227,0))</f>
        <v>-</v>
      </c>
      <c r="C227" s="432" t="str">
        <f aca="false">IF($A$1="Peak","-",IF(BaseLoad!I226&gt;BaseLoad!$G226,C$8*$Z227,0))</f>
        <v>-</v>
      </c>
      <c r="D227" s="432" t="str">
        <f aca="false">IF($A$1="Peak","-",IF(BaseLoad!J226&gt;BaseLoad!$G226,D$8*$Z227,0))</f>
        <v>-</v>
      </c>
      <c r="E227" s="432" t="str">
        <f aca="false">IF($A$1="Peak","-",IF(BaseLoad!K226&gt;BaseLoad!$G226,E$8*$Z227,0))</f>
        <v>-</v>
      </c>
      <c r="F227" s="432" t="str">
        <f aca="false">IF($A$1="Peak","-",IF(BaseLoad!L226&gt;BaseLoad!$G226,F$8*$Z227,0))</f>
        <v>-</v>
      </c>
      <c r="G227" s="432" t="str">
        <f aca="false">IF($A$1="Peak","-",IF(BaseLoad!M226&gt;BaseLoad!$G226,G$8*$Z227,0))</f>
        <v>-</v>
      </c>
      <c r="H227" s="432" t="str">
        <f aca="false">IF($A$1="Peak","-",IF(BaseLoad!N226&gt;BaseLoad!$G226,H$8*$Z227,0))</f>
        <v>-</v>
      </c>
      <c r="I227" s="432" t="str">
        <f aca="false">IF($A$1="Peak","-",IF(BaseLoad!O226&gt;BaseLoad!$G226,I$8*$Z227,0))</f>
        <v>-</v>
      </c>
      <c r="J227" s="432" t="str">
        <f aca="false">IF($A$1="Peak","-",IF(BaseLoad!P226&gt;BaseLoad!$G226,J$8*$Z227,0))</f>
        <v>-</v>
      </c>
      <c r="K227" s="432" t="str">
        <f aca="false">IF($A$1="Peak","-",IF(BaseLoad!Q226&gt;BaseLoad!$G226,K$8*$Z227,0))</f>
        <v>-</v>
      </c>
      <c r="L227" s="432" t="str">
        <f aca="false">IF($A$1="Peak","-",IF(BaseLoad!R226&gt;BaseLoad!$G226,L$8*$Z227,0))</f>
        <v>-</v>
      </c>
      <c r="M227" s="432" t="str">
        <f aca="false">IF($A$1="Peak","-",IF(BaseLoad!S226&gt;BaseLoad!$G226,M$8*$Z227,0))</f>
        <v>-</v>
      </c>
      <c r="N227" s="432" t="str">
        <f aca="false">IF($A$1="Peak","-",IF(BaseLoad!T226&gt;BaseLoad!$G226,N$8*$Z227,0))</f>
        <v>-</v>
      </c>
      <c r="O227" s="432" t="str">
        <f aca="false">IF($A$1="Peak","-",IF(BaseLoad!U226&gt;BaseLoad!$G226,O$8*$Z227,0))</f>
        <v>-</v>
      </c>
      <c r="P227" s="432" t="str">
        <f aca="false">IF($A$1="Peak","-",IF(BaseLoad!V226&gt;BaseLoad!$G226,P$8*$Z227,0))</f>
        <v>-</v>
      </c>
      <c r="Q227" s="432" t="str">
        <f aca="false">IF($A$1="Peak","-",IF(BaseLoad!W226&gt;BaseLoad!$G226,Q$8*$Z227,0))</f>
        <v>-</v>
      </c>
      <c r="R227" s="432" t="str">
        <f aca="false">IF($A$1="Peak","-",IF(BaseLoad!X226&gt;BaseLoad!$G226,R$8*$Z227,0))</f>
        <v>-</v>
      </c>
      <c r="S227" s="432" t="str">
        <f aca="false">IF($A$1="Peak","-",IF(BaseLoad!Y226&gt;BaseLoad!$G226,S$8*$Z227,0))</f>
        <v>-</v>
      </c>
      <c r="T227" s="432" t="str">
        <f aca="false">IF($A$1="Peak","-",IF(BaseLoad!Z226&gt;BaseLoad!$G226,T$8*$Z227,0))</f>
        <v>-</v>
      </c>
      <c r="U227" s="432" t="str">
        <f aca="false">IF($A$1="Peak","-",IF(BaseLoad!AA226&gt;BaseLoad!$G226,U$8*$Z227,0))</f>
        <v>-</v>
      </c>
      <c r="V227" s="432" t="n">
        <f aca="false">SUM(B227:U227)</f>
        <v>0</v>
      </c>
      <c r="W227" s="432"/>
      <c r="X227" s="432"/>
      <c r="Y227" s="432"/>
      <c r="Z227" s="432" t="n">
        <f aca="false">CHOOSE(QUOTIENT(MONTH($A227),3)+1,BaseLoad!$AM$9,BaseLoad!$AN$9,BaseLoad!$AL$9,BaseLoad!$AO$9,BaseLoad!$AM$9)</f>
        <v>0.924276618786118</v>
      </c>
      <c r="AA227" s="432" t="n">
        <f aca="false">CHOOSE(QUOTIENT(MONTH($A227),3)+1,BaseLoad!$AM$15,BaseLoad!$AN$15,BaseLoad!$AL$15,BaseLoad!$AO$15,BaseLoad!$AM$15)</f>
        <v>705</v>
      </c>
      <c r="AB227" s="431"/>
      <c r="AD227" s="431"/>
    </row>
    <row r="228" customFormat="false" ht="12.75" hidden="false" customHeight="false" outlineLevel="0" collapsed="false">
      <c r="A228" s="400" t="n">
        <f aca="false">A227+30.417</f>
        <v>43170.906</v>
      </c>
      <c r="B228" s="432" t="str">
        <f aca="false">IF($A$1="Peak","-",IF(BaseLoad!H227&gt;BaseLoad!$G227,B$8*$Z228,0))</f>
        <v>-</v>
      </c>
      <c r="C228" s="432" t="str">
        <f aca="false">IF($A$1="Peak","-",IF(BaseLoad!I227&gt;BaseLoad!$G227,C$8*$Z228,0))</f>
        <v>-</v>
      </c>
      <c r="D228" s="432" t="str">
        <f aca="false">IF($A$1="Peak","-",IF(BaseLoad!J227&gt;BaseLoad!$G227,D$8*$Z228,0))</f>
        <v>-</v>
      </c>
      <c r="E228" s="432" t="str">
        <f aca="false">IF($A$1="Peak","-",IF(BaseLoad!K227&gt;BaseLoad!$G227,E$8*$Z228,0))</f>
        <v>-</v>
      </c>
      <c r="F228" s="432" t="str">
        <f aca="false">IF($A$1="Peak","-",IF(BaseLoad!L227&gt;BaseLoad!$G227,F$8*$Z228,0))</f>
        <v>-</v>
      </c>
      <c r="G228" s="432" t="str">
        <f aca="false">IF($A$1="Peak","-",IF(BaseLoad!M227&gt;BaseLoad!$G227,G$8*$Z228,0))</f>
        <v>-</v>
      </c>
      <c r="H228" s="432" t="str">
        <f aca="false">IF($A$1="Peak","-",IF(BaseLoad!N227&gt;BaseLoad!$G227,H$8*$Z228,0))</f>
        <v>-</v>
      </c>
      <c r="I228" s="432" t="str">
        <f aca="false">IF($A$1="Peak","-",IF(BaseLoad!O227&gt;BaseLoad!$G227,I$8*$Z228,0))</f>
        <v>-</v>
      </c>
      <c r="J228" s="432" t="str">
        <f aca="false">IF($A$1="Peak","-",IF(BaseLoad!P227&gt;BaseLoad!$G227,J$8*$Z228,0))</f>
        <v>-</v>
      </c>
      <c r="K228" s="432" t="str">
        <f aca="false">IF($A$1="Peak","-",IF(BaseLoad!Q227&gt;BaseLoad!$G227,K$8*$Z228,0))</f>
        <v>-</v>
      </c>
      <c r="L228" s="432" t="str">
        <f aca="false">IF($A$1="Peak","-",IF(BaseLoad!R227&gt;BaseLoad!$G227,L$8*$Z228,0))</f>
        <v>-</v>
      </c>
      <c r="M228" s="432" t="str">
        <f aca="false">IF($A$1="Peak","-",IF(BaseLoad!S227&gt;BaseLoad!$G227,M$8*$Z228,0))</f>
        <v>-</v>
      </c>
      <c r="N228" s="432" t="str">
        <f aca="false">IF($A$1="Peak","-",IF(BaseLoad!T227&gt;BaseLoad!$G227,N$8*$Z228,0))</f>
        <v>-</v>
      </c>
      <c r="O228" s="432" t="str">
        <f aca="false">IF($A$1="Peak","-",IF(BaseLoad!U227&gt;BaseLoad!$G227,O$8*$Z228,0))</f>
        <v>-</v>
      </c>
      <c r="P228" s="432" t="str">
        <f aca="false">IF($A$1="Peak","-",IF(BaseLoad!V227&gt;BaseLoad!$G227,P$8*$Z228,0))</f>
        <v>-</v>
      </c>
      <c r="Q228" s="432" t="str">
        <f aca="false">IF($A$1="Peak","-",IF(BaseLoad!W227&gt;BaseLoad!$G227,Q$8*$Z228,0))</f>
        <v>-</v>
      </c>
      <c r="R228" s="432" t="str">
        <f aca="false">IF($A$1="Peak","-",IF(BaseLoad!X227&gt;BaseLoad!$G227,R$8*$Z228,0))</f>
        <v>-</v>
      </c>
      <c r="S228" s="432" t="str">
        <f aca="false">IF($A$1="Peak","-",IF(BaseLoad!Y227&gt;BaseLoad!$G227,S$8*$Z228,0))</f>
        <v>-</v>
      </c>
      <c r="T228" s="432" t="str">
        <f aca="false">IF($A$1="Peak","-",IF(BaseLoad!Z227&gt;BaseLoad!$G227,T$8*$Z228,0))</f>
        <v>-</v>
      </c>
      <c r="U228" s="432" t="str">
        <f aca="false">IF($A$1="Peak","-",IF(BaseLoad!AA227&gt;BaseLoad!$G227,U$8*$Z228,0))</f>
        <v>-</v>
      </c>
      <c r="V228" s="432" t="n">
        <f aca="false">SUM(B228:U228)</f>
        <v>0</v>
      </c>
      <c r="W228" s="432"/>
      <c r="X228" s="432"/>
      <c r="Y228" s="432"/>
      <c r="Z228" s="432" t="n">
        <f aca="false">CHOOSE(QUOTIENT(MONTH($A228),3)+1,BaseLoad!$AM$9,BaseLoad!$AN$9,BaseLoad!$AL$9,BaseLoad!$AO$9,BaseLoad!$AM$9)</f>
        <v>0.95</v>
      </c>
      <c r="AA228" s="432" t="n">
        <f aca="false">CHOOSE(QUOTIENT(MONTH($A228),3)+1,BaseLoad!$AM$15,BaseLoad!$AN$15,BaseLoad!$AL$15,BaseLoad!$AO$15,BaseLoad!$AM$15)</f>
        <v>705</v>
      </c>
      <c r="AB228" s="431"/>
      <c r="AD228" s="431"/>
    </row>
    <row r="229" customFormat="false" ht="12.75" hidden="false" customHeight="false" outlineLevel="0" collapsed="false">
      <c r="A229" s="400" t="n">
        <f aca="false">A228+30.417</f>
        <v>43201.323</v>
      </c>
      <c r="B229" s="432" t="str">
        <f aca="false">IF($A$1="Peak","-",IF(BaseLoad!H228&gt;BaseLoad!$G228,B$8*$Z229,0))</f>
        <v>-</v>
      </c>
      <c r="C229" s="432" t="str">
        <f aca="false">IF($A$1="Peak","-",IF(BaseLoad!I228&gt;BaseLoad!$G228,C$8*$Z229,0))</f>
        <v>-</v>
      </c>
      <c r="D229" s="432" t="str">
        <f aca="false">IF($A$1="Peak","-",IF(BaseLoad!J228&gt;BaseLoad!$G228,D$8*$Z229,0))</f>
        <v>-</v>
      </c>
      <c r="E229" s="432" t="str">
        <f aca="false">IF($A$1="Peak","-",IF(BaseLoad!K228&gt;BaseLoad!$G228,E$8*$Z229,0))</f>
        <v>-</v>
      </c>
      <c r="F229" s="432" t="str">
        <f aca="false">IF($A$1="Peak","-",IF(BaseLoad!L228&gt;BaseLoad!$G228,F$8*$Z229,0))</f>
        <v>-</v>
      </c>
      <c r="G229" s="432" t="str">
        <f aca="false">IF($A$1="Peak","-",IF(BaseLoad!M228&gt;BaseLoad!$G228,G$8*$Z229,0))</f>
        <v>-</v>
      </c>
      <c r="H229" s="432" t="str">
        <f aca="false">IF($A$1="Peak","-",IF(BaseLoad!N228&gt;BaseLoad!$G228,H$8*$Z229,0))</f>
        <v>-</v>
      </c>
      <c r="I229" s="432" t="str">
        <f aca="false">IF($A$1="Peak","-",IF(BaseLoad!O228&gt;BaseLoad!$G228,I$8*$Z229,0))</f>
        <v>-</v>
      </c>
      <c r="J229" s="432" t="str">
        <f aca="false">IF($A$1="Peak","-",IF(BaseLoad!P228&gt;BaseLoad!$G228,J$8*$Z229,0))</f>
        <v>-</v>
      </c>
      <c r="K229" s="432" t="str">
        <f aca="false">IF($A$1="Peak","-",IF(BaseLoad!Q228&gt;BaseLoad!$G228,K$8*$Z229,0))</f>
        <v>-</v>
      </c>
      <c r="L229" s="432" t="str">
        <f aca="false">IF($A$1="Peak","-",IF(BaseLoad!R228&gt;BaseLoad!$G228,L$8*$Z229,0))</f>
        <v>-</v>
      </c>
      <c r="M229" s="432" t="str">
        <f aca="false">IF($A$1="Peak","-",IF(BaseLoad!S228&gt;BaseLoad!$G228,M$8*$Z229,0))</f>
        <v>-</v>
      </c>
      <c r="N229" s="432" t="str">
        <f aca="false">IF($A$1="Peak","-",IF(BaseLoad!T228&gt;BaseLoad!$G228,N$8*$Z229,0))</f>
        <v>-</v>
      </c>
      <c r="O229" s="432" t="str">
        <f aca="false">IF($A$1="Peak","-",IF(BaseLoad!U228&gt;BaseLoad!$G228,O$8*$Z229,0))</f>
        <v>-</v>
      </c>
      <c r="P229" s="432" t="str">
        <f aca="false">IF($A$1="Peak","-",IF(BaseLoad!V228&gt;BaseLoad!$G228,P$8*$Z229,0))</f>
        <v>-</v>
      </c>
      <c r="Q229" s="432" t="str">
        <f aca="false">IF($A$1="Peak","-",IF(BaseLoad!W228&gt;BaseLoad!$G228,Q$8*$Z229,0))</f>
        <v>-</v>
      </c>
      <c r="R229" s="432" t="str">
        <f aca="false">IF($A$1="Peak","-",IF(BaseLoad!X228&gt;BaseLoad!$G228,R$8*$Z229,0))</f>
        <v>-</v>
      </c>
      <c r="S229" s="432" t="str">
        <f aca="false">IF($A$1="Peak","-",IF(BaseLoad!Y228&gt;BaseLoad!$G228,S$8*$Z229,0))</f>
        <v>-</v>
      </c>
      <c r="T229" s="432" t="str">
        <f aca="false">IF($A$1="Peak","-",IF(BaseLoad!Z228&gt;BaseLoad!$G228,T$8*$Z229,0))</f>
        <v>-</v>
      </c>
      <c r="U229" s="432" t="str">
        <f aca="false">IF($A$1="Peak","-",IF(BaseLoad!AA228&gt;BaseLoad!$G228,U$8*$Z229,0))</f>
        <v>-</v>
      </c>
      <c r="V229" s="432" t="n">
        <f aca="false">SUM(B229:U229)</f>
        <v>0</v>
      </c>
      <c r="W229" s="432"/>
      <c r="X229" s="432"/>
      <c r="Y229" s="432"/>
      <c r="Z229" s="432" t="n">
        <f aca="false">CHOOSE(QUOTIENT(MONTH($A229),3)+1,BaseLoad!$AM$9,BaseLoad!$AN$9,BaseLoad!$AL$9,BaseLoad!$AO$9,BaseLoad!$AM$9)</f>
        <v>0.95</v>
      </c>
      <c r="AA229" s="432" t="n">
        <f aca="false">CHOOSE(QUOTIENT(MONTH($A229),3)+1,BaseLoad!$AM$15,BaseLoad!$AN$15,BaseLoad!$AL$15,BaseLoad!$AO$15,BaseLoad!$AM$15)</f>
        <v>705</v>
      </c>
      <c r="AB229" s="431"/>
      <c r="AD229" s="431"/>
    </row>
    <row r="230" customFormat="false" ht="12.75" hidden="false" customHeight="false" outlineLevel="0" collapsed="false">
      <c r="A230" s="400" t="n">
        <f aca="false">A229+30.417</f>
        <v>43231.74</v>
      </c>
      <c r="B230" s="432" t="str">
        <f aca="false">IF($A$1="Peak","-",IF(BaseLoad!H229&gt;BaseLoad!$G229,B$8*$Z230,0))</f>
        <v>-</v>
      </c>
      <c r="C230" s="432" t="str">
        <f aca="false">IF($A$1="Peak","-",IF(BaseLoad!I229&gt;BaseLoad!$G229,C$8*$Z230,0))</f>
        <v>-</v>
      </c>
      <c r="D230" s="432" t="str">
        <f aca="false">IF($A$1="Peak","-",IF(BaseLoad!J229&gt;BaseLoad!$G229,D$8*$Z230,0))</f>
        <v>-</v>
      </c>
      <c r="E230" s="432" t="str">
        <f aca="false">IF($A$1="Peak","-",IF(BaseLoad!K229&gt;BaseLoad!$G229,E$8*$Z230,0))</f>
        <v>-</v>
      </c>
      <c r="F230" s="432" t="str">
        <f aca="false">IF($A$1="Peak","-",IF(BaseLoad!L229&gt;BaseLoad!$G229,F$8*$Z230,0))</f>
        <v>-</v>
      </c>
      <c r="G230" s="432" t="str">
        <f aca="false">IF($A$1="Peak","-",IF(BaseLoad!M229&gt;BaseLoad!$G229,G$8*$Z230,0))</f>
        <v>-</v>
      </c>
      <c r="H230" s="432" t="str">
        <f aca="false">IF($A$1="Peak","-",IF(BaseLoad!N229&gt;BaseLoad!$G229,H$8*$Z230,0))</f>
        <v>-</v>
      </c>
      <c r="I230" s="432" t="str">
        <f aca="false">IF($A$1="Peak","-",IF(BaseLoad!O229&gt;BaseLoad!$G229,I$8*$Z230,0))</f>
        <v>-</v>
      </c>
      <c r="J230" s="432" t="str">
        <f aca="false">IF($A$1="Peak","-",IF(BaseLoad!P229&gt;BaseLoad!$G229,J$8*$Z230,0))</f>
        <v>-</v>
      </c>
      <c r="K230" s="432" t="str">
        <f aca="false">IF($A$1="Peak","-",IF(BaseLoad!Q229&gt;BaseLoad!$G229,K$8*$Z230,0))</f>
        <v>-</v>
      </c>
      <c r="L230" s="432" t="str">
        <f aca="false">IF($A$1="Peak","-",IF(BaseLoad!R229&gt;BaseLoad!$G229,L$8*$Z230,0))</f>
        <v>-</v>
      </c>
      <c r="M230" s="432" t="str">
        <f aca="false">IF($A$1="Peak","-",IF(BaseLoad!S229&gt;BaseLoad!$G229,M$8*$Z230,0))</f>
        <v>-</v>
      </c>
      <c r="N230" s="432" t="str">
        <f aca="false">IF($A$1="Peak","-",IF(BaseLoad!T229&gt;BaseLoad!$G229,N$8*$Z230,0))</f>
        <v>-</v>
      </c>
      <c r="O230" s="432" t="str">
        <f aca="false">IF($A$1="Peak","-",IF(BaseLoad!U229&gt;BaseLoad!$G229,O$8*$Z230,0))</f>
        <v>-</v>
      </c>
      <c r="P230" s="432" t="str">
        <f aca="false">IF($A$1="Peak","-",IF(BaseLoad!V229&gt;BaseLoad!$G229,P$8*$Z230,0))</f>
        <v>-</v>
      </c>
      <c r="Q230" s="432" t="str">
        <f aca="false">IF($A$1="Peak","-",IF(BaseLoad!W229&gt;BaseLoad!$G229,Q$8*$Z230,0))</f>
        <v>-</v>
      </c>
      <c r="R230" s="432" t="str">
        <f aca="false">IF($A$1="Peak","-",IF(BaseLoad!X229&gt;BaseLoad!$G229,R$8*$Z230,0))</f>
        <v>-</v>
      </c>
      <c r="S230" s="432" t="str">
        <f aca="false">IF($A$1="Peak","-",IF(BaseLoad!Y229&gt;BaseLoad!$G229,S$8*$Z230,0))</f>
        <v>-</v>
      </c>
      <c r="T230" s="432" t="str">
        <f aca="false">IF($A$1="Peak","-",IF(BaseLoad!Z229&gt;BaseLoad!$G229,T$8*$Z230,0))</f>
        <v>-</v>
      </c>
      <c r="U230" s="432" t="str">
        <f aca="false">IF($A$1="Peak","-",IF(BaseLoad!AA229&gt;BaseLoad!$G229,U$8*$Z230,0))</f>
        <v>-</v>
      </c>
      <c r="V230" s="432" t="n">
        <f aca="false">SUM(B230:U230)</f>
        <v>0</v>
      </c>
      <c r="W230" s="432"/>
      <c r="X230" s="432"/>
      <c r="Y230" s="432"/>
      <c r="Z230" s="432" t="n">
        <f aca="false">CHOOSE(QUOTIENT(MONTH($A230),3)+1,BaseLoad!$AM$9,BaseLoad!$AN$9,BaseLoad!$AL$9,BaseLoad!$AO$9,BaseLoad!$AM$9)</f>
        <v>0.95</v>
      </c>
      <c r="AA230" s="432" t="n">
        <f aca="false">CHOOSE(QUOTIENT(MONTH($A230),3)+1,BaseLoad!$AM$15,BaseLoad!$AN$15,BaseLoad!$AL$15,BaseLoad!$AO$15,BaseLoad!$AM$15)</f>
        <v>705</v>
      </c>
      <c r="AB230" s="431"/>
      <c r="AD230" s="431"/>
    </row>
    <row r="231" customFormat="false" ht="12.75" hidden="false" customHeight="false" outlineLevel="0" collapsed="false">
      <c r="A231" s="400" t="n">
        <f aca="false">A230+30.417</f>
        <v>43262.157</v>
      </c>
      <c r="B231" s="432" t="str">
        <f aca="false">IF($A$1="Peak","-",IF(BaseLoad!H230&gt;BaseLoad!$G230,B$8*$Z231,0))</f>
        <v>-</v>
      </c>
      <c r="C231" s="432" t="str">
        <f aca="false">IF($A$1="Peak","-",IF(BaseLoad!I230&gt;BaseLoad!$G230,C$8*$Z231,0))</f>
        <v>-</v>
      </c>
      <c r="D231" s="432" t="str">
        <f aca="false">IF($A$1="Peak","-",IF(BaseLoad!J230&gt;BaseLoad!$G230,D$8*$Z231,0))</f>
        <v>-</v>
      </c>
      <c r="E231" s="432" t="str">
        <f aca="false">IF($A$1="Peak","-",IF(BaseLoad!K230&gt;BaseLoad!$G230,E$8*$Z231,0))</f>
        <v>-</v>
      </c>
      <c r="F231" s="432" t="str">
        <f aca="false">IF($A$1="Peak","-",IF(BaseLoad!L230&gt;BaseLoad!$G230,F$8*$Z231,0))</f>
        <v>-</v>
      </c>
      <c r="G231" s="432" t="str">
        <f aca="false">IF($A$1="Peak","-",IF(BaseLoad!M230&gt;BaseLoad!$G230,G$8*$Z231,0))</f>
        <v>-</v>
      </c>
      <c r="H231" s="432" t="str">
        <f aca="false">IF($A$1="Peak","-",IF(BaseLoad!N230&gt;BaseLoad!$G230,H$8*$Z231,0))</f>
        <v>-</v>
      </c>
      <c r="I231" s="432" t="str">
        <f aca="false">IF($A$1="Peak","-",IF(BaseLoad!O230&gt;BaseLoad!$G230,I$8*$Z231,0))</f>
        <v>-</v>
      </c>
      <c r="J231" s="432" t="str">
        <f aca="false">IF($A$1="Peak","-",IF(BaseLoad!P230&gt;BaseLoad!$G230,J$8*$Z231,0))</f>
        <v>-</v>
      </c>
      <c r="K231" s="432" t="str">
        <f aca="false">IF($A$1="Peak","-",IF(BaseLoad!Q230&gt;BaseLoad!$G230,K$8*$Z231,0))</f>
        <v>-</v>
      </c>
      <c r="L231" s="432" t="str">
        <f aca="false">IF($A$1="Peak","-",IF(BaseLoad!R230&gt;BaseLoad!$G230,L$8*$Z231,0))</f>
        <v>-</v>
      </c>
      <c r="M231" s="432" t="str">
        <f aca="false">IF($A$1="Peak","-",IF(BaseLoad!S230&gt;BaseLoad!$G230,M$8*$Z231,0))</f>
        <v>-</v>
      </c>
      <c r="N231" s="432" t="str">
        <f aca="false">IF($A$1="Peak","-",IF(BaseLoad!T230&gt;BaseLoad!$G230,N$8*$Z231,0))</f>
        <v>-</v>
      </c>
      <c r="O231" s="432" t="str">
        <f aca="false">IF($A$1="Peak","-",IF(BaseLoad!U230&gt;BaseLoad!$G230,O$8*$Z231,0))</f>
        <v>-</v>
      </c>
      <c r="P231" s="432" t="str">
        <f aca="false">IF($A$1="Peak","-",IF(BaseLoad!V230&gt;BaseLoad!$G230,P$8*$Z231,0))</f>
        <v>-</v>
      </c>
      <c r="Q231" s="432" t="str">
        <f aca="false">IF($A$1="Peak","-",IF(BaseLoad!W230&gt;BaseLoad!$G230,Q$8*$Z231,0))</f>
        <v>-</v>
      </c>
      <c r="R231" s="432" t="str">
        <f aca="false">IF($A$1="Peak","-",IF(BaseLoad!X230&gt;BaseLoad!$G230,R$8*$Z231,0))</f>
        <v>-</v>
      </c>
      <c r="S231" s="432" t="str">
        <f aca="false">IF($A$1="Peak","-",IF(BaseLoad!Y230&gt;BaseLoad!$G230,S$8*$Z231,0))</f>
        <v>-</v>
      </c>
      <c r="T231" s="432" t="str">
        <f aca="false">IF($A$1="Peak","-",IF(BaseLoad!Z230&gt;BaseLoad!$G230,T$8*$Z231,0))</f>
        <v>-</v>
      </c>
      <c r="U231" s="432" t="str">
        <f aca="false">IF($A$1="Peak","-",IF(BaseLoad!AA230&gt;BaseLoad!$G230,U$8*$Z231,0))</f>
        <v>-</v>
      </c>
      <c r="V231" s="432" t="n">
        <f aca="false">SUM(B231:U231)</f>
        <v>0</v>
      </c>
      <c r="W231" s="432"/>
      <c r="X231" s="432"/>
      <c r="Y231" s="432"/>
      <c r="Z231" s="432" t="n">
        <f aca="false">CHOOSE(QUOTIENT(MONTH($A231),3)+1,BaseLoad!$AM$9,BaseLoad!$AN$9,BaseLoad!$AL$9,BaseLoad!$AO$9,BaseLoad!$AM$9)</f>
        <v>0.966121359095586</v>
      </c>
      <c r="AA231" s="432" t="n">
        <f aca="false">CHOOSE(QUOTIENT(MONTH($A231),3)+1,BaseLoad!$AM$15,BaseLoad!$AN$15,BaseLoad!$AL$15,BaseLoad!$AO$15,BaseLoad!$AM$15)</f>
        <v>705</v>
      </c>
      <c r="AB231" s="431"/>
      <c r="AD231" s="431"/>
    </row>
    <row r="232" customFormat="false" ht="12.75" hidden="false" customHeight="false" outlineLevel="0" collapsed="false">
      <c r="A232" s="400" t="n">
        <f aca="false">A231+30.417</f>
        <v>43292.574</v>
      </c>
      <c r="B232" s="432" t="str">
        <f aca="false">IF($A$1="Peak","-",IF(BaseLoad!H231&gt;BaseLoad!$G231,B$8*$Z232,0))</f>
        <v>-</v>
      </c>
      <c r="C232" s="432" t="str">
        <f aca="false">IF($A$1="Peak","-",IF(BaseLoad!I231&gt;BaseLoad!$G231,C$8*$Z232,0))</f>
        <v>-</v>
      </c>
      <c r="D232" s="432" t="str">
        <f aca="false">IF($A$1="Peak","-",IF(BaseLoad!J231&gt;BaseLoad!$G231,D$8*$Z232,0))</f>
        <v>-</v>
      </c>
      <c r="E232" s="432" t="str">
        <f aca="false">IF($A$1="Peak","-",IF(BaseLoad!K231&gt;BaseLoad!$G231,E$8*$Z232,0))</f>
        <v>-</v>
      </c>
      <c r="F232" s="432" t="str">
        <f aca="false">IF($A$1="Peak","-",IF(BaseLoad!L231&gt;BaseLoad!$G231,F$8*$Z232,0))</f>
        <v>-</v>
      </c>
      <c r="G232" s="432" t="str">
        <f aca="false">IF($A$1="Peak","-",IF(BaseLoad!M231&gt;BaseLoad!$G231,G$8*$Z232,0))</f>
        <v>-</v>
      </c>
      <c r="H232" s="432" t="str">
        <f aca="false">IF($A$1="Peak","-",IF(BaseLoad!N231&gt;BaseLoad!$G231,H$8*$Z232,0))</f>
        <v>-</v>
      </c>
      <c r="I232" s="432" t="str">
        <f aca="false">IF($A$1="Peak","-",IF(BaseLoad!O231&gt;BaseLoad!$G231,I$8*$Z232,0))</f>
        <v>-</v>
      </c>
      <c r="J232" s="432" t="str">
        <f aca="false">IF($A$1="Peak","-",IF(BaseLoad!P231&gt;BaseLoad!$G231,J$8*$Z232,0))</f>
        <v>-</v>
      </c>
      <c r="K232" s="432" t="str">
        <f aca="false">IF($A$1="Peak","-",IF(BaseLoad!Q231&gt;BaseLoad!$G231,K$8*$Z232,0))</f>
        <v>-</v>
      </c>
      <c r="L232" s="432" t="str">
        <f aca="false">IF($A$1="Peak","-",IF(BaseLoad!R231&gt;BaseLoad!$G231,L$8*$Z232,0))</f>
        <v>-</v>
      </c>
      <c r="M232" s="432" t="str">
        <f aca="false">IF($A$1="Peak","-",IF(BaseLoad!S231&gt;BaseLoad!$G231,M$8*$Z232,0))</f>
        <v>-</v>
      </c>
      <c r="N232" s="432" t="str">
        <f aca="false">IF($A$1="Peak","-",IF(BaseLoad!T231&gt;BaseLoad!$G231,N$8*$Z232,0))</f>
        <v>-</v>
      </c>
      <c r="O232" s="432" t="str">
        <f aca="false">IF($A$1="Peak","-",IF(BaseLoad!U231&gt;BaseLoad!$G231,O$8*$Z232,0))</f>
        <v>-</v>
      </c>
      <c r="P232" s="432" t="str">
        <f aca="false">IF($A$1="Peak","-",IF(BaseLoad!V231&gt;BaseLoad!$G231,P$8*$Z232,0))</f>
        <v>-</v>
      </c>
      <c r="Q232" s="432" t="str">
        <f aca="false">IF($A$1="Peak","-",IF(BaseLoad!W231&gt;BaseLoad!$G231,Q$8*$Z232,0))</f>
        <v>-</v>
      </c>
      <c r="R232" s="432" t="str">
        <f aca="false">IF($A$1="Peak","-",IF(BaseLoad!X231&gt;BaseLoad!$G231,R$8*$Z232,0))</f>
        <v>-</v>
      </c>
      <c r="S232" s="432" t="str">
        <f aca="false">IF($A$1="Peak","-",IF(BaseLoad!Y231&gt;BaseLoad!$G231,S$8*$Z232,0))</f>
        <v>-</v>
      </c>
      <c r="T232" s="432" t="str">
        <f aca="false">IF($A$1="Peak","-",IF(BaseLoad!Z231&gt;BaseLoad!$G231,T$8*$Z232,0))</f>
        <v>-</v>
      </c>
      <c r="U232" s="432" t="str">
        <f aca="false">IF($A$1="Peak","-",IF(BaseLoad!AA231&gt;BaseLoad!$G231,U$8*$Z232,0))</f>
        <v>-</v>
      </c>
      <c r="V232" s="432" t="n">
        <f aca="false">SUM(B232:U232)</f>
        <v>0</v>
      </c>
      <c r="W232" s="432"/>
      <c r="X232" s="432"/>
      <c r="Y232" s="432"/>
      <c r="Z232" s="432" t="n">
        <f aca="false">CHOOSE(QUOTIENT(MONTH($A232),3)+1,BaseLoad!$AM$9,BaseLoad!$AN$9,BaseLoad!$AL$9,BaseLoad!$AO$9,BaseLoad!$AM$9)</f>
        <v>0.966121359095586</v>
      </c>
      <c r="AA232" s="432" t="n">
        <f aca="false">CHOOSE(QUOTIENT(MONTH($A232),3)+1,BaseLoad!$AM$15,BaseLoad!$AN$15,BaseLoad!$AL$15,BaseLoad!$AO$15,BaseLoad!$AM$15)</f>
        <v>705</v>
      </c>
      <c r="AB232" s="431"/>
      <c r="AD232" s="431"/>
    </row>
    <row r="233" customFormat="false" ht="12.75" hidden="false" customHeight="false" outlineLevel="0" collapsed="false">
      <c r="A233" s="400" t="n">
        <f aca="false">A232+30.417</f>
        <v>43322.991</v>
      </c>
      <c r="B233" s="432" t="str">
        <f aca="false">IF($A$1="Peak","-",IF(BaseLoad!H232&gt;BaseLoad!$G232,B$8*$Z233,0))</f>
        <v>-</v>
      </c>
      <c r="C233" s="432" t="str">
        <f aca="false">IF($A$1="Peak","-",IF(BaseLoad!I232&gt;BaseLoad!$G232,C$8*$Z233,0))</f>
        <v>-</v>
      </c>
      <c r="D233" s="432" t="str">
        <f aca="false">IF($A$1="Peak","-",IF(BaseLoad!J232&gt;BaseLoad!$G232,D$8*$Z233,0))</f>
        <v>-</v>
      </c>
      <c r="E233" s="432" t="str">
        <f aca="false">IF($A$1="Peak","-",IF(BaseLoad!K232&gt;BaseLoad!$G232,E$8*$Z233,0))</f>
        <v>-</v>
      </c>
      <c r="F233" s="432" t="str">
        <f aca="false">IF($A$1="Peak","-",IF(BaseLoad!L232&gt;BaseLoad!$G232,F$8*$Z233,0))</f>
        <v>-</v>
      </c>
      <c r="G233" s="432" t="str">
        <f aca="false">IF($A$1="Peak","-",IF(BaseLoad!M232&gt;BaseLoad!$G232,G$8*$Z233,0))</f>
        <v>-</v>
      </c>
      <c r="H233" s="432" t="str">
        <f aca="false">IF($A$1="Peak","-",IF(BaseLoad!N232&gt;BaseLoad!$G232,H$8*$Z233,0))</f>
        <v>-</v>
      </c>
      <c r="I233" s="432" t="str">
        <f aca="false">IF($A$1="Peak","-",IF(BaseLoad!O232&gt;BaseLoad!$G232,I$8*$Z233,0))</f>
        <v>-</v>
      </c>
      <c r="J233" s="432" t="str">
        <f aca="false">IF($A$1="Peak","-",IF(BaseLoad!P232&gt;BaseLoad!$G232,J$8*$Z233,0))</f>
        <v>-</v>
      </c>
      <c r="K233" s="432" t="str">
        <f aca="false">IF($A$1="Peak","-",IF(BaseLoad!Q232&gt;BaseLoad!$G232,K$8*$Z233,0))</f>
        <v>-</v>
      </c>
      <c r="L233" s="432" t="str">
        <f aca="false">IF($A$1="Peak","-",IF(BaseLoad!R232&gt;BaseLoad!$G232,L$8*$Z233,0))</f>
        <v>-</v>
      </c>
      <c r="M233" s="432" t="str">
        <f aca="false">IF($A$1="Peak","-",IF(BaseLoad!S232&gt;BaseLoad!$G232,M$8*$Z233,0))</f>
        <v>-</v>
      </c>
      <c r="N233" s="432" t="str">
        <f aca="false">IF($A$1="Peak","-",IF(BaseLoad!T232&gt;BaseLoad!$G232,N$8*$Z233,0))</f>
        <v>-</v>
      </c>
      <c r="O233" s="432" t="str">
        <f aca="false">IF($A$1="Peak","-",IF(BaseLoad!U232&gt;BaseLoad!$G232,O$8*$Z233,0))</f>
        <v>-</v>
      </c>
      <c r="P233" s="432" t="str">
        <f aca="false">IF($A$1="Peak","-",IF(BaseLoad!V232&gt;BaseLoad!$G232,P$8*$Z233,0))</f>
        <v>-</v>
      </c>
      <c r="Q233" s="432" t="str">
        <f aca="false">IF($A$1="Peak","-",IF(BaseLoad!W232&gt;BaseLoad!$G232,Q$8*$Z233,0))</f>
        <v>-</v>
      </c>
      <c r="R233" s="432" t="str">
        <f aca="false">IF($A$1="Peak","-",IF(BaseLoad!X232&gt;BaseLoad!$G232,R$8*$Z233,0))</f>
        <v>-</v>
      </c>
      <c r="S233" s="432" t="str">
        <f aca="false">IF($A$1="Peak","-",IF(BaseLoad!Y232&gt;BaseLoad!$G232,S$8*$Z233,0))</f>
        <v>-</v>
      </c>
      <c r="T233" s="432" t="str">
        <f aca="false">IF($A$1="Peak","-",IF(BaseLoad!Z232&gt;BaseLoad!$G232,T$8*$Z233,0))</f>
        <v>-</v>
      </c>
      <c r="U233" s="432" t="str">
        <f aca="false">IF($A$1="Peak","-",IF(BaseLoad!AA232&gt;BaseLoad!$G232,U$8*$Z233,0))</f>
        <v>-</v>
      </c>
      <c r="V233" s="432" t="n">
        <f aca="false">SUM(B233:U233)</f>
        <v>0</v>
      </c>
      <c r="W233" s="432"/>
      <c r="X233" s="432"/>
      <c r="Y233" s="432"/>
      <c r="Z233" s="432" t="n">
        <f aca="false">CHOOSE(QUOTIENT(MONTH($A233),3)+1,BaseLoad!$AM$9,BaseLoad!$AN$9,BaseLoad!$AL$9,BaseLoad!$AO$9,BaseLoad!$AM$9)</f>
        <v>0.966121359095586</v>
      </c>
      <c r="AA233" s="432" t="n">
        <f aca="false">CHOOSE(QUOTIENT(MONTH($A233),3)+1,BaseLoad!$AM$15,BaseLoad!$AN$15,BaseLoad!$AL$15,BaseLoad!$AO$15,BaseLoad!$AM$15)</f>
        <v>705</v>
      </c>
      <c r="AB233" s="431"/>
      <c r="AD233" s="431"/>
    </row>
    <row r="234" customFormat="false" ht="12.75" hidden="false" customHeight="false" outlineLevel="0" collapsed="false">
      <c r="A234" s="400" t="n">
        <f aca="false">A233+30.417</f>
        <v>43353.408</v>
      </c>
      <c r="B234" s="432" t="str">
        <f aca="false">IF($A$1="Peak","-",IF(BaseLoad!H233&gt;BaseLoad!$G233,B$8*$Z234,0))</f>
        <v>-</v>
      </c>
      <c r="C234" s="432" t="str">
        <f aca="false">IF($A$1="Peak","-",IF(BaseLoad!I233&gt;BaseLoad!$G233,C$8*$Z234,0))</f>
        <v>-</v>
      </c>
      <c r="D234" s="432" t="str">
        <f aca="false">IF($A$1="Peak","-",IF(BaseLoad!J233&gt;BaseLoad!$G233,D$8*$Z234,0))</f>
        <v>-</v>
      </c>
      <c r="E234" s="432" t="str">
        <f aca="false">IF($A$1="Peak","-",IF(BaseLoad!K233&gt;BaseLoad!$G233,E$8*$Z234,0))</f>
        <v>-</v>
      </c>
      <c r="F234" s="432" t="str">
        <f aca="false">IF($A$1="Peak","-",IF(BaseLoad!L233&gt;BaseLoad!$G233,F$8*$Z234,0))</f>
        <v>-</v>
      </c>
      <c r="G234" s="432" t="str">
        <f aca="false">IF($A$1="Peak","-",IF(BaseLoad!M233&gt;BaseLoad!$G233,G$8*$Z234,0))</f>
        <v>-</v>
      </c>
      <c r="H234" s="432" t="str">
        <f aca="false">IF($A$1="Peak","-",IF(BaseLoad!N233&gt;BaseLoad!$G233,H$8*$Z234,0))</f>
        <v>-</v>
      </c>
      <c r="I234" s="432" t="str">
        <f aca="false">IF($A$1="Peak","-",IF(BaseLoad!O233&gt;BaseLoad!$G233,I$8*$Z234,0))</f>
        <v>-</v>
      </c>
      <c r="J234" s="432" t="str">
        <f aca="false">IF($A$1="Peak","-",IF(BaseLoad!P233&gt;BaseLoad!$G233,J$8*$Z234,0))</f>
        <v>-</v>
      </c>
      <c r="K234" s="432" t="str">
        <f aca="false">IF($A$1="Peak","-",IF(BaseLoad!Q233&gt;BaseLoad!$G233,K$8*$Z234,0))</f>
        <v>-</v>
      </c>
      <c r="L234" s="432" t="str">
        <f aca="false">IF($A$1="Peak","-",IF(BaseLoad!R233&gt;BaseLoad!$G233,L$8*$Z234,0))</f>
        <v>-</v>
      </c>
      <c r="M234" s="432" t="str">
        <f aca="false">IF($A$1="Peak","-",IF(BaseLoad!S233&gt;BaseLoad!$G233,M$8*$Z234,0))</f>
        <v>-</v>
      </c>
      <c r="N234" s="432" t="str">
        <f aca="false">IF($A$1="Peak","-",IF(BaseLoad!T233&gt;BaseLoad!$G233,N$8*$Z234,0))</f>
        <v>-</v>
      </c>
      <c r="O234" s="432" t="str">
        <f aca="false">IF($A$1="Peak","-",IF(BaseLoad!U233&gt;BaseLoad!$G233,O$8*$Z234,0))</f>
        <v>-</v>
      </c>
      <c r="P234" s="432" t="str">
        <f aca="false">IF($A$1="Peak","-",IF(BaseLoad!V233&gt;BaseLoad!$G233,P$8*$Z234,0))</f>
        <v>-</v>
      </c>
      <c r="Q234" s="432" t="str">
        <f aca="false">IF($A$1="Peak","-",IF(BaseLoad!W233&gt;BaseLoad!$G233,Q$8*$Z234,0))</f>
        <v>-</v>
      </c>
      <c r="R234" s="432" t="str">
        <f aca="false">IF($A$1="Peak","-",IF(BaseLoad!X233&gt;BaseLoad!$G233,R$8*$Z234,0))</f>
        <v>-</v>
      </c>
      <c r="S234" s="432" t="str">
        <f aca="false">IF($A$1="Peak","-",IF(BaseLoad!Y233&gt;BaseLoad!$G233,S$8*$Z234,0))</f>
        <v>-</v>
      </c>
      <c r="T234" s="432" t="str">
        <f aca="false">IF($A$1="Peak","-",IF(BaseLoad!Z233&gt;BaseLoad!$G233,T$8*$Z234,0))</f>
        <v>-</v>
      </c>
      <c r="U234" s="432" t="str">
        <f aca="false">IF($A$1="Peak","-",IF(BaseLoad!AA233&gt;BaseLoad!$G233,U$8*$Z234,0))</f>
        <v>-</v>
      </c>
      <c r="V234" s="432" t="n">
        <f aca="false">SUM(B234:U234)</f>
        <v>0</v>
      </c>
      <c r="W234" s="432"/>
      <c r="X234" s="432"/>
      <c r="Y234" s="432"/>
      <c r="Z234" s="432" t="n">
        <f aca="false">CHOOSE(QUOTIENT(MONTH($A234),3)+1,BaseLoad!$AM$9,BaseLoad!$AN$9,BaseLoad!$AL$9,BaseLoad!$AO$9,BaseLoad!$AM$9)</f>
        <v>0.95</v>
      </c>
      <c r="AA234" s="432" t="n">
        <f aca="false">CHOOSE(QUOTIENT(MONTH($A234),3)+1,BaseLoad!$AM$15,BaseLoad!$AN$15,BaseLoad!$AL$15,BaseLoad!$AO$15,BaseLoad!$AM$15)</f>
        <v>705</v>
      </c>
      <c r="AB234" s="431"/>
      <c r="AD234" s="431"/>
    </row>
    <row r="235" customFormat="false" ht="12.75" hidden="false" customHeight="false" outlineLevel="0" collapsed="false">
      <c r="A235" s="400" t="n">
        <f aca="false">A234+30.417</f>
        <v>43383.825</v>
      </c>
      <c r="B235" s="432" t="str">
        <f aca="false">IF($A$1="Peak","-",IF(BaseLoad!H234&gt;BaseLoad!$G234,B$8*$Z235,0))</f>
        <v>-</v>
      </c>
      <c r="C235" s="432" t="str">
        <f aca="false">IF($A$1="Peak","-",IF(BaseLoad!I234&gt;BaseLoad!$G234,C$8*$Z235,0))</f>
        <v>-</v>
      </c>
      <c r="D235" s="432" t="str">
        <f aca="false">IF($A$1="Peak","-",IF(BaseLoad!J234&gt;BaseLoad!$G234,D$8*$Z235,0))</f>
        <v>-</v>
      </c>
      <c r="E235" s="432" t="str">
        <f aca="false">IF($A$1="Peak","-",IF(BaseLoad!K234&gt;BaseLoad!$G234,E$8*$Z235,0))</f>
        <v>-</v>
      </c>
      <c r="F235" s="432" t="str">
        <f aca="false">IF($A$1="Peak","-",IF(BaseLoad!L234&gt;BaseLoad!$G234,F$8*$Z235,0))</f>
        <v>-</v>
      </c>
      <c r="G235" s="432" t="str">
        <f aca="false">IF($A$1="Peak","-",IF(BaseLoad!M234&gt;BaseLoad!$G234,G$8*$Z235,0))</f>
        <v>-</v>
      </c>
      <c r="H235" s="432" t="str">
        <f aca="false">IF($A$1="Peak","-",IF(BaseLoad!N234&gt;BaseLoad!$G234,H$8*$Z235,0))</f>
        <v>-</v>
      </c>
      <c r="I235" s="432" t="str">
        <f aca="false">IF($A$1="Peak","-",IF(BaseLoad!O234&gt;BaseLoad!$G234,I$8*$Z235,0))</f>
        <v>-</v>
      </c>
      <c r="J235" s="432" t="str">
        <f aca="false">IF($A$1="Peak","-",IF(BaseLoad!P234&gt;BaseLoad!$G234,J$8*$Z235,0))</f>
        <v>-</v>
      </c>
      <c r="K235" s="432" t="str">
        <f aca="false">IF($A$1="Peak","-",IF(BaseLoad!Q234&gt;BaseLoad!$G234,K$8*$Z235,0))</f>
        <v>-</v>
      </c>
      <c r="L235" s="432" t="str">
        <f aca="false">IF($A$1="Peak","-",IF(BaseLoad!R234&gt;BaseLoad!$G234,L$8*$Z235,0))</f>
        <v>-</v>
      </c>
      <c r="M235" s="432" t="str">
        <f aca="false">IF($A$1="Peak","-",IF(BaseLoad!S234&gt;BaseLoad!$G234,M$8*$Z235,0))</f>
        <v>-</v>
      </c>
      <c r="N235" s="432" t="str">
        <f aca="false">IF($A$1="Peak","-",IF(BaseLoad!T234&gt;BaseLoad!$G234,N$8*$Z235,0))</f>
        <v>-</v>
      </c>
      <c r="O235" s="432" t="str">
        <f aca="false">IF($A$1="Peak","-",IF(BaseLoad!U234&gt;BaseLoad!$G234,O$8*$Z235,0))</f>
        <v>-</v>
      </c>
      <c r="P235" s="432" t="str">
        <f aca="false">IF($A$1="Peak","-",IF(BaseLoad!V234&gt;BaseLoad!$G234,P$8*$Z235,0))</f>
        <v>-</v>
      </c>
      <c r="Q235" s="432" t="str">
        <f aca="false">IF($A$1="Peak","-",IF(BaseLoad!W234&gt;BaseLoad!$G234,Q$8*$Z235,0))</f>
        <v>-</v>
      </c>
      <c r="R235" s="432" t="str">
        <f aca="false">IF($A$1="Peak","-",IF(BaseLoad!X234&gt;BaseLoad!$G234,R$8*$Z235,0))</f>
        <v>-</v>
      </c>
      <c r="S235" s="432" t="str">
        <f aca="false">IF($A$1="Peak","-",IF(BaseLoad!Y234&gt;BaseLoad!$G234,S$8*$Z235,0))</f>
        <v>-</v>
      </c>
      <c r="T235" s="432" t="str">
        <f aca="false">IF($A$1="Peak","-",IF(BaseLoad!Z234&gt;BaseLoad!$G234,T$8*$Z235,0))</f>
        <v>-</v>
      </c>
      <c r="U235" s="432" t="str">
        <f aca="false">IF($A$1="Peak","-",IF(BaseLoad!AA234&gt;BaseLoad!$G234,U$8*$Z235,0))</f>
        <v>-</v>
      </c>
      <c r="V235" s="432" t="n">
        <f aca="false">SUM(B235:U235)</f>
        <v>0</v>
      </c>
      <c r="W235" s="432"/>
      <c r="X235" s="432"/>
      <c r="Y235" s="432"/>
      <c r="Z235" s="432" t="n">
        <f aca="false">CHOOSE(QUOTIENT(MONTH($A235),3)+1,BaseLoad!$AM$9,BaseLoad!$AN$9,BaseLoad!$AL$9,BaseLoad!$AO$9,BaseLoad!$AM$9)</f>
        <v>0.95</v>
      </c>
      <c r="AA235" s="432" t="n">
        <f aca="false">CHOOSE(QUOTIENT(MONTH($A235),3)+1,BaseLoad!$AM$15,BaseLoad!$AN$15,BaseLoad!$AL$15,BaseLoad!$AO$15,BaseLoad!$AM$15)</f>
        <v>705</v>
      </c>
      <c r="AB235" s="431"/>
      <c r="AD235" s="431"/>
    </row>
    <row r="236" customFormat="false" ht="12.75" hidden="false" customHeight="false" outlineLevel="0" collapsed="false">
      <c r="A236" s="400" t="n">
        <f aca="false">A235+30.417</f>
        <v>43414.242</v>
      </c>
      <c r="B236" s="432" t="str">
        <f aca="false">IF($A$1="Peak","-",IF(BaseLoad!H235&gt;BaseLoad!$G235,B$8*$Z236,0))</f>
        <v>-</v>
      </c>
      <c r="C236" s="432" t="str">
        <f aca="false">IF($A$1="Peak","-",IF(BaseLoad!I235&gt;BaseLoad!$G235,C$8*$Z236,0))</f>
        <v>-</v>
      </c>
      <c r="D236" s="432" t="str">
        <f aca="false">IF($A$1="Peak","-",IF(BaseLoad!J235&gt;BaseLoad!$G235,D$8*$Z236,0))</f>
        <v>-</v>
      </c>
      <c r="E236" s="432" t="str">
        <f aca="false">IF($A$1="Peak","-",IF(BaseLoad!K235&gt;BaseLoad!$G235,E$8*$Z236,0))</f>
        <v>-</v>
      </c>
      <c r="F236" s="432" t="str">
        <f aca="false">IF($A$1="Peak","-",IF(BaseLoad!L235&gt;BaseLoad!$G235,F$8*$Z236,0))</f>
        <v>-</v>
      </c>
      <c r="G236" s="432" t="str">
        <f aca="false">IF($A$1="Peak","-",IF(BaseLoad!M235&gt;BaseLoad!$G235,G$8*$Z236,0))</f>
        <v>-</v>
      </c>
      <c r="H236" s="432" t="str">
        <f aca="false">IF($A$1="Peak","-",IF(BaseLoad!N235&gt;BaseLoad!$G235,H$8*$Z236,0))</f>
        <v>-</v>
      </c>
      <c r="I236" s="432" t="str">
        <f aca="false">IF($A$1="Peak","-",IF(BaseLoad!O235&gt;BaseLoad!$G235,I$8*$Z236,0))</f>
        <v>-</v>
      </c>
      <c r="J236" s="432" t="str">
        <f aca="false">IF($A$1="Peak","-",IF(BaseLoad!P235&gt;BaseLoad!$G235,J$8*$Z236,0))</f>
        <v>-</v>
      </c>
      <c r="K236" s="432" t="str">
        <f aca="false">IF($A$1="Peak","-",IF(BaseLoad!Q235&gt;BaseLoad!$G235,K$8*$Z236,0))</f>
        <v>-</v>
      </c>
      <c r="L236" s="432" t="str">
        <f aca="false">IF($A$1="Peak","-",IF(BaseLoad!R235&gt;BaseLoad!$G235,L$8*$Z236,0))</f>
        <v>-</v>
      </c>
      <c r="M236" s="432" t="str">
        <f aca="false">IF($A$1="Peak","-",IF(BaseLoad!S235&gt;BaseLoad!$G235,M$8*$Z236,0))</f>
        <v>-</v>
      </c>
      <c r="N236" s="432" t="str">
        <f aca="false">IF($A$1="Peak","-",IF(BaseLoad!T235&gt;BaseLoad!$G235,N$8*$Z236,0))</f>
        <v>-</v>
      </c>
      <c r="O236" s="432" t="str">
        <f aca="false">IF($A$1="Peak","-",IF(BaseLoad!U235&gt;BaseLoad!$G235,O$8*$Z236,0))</f>
        <v>-</v>
      </c>
      <c r="P236" s="432" t="str">
        <f aca="false">IF($A$1="Peak","-",IF(BaseLoad!V235&gt;BaseLoad!$G235,P$8*$Z236,0))</f>
        <v>-</v>
      </c>
      <c r="Q236" s="432" t="str">
        <f aca="false">IF($A$1="Peak","-",IF(BaseLoad!W235&gt;BaseLoad!$G235,Q$8*$Z236,0))</f>
        <v>-</v>
      </c>
      <c r="R236" s="432" t="str">
        <f aca="false">IF($A$1="Peak","-",IF(BaseLoad!X235&gt;BaseLoad!$G235,R$8*$Z236,0))</f>
        <v>-</v>
      </c>
      <c r="S236" s="432" t="str">
        <f aca="false">IF($A$1="Peak","-",IF(BaseLoad!Y235&gt;BaseLoad!$G235,S$8*$Z236,0))</f>
        <v>-</v>
      </c>
      <c r="T236" s="432" t="str">
        <f aca="false">IF($A$1="Peak","-",IF(BaseLoad!Z235&gt;BaseLoad!$G235,T$8*$Z236,0))</f>
        <v>-</v>
      </c>
      <c r="U236" s="432" t="str">
        <f aca="false">IF($A$1="Peak","-",IF(BaseLoad!AA235&gt;BaseLoad!$G235,U$8*$Z236,0))</f>
        <v>-</v>
      </c>
      <c r="V236" s="432" t="n">
        <f aca="false">SUM(B236:U236)</f>
        <v>0</v>
      </c>
      <c r="W236" s="432"/>
      <c r="X236" s="432"/>
      <c r="Y236" s="432"/>
      <c r="Z236" s="432" t="n">
        <f aca="false">CHOOSE(QUOTIENT(MONTH($A236),3)+1,BaseLoad!$AM$9,BaseLoad!$AN$9,BaseLoad!$AL$9,BaseLoad!$AO$9,BaseLoad!$AM$9)</f>
        <v>0.95</v>
      </c>
      <c r="AA236" s="432" t="n">
        <f aca="false">CHOOSE(QUOTIENT(MONTH($A236),3)+1,BaseLoad!$AM$15,BaseLoad!$AN$15,BaseLoad!$AL$15,BaseLoad!$AO$15,BaseLoad!$AM$15)</f>
        <v>705</v>
      </c>
      <c r="AB236" s="431"/>
      <c r="AD236" s="431"/>
    </row>
    <row r="237" customFormat="false" ht="12.75" hidden="false" customHeight="false" outlineLevel="0" collapsed="false">
      <c r="A237" s="400" t="n">
        <f aca="false">A236+30.417</f>
        <v>43444.659</v>
      </c>
      <c r="B237" s="432" t="str">
        <f aca="false">IF($A$1="Peak","-",IF(BaseLoad!H236&gt;BaseLoad!$G236,B$8*$Z237,0))</f>
        <v>-</v>
      </c>
      <c r="C237" s="432" t="str">
        <f aca="false">IF($A$1="Peak","-",IF(BaseLoad!I236&gt;BaseLoad!$G236,C$8*$Z237,0))</f>
        <v>-</v>
      </c>
      <c r="D237" s="432" t="str">
        <f aca="false">IF($A$1="Peak","-",IF(BaseLoad!J236&gt;BaseLoad!$G236,D$8*$Z237,0))</f>
        <v>-</v>
      </c>
      <c r="E237" s="432" t="str">
        <f aca="false">IF($A$1="Peak","-",IF(BaseLoad!K236&gt;BaseLoad!$G236,E$8*$Z237,0))</f>
        <v>-</v>
      </c>
      <c r="F237" s="432" t="str">
        <f aca="false">IF($A$1="Peak","-",IF(BaseLoad!L236&gt;BaseLoad!$G236,F$8*$Z237,0))</f>
        <v>-</v>
      </c>
      <c r="G237" s="432" t="str">
        <f aca="false">IF($A$1="Peak","-",IF(BaseLoad!M236&gt;BaseLoad!$G236,G$8*$Z237,0))</f>
        <v>-</v>
      </c>
      <c r="H237" s="432" t="str">
        <f aca="false">IF($A$1="Peak","-",IF(BaseLoad!N236&gt;BaseLoad!$G236,H$8*$Z237,0))</f>
        <v>-</v>
      </c>
      <c r="I237" s="432" t="str">
        <f aca="false">IF($A$1="Peak","-",IF(BaseLoad!O236&gt;BaseLoad!$G236,I$8*$Z237,0))</f>
        <v>-</v>
      </c>
      <c r="J237" s="432" t="str">
        <f aca="false">IF($A$1="Peak","-",IF(BaseLoad!P236&gt;BaseLoad!$G236,J$8*$Z237,0))</f>
        <v>-</v>
      </c>
      <c r="K237" s="432" t="str">
        <f aca="false">IF($A$1="Peak","-",IF(BaseLoad!Q236&gt;BaseLoad!$G236,K$8*$Z237,0))</f>
        <v>-</v>
      </c>
      <c r="L237" s="432" t="str">
        <f aca="false">IF($A$1="Peak","-",IF(BaseLoad!R236&gt;BaseLoad!$G236,L$8*$Z237,0))</f>
        <v>-</v>
      </c>
      <c r="M237" s="432" t="str">
        <f aca="false">IF($A$1="Peak","-",IF(BaseLoad!S236&gt;BaseLoad!$G236,M$8*$Z237,0))</f>
        <v>-</v>
      </c>
      <c r="N237" s="432" t="str">
        <f aca="false">IF($A$1="Peak","-",IF(BaseLoad!T236&gt;BaseLoad!$G236,N$8*$Z237,0))</f>
        <v>-</v>
      </c>
      <c r="O237" s="432" t="str">
        <f aca="false">IF($A$1="Peak","-",IF(BaseLoad!U236&gt;BaseLoad!$G236,O$8*$Z237,0))</f>
        <v>-</v>
      </c>
      <c r="P237" s="432" t="str">
        <f aca="false">IF($A$1="Peak","-",IF(BaseLoad!V236&gt;BaseLoad!$G236,P$8*$Z237,0))</f>
        <v>-</v>
      </c>
      <c r="Q237" s="432" t="str">
        <f aca="false">IF($A$1="Peak","-",IF(BaseLoad!W236&gt;BaseLoad!$G236,Q$8*$Z237,0))</f>
        <v>-</v>
      </c>
      <c r="R237" s="432" t="str">
        <f aca="false">IF($A$1="Peak","-",IF(BaseLoad!X236&gt;BaseLoad!$G236,R$8*$Z237,0))</f>
        <v>-</v>
      </c>
      <c r="S237" s="432" t="str">
        <f aca="false">IF($A$1="Peak","-",IF(BaseLoad!Y236&gt;BaseLoad!$G236,S$8*$Z237,0))</f>
        <v>-</v>
      </c>
      <c r="T237" s="432" t="str">
        <f aca="false">IF($A$1="Peak","-",IF(BaseLoad!Z236&gt;BaseLoad!$G236,T$8*$Z237,0))</f>
        <v>-</v>
      </c>
      <c r="U237" s="432" t="str">
        <f aca="false">IF($A$1="Peak","-",IF(BaseLoad!AA236&gt;BaseLoad!$G236,U$8*$Z237,0))</f>
        <v>-</v>
      </c>
      <c r="V237" s="432" t="n">
        <f aca="false">SUM(B237:U237)</f>
        <v>0</v>
      </c>
      <c r="W237" s="432"/>
      <c r="X237" s="432"/>
      <c r="Y237" s="432" t="n">
        <f aca="false">SUM(V226:V237)</f>
        <v>0</v>
      </c>
      <c r="Z237" s="432" t="n">
        <f aca="false">CHOOSE(QUOTIENT(MONTH($A237),3)+1,BaseLoad!$AM$9,BaseLoad!$AN$9,BaseLoad!$AL$9,BaseLoad!$AO$9,BaseLoad!$AM$9)</f>
        <v>0.924276618786118</v>
      </c>
      <c r="AA237" s="432" t="n">
        <f aca="false">CHOOSE(QUOTIENT(MONTH($A237),3)+1,BaseLoad!$AM$15,BaseLoad!$AN$15,BaseLoad!$AL$15,BaseLoad!$AO$15,BaseLoad!$AM$15)</f>
        <v>705</v>
      </c>
      <c r="AB237" s="431"/>
      <c r="AD237" s="431"/>
    </row>
    <row r="238" customFormat="false" ht="12.75" hidden="false" customHeight="false" outlineLevel="0" collapsed="false">
      <c r="A238" s="400" t="n">
        <f aca="false">A237+30.417</f>
        <v>43475.076</v>
      </c>
      <c r="B238" s="432" t="str">
        <f aca="false">IF($A$1="Peak","-",IF(BaseLoad!H237&gt;BaseLoad!$G237,B$8*$Z238,0))</f>
        <v>-</v>
      </c>
      <c r="C238" s="432" t="str">
        <f aca="false">IF($A$1="Peak","-",IF(BaseLoad!I237&gt;BaseLoad!$G237,C$8*$Z238,0))</f>
        <v>-</v>
      </c>
      <c r="D238" s="432" t="str">
        <f aca="false">IF($A$1="Peak","-",IF(BaseLoad!J237&gt;BaseLoad!$G237,D$8*$Z238,0))</f>
        <v>-</v>
      </c>
      <c r="E238" s="432" t="str">
        <f aca="false">IF($A$1="Peak","-",IF(BaseLoad!K237&gt;BaseLoad!$G237,E$8*$Z238,0))</f>
        <v>-</v>
      </c>
      <c r="F238" s="432" t="str">
        <f aca="false">IF($A$1="Peak","-",IF(BaseLoad!L237&gt;BaseLoad!$G237,F$8*$Z238,0))</f>
        <v>-</v>
      </c>
      <c r="G238" s="432" t="str">
        <f aca="false">IF($A$1="Peak","-",IF(BaseLoad!M237&gt;BaseLoad!$G237,G$8*$Z238,0))</f>
        <v>-</v>
      </c>
      <c r="H238" s="432" t="str">
        <f aca="false">IF($A$1="Peak","-",IF(BaseLoad!N237&gt;BaseLoad!$G237,H$8*$Z238,0))</f>
        <v>-</v>
      </c>
      <c r="I238" s="432" t="str">
        <f aca="false">IF($A$1="Peak","-",IF(BaseLoad!O237&gt;BaseLoad!$G237,I$8*$Z238,0))</f>
        <v>-</v>
      </c>
      <c r="J238" s="432" t="str">
        <f aca="false">IF($A$1="Peak","-",IF(BaseLoad!P237&gt;BaseLoad!$G237,J$8*$Z238,0))</f>
        <v>-</v>
      </c>
      <c r="K238" s="432" t="str">
        <f aca="false">IF($A$1="Peak","-",IF(BaseLoad!Q237&gt;BaseLoad!$G237,K$8*$Z238,0))</f>
        <v>-</v>
      </c>
      <c r="L238" s="432" t="str">
        <f aca="false">IF($A$1="Peak","-",IF(BaseLoad!R237&gt;BaseLoad!$G237,L$8*$Z238,0))</f>
        <v>-</v>
      </c>
      <c r="M238" s="432" t="str">
        <f aca="false">IF($A$1="Peak","-",IF(BaseLoad!S237&gt;BaseLoad!$G237,M$8*$Z238,0))</f>
        <v>-</v>
      </c>
      <c r="N238" s="432" t="str">
        <f aca="false">IF($A$1="Peak","-",IF(BaseLoad!T237&gt;BaseLoad!$G237,N$8*$Z238,0))</f>
        <v>-</v>
      </c>
      <c r="O238" s="432" t="str">
        <f aca="false">IF($A$1="Peak","-",IF(BaseLoad!U237&gt;BaseLoad!$G237,O$8*$Z238,0))</f>
        <v>-</v>
      </c>
      <c r="P238" s="432" t="str">
        <f aca="false">IF($A$1="Peak","-",IF(BaseLoad!V237&gt;BaseLoad!$G237,P$8*$Z238,0))</f>
        <v>-</v>
      </c>
      <c r="Q238" s="432" t="str">
        <f aca="false">IF($A$1="Peak","-",IF(BaseLoad!W237&gt;BaseLoad!$G237,Q$8*$Z238,0))</f>
        <v>-</v>
      </c>
      <c r="R238" s="432" t="str">
        <f aca="false">IF($A$1="Peak","-",IF(BaseLoad!X237&gt;BaseLoad!$G237,R$8*$Z238,0))</f>
        <v>-</v>
      </c>
      <c r="S238" s="432" t="str">
        <f aca="false">IF($A$1="Peak","-",IF(BaseLoad!Y237&gt;BaseLoad!$G237,S$8*$Z238,0))</f>
        <v>-</v>
      </c>
      <c r="T238" s="432" t="str">
        <f aca="false">IF($A$1="Peak","-",IF(BaseLoad!Z237&gt;BaseLoad!$G237,T$8*$Z238,0))</f>
        <v>-</v>
      </c>
      <c r="U238" s="432" t="str">
        <f aca="false">IF($A$1="Peak","-",IF(BaseLoad!AA237&gt;BaseLoad!$G237,U$8*$Z238,0))</f>
        <v>-</v>
      </c>
      <c r="V238" s="432" t="n">
        <f aca="false">SUM(B238:U238)</f>
        <v>0</v>
      </c>
      <c r="W238" s="432"/>
      <c r="X238" s="432"/>
      <c r="Y238" s="432"/>
      <c r="Z238" s="432" t="n">
        <f aca="false">CHOOSE(QUOTIENT(MONTH($A238),3)+1,BaseLoad!$AM$9,BaseLoad!$AN$9,BaseLoad!$AL$9,BaseLoad!$AO$9,BaseLoad!$AM$9)</f>
        <v>0.924276618786118</v>
      </c>
      <c r="AA238" s="432" t="n">
        <f aca="false">CHOOSE(QUOTIENT(MONTH($A238),3)+1,BaseLoad!$AM$15,BaseLoad!$AN$15,BaseLoad!$AL$15,BaseLoad!$AO$15,BaseLoad!$AM$15)</f>
        <v>705</v>
      </c>
      <c r="AB238" s="431"/>
      <c r="AD238" s="431"/>
    </row>
    <row r="239" customFormat="false" ht="12.75" hidden="false" customHeight="false" outlineLevel="0" collapsed="false">
      <c r="A239" s="400" t="n">
        <f aca="false">A238+30.417</f>
        <v>43505.493</v>
      </c>
      <c r="B239" s="432" t="str">
        <f aca="false">IF($A$1="Peak","-",IF(BaseLoad!H238&gt;BaseLoad!$G238,B$8*$Z239,0))</f>
        <v>-</v>
      </c>
      <c r="C239" s="432" t="str">
        <f aca="false">IF($A$1="Peak","-",IF(BaseLoad!I238&gt;BaseLoad!$G238,C$8*$Z239,0))</f>
        <v>-</v>
      </c>
      <c r="D239" s="432" t="str">
        <f aca="false">IF($A$1="Peak","-",IF(BaseLoad!J238&gt;BaseLoad!$G238,D$8*$Z239,0))</f>
        <v>-</v>
      </c>
      <c r="E239" s="432" t="str">
        <f aca="false">IF($A$1="Peak","-",IF(BaseLoad!K238&gt;BaseLoad!$G238,E$8*$Z239,0))</f>
        <v>-</v>
      </c>
      <c r="F239" s="432" t="str">
        <f aca="false">IF($A$1="Peak","-",IF(BaseLoad!L238&gt;BaseLoad!$G238,F$8*$Z239,0))</f>
        <v>-</v>
      </c>
      <c r="G239" s="432" t="str">
        <f aca="false">IF($A$1="Peak","-",IF(BaseLoad!M238&gt;BaseLoad!$G238,G$8*$Z239,0))</f>
        <v>-</v>
      </c>
      <c r="H239" s="432" t="str">
        <f aca="false">IF($A$1="Peak","-",IF(BaseLoad!N238&gt;BaseLoad!$G238,H$8*$Z239,0))</f>
        <v>-</v>
      </c>
      <c r="I239" s="432" t="str">
        <f aca="false">IF($A$1="Peak","-",IF(BaseLoad!O238&gt;BaseLoad!$G238,I$8*$Z239,0))</f>
        <v>-</v>
      </c>
      <c r="J239" s="432" t="str">
        <f aca="false">IF($A$1="Peak","-",IF(BaseLoad!P238&gt;BaseLoad!$G238,J$8*$Z239,0))</f>
        <v>-</v>
      </c>
      <c r="K239" s="432" t="str">
        <f aca="false">IF($A$1="Peak","-",IF(BaseLoad!Q238&gt;BaseLoad!$G238,K$8*$Z239,0))</f>
        <v>-</v>
      </c>
      <c r="L239" s="432" t="str">
        <f aca="false">IF($A$1="Peak","-",IF(BaseLoad!R238&gt;BaseLoad!$G238,L$8*$Z239,0))</f>
        <v>-</v>
      </c>
      <c r="M239" s="432" t="str">
        <f aca="false">IF($A$1="Peak","-",IF(BaseLoad!S238&gt;BaseLoad!$G238,M$8*$Z239,0))</f>
        <v>-</v>
      </c>
      <c r="N239" s="432" t="str">
        <f aca="false">IF($A$1="Peak","-",IF(BaseLoad!T238&gt;BaseLoad!$G238,N$8*$Z239,0))</f>
        <v>-</v>
      </c>
      <c r="O239" s="432" t="str">
        <f aca="false">IF($A$1="Peak","-",IF(BaseLoad!U238&gt;BaseLoad!$G238,O$8*$Z239,0))</f>
        <v>-</v>
      </c>
      <c r="P239" s="432" t="str">
        <f aca="false">IF($A$1="Peak","-",IF(BaseLoad!V238&gt;BaseLoad!$G238,P$8*$Z239,0))</f>
        <v>-</v>
      </c>
      <c r="Q239" s="432" t="str">
        <f aca="false">IF($A$1="Peak","-",IF(BaseLoad!W238&gt;BaseLoad!$G238,Q$8*$Z239,0))</f>
        <v>-</v>
      </c>
      <c r="R239" s="432" t="str">
        <f aca="false">IF($A$1="Peak","-",IF(BaseLoad!X238&gt;BaseLoad!$G238,R$8*$Z239,0))</f>
        <v>-</v>
      </c>
      <c r="S239" s="432" t="str">
        <f aca="false">IF($A$1="Peak","-",IF(BaseLoad!Y238&gt;BaseLoad!$G238,S$8*$Z239,0))</f>
        <v>-</v>
      </c>
      <c r="T239" s="432" t="str">
        <f aca="false">IF($A$1="Peak","-",IF(BaseLoad!Z238&gt;BaseLoad!$G238,T$8*$Z239,0))</f>
        <v>-</v>
      </c>
      <c r="U239" s="432" t="str">
        <f aca="false">IF($A$1="Peak","-",IF(BaseLoad!AA238&gt;BaseLoad!$G238,U$8*$Z239,0))</f>
        <v>-</v>
      </c>
      <c r="V239" s="432" t="n">
        <f aca="false">SUM(B239:U239)</f>
        <v>0</v>
      </c>
      <c r="W239" s="432"/>
      <c r="X239" s="432"/>
      <c r="Y239" s="432"/>
      <c r="Z239" s="432" t="n">
        <f aca="false">CHOOSE(QUOTIENT(MONTH($A239),3)+1,BaseLoad!$AM$9,BaseLoad!$AN$9,BaseLoad!$AL$9,BaseLoad!$AO$9,BaseLoad!$AM$9)</f>
        <v>0.924276618786118</v>
      </c>
      <c r="AA239" s="432" t="n">
        <f aca="false">CHOOSE(QUOTIENT(MONTH($A239),3)+1,BaseLoad!$AM$15,BaseLoad!$AN$15,BaseLoad!$AL$15,BaseLoad!$AO$15,BaseLoad!$AM$15)</f>
        <v>705</v>
      </c>
      <c r="AB239" s="431"/>
      <c r="AD239" s="431"/>
    </row>
    <row r="240" customFormat="false" ht="12.75" hidden="false" customHeight="false" outlineLevel="0" collapsed="false">
      <c r="A240" s="400" t="n">
        <f aca="false">A239+30.417</f>
        <v>43535.91</v>
      </c>
      <c r="B240" s="432" t="str">
        <f aca="false">IF($A$1="Peak","-",IF(BaseLoad!H239&gt;BaseLoad!$G239,B$8*$Z240,0))</f>
        <v>-</v>
      </c>
      <c r="C240" s="432" t="str">
        <f aca="false">IF($A$1="Peak","-",IF(BaseLoad!I239&gt;BaseLoad!$G239,C$8*$Z240,0))</f>
        <v>-</v>
      </c>
      <c r="D240" s="432" t="str">
        <f aca="false">IF($A$1="Peak","-",IF(BaseLoad!J239&gt;BaseLoad!$G239,D$8*$Z240,0))</f>
        <v>-</v>
      </c>
      <c r="E240" s="432" t="str">
        <f aca="false">IF($A$1="Peak","-",IF(BaseLoad!K239&gt;BaseLoad!$G239,E$8*$Z240,0))</f>
        <v>-</v>
      </c>
      <c r="F240" s="432" t="str">
        <f aca="false">IF($A$1="Peak","-",IF(BaseLoad!L239&gt;BaseLoad!$G239,F$8*$Z240,0))</f>
        <v>-</v>
      </c>
      <c r="G240" s="432" t="str">
        <f aca="false">IF($A$1="Peak","-",IF(BaseLoad!M239&gt;BaseLoad!$G239,G$8*$Z240,0))</f>
        <v>-</v>
      </c>
      <c r="H240" s="432" t="str">
        <f aca="false">IF($A$1="Peak","-",IF(BaseLoad!N239&gt;BaseLoad!$G239,H$8*$Z240,0))</f>
        <v>-</v>
      </c>
      <c r="I240" s="432" t="str">
        <f aca="false">IF($A$1="Peak","-",IF(BaseLoad!O239&gt;BaseLoad!$G239,I$8*$Z240,0))</f>
        <v>-</v>
      </c>
      <c r="J240" s="432" t="str">
        <f aca="false">IF($A$1="Peak","-",IF(BaseLoad!P239&gt;BaseLoad!$G239,J$8*$Z240,0))</f>
        <v>-</v>
      </c>
      <c r="K240" s="432" t="str">
        <f aca="false">IF($A$1="Peak","-",IF(BaseLoad!Q239&gt;BaseLoad!$G239,K$8*$Z240,0))</f>
        <v>-</v>
      </c>
      <c r="L240" s="432" t="str">
        <f aca="false">IF($A$1="Peak","-",IF(BaseLoad!R239&gt;BaseLoad!$G239,L$8*$Z240,0))</f>
        <v>-</v>
      </c>
      <c r="M240" s="432" t="str">
        <f aca="false">IF($A$1="Peak","-",IF(BaseLoad!S239&gt;BaseLoad!$G239,M$8*$Z240,0))</f>
        <v>-</v>
      </c>
      <c r="N240" s="432" t="str">
        <f aca="false">IF($A$1="Peak","-",IF(BaseLoad!T239&gt;BaseLoad!$G239,N$8*$Z240,0))</f>
        <v>-</v>
      </c>
      <c r="O240" s="432" t="str">
        <f aca="false">IF($A$1="Peak","-",IF(BaseLoad!U239&gt;BaseLoad!$G239,O$8*$Z240,0))</f>
        <v>-</v>
      </c>
      <c r="P240" s="432" t="str">
        <f aca="false">IF($A$1="Peak","-",IF(BaseLoad!V239&gt;BaseLoad!$G239,P$8*$Z240,0))</f>
        <v>-</v>
      </c>
      <c r="Q240" s="432" t="str">
        <f aca="false">IF($A$1="Peak","-",IF(BaseLoad!W239&gt;BaseLoad!$G239,Q$8*$Z240,0))</f>
        <v>-</v>
      </c>
      <c r="R240" s="432" t="str">
        <f aca="false">IF($A$1="Peak","-",IF(BaseLoad!X239&gt;BaseLoad!$G239,R$8*$Z240,0))</f>
        <v>-</v>
      </c>
      <c r="S240" s="432" t="str">
        <f aca="false">IF($A$1="Peak","-",IF(BaseLoad!Y239&gt;BaseLoad!$G239,S$8*$Z240,0))</f>
        <v>-</v>
      </c>
      <c r="T240" s="432" t="str">
        <f aca="false">IF($A$1="Peak","-",IF(BaseLoad!Z239&gt;BaseLoad!$G239,T$8*$Z240,0))</f>
        <v>-</v>
      </c>
      <c r="U240" s="432" t="str">
        <f aca="false">IF($A$1="Peak","-",IF(BaseLoad!AA239&gt;BaseLoad!$G239,U$8*$Z240,0))</f>
        <v>-</v>
      </c>
      <c r="V240" s="432" t="n">
        <f aca="false">SUM(B240:U240)</f>
        <v>0</v>
      </c>
      <c r="W240" s="432"/>
      <c r="X240" s="432"/>
      <c r="Y240" s="432"/>
      <c r="Z240" s="432" t="n">
        <f aca="false">CHOOSE(QUOTIENT(MONTH($A240),3)+1,BaseLoad!$AM$9,BaseLoad!$AN$9,BaseLoad!$AL$9,BaseLoad!$AO$9,BaseLoad!$AM$9)</f>
        <v>0.95</v>
      </c>
      <c r="AA240" s="432" t="n">
        <f aca="false">CHOOSE(QUOTIENT(MONTH($A240),3)+1,BaseLoad!$AM$15,BaseLoad!$AN$15,BaseLoad!$AL$15,BaseLoad!$AO$15,BaseLoad!$AM$15)</f>
        <v>705</v>
      </c>
      <c r="AB240" s="431"/>
      <c r="AD240" s="431"/>
    </row>
    <row r="241" customFormat="false" ht="12.75" hidden="false" customHeight="false" outlineLevel="0" collapsed="false">
      <c r="A241" s="400" t="n">
        <f aca="false">A240+30.417</f>
        <v>43566.327</v>
      </c>
      <c r="B241" s="432" t="str">
        <f aca="false">IF($A$1="Peak","-",IF(BaseLoad!H240&gt;BaseLoad!$G240,B$8*$Z241,0))</f>
        <v>-</v>
      </c>
      <c r="C241" s="432" t="str">
        <f aca="false">IF($A$1="Peak","-",IF(BaseLoad!I240&gt;BaseLoad!$G240,C$8*$Z241,0))</f>
        <v>-</v>
      </c>
      <c r="D241" s="432" t="str">
        <f aca="false">IF($A$1="Peak","-",IF(BaseLoad!J240&gt;BaseLoad!$G240,D$8*$Z241,0))</f>
        <v>-</v>
      </c>
      <c r="E241" s="432" t="str">
        <f aca="false">IF($A$1="Peak","-",IF(BaseLoad!K240&gt;BaseLoad!$G240,E$8*$Z241,0))</f>
        <v>-</v>
      </c>
      <c r="F241" s="432" t="str">
        <f aca="false">IF($A$1="Peak","-",IF(BaseLoad!L240&gt;BaseLoad!$G240,F$8*$Z241,0))</f>
        <v>-</v>
      </c>
      <c r="G241" s="432" t="str">
        <f aca="false">IF($A$1="Peak","-",IF(BaseLoad!M240&gt;BaseLoad!$G240,G$8*$Z241,0))</f>
        <v>-</v>
      </c>
      <c r="H241" s="432" t="str">
        <f aca="false">IF($A$1="Peak","-",IF(BaseLoad!N240&gt;BaseLoad!$G240,H$8*$Z241,0))</f>
        <v>-</v>
      </c>
      <c r="I241" s="432" t="str">
        <f aca="false">IF($A$1="Peak","-",IF(BaseLoad!O240&gt;BaseLoad!$G240,I$8*$Z241,0))</f>
        <v>-</v>
      </c>
      <c r="J241" s="432" t="str">
        <f aca="false">IF($A$1="Peak","-",IF(BaseLoad!P240&gt;BaseLoad!$G240,J$8*$Z241,0))</f>
        <v>-</v>
      </c>
      <c r="K241" s="432" t="str">
        <f aca="false">IF($A$1="Peak","-",IF(BaseLoad!Q240&gt;BaseLoad!$G240,K$8*$Z241,0))</f>
        <v>-</v>
      </c>
      <c r="L241" s="432" t="str">
        <f aca="false">IF($A$1="Peak","-",IF(BaseLoad!R240&gt;BaseLoad!$G240,L$8*$Z241,0))</f>
        <v>-</v>
      </c>
      <c r="M241" s="432" t="str">
        <f aca="false">IF($A$1="Peak","-",IF(BaseLoad!S240&gt;BaseLoad!$G240,M$8*$Z241,0))</f>
        <v>-</v>
      </c>
      <c r="N241" s="432" t="str">
        <f aca="false">IF($A$1="Peak","-",IF(BaseLoad!T240&gt;BaseLoad!$G240,N$8*$Z241,0))</f>
        <v>-</v>
      </c>
      <c r="O241" s="432" t="str">
        <f aca="false">IF($A$1="Peak","-",IF(BaseLoad!U240&gt;BaseLoad!$G240,O$8*$Z241,0))</f>
        <v>-</v>
      </c>
      <c r="P241" s="432" t="str">
        <f aca="false">IF($A$1="Peak","-",IF(BaseLoad!V240&gt;BaseLoad!$G240,P$8*$Z241,0))</f>
        <v>-</v>
      </c>
      <c r="Q241" s="432" t="str">
        <f aca="false">IF($A$1="Peak","-",IF(BaseLoad!W240&gt;BaseLoad!$G240,Q$8*$Z241,0))</f>
        <v>-</v>
      </c>
      <c r="R241" s="432" t="str">
        <f aca="false">IF($A$1="Peak","-",IF(BaseLoad!X240&gt;BaseLoad!$G240,R$8*$Z241,0))</f>
        <v>-</v>
      </c>
      <c r="S241" s="432" t="str">
        <f aca="false">IF($A$1="Peak","-",IF(BaseLoad!Y240&gt;BaseLoad!$G240,S$8*$Z241,0))</f>
        <v>-</v>
      </c>
      <c r="T241" s="432" t="str">
        <f aca="false">IF($A$1="Peak","-",IF(BaseLoad!Z240&gt;BaseLoad!$G240,T$8*$Z241,0))</f>
        <v>-</v>
      </c>
      <c r="U241" s="432" t="str">
        <f aca="false">IF($A$1="Peak","-",IF(BaseLoad!AA240&gt;BaseLoad!$G240,U$8*$Z241,0))</f>
        <v>-</v>
      </c>
      <c r="V241" s="432" t="n">
        <f aca="false">SUM(B241:U241)</f>
        <v>0</v>
      </c>
      <c r="W241" s="432"/>
      <c r="X241" s="432"/>
      <c r="Y241" s="432"/>
      <c r="Z241" s="432" t="n">
        <f aca="false">CHOOSE(QUOTIENT(MONTH($A241),3)+1,BaseLoad!$AM$9,BaseLoad!$AN$9,BaseLoad!$AL$9,BaseLoad!$AO$9,BaseLoad!$AM$9)</f>
        <v>0.95</v>
      </c>
      <c r="AA241" s="432" t="n">
        <f aca="false">CHOOSE(QUOTIENT(MONTH($A241),3)+1,BaseLoad!$AM$15,BaseLoad!$AN$15,BaseLoad!$AL$15,BaseLoad!$AO$15,BaseLoad!$AM$15)</f>
        <v>705</v>
      </c>
      <c r="AB241" s="431"/>
      <c r="AD241" s="431"/>
    </row>
    <row r="242" customFormat="false" ht="12.75" hidden="false" customHeight="false" outlineLevel="0" collapsed="false">
      <c r="A242" s="400" t="n">
        <f aca="false">A241+30.417</f>
        <v>43596.744</v>
      </c>
      <c r="B242" s="432" t="str">
        <f aca="false">IF($A$1="Peak","-",IF(BaseLoad!H241&gt;BaseLoad!$G241,B$8*$Z242,0))</f>
        <v>-</v>
      </c>
      <c r="C242" s="432" t="str">
        <f aca="false">IF($A$1="Peak","-",IF(BaseLoad!I241&gt;BaseLoad!$G241,C$8*$Z242,0))</f>
        <v>-</v>
      </c>
      <c r="D242" s="432" t="str">
        <f aca="false">IF($A$1="Peak","-",IF(BaseLoad!J241&gt;BaseLoad!$G241,D$8*$Z242,0))</f>
        <v>-</v>
      </c>
      <c r="E242" s="432" t="str">
        <f aca="false">IF($A$1="Peak","-",IF(BaseLoad!K241&gt;BaseLoad!$G241,E$8*$Z242,0))</f>
        <v>-</v>
      </c>
      <c r="F242" s="432" t="str">
        <f aca="false">IF($A$1="Peak","-",IF(BaseLoad!L241&gt;BaseLoad!$G241,F$8*$Z242,0))</f>
        <v>-</v>
      </c>
      <c r="G242" s="432" t="str">
        <f aca="false">IF($A$1="Peak","-",IF(BaseLoad!M241&gt;BaseLoad!$G241,G$8*$Z242,0))</f>
        <v>-</v>
      </c>
      <c r="H242" s="432" t="str">
        <f aca="false">IF($A$1="Peak","-",IF(BaseLoad!N241&gt;BaseLoad!$G241,H$8*$Z242,0))</f>
        <v>-</v>
      </c>
      <c r="I242" s="432" t="str">
        <f aca="false">IF($A$1="Peak","-",IF(BaseLoad!O241&gt;BaseLoad!$G241,I$8*$Z242,0))</f>
        <v>-</v>
      </c>
      <c r="J242" s="432" t="str">
        <f aca="false">IF($A$1="Peak","-",IF(BaseLoad!P241&gt;BaseLoad!$G241,J$8*$Z242,0))</f>
        <v>-</v>
      </c>
      <c r="K242" s="432" t="str">
        <f aca="false">IF($A$1="Peak","-",IF(BaseLoad!Q241&gt;BaseLoad!$G241,K$8*$Z242,0))</f>
        <v>-</v>
      </c>
      <c r="L242" s="432" t="str">
        <f aca="false">IF($A$1="Peak","-",IF(BaseLoad!R241&gt;BaseLoad!$G241,L$8*$Z242,0))</f>
        <v>-</v>
      </c>
      <c r="M242" s="432" t="str">
        <f aca="false">IF($A$1="Peak","-",IF(BaseLoad!S241&gt;BaseLoad!$G241,M$8*$Z242,0))</f>
        <v>-</v>
      </c>
      <c r="N242" s="432" t="str">
        <f aca="false">IF($A$1="Peak","-",IF(BaseLoad!T241&gt;BaseLoad!$G241,N$8*$Z242,0))</f>
        <v>-</v>
      </c>
      <c r="O242" s="432" t="str">
        <f aca="false">IF($A$1="Peak","-",IF(BaseLoad!U241&gt;BaseLoad!$G241,O$8*$Z242,0))</f>
        <v>-</v>
      </c>
      <c r="P242" s="432" t="str">
        <f aca="false">IF($A$1="Peak","-",IF(BaseLoad!V241&gt;BaseLoad!$G241,P$8*$Z242,0))</f>
        <v>-</v>
      </c>
      <c r="Q242" s="432" t="str">
        <f aca="false">IF($A$1="Peak","-",IF(BaseLoad!W241&gt;BaseLoad!$G241,Q$8*$Z242,0))</f>
        <v>-</v>
      </c>
      <c r="R242" s="432" t="str">
        <f aca="false">IF($A$1="Peak","-",IF(BaseLoad!X241&gt;BaseLoad!$G241,R$8*$Z242,0))</f>
        <v>-</v>
      </c>
      <c r="S242" s="432" t="str">
        <f aca="false">IF($A$1="Peak","-",IF(BaseLoad!Y241&gt;BaseLoad!$G241,S$8*$Z242,0))</f>
        <v>-</v>
      </c>
      <c r="T242" s="432" t="str">
        <f aca="false">IF($A$1="Peak","-",IF(BaseLoad!Z241&gt;BaseLoad!$G241,T$8*$Z242,0))</f>
        <v>-</v>
      </c>
      <c r="U242" s="432" t="str">
        <f aca="false">IF($A$1="Peak","-",IF(BaseLoad!AA241&gt;BaseLoad!$G241,U$8*$Z242,0))</f>
        <v>-</v>
      </c>
      <c r="V242" s="432" t="n">
        <f aca="false">SUM(B242:U242)</f>
        <v>0</v>
      </c>
      <c r="W242" s="432"/>
      <c r="X242" s="432"/>
      <c r="Y242" s="432"/>
      <c r="Z242" s="432" t="n">
        <f aca="false">CHOOSE(QUOTIENT(MONTH($A242),3)+1,BaseLoad!$AM$9,BaseLoad!$AN$9,BaseLoad!$AL$9,BaseLoad!$AO$9,BaseLoad!$AM$9)</f>
        <v>0.95</v>
      </c>
      <c r="AA242" s="432" t="n">
        <f aca="false">CHOOSE(QUOTIENT(MONTH($A242),3)+1,BaseLoad!$AM$15,BaseLoad!$AN$15,BaseLoad!$AL$15,BaseLoad!$AO$15,BaseLoad!$AM$15)</f>
        <v>705</v>
      </c>
      <c r="AB242" s="431"/>
      <c r="AD242" s="431"/>
    </row>
    <row r="243" customFormat="false" ht="12.75" hidden="false" customHeight="false" outlineLevel="0" collapsed="false">
      <c r="A243" s="400" t="n">
        <f aca="false">A242+30.417</f>
        <v>43627.161</v>
      </c>
      <c r="B243" s="432" t="str">
        <f aca="false">IF($A$1="Peak","-",IF(BaseLoad!H242&gt;BaseLoad!$G242,B$8*$Z243,0))</f>
        <v>-</v>
      </c>
      <c r="C243" s="432" t="str">
        <f aca="false">IF($A$1="Peak","-",IF(BaseLoad!I242&gt;BaseLoad!$G242,C$8*$Z243,0))</f>
        <v>-</v>
      </c>
      <c r="D243" s="432" t="str">
        <f aca="false">IF($A$1="Peak","-",IF(BaseLoad!J242&gt;BaseLoad!$G242,D$8*$Z243,0))</f>
        <v>-</v>
      </c>
      <c r="E243" s="432" t="str">
        <f aca="false">IF($A$1="Peak","-",IF(BaseLoad!K242&gt;BaseLoad!$G242,E$8*$Z243,0))</f>
        <v>-</v>
      </c>
      <c r="F243" s="432" t="str">
        <f aca="false">IF($A$1="Peak","-",IF(BaseLoad!L242&gt;BaseLoad!$G242,F$8*$Z243,0))</f>
        <v>-</v>
      </c>
      <c r="G243" s="432" t="str">
        <f aca="false">IF($A$1="Peak","-",IF(BaseLoad!M242&gt;BaseLoad!$G242,G$8*$Z243,0))</f>
        <v>-</v>
      </c>
      <c r="H243" s="432" t="str">
        <f aca="false">IF($A$1="Peak","-",IF(BaseLoad!N242&gt;BaseLoad!$G242,H$8*$Z243,0))</f>
        <v>-</v>
      </c>
      <c r="I243" s="432" t="str">
        <f aca="false">IF($A$1="Peak","-",IF(BaseLoad!O242&gt;BaseLoad!$G242,I$8*$Z243,0))</f>
        <v>-</v>
      </c>
      <c r="J243" s="432" t="str">
        <f aca="false">IF($A$1="Peak","-",IF(BaseLoad!P242&gt;BaseLoad!$G242,J$8*$Z243,0))</f>
        <v>-</v>
      </c>
      <c r="K243" s="432" t="str">
        <f aca="false">IF($A$1="Peak","-",IF(BaseLoad!Q242&gt;BaseLoad!$G242,K$8*$Z243,0))</f>
        <v>-</v>
      </c>
      <c r="L243" s="432" t="str">
        <f aca="false">IF($A$1="Peak","-",IF(BaseLoad!R242&gt;BaseLoad!$G242,L$8*$Z243,0))</f>
        <v>-</v>
      </c>
      <c r="M243" s="432" t="str">
        <f aca="false">IF($A$1="Peak","-",IF(BaseLoad!S242&gt;BaseLoad!$G242,M$8*$Z243,0))</f>
        <v>-</v>
      </c>
      <c r="N243" s="432" t="str">
        <f aca="false">IF($A$1="Peak","-",IF(BaseLoad!T242&gt;BaseLoad!$G242,N$8*$Z243,0))</f>
        <v>-</v>
      </c>
      <c r="O243" s="432" t="str">
        <f aca="false">IF($A$1="Peak","-",IF(BaseLoad!U242&gt;BaseLoad!$G242,O$8*$Z243,0))</f>
        <v>-</v>
      </c>
      <c r="P243" s="432" t="str">
        <f aca="false">IF($A$1="Peak","-",IF(BaseLoad!V242&gt;BaseLoad!$G242,P$8*$Z243,0))</f>
        <v>-</v>
      </c>
      <c r="Q243" s="432" t="str">
        <f aca="false">IF($A$1="Peak","-",IF(BaseLoad!W242&gt;BaseLoad!$G242,Q$8*$Z243,0))</f>
        <v>-</v>
      </c>
      <c r="R243" s="432" t="str">
        <f aca="false">IF($A$1="Peak","-",IF(BaseLoad!X242&gt;BaseLoad!$G242,R$8*$Z243,0))</f>
        <v>-</v>
      </c>
      <c r="S243" s="432" t="str">
        <f aca="false">IF($A$1="Peak","-",IF(BaseLoad!Y242&gt;BaseLoad!$G242,S$8*$Z243,0))</f>
        <v>-</v>
      </c>
      <c r="T243" s="432" t="str">
        <f aca="false">IF($A$1="Peak","-",IF(BaseLoad!Z242&gt;BaseLoad!$G242,T$8*$Z243,0))</f>
        <v>-</v>
      </c>
      <c r="U243" s="432" t="str">
        <f aca="false">IF($A$1="Peak","-",IF(BaseLoad!AA242&gt;BaseLoad!$G242,U$8*$Z243,0))</f>
        <v>-</v>
      </c>
      <c r="V243" s="432" t="n">
        <f aca="false">SUM(B243:U243)</f>
        <v>0</v>
      </c>
      <c r="W243" s="432"/>
      <c r="X243" s="432"/>
      <c r="Y243" s="432"/>
      <c r="Z243" s="432" t="n">
        <f aca="false">CHOOSE(QUOTIENT(MONTH($A243),3)+1,BaseLoad!$AM$9,BaseLoad!$AN$9,BaseLoad!$AL$9,BaseLoad!$AO$9,BaseLoad!$AM$9)</f>
        <v>0.966121359095586</v>
      </c>
      <c r="AA243" s="432" t="n">
        <f aca="false">CHOOSE(QUOTIENT(MONTH($A243),3)+1,BaseLoad!$AM$15,BaseLoad!$AN$15,BaseLoad!$AL$15,BaseLoad!$AO$15,BaseLoad!$AM$15)</f>
        <v>705</v>
      </c>
      <c r="AB243" s="431"/>
      <c r="AD243" s="431"/>
    </row>
    <row r="244" customFormat="false" ht="12.75" hidden="false" customHeight="false" outlineLevel="0" collapsed="false">
      <c r="A244" s="400" t="n">
        <f aca="false">A243+30.417</f>
        <v>43657.578</v>
      </c>
      <c r="B244" s="432" t="str">
        <f aca="false">IF($A$1="Peak","-",IF(BaseLoad!H243&gt;BaseLoad!$G243,B$8*$Z244,0))</f>
        <v>-</v>
      </c>
      <c r="C244" s="432" t="str">
        <f aca="false">IF($A$1="Peak","-",IF(BaseLoad!I243&gt;BaseLoad!$G243,C$8*$Z244,0))</f>
        <v>-</v>
      </c>
      <c r="D244" s="432" t="str">
        <f aca="false">IF($A$1="Peak","-",IF(BaseLoad!J243&gt;BaseLoad!$G243,D$8*$Z244,0))</f>
        <v>-</v>
      </c>
      <c r="E244" s="432" t="str">
        <f aca="false">IF($A$1="Peak","-",IF(BaseLoad!K243&gt;BaseLoad!$G243,E$8*$Z244,0))</f>
        <v>-</v>
      </c>
      <c r="F244" s="432" t="str">
        <f aca="false">IF($A$1="Peak","-",IF(BaseLoad!L243&gt;BaseLoad!$G243,F$8*$Z244,0))</f>
        <v>-</v>
      </c>
      <c r="G244" s="432" t="str">
        <f aca="false">IF($A$1="Peak","-",IF(BaseLoad!M243&gt;BaseLoad!$G243,G$8*$Z244,0))</f>
        <v>-</v>
      </c>
      <c r="H244" s="432" t="str">
        <f aca="false">IF($A$1="Peak","-",IF(BaseLoad!N243&gt;BaseLoad!$G243,H$8*$Z244,0))</f>
        <v>-</v>
      </c>
      <c r="I244" s="432" t="str">
        <f aca="false">IF($A$1="Peak","-",IF(BaseLoad!O243&gt;BaseLoad!$G243,I$8*$Z244,0))</f>
        <v>-</v>
      </c>
      <c r="J244" s="432" t="str">
        <f aca="false">IF($A$1="Peak","-",IF(BaseLoad!P243&gt;BaseLoad!$G243,J$8*$Z244,0))</f>
        <v>-</v>
      </c>
      <c r="K244" s="432" t="str">
        <f aca="false">IF($A$1="Peak","-",IF(BaseLoad!Q243&gt;BaseLoad!$G243,K$8*$Z244,0))</f>
        <v>-</v>
      </c>
      <c r="L244" s="432" t="str">
        <f aca="false">IF($A$1="Peak","-",IF(BaseLoad!R243&gt;BaseLoad!$G243,L$8*$Z244,0))</f>
        <v>-</v>
      </c>
      <c r="M244" s="432" t="str">
        <f aca="false">IF($A$1="Peak","-",IF(BaseLoad!S243&gt;BaseLoad!$G243,M$8*$Z244,0))</f>
        <v>-</v>
      </c>
      <c r="N244" s="432" t="str">
        <f aca="false">IF($A$1="Peak","-",IF(BaseLoad!T243&gt;BaseLoad!$G243,N$8*$Z244,0))</f>
        <v>-</v>
      </c>
      <c r="O244" s="432" t="str">
        <f aca="false">IF($A$1="Peak","-",IF(BaseLoad!U243&gt;BaseLoad!$G243,O$8*$Z244,0))</f>
        <v>-</v>
      </c>
      <c r="P244" s="432" t="str">
        <f aca="false">IF($A$1="Peak","-",IF(BaseLoad!V243&gt;BaseLoad!$G243,P$8*$Z244,0))</f>
        <v>-</v>
      </c>
      <c r="Q244" s="432" t="str">
        <f aca="false">IF($A$1="Peak","-",IF(BaseLoad!W243&gt;BaseLoad!$G243,Q$8*$Z244,0))</f>
        <v>-</v>
      </c>
      <c r="R244" s="432" t="str">
        <f aca="false">IF($A$1="Peak","-",IF(BaseLoad!X243&gt;BaseLoad!$G243,R$8*$Z244,0))</f>
        <v>-</v>
      </c>
      <c r="S244" s="432" t="str">
        <f aca="false">IF($A$1="Peak","-",IF(BaseLoad!Y243&gt;BaseLoad!$G243,S$8*$Z244,0))</f>
        <v>-</v>
      </c>
      <c r="T244" s="432" t="str">
        <f aca="false">IF($A$1="Peak","-",IF(BaseLoad!Z243&gt;BaseLoad!$G243,T$8*$Z244,0))</f>
        <v>-</v>
      </c>
      <c r="U244" s="432" t="str">
        <f aca="false">IF($A$1="Peak","-",IF(BaseLoad!AA243&gt;BaseLoad!$G243,U$8*$Z244,0))</f>
        <v>-</v>
      </c>
      <c r="V244" s="432" t="n">
        <f aca="false">SUM(B244:U244)</f>
        <v>0</v>
      </c>
      <c r="W244" s="432"/>
      <c r="X244" s="432"/>
      <c r="Y244" s="432"/>
      <c r="Z244" s="432" t="n">
        <f aca="false">CHOOSE(QUOTIENT(MONTH($A244),3)+1,BaseLoad!$AM$9,BaseLoad!$AN$9,BaseLoad!$AL$9,BaseLoad!$AO$9,BaseLoad!$AM$9)</f>
        <v>0.966121359095586</v>
      </c>
      <c r="AA244" s="432" t="n">
        <f aca="false">CHOOSE(QUOTIENT(MONTH($A244),3)+1,BaseLoad!$AM$15,BaseLoad!$AN$15,BaseLoad!$AL$15,BaseLoad!$AO$15,BaseLoad!$AM$15)</f>
        <v>705</v>
      </c>
      <c r="AB244" s="431"/>
      <c r="AD244" s="431"/>
    </row>
    <row r="245" customFormat="false" ht="12.75" hidden="false" customHeight="false" outlineLevel="0" collapsed="false">
      <c r="A245" s="400" t="n">
        <f aca="false">A244+30.417</f>
        <v>43687.995</v>
      </c>
      <c r="B245" s="432" t="str">
        <f aca="false">IF($A$1="Peak","-",IF(BaseLoad!H244&gt;BaseLoad!$G244,B$8*$Z245,0))</f>
        <v>-</v>
      </c>
      <c r="C245" s="432" t="str">
        <f aca="false">IF($A$1="Peak","-",IF(BaseLoad!I244&gt;BaseLoad!$G244,C$8*$Z245,0))</f>
        <v>-</v>
      </c>
      <c r="D245" s="432" t="str">
        <f aca="false">IF($A$1="Peak","-",IF(BaseLoad!J244&gt;BaseLoad!$G244,D$8*$Z245,0))</f>
        <v>-</v>
      </c>
      <c r="E245" s="432" t="str">
        <f aca="false">IF($A$1="Peak","-",IF(BaseLoad!K244&gt;BaseLoad!$G244,E$8*$Z245,0))</f>
        <v>-</v>
      </c>
      <c r="F245" s="432" t="str">
        <f aca="false">IF($A$1="Peak","-",IF(BaseLoad!L244&gt;BaseLoad!$G244,F$8*$Z245,0))</f>
        <v>-</v>
      </c>
      <c r="G245" s="432" t="str">
        <f aca="false">IF($A$1="Peak","-",IF(BaseLoad!M244&gt;BaseLoad!$G244,G$8*$Z245,0))</f>
        <v>-</v>
      </c>
      <c r="H245" s="432" t="str">
        <f aca="false">IF($A$1="Peak","-",IF(BaseLoad!N244&gt;BaseLoad!$G244,H$8*$Z245,0))</f>
        <v>-</v>
      </c>
      <c r="I245" s="432" t="str">
        <f aca="false">IF($A$1="Peak","-",IF(BaseLoad!O244&gt;BaseLoad!$G244,I$8*$Z245,0))</f>
        <v>-</v>
      </c>
      <c r="J245" s="432" t="str">
        <f aca="false">IF($A$1="Peak","-",IF(BaseLoad!P244&gt;BaseLoad!$G244,J$8*$Z245,0))</f>
        <v>-</v>
      </c>
      <c r="K245" s="432" t="str">
        <f aca="false">IF($A$1="Peak","-",IF(BaseLoad!Q244&gt;BaseLoad!$G244,K$8*$Z245,0))</f>
        <v>-</v>
      </c>
      <c r="L245" s="432" t="str">
        <f aca="false">IF($A$1="Peak","-",IF(BaseLoad!R244&gt;BaseLoad!$G244,L$8*$Z245,0))</f>
        <v>-</v>
      </c>
      <c r="M245" s="432" t="str">
        <f aca="false">IF($A$1="Peak","-",IF(BaseLoad!S244&gt;BaseLoad!$G244,M$8*$Z245,0))</f>
        <v>-</v>
      </c>
      <c r="N245" s="432" t="str">
        <f aca="false">IF($A$1="Peak","-",IF(BaseLoad!T244&gt;BaseLoad!$G244,N$8*$Z245,0))</f>
        <v>-</v>
      </c>
      <c r="O245" s="432" t="str">
        <f aca="false">IF($A$1="Peak","-",IF(BaseLoad!U244&gt;BaseLoad!$G244,O$8*$Z245,0))</f>
        <v>-</v>
      </c>
      <c r="P245" s="432" t="str">
        <f aca="false">IF($A$1="Peak","-",IF(BaseLoad!V244&gt;BaseLoad!$G244,P$8*$Z245,0))</f>
        <v>-</v>
      </c>
      <c r="Q245" s="432" t="str">
        <f aca="false">IF($A$1="Peak","-",IF(BaseLoad!W244&gt;BaseLoad!$G244,Q$8*$Z245,0))</f>
        <v>-</v>
      </c>
      <c r="R245" s="432" t="str">
        <f aca="false">IF($A$1="Peak","-",IF(BaseLoad!X244&gt;BaseLoad!$G244,R$8*$Z245,0))</f>
        <v>-</v>
      </c>
      <c r="S245" s="432" t="str">
        <f aca="false">IF($A$1="Peak","-",IF(BaseLoad!Y244&gt;BaseLoad!$G244,S$8*$Z245,0))</f>
        <v>-</v>
      </c>
      <c r="T245" s="432" t="str">
        <f aca="false">IF($A$1="Peak","-",IF(BaseLoad!Z244&gt;BaseLoad!$G244,T$8*$Z245,0))</f>
        <v>-</v>
      </c>
      <c r="U245" s="432" t="str">
        <f aca="false">IF($A$1="Peak","-",IF(BaseLoad!AA244&gt;BaseLoad!$G244,U$8*$Z245,0))</f>
        <v>-</v>
      </c>
      <c r="V245" s="432" t="n">
        <f aca="false">SUM(B245:U245)</f>
        <v>0</v>
      </c>
      <c r="W245" s="432"/>
      <c r="X245" s="432"/>
      <c r="Y245" s="432"/>
      <c r="Z245" s="432" t="n">
        <f aca="false">CHOOSE(QUOTIENT(MONTH($A245),3)+1,BaseLoad!$AM$9,BaseLoad!$AN$9,BaseLoad!$AL$9,BaseLoad!$AO$9,BaseLoad!$AM$9)</f>
        <v>0.966121359095586</v>
      </c>
      <c r="AA245" s="432" t="n">
        <f aca="false">CHOOSE(QUOTIENT(MONTH($A245),3)+1,BaseLoad!$AM$15,BaseLoad!$AN$15,BaseLoad!$AL$15,BaseLoad!$AO$15,BaseLoad!$AM$15)</f>
        <v>705</v>
      </c>
      <c r="AB245" s="431"/>
      <c r="AD245" s="431"/>
    </row>
    <row r="246" customFormat="false" ht="12.75" hidden="false" customHeight="false" outlineLevel="0" collapsed="false">
      <c r="A246" s="400" t="n">
        <f aca="false">A245+30.417</f>
        <v>43718.412</v>
      </c>
      <c r="B246" s="432" t="str">
        <f aca="false">IF($A$1="Peak","-",IF(BaseLoad!H245&gt;BaseLoad!$G245,B$8*$Z246,0))</f>
        <v>-</v>
      </c>
      <c r="C246" s="432" t="str">
        <f aca="false">IF($A$1="Peak","-",IF(BaseLoad!I245&gt;BaseLoad!$G245,C$8*$Z246,0))</f>
        <v>-</v>
      </c>
      <c r="D246" s="432" t="str">
        <f aca="false">IF($A$1="Peak","-",IF(BaseLoad!J245&gt;BaseLoad!$G245,D$8*$Z246,0))</f>
        <v>-</v>
      </c>
      <c r="E246" s="432" t="str">
        <f aca="false">IF($A$1="Peak","-",IF(BaseLoad!K245&gt;BaseLoad!$G245,E$8*$Z246,0))</f>
        <v>-</v>
      </c>
      <c r="F246" s="432" t="str">
        <f aca="false">IF($A$1="Peak","-",IF(BaseLoad!L245&gt;BaseLoad!$G245,F$8*$Z246,0))</f>
        <v>-</v>
      </c>
      <c r="G246" s="432" t="str">
        <f aca="false">IF($A$1="Peak","-",IF(BaseLoad!M245&gt;BaseLoad!$G245,G$8*$Z246,0))</f>
        <v>-</v>
      </c>
      <c r="H246" s="432" t="str">
        <f aca="false">IF($A$1="Peak","-",IF(BaseLoad!N245&gt;BaseLoad!$G245,H$8*$Z246,0))</f>
        <v>-</v>
      </c>
      <c r="I246" s="432" t="str">
        <f aca="false">IF($A$1="Peak","-",IF(BaseLoad!O245&gt;BaseLoad!$G245,I$8*$Z246,0))</f>
        <v>-</v>
      </c>
      <c r="J246" s="432" t="str">
        <f aca="false">IF($A$1="Peak","-",IF(BaseLoad!P245&gt;BaseLoad!$G245,J$8*$Z246,0))</f>
        <v>-</v>
      </c>
      <c r="K246" s="432" t="str">
        <f aca="false">IF($A$1="Peak","-",IF(BaseLoad!Q245&gt;BaseLoad!$G245,K$8*$Z246,0))</f>
        <v>-</v>
      </c>
      <c r="L246" s="432" t="str">
        <f aca="false">IF($A$1="Peak","-",IF(BaseLoad!R245&gt;BaseLoad!$G245,L$8*$Z246,0))</f>
        <v>-</v>
      </c>
      <c r="M246" s="432" t="str">
        <f aca="false">IF($A$1="Peak","-",IF(BaseLoad!S245&gt;BaseLoad!$G245,M$8*$Z246,0))</f>
        <v>-</v>
      </c>
      <c r="N246" s="432" t="str">
        <f aca="false">IF($A$1="Peak","-",IF(BaseLoad!T245&gt;BaseLoad!$G245,N$8*$Z246,0))</f>
        <v>-</v>
      </c>
      <c r="O246" s="432" t="str">
        <f aca="false">IF($A$1="Peak","-",IF(BaseLoad!U245&gt;BaseLoad!$G245,O$8*$Z246,0))</f>
        <v>-</v>
      </c>
      <c r="P246" s="432" t="str">
        <f aca="false">IF($A$1="Peak","-",IF(BaseLoad!V245&gt;BaseLoad!$G245,P$8*$Z246,0))</f>
        <v>-</v>
      </c>
      <c r="Q246" s="432" t="str">
        <f aca="false">IF($A$1="Peak","-",IF(BaseLoad!W245&gt;BaseLoad!$G245,Q$8*$Z246,0))</f>
        <v>-</v>
      </c>
      <c r="R246" s="432" t="str">
        <f aca="false">IF($A$1="Peak","-",IF(BaseLoad!X245&gt;BaseLoad!$G245,R$8*$Z246,0))</f>
        <v>-</v>
      </c>
      <c r="S246" s="432" t="str">
        <f aca="false">IF($A$1="Peak","-",IF(BaseLoad!Y245&gt;BaseLoad!$G245,S$8*$Z246,0))</f>
        <v>-</v>
      </c>
      <c r="T246" s="432" t="str">
        <f aca="false">IF($A$1="Peak","-",IF(BaseLoad!Z245&gt;BaseLoad!$G245,T$8*$Z246,0))</f>
        <v>-</v>
      </c>
      <c r="U246" s="432" t="str">
        <f aca="false">IF($A$1="Peak","-",IF(BaseLoad!AA245&gt;BaseLoad!$G245,U$8*$Z246,0))</f>
        <v>-</v>
      </c>
      <c r="V246" s="432" t="n">
        <f aca="false">SUM(B246:U246)</f>
        <v>0</v>
      </c>
      <c r="W246" s="432"/>
      <c r="X246" s="432"/>
      <c r="Y246" s="432"/>
      <c r="Z246" s="432" t="n">
        <f aca="false">CHOOSE(QUOTIENT(MONTH($A246),3)+1,BaseLoad!$AM$9,BaseLoad!$AN$9,BaseLoad!$AL$9,BaseLoad!$AO$9,BaseLoad!$AM$9)</f>
        <v>0.95</v>
      </c>
      <c r="AA246" s="432" t="n">
        <f aca="false">CHOOSE(QUOTIENT(MONTH($A246),3)+1,BaseLoad!$AM$15,BaseLoad!$AN$15,BaseLoad!$AL$15,BaseLoad!$AO$15,BaseLoad!$AM$15)</f>
        <v>705</v>
      </c>
      <c r="AB246" s="431"/>
      <c r="AD246" s="431"/>
    </row>
    <row r="247" customFormat="false" ht="12.75" hidden="false" customHeight="false" outlineLevel="0" collapsed="false">
      <c r="A247" s="400" t="n">
        <f aca="false">A246+30.417</f>
        <v>43748.829</v>
      </c>
      <c r="B247" s="432" t="str">
        <f aca="false">IF($A$1="Peak","-",IF(BaseLoad!H246&gt;BaseLoad!$G246,B$8*$Z247,0))</f>
        <v>-</v>
      </c>
      <c r="C247" s="432" t="str">
        <f aca="false">IF($A$1="Peak","-",IF(BaseLoad!I246&gt;BaseLoad!$G246,C$8*$Z247,0))</f>
        <v>-</v>
      </c>
      <c r="D247" s="432" t="str">
        <f aca="false">IF($A$1="Peak","-",IF(BaseLoad!J246&gt;BaseLoad!$G246,D$8*$Z247,0))</f>
        <v>-</v>
      </c>
      <c r="E247" s="432" t="str">
        <f aca="false">IF($A$1="Peak","-",IF(BaseLoad!K246&gt;BaseLoad!$G246,E$8*$Z247,0))</f>
        <v>-</v>
      </c>
      <c r="F247" s="432" t="str">
        <f aca="false">IF($A$1="Peak","-",IF(BaseLoad!L246&gt;BaseLoad!$G246,F$8*$Z247,0))</f>
        <v>-</v>
      </c>
      <c r="G247" s="432" t="str">
        <f aca="false">IF($A$1="Peak","-",IF(BaseLoad!M246&gt;BaseLoad!$G246,G$8*$Z247,0))</f>
        <v>-</v>
      </c>
      <c r="H247" s="432" t="str">
        <f aca="false">IF($A$1="Peak","-",IF(BaseLoad!N246&gt;BaseLoad!$G246,H$8*$Z247,0))</f>
        <v>-</v>
      </c>
      <c r="I247" s="432" t="str">
        <f aca="false">IF($A$1="Peak","-",IF(BaseLoad!O246&gt;BaseLoad!$G246,I$8*$Z247,0))</f>
        <v>-</v>
      </c>
      <c r="J247" s="432" t="str">
        <f aca="false">IF($A$1="Peak","-",IF(BaseLoad!P246&gt;BaseLoad!$G246,J$8*$Z247,0))</f>
        <v>-</v>
      </c>
      <c r="K247" s="432" t="str">
        <f aca="false">IF($A$1="Peak","-",IF(BaseLoad!Q246&gt;BaseLoad!$G246,K$8*$Z247,0))</f>
        <v>-</v>
      </c>
      <c r="L247" s="432" t="str">
        <f aca="false">IF($A$1="Peak","-",IF(BaseLoad!R246&gt;BaseLoad!$G246,L$8*$Z247,0))</f>
        <v>-</v>
      </c>
      <c r="M247" s="432" t="str">
        <f aca="false">IF($A$1="Peak","-",IF(BaseLoad!S246&gt;BaseLoad!$G246,M$8*$Z247,0))</f>
        <v>-</v>
      </c>
      <c r="N247" s="432" t="str">
        <f aca="false">IF($A$1="Peak","-",IF(BaseLoad!T246&gt;BaseLoad!$G246,N$8*$Z247,0))</f>
        <v>-</v>
      </c>
      <c r="O247" s="432" t="str">
        <f aca="false">IF($A$1="Peak","-",IF(BaseLoad!U246&gt;BaseLoad!$G246,O$8*$Z247,0))</f>
        <v>-</v>
      </c>
      <c r="P247" s="432" t="str">
        <f aca="false">IF($A$1="Peak","-",IF(BaseLoad!V246&gt;BaseLoad!$G246,P$8*$Z247,0))</f>
        <v>-</v>
      </c>
      <c r="Q247" s="432" t="str">
        <f aca="false">IF($A$1="Peak","-",IF(BaseLoad!W246&gt;BaseLoad!$G246,Q$8*$Z247,0))</f>
        <v>-</v>
      </c>
      <c r="R247" s="432" t="str">
        <f aca="false">IF($A$1="Peak","-",IF(BaseLoad!X246&gt;BaseLoad!$G246,R$8*$Z247,0))</f>
        <v>-</v>
      </c>
      <c r="S247" s="432" t="str">
        <f aca="false">IF($A$1="Peak","-",IF(BaseLoad!Y246&gt;BaseLoad!$G246,S$8*$Z247,0))</f>
        <v>-</v>
      </c>
      <c r="T247" s="432" t="str">
        <f aca="false">IF($A$1="Peak","-",IF(BaseLoad!Z246&gt;BaseLoad!$G246,T$8*$Z247,0))</f>
        <v>-</v>
      </c>
      <c r="U247" s="432" t="str">
        <f aca="false">IF($A$1="Peak","-",IF(BaseLoad!AA246&gt;BaseLoad!$G246,U$8*$Z247,0))</f>
        <v>-</v>
      </c>
      <c r="V247" s="432" t="n">
        <f aca="false">SUM(B247:U247)</f>
        <v>0</v>
      </c>
      <c r="W247" s="432"/>
      <c r="X247" s="432"/>
      <c r="Y247" s="432"/>
      <c r="Z247" s="432" t="n">
        <f aca="false">CHOOSE(QUOTIENT(MONTH($A247),3)+1,BaseLoad!$AM$9,BaseLoad!$AN$9,BaseLoad!$AL$9,BaseLoad!$AO$9,BaseLoad!$AM$9)</f>
        <v>0.95</v>
      </c>
      <c r="AA247" s="432" t="n">
        <f aca="false">CHOOSE(QUOTIENT(MONTH($A247),3)+1,BaseLoad!$AM$15,BaseLoad!$AN$15,BaseLoad!$AL$15,BaseLoad!$AO$15,BaseLoad!$AM$15)</f>
        <v>705</v>
      </c>
      <c r="AB247" s="431"/>
      <c r="AD247" s="431"/>
    </row>
    <row r="248" customFormat="false" ht="12.75" hidden="false" customHeight="false" outlineLevel="0" collapsed="false">
      <c r="A248" s="400" t="n">
        <f aca="false">A247+30.417</f>
        <v>43779.246</v>
      </c>
      <c r="B248" s="432" t="str">
        <f aca="false">IF($A$1="Peak","-",IF(BaseLoad!H247&gt;BaseLoad!$G247,B$8*$Z248,0))</f>
        <v>-</v>
      </c>
      <c r="C248" s="432" t="str">
        <f aca="false">IF($A$1="Peak","-",IF(BaseLoad!I247&gt;BaseLoad!$G247,C$8*$Z248,0))</f>
        <v>-</v>
      </c>
      <c r="D248" s="432" t="str">
        <f aca="false">IF($A$1="Peak","-",IF(BaseLoad!J247&gt;BaseLoad!$G247,D$8*$Z248,0))</f>
        <v>-</v>
      </c>
      <c r="E248" s="432" t="str">
        <f aca="false">IF($A$1="Peak","-",IF(BaseLoad!K247&gt;BaseLoad!$G247,E$8*$Z248,0))</f>
        <v>-</v>
      </c>
      <c r="F248" s="432" t="str">
        <f aca="false">IF($A$1="Peak","-",IF(BaseLoad!L247&gt;BaseLoad!$G247,F$8*$Z248,0))</f>
        <v>-</v>
      </c>
      <c r="G248" s="432" t="str">
        <f aca="false">IF($A$1="Peak","-",IF(BaseLoad!M247&gt;BaseLoad!$G247,G$8*$Z248,0))</f>
        <v>-</v>
      </c>
      <c r="H248" s="432" t="str">
        <f aca="false">IF($A$1="Peak","-",IF(BaseLoad!N247&gt;BaseLoad!$G247,H$8*$Z248,0))</f>
        <v>-</v>
      </c>
      <c r="I248" s="432" t="str">
        <f aca="false">IF($A$1="Peak","-",IF(BaseLoad!O247&gt;BaseLoad!$G247,I$8*$Z248,0))</f>
        <v>-</v>
      </c>
      <c r="J248" s="432" t="str">
        <f aca="false">IF($A$1="Peak","-",IF(BaseLoad!P247&gt;BaseLoad!$G247,J$8*$Z248,0))</f>
        <v>-</v>
      </c>
      <c r="K248" s="432" t="str">
        <f aca="false">IF($A$1="Peak","-",IF(BaseLoad!Q247&gt;BaseLoad!$G247,K$8*$Z248,0))</f>
        <v>-</v>
      </c>
      <c r="L248" s="432" t="str">
        <f aca="false">IF($A$1="Peak","-",IF(BaseLoad!R247&gt;BaseLoad!$G247,L$8*$Z248,0))</f>
        <v>-</v>
      </c>
      <c r="M248" s="432" t="str">
        <f aca="false">IF($A$1="Peak","-",IF(BaseLoad!S247&gt;BaseLoad!$G247,M$8*$Z248,0))</f>
        <v>-</v>
      </c>
      <c r="N248" s="432" t="str">
        <f aca="false">IF($A$1="Peak","-",IF(BaseLoad!T247&gt;BaseLoad!$G247,N$8*$Z248,0))</f>
        <v>-</v>
      </c>
      <c r="O248" s="432" t="str">
        <f aca="false">IF($A$1="Peak","-",IF(BaseLoad!U247&gt;BaseLoad!$G247,O$8*$Z248,0))</f>
        <v>-</v>
      </c>
      <c r="P248" s="432" t="str">
        <f aca="false">IF($A$1="Peak","-",IF(BaseLoad!V247&gt;BaseLoad!$G247,P$8*$Z248,0))</f>
        <v>-</v>
      </c>
      <c r="Q248" s="432" t="str">
        <f aca="false">IF($A$1="Peak","-",IF(BaseLoad!W247&gt;BaseLoad!$G247,Q$8*$Z248,0))</f>
        <v>-</v>
      </c>
      <c r="R248" s="432" t="str">
        <f aca="false">IF($A$1="Peak","-",IF(BaseLoad!X247&gt;BaseLoad!$G247,R$8*$Z248,0))</f>
        <v>-</v>
      </c>
      <c r="S248" s="432" t="str">
        <f aca="false">IF($A$1="Peak","-",IF(BaseLoad!Y247&gt;BaseLoad!$G247,S$8*$Z248,0))</f>
        <v>-</v>
      </c>
      <c r="T248" s="432" t="str">
        <f aca="false">IF($A$1="Peak","-",IF(BaseLoad!Z247&gt;BaseLoad!$G247,T$8*$Z248,0))</f>
        <v>-</v>
      </c>
      <c r="U248" s="432" t="str">
        <f aca="false">IF($A$1="Peak","-",IF(BaseLoad!AA247&gt;BaseLoad!$G247,U$8*$Z248,0))</f>
        <v>-</v>
      </c>
      <c r="V248" s="432" t="n">
        <f aca="false">SUM(B248:U248)</f>
        <v>0</v>
      </c>
      <c r="W248" s="432"/>
      <c r="X248" s="432"/>
      <c r="Y248" s="432"/>
      <c r="Z248" s="432" t="n">
        <f aca="false">CHOOSE(QUOTIENT(MONTH($A248),3)+1,BaseLoad!$AM$9,BaseLoad!$AN$9,BaseLoad!$AL$9,BaseLoad!$AO$9,BaseLoad!$AM$9)</f>
        <v>0.95</v>
      </c>
      <c r="AA248" s="432" t="n">
        <f aca="false">CHOOSE(QUOTIENT(MONTH($A248),3)+1,BaseLoad!$AM$15,BaseLoad!$AN$15,BaseLoad!$AL$15,BaseLoad!$AO$15,BaseLoad!$AM$15)</f>
        <v>705</v>
      </c>
      <c r="AB248" s="431"/>
      <c r="AD248" s="431"/>
    </row>
    <row r="249" customFormat="false" ht="12.75" hidden="false" customHeight="false" outlineLevel="0" collapsed="false">
      <c r="A249" s="400" t="n">
        <f aca="false">A248+30.417</f>
        <v>43809.663</v>
      </c>
      <c r="B249" s="432" t="str">
        <f aca="false">IF($A$1="Peak","-",IF(BaseLoad!H248&gt;BaseLoad!$G248,B$8*$Z249,0))</f>
        <v>-</v>
      </c>
      <c r="C249" s="432" t="str">
        <f aca="false">IF($A$1="Peak","-",IF(BaseLoad!I248&gt;BaseLoad!$G248,C$8*$Z249,0))</f>
        <v>-</v>
      </c>
      <c r="D249" s="432" t="str">
        <f aca="false">IF($A$1="Peak","-",IF(BaseLoad!J248&gt;BaseLoad!$G248,D$8*$Z249,0))</f>
        <v>-</v>
      </c>
      <c r="E249" s="432" t="str">
        <f aca="false">IF($A$1="Peak","-",IF(BaseLoad!K248&gt;BaseLoad!$G248,E$8*$Z249,0))</f>
        <v>-</v>
      </c>
      <c r="F249" s="432" t="str">
        <f aca="false">IF($A$1="Peak","-",IF(BaseLoad!L248&gt;BaseLoad!$G248,F$8*$Z249,0))</f>
        <v>-</v>
      </c>
      <c r="G249" s="432" t="str">
        <f aca="false">IF($A$1="Peak","-",IF(BaseLoad!M248&gt;BaseLoad!$G248,G$8*$Z249,0))</f>
        <v>-</v>
      </c>
      <c r="H249" s="432" t="str">
        <f aca="false">IF($A$1="Peak","-",IF(BaseLoad!N248&gt;BaseLoad!$G248,H$8*$Z249,0))</f>
        <v>-</v>
      </c>
      <c r="I249" s="432" t="str">
        <f aca="false">IF($A$1="Peak","-",IF(BaseLoad!O248&gt;BaseLoad!$G248,I$8*$Z249,0))</f>
        <v>-</v>
      </c>
      <c r="J249" s="432" t="str">
        <f aca="false">IF($A$1="Peak","-",IF(BaseLoad!P248&gt;BaseLoad!$G248,J$8*$Z249,0))</f>
        <v>-</v>
      </c>
      <c r="K249" s="432" t="str">
        <f aca="false">IF($A$1="Peak","-",IF(BaseLoad!Q248&gt;BaseLoad!$G248,K$8*$Z249,0))</f>
        <v>-</v>
      </c>
      <c r="L249" s="432" t="str">
        <f aca="false">IF($A$1="Peak","-",IF(BaseLoad!R248&gt;BaseLoad!$G248,L$8*$Z249,0))</f>
        <v>-</v>
      </c>
      <c r="M249" s="432" t="str">
        <f aca="false">IF($A$1="Peak","-",IF(BaseLoad!S248&gt;BaseLoad!$G248,M$8*$Z249,0))</f>
        <v>-</v>
      </c>
      <c r="N249" s="432" t="str">
        <f aca="false">IF($A$1="Peak","-",IF(BaseLoad!T248&gt;BaseLoad!$G248,N$8*$Z249,0))</f>
        <v>-</v>
      </c>
      <c r="O249" s="432" t="str">
        <f aca="false">IF($A$1="Peak","-",IF(BaseLoad!U248&gt;BaseLoad!$G248,O$8*$Z249,0))</f>
        <v>-</v>
      </c>
      <c r="P249" s="432" t="str">
        <f aca="false">IF($A$1="Peak","-",IF(BaseLoad!V248&gt;BaseLoad!$G248,P$8*$Z249,0))</f>
        <v>-</v>
      </c>
      <c r="Q249" s="432" t="str">
        <f aca="false">IF($A$1="Peak","-",IF(BaseLoad!W248&gt;BaseLoad!$G248,Q$8*$Z249,0))</f>
        <v>-</v>
      </c>
      <c r="R249" s="432" t="str">
        <f aca="false">IF($A$1="Peak","-",IF(BaseLoad!X248&gt;BaseLoad!$G248,R$8*$Z249,0))</f>
        <v>-</v>
      </c>
      <c r="S249" s="432" t="str">
        <f aca="false">IF($A$1="Peak","-",IF(BaseLoad!Y248&gt;BaseLoad!$G248,S$8*$Z249,0))</f>
        <v>-</v>
      </c>
      <c r="T249" s="432" t="str">
        <f aca="false">IF($A$1="Peak","-",IF(BaseLoad!Z248&gt;BaseLoad!$G248,T$8*$Z249,0))</f>
        <v>-</v>
      </c>
      <c r="U249" s="432" t="str">
        <f aca="false">IF($A$1="Peak","-",IF(BaseLoad!AA248&gt;BaseLoad!$G248,U$8*$Z249,0))</f>
        <v>-</v>
      </c>
      <c r="V249" s="432" t="n">
        <f aca="false">SUM(B249:U249)</f>
        <v>0</v>
      </c>
      <c r="W249" s="432"/>
      <c r="X249" s="432"/>
      <c r="Y249" s="432" t="n">
        <f aca="false">SUM(V238:V249)</f>
        <v>0</v>
      </c>
      <c r="Z249" s="432" t="n">
        <f aca="false">CHOOSE(QUOTIENT(MONTH($A249),3)+1,BaseLoad!$AM$9,BaseLoad!$AN$9,BaseLoad!$AL$9,BaseLoad!$AO$9,BaseLoad!$AM$9)</f>
        <v>0.924276618786118</v>
      </c>
      <c r="AA249" s="432" t="n">
        <f aca="false">CHOOSE(QUOTIENT(MONTH($A249),3)+1,BaseLoad!$AM$15,BaseLoad!$AN$15,BaseLoad!$AL$15,BaseLoad!$AO$15,BaseLoad!$AM$15)</f>
        <v>705</v>
      </c>
      <c r="AB249" s="431"/>
      <c r="AD249" s="43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2" min="22" style="0" width="8.14"/>
    <col collapsed="false" customWidth="true" hidden="false" outlineLevel="0" max="23" min="23" style="0" width="7.28"/>
  </cols>
  <sheetData>
    <row r="1" customFormat="false" ht="12.75" hidden="false" customHeight="false" outlineLevel="0" collapsed="false">
      <c r="A1" s="263" t="str">
        <f aca="false">'Peak Revenue'!A1</f>
        <v>Peak</v>
      </c>
    </row>
    <row r="2" customFormat="false" ht="12.75" hidden="false" customHeight="false" outlineLevel="0" collapsed="false">
      <c r="A2" s="263"/>
    </row>
    <row r="3" customFormat="false" ht="12.75" hidden="false" customHeight="false" outlineLevel="0" collapsed="false">
      <c r="A3" s="263"/>
    </row>
    <row r="4" customFormat="false" ht="12.75" hidden="false" customHeight="false" outlineLevel="0" collapsed="false">
      <c r="A4" s="263"/>
    </row>
    <row r="5" customFormat="false" ht="12.75" hidden="false" customHeight="false" outlineLevel="0" collapsed="false">
      <c r="A5" s="263"/>
    </row>
    <row r="6" customFormat="false" ht="12.75" hidden="false" customHeight="false" outlineLevel="0" collapsed="false">
      <c r="V6" s="235" t="s">
        <v>301</v>
      </c>
      <c r="W6" s="235" t="s">
        <v>306</v>
      </c>
      <c r="X6" s="428" t="s">
        <v>303</v>
      </c>
      <c r="Y6" s="428" t="s">
        <v>303</v>
      </c>
    </row>
    <row r="7" customFormat="false" ht="12.75" hidden="false" customHeight="false" outlineLevel="0" collapsed="false">
      <c r="B7" s="428" t="s">
        <v>273</v>
      </c>
      <c r="C7" s="433" t="s">
        <v>274</v>
      </c>
      <c r="D7" s="433" t="s">
        <v>275</v>
      </c>
      <c r="E7" s="433" t="s">
        <v>276</v>
      </c>
      <c r="F7" s="433" t="s">
        <v>277</v>
      </c>
      <c r="G7" s="433" t="s">
        <v>278</v>
      </c>
      <c r="H7" s="433" t="s">
        <v>279</v>
      </c>
      <c r="I7" s="433" t="s">
        <v>280</v>
      </c>
      <c r="J7" s="433" t="s">
        <v>281</v>
      </c>
      <c r="K7" s="433" t="s">
        <v>282</v>
      </c>
      <c r="L7" s="433" t="s">
        <v>283</v>
      </c>
      <c r="M7" s="433" t="s">
        <v>284</v>
      </c>
      <c r="N7" s="433" t="s">
        <v>285</v>
      </c>
      <c r="O7" s="433" t="s">
        <v>286</v>
      </c>
      <c r="P7" s="433" t="s">
        <v>287</v>
      </c>
      <c r="Q7" s="433" t="s">
        <v>288</v>
      </c>
      <c r="R7" s="433" t="s">
        <v>289</v>
      </c>
      <c r="S7" s="433" t="s">
        <v>290</v>
      </c>
      <c r="T7" s="433" t="s">
        <v>291</v>
      </c>
      <c r="U7" s="433" t="s">
        <v>292</v>
      </c>
      <c r="V7" s="433" t="s">
        <v>3</v>
      </c>
      <c r="W7" s="434" t="s">
        <v>3</v>
      </c>
      <c r="X7" s="428" t="s">
        <v>122</v>
      </c>
      <c r="Y7" s="428" t="s">
        <v>5</v>
      </c>
    </row>
    <row r="8" customFormat="false" ht="12.75" hidden="false" customHeight="false" outlineLevel="0" collapsed="false">
      <c r="B8" s="398" t="n">
        <v>5</v>
      </c>
      <c r="C8" s="399" t="n">
        <v>5</v>
      </c>
      <c r="D8" s="399" t="n">
        <v>10</v>
      </c>
      <c r="E8" s="399" t="n">
        <v>20</v>
      </c>
      <c r="F8" s="399" t="n">
        <v>20</v>
      </c>
      <c r="G8" s="399" t="n">
        <v>40</v>
      </c>
      <c r="H8" s="399" t="n">
        <v>40</v>
      </c>
      <c r="I8" s="399" t="n">
        <v>40</v>
      </c>
      <c r="J8" s="399" t="n">
        <v>40</v>
      </c>
      <c r="K8" s="399" t="n">
        <v>40</v>
      </c>
      <c r="L8" s="399" t="n">
        <v>40</v>
      </c>
      <c r="M8" s="399" t="n">
        <v>40</v>
      </c>
      <c r="N8" s="399" t="n">
        <v>40</v>
      </c>
      <c r="O8" s="399" t="n">
        <v>40</v>
      </c>
      <c r="P8" s="399" t="n">
        <v>40</v>
      </c>
      <c r="Q8" s="399" t="n">
        <v>40</v>
      </c>
      <c r="R8" s="399" t="n">
        <v>40</v>
      </c>
      <c r="S8" s="399" t="n">
        <v>40</v>
      </c>
      <c r="T8" s="399" t="n">
        <v>40</v>
      </c>
      <c r="U8" s="399" t="n">
        <v>110</v>
      </c>
      <c r="V8" s="435" t="n">
        <f aca="false">SUM(B8:U8)</f>
        <v>730</v>
      </c>
      <c r="X8" s="398"/>
      <c r="Y8" s="398"/>
    </row>
    <row r="9" customFormat="false" ht="12.75" hidden="false" customHeight="false" outlineLevel="0" collapsed="false">
      <c r="B9" s="429"/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X9" s="429"/>
      <c r="Y9" s="429"/>
    </row>
    <row r="10" customFormat="false" ht="12.75" hidden="false" customHeight="false" outlineLevel="0" collapsed="false">
      <c r="A10" s="400" t="n">
        <v>36540</v>
      </c>
      <c r="B10" s="432" t="n">
        <f aca="false">IF('Peak Revenue'!$A$1="BL","-",IF(Peak!H11&gt;Peak!$G11,B$8*$X10,0))</f>
        <v>0</v>
      </c>
      <c r="C10" s="432" t="n">
        <f aca="false">IF('Peak Revenue'!$A$1="BL","-",IF(Peak!I11&gt;Peak!$G11,C$8*$X10,0))</f>
        <v>0</v>
      </c>
      <c r="D10" s="432" t="n">
        <f aca="false">IF('Peak Revenue'!$A$1="BL","-",IF(Peak!J11&gt;Peak!$G11,D$8*$X10,0))</f>
        <v>0</v>
      </c>
      <c r="E10" s="432" t="n">
        <f aca="false">IF('Peak Revenue'!$A$1="BL","-",IF(Peak!K11&gt;Peak!$G11,E$8*$X10,0))</f>
        <v>0</v>
      </c>
      <c r="F10" s="432" t="n">
        <f aca="false">IF('Peak Revenue'!$A$1="BL","-",IF(Peak!L11&gt;Peak!$G11,F$8*$X10,0))</f>
        <v>0</v>
      </c>
      <c r="G10" s="432" t="n">
        <f aca="false">IF('Peak Revenue'!$A$1="BL","-",IF(Peak!M11&gt;Peak!$G11,G$8*$X10,0))</f>
        <v>0</v>
      </c>
      <c r="H10" s="432" t="n">
        <f aca="false">IF('Peak Revenue'!$A$1="BL","-",IF(Peak!N11&gt;Peak!$G11,H$8*$X10,0))</f>
        <v>0</v>
      </c>
      <c r="I10" s="432" t="n">
        <f aca="false">IF('Peak Revenue'!$A$1="BL","-",IF(Peak!O11&gt;Peak!$G11,I$8*$X10,0))</f>
        <v>0</v>
      </c>
      <c r="J10" s="432" t="n">
        <f aca="false">IF('Peak Revenue'!$A$1="BL","-",IF(Peak!P11&gt;Peak!$G11,J$8*$X10,0))</f>
        <v>0</v>
      </c>
      <c r="K10" s="432" t="n">
        <f aca="false">IF('Peak Revenue'!$A$1="BL","-",IF(Peak!Q11&gt;Peak!$G11,K$8*$X10,0))</f>
        <v>0</v>
      </c>
      <c r="L10" s="432" t="n">
        <f aca="false">IF('Peak Revenue'!$A$1="BL","-",IF(Peak!R11&gt;Peak!$G11,L$8*$X10,0))</f>
        <v>0</v>
      </c>
      <c r="M10" s="432" t="n">
        <f aca="false">IF('Peak Revenue'!$A$1="BL","-",IF(Peak!S11&gt;Peak!$G11,M$8*$X10,0))</f>
        <v>0</v>
      </c>
      <c r="N10" s="432" t="n">
        <f aca="false">IF('Peak Revenue'!$A$1="BL","-",IF(Peak!T11&gt;Peak!$G11,N$8*$X10,0))</f>
        <v>0</v>
      </c>
      <c r="O10" s="432" t="n">
        <f aca="false">IF('Peak Revenue'!$A$1="BL","-",IF(Peak!U11&gt;Peak!$G11,O$8*$X10,0))</f>
        <v>0</v>
      </c>
      <c r="P10" s="432" t="n">
        <f aca="false">IF('Peak Revenue'!$A$1="BL","-",IF(Peak!V11&gt;Peak!$G11,P$8*$X10,0))</f>
        <v>0</v>
      </c>
      <c r="Q10" s="432" t="n">
        <f aca="false">IF('Peak Revenue'!$A$1="BL","-",IF(Peak!W11&gt;Peak!$G11,Q$8*$X10,0))</f>
        <v>0</v>
      </c>
      <c r="R10" s="432" t="n">
        <f aca="false">IF('Peak Revenue'!$A$1="BL","-",IF(Peak!X11&gt;Peak!$G11,R$8*$X10,0))</f>
        <v>0</v>
      </c>
      <c r="S10" s="432" t="n">
        <f aca="false">IF('Peak Revenue'!$A$1="BL","-",IF(Peak!Y11&gt;Peak!$G11,S$8*$X10,0))</f>
        <v>0</v>
      </c>
      <c r="T10" s="432" t="n">
        <f aca="false">IF('Peak Revenue'!$A$1="BL","-",IF(Peak!Z11&gt;Peak!$G11,T$8*$X10,0))</f>
        <v>0</v>
      </c>
      <c r="U10" s="432" t="n">
        <f aca="false">IF('Peak Revenue'!$A$1="BL","-",IF(Peak!AA11&gt;Peak!$G11,U$8*$X10,0))</f>
        <v>0</v>
      </c>
      <c r="V10" s="437" t="n">
        <f aca="false">SUM(B10:U10)</f>
        <v>0</v>
      </c>
      <c r="W10" s="438"/>
      <c r="X10" s="439" t="n">
        <f aca="false">CHOOSE(QUOTIENT(MONTH($A10),3)+1,Peak!$AM$11,Peak!$AN$11,Peak!$AL$11,Peak!$AO$11,Peak!$AM$11)</f>
        <v>0.924276618786118</v>
      </c>
      <c r="Y10" s="440" t="n">
        <f aca="false">CHOOSE(QUOTIENT(MONTH($A10),3)+1,Peak!$AM$17,Peak!$AN$17,Peak!$AL$17,Peak!$AO$17,Peak!$AM$17)</f>
        <v>705</v>
      </c>
    </row>
    <row r="11" customFormat="false" ht="12.75" hidden="false" customHeight="false" outlineLevel="0" collapsed="false">
      <c r="A11" s="400" t="n">
        <f aca="false">A10+30.417</f>
        <v>36570.417</v>
      </c>
      <c r="B11" s="432" t="n">
        <f aca="false">IF('Peak Revenue'!$A$1="BL","-",IF(Peak!H12&gt;Peak!$G12,B$8*$X11,0))</f>
        <v>0</v>
      </c>
      <c r="C11" s="432" t="n">
        <f aca="false">IF('Peak Revenue'!$A$1="BL","-",IF(Peak!I12&gt;Peak!$G12,C$8*$X11,0))</f>
        <v>0</v>
      </c>
      <c r="D11" s="432" t="n">
        <f aca="false">IF('Peak Revenue'!$A$1="BL","-",IF(Peak!J12&gt;Peak!$G12,D$8*$X11,0))</f>
        <v>0</v>
      </c>
      <c r="E11" s="432" t="n">
        <f aca="false">IF('Peak Revenue'!$A$1="BL","-",IF(Peak!K12&gt;Peak!$G12,E$8*$X11,0))</f>
        <v>0</v>
      </c>
      <c r="F11" s="432" t="n">
        <f aca="false">IF('Peak Revenue'!$A$1="BL","-",IF(Peak!L12&gt;Peak!$G12,F$8*$X11,0))</f>
        <v>0</v>
      </c>
      <c r="G11" s="432" t="n">
        <f aca="false">IF('Peak Revenue'!$A$1="BL","-",IF(Peak!M12&gt;Peak!$G12,G$8*$X11,0))</f>
        <v>0</v>
      </c>
      <c r="H11" s="432" t="n">
        <f aca="false">IF('Peak Revenue'!$A$1="BL","-",IF(Peak!N12&gt;Peak!$G12,H$8*$X11,0))</f>
        <v>0</v>
      </c>
      <c r="I11" s="432" t="n">
        <f aca="false">IF('Peak Revenue'!$A$1="BL","-",IF(Peak!O12&gt;Peak!$G12,I$8*$X11,0))</f>
        <v>0</v>
      </c>
      <c r="J11" s="432" t="n">
        <f aca="false">IF('Peak Revenue'!$A$1="BL","-",IF(Peak!P12&gt;Peak!$G12,J$8*$X11,0))</f>
        <v>0</v>
      </c>
      <c r="K11" s="432" t="n">
        <f aca="false">IF('Peak Revenue'!$A$1="BL","-",IF(Peak!Q12&gt;Peak!$G12,K$8*$X11,0))</f>
        <v>0</v>
      </c>
      <c r="L11" s="432" t="n">
        <f aca="false">IF('Peak Revenue'!$A$1="BL","-",IF(Peak!R12&gt;Peak!$G12,L$8*$X11,0))</f>
        <v>0</v>
      </c>
      <c r="M11" s="432" t="n">
        <f aca="false">IF('Peak Revenue'!$A$1="BL","-",IF(Peak!S12&gt;Peak!$G12,M$8*$X11,0))</f>
        <v>0</v>
      </c>
      <c r="N11" s="432" t="n">
        <f aca="false">IF('Peak Revenue'!$A$1="BL","-",IF(Peak!T12&gt;Peak!$G12,N$8*$X11,0))</f>
        <v>0</v>
      </c>
      <c r="O11" s="432" t="n">
        <f aca="false">IF('Peak Revenue'!$A$1="BL","-",IF(Peak!U12&gt;Peak!$G12,O$8*$X11,0))</f>
        <v>0</v>
      </c>
      <c r="P11" s="432" t="n">
        <f aca="false">IF('Peak Revenue'!$A$1="BL","-",IF(Peak!V12&gt;Peak!$G12,P$8*$X11,0))</f>
        <v>0</v>
      </c>
      <c r="Q11" s="432" t="n">
        <f aca="false">IF('Peak Revenue'!$A$1="BL","-",IF(Peak!W12&gt;Peak!$G12,Q$8*$X11,0))</f>
        <v>0</v>
      </c>
      <c r="R11" s="432" t="n">
        <f aca="false">IF('Peak Revenue'!$A$1="BL","-",IF(Peak!X12&gt;Peak!$G12,R$8*$X11,0))</f>
        <v>0</v>
      </c>
      <c r="S11" s="432" t="n">
        <f aca="false">IF('Peak Revenue'!$A$1="BL","-",IF(Peak!Y12&gt;Peak!$G12,S$8*$X11,0))</f>
        <v>0</v>
      </c>
      <c r="T11" s="432" t="n">
        <f aca="false">IF('Peak Revenue'!$A$1="BL","-",IF(Peak!Z12&gt;Peak!$G12,T$8*$X11,0))</f>
        <v>0</v>
      </c>
      <c r="U11" s="432" t="n">
        <f aca="false">IF('Peak Revenue'!$A$1="BL","-",IF(Peak!AA12&gt;Peak!$G12,U$8*$X11,0))</f>
        <v>0</v>
      </c>
      <c r="V11" s="441" t="n">
        <f aca="false">SUM(B11:U11)</f>
        <v>0</v>
      </c>
      <c r="W11" s="442"/>
      <c r="X11" s="439" t="n">
        <f aca="false">CHOOSE(QUOTIENT(MONTH($A11),3)+1,Peak!$AM$11,Peak!$AN$11,Peak!$AL$11,Peak!$AO$11,Peak!$AM$11)</f>
        <v>0.924276618786118</v>
      </c>
      <c r="Y11" s="440" t="n">
        <f aca="false">CHOOSE(QUOTIENT(MONTH($A11),3)+1,Peak!$AM$17,Peak!$AN$17,Peak!$AL$17,Peak!$AO$17,Peak!$AM$17)</f>
        <v>705</v>
      </c>
    </row>
    <row r="12" customFormat="false" ht="12.75" hidden="false" customHeight="false" outlineLevel="0" collapsed="false">
      <c r="A12" s="400" t="n">
        <f aca="false">A11+30.417</f>
        <v>36600.834</v>
      </c>
      <c r="B12" s="432" t="n">
        <f aca="false">IF('Peak Revenue'!$A$1="BL","-",IF(Peak!H13&gt;Peak!$G13,B$8*$X12,0))</f>
        <v>0</v>
      </c>
      <c r="C12" s="432" t="n">
        <f aca="false">IF('Peak Revenue'!$A$1="BL","-",IF(Peak!I13&gt;Peak!$G13,C$8*$X12,0))</f>
        <v>0</v>
      </c>
      <c r="D12" s="432" t="n">
        <f aca="false">IF('Peak Revenue'!$A$1="BL","-",IF(Peak!J13&gt;Peak!$G13,D$8*$X12,0))</f>
        <v>0</v>
      </c>
      <c r="E12" s="432" t="n">
        <f aca="false">IF('Peak Revenue'!$A$1="BL","-",IF(Peak!K13&gt;Peak!$G13,E$8*$X12,0))</f>
        <v>0</v>
      </c>
      <c r="F12" s="432" t="n">
        <f aca="false">IF('Peak Revenue'!$A$1="BL","-",IF(Peak!L13&gt;Peak!$G13,F$8*$X12,0))</f>
        <v>0</v>
      </c>
      <c r="G12" s="432" t="n">
        <f aca="false">IF('Peak Revenue'!$A$1="BL","-",IF(Peak!M13&gt;Peak!$G13,G$8*$X12,0))</f>
        <v>0</v>
      </c>
      <c r="H12" s="432" t="n">
        <f aca="false">IF('Peak Revenue'!$A$1="BL","-",IF(Peak!N13&gt;Peak!$G13,H$8*$X12,0))</f>
        <v>0</v>
      </c>
      <c r="I12" s="432" t="n">
        <f aca="false">IF('Peak Revenue'!$A$1="BL","-",IF(Peak!O13&gt;Peak!$G13,I$8*$X12,0))</f>
        <v>0</v>
      </c>
      <c r="J12" s="432" t="n">
        <f aca="false">IF('Peak Revenue'!$A$1="BL","-",IF(Peak!P13&gt;Peak!$G13,J$8*$X12,0))</f>
        <v>0</v>
      </c>
      <c r="K12" s="432" t="n">
        <f aca="false">IF('Peak Revenue'!$A$1="BL","-",IF(Peak!Q13&gt;Peak!$G13,K$8*$X12,0))</f>
        <v>0</v>
      </c>
      <c r="L12" s="432" t="n">
        <f aca="false">IF('Peak Revenue'!$A$1="BL","-",IF(Peak!R13&gt;Peak!$G13,L$8*$X12,0))</f>
        <v>0</v>
      </c>
      <c r="M12" s="432" t="n">
        <f aca="false">IF('Peak Revenue'!$A$1="BL","-",IF(Peak!S13&gt;Peak!$G13,M$8*$X12,0))</f>
        <v>0</v>
      </c>
      <c r="N12" s="432" t="n">
        <f aca="false">IF('Peak Revenue'!$A$1="BL","-",IF(Peak!T13&gt;Peak!$G13,N$8*$X12,0))</f>
        <v>0</v>
      </c>
      <c r="O12" s="432" t="n">
        <f aca="false">IF('Peak Revenue'!$A$1="BL","-",IF(Peak!U13&gt;Peak!$G13,O$8*$X12,0))</f>
        <v>0</v>
      </c>
      <c r="P12" s="432" t="n">
        <f aca="false">IF('Peak Revenue'!$A$1="BL","-",IF(Peak!V13&gt;Peak!$G13,P$8*$X12,0))</f>
        <v>0</v>
      </c>
      <c r="Q12" s="432" t="n">
        <f aca="false">IF('Peak Revenue'!$A$1="BL","-",IF(Peak!W13&gt;Peak!$G13,Q$8*$X12,0))</f>
        <v>0</v>
      </c>
      <c r="R12" s="432" t="n">
        <f aca="false">IF('Peak Revenue'!$A$1="BL","-",IF(Peak!X13&gt;Peak!$G13,R$8*$X12,0))</f>
        <v>0</v>
      </c>
      <c r="S12" s="432" t="n">
        <f aca="false">IF('Peak Revenue'!$A$1="BL","-",IF(Peak!Y13&gt;Peak!$G13,S$8*$X12,0))</f>
        <v>0</v>
      </c>
      <c r="T12" s="432" t="n">
        <f aca="false">IF('Peak Revenue'!$A$1="BL","-",IF(Peak!Z13&gt;Peak!$G13,T$8*$X12,0))</f>
        <v>0</v>
      </c>
      <c r="U12" s="432" t="n">
        <f aca="false">IF('Peak Revenue'!$A$1="BL","-",IF(Peak!AA13&gt;Peak!$G13,U$8*$X12,0))</f>
        <v>0</v>
      </c>
      <c r="V12" s="441" t="n">
        <f aca="false">SUM(B12:U12)</f>
        <v>0</v>
      </c>
      <c r="W12" s="442"/>
      <c r="X12" s="439" t="n">
        <f aca="false">CHOOSE(QUOTIENT(MONTH($A12),3)+1,Peak!$AM$11,Peak!$AN$11,Peak!$AL$11,Peak!$AO$11,Peak!$AM$11)</f>
        <v>0.95</v>
      </c>
      <c r="Y12" s="440" t="n">
        <f aca="false">CHOOSE(QUOTIENT(MONTH($A12),3)+1,Peak!$AM$17,Peak!$AN$17,Peak!$AL$17,Peak!$AO$17,Peak!$AM$17)</f>
        <v>705</v>
      </c>
    </row>
    <row r="13" customFormat="false" ht="12.75" hidden="false" customHeight="false" outlineLevel="0" collapsed="false">
      <c r="A13" s="400" t="n">
        <f aca="false">A12+30.417</f>
        <v>36631.251</v>
      </c>
      <c r="B13" s="432" t="n">
        <f aca="false">IF('Peak Revenue'!$A$1="BL","-",IF(Peak!H14&gt;Peak!$G14,B$8*$X13,0))</f>
        <v>0</v>
      </c>
      <c r="C13" s="432" t="n">
        <f aca="false">IF('Peak Revenue'!$A$1="BL","-",IF(Peak!I14&gt;Peak!$G14,C$8*$X13,0))</f>
        <v>0</v>
      </c>
      <c r="D13" s="432" t="n">
        <f aca="false">IF('Peak Revenue'!$A$1="BL","-",IF(Peak!J14&gt;Peak!$G14,D$8*$X13,0))</f>
        <v>0</v>
      </c>
      <c r="E13" s="432" t="n">
        <f aca="false">IF('Peak Revenue'!$A$1="BL","-",IF(Peak!K14&gt;Peak!$G14,E$8*$X13,0))</f>
        <v>0</v>
      </c>
      <c r="F13" s="432" t="n">
        <f aca="false">IF('Peak Revenue'!$A$1="BL","-",IF(Peak!L14&gt;Peak!$G14,F$8*$X13,0))</f>
        <v>0</v>
      </c>
      <c r="G13" s="432" t="n">
        <f aca="false">IF('Peak Revenue'!$A$1="BL","-",IF(Peak!M14&gt;Peak!$G14,G$8*$X13,0))</f>
        <v>0</v>
      </c>
      <c r="H13" s="432" t="n">
        <f aca="false">IF('Peak Revenue'!$A$1="BL","-",IF(Peak!N14&gt;Peak!$G14,H$8*$X13,0))</f>
        <v>0</v>
      </c>
      <c r="I13" s="432" t="n">
        <f aca="false">IF('Peak Revenue'!$A$1="BL","-",IF(Peak!O14&gt;Peak!$G14,I$8*$X13,0))</f>
        <v>0</v>
      </c>
      <c r="J13" s="432" t="n">
        <f aca="false">IF('Peak Revenue'!$A$1="BL","-",IF(Peak!P14&gt;Peak!$G14,J$8*$X13,0))</f>
        <v>0</v>
      </c>
      <c r="K13" s="432" t="n">
        <f aca="false">IF('Peak Revenue'!$A$1="BL","-",IF(Peak!Q14&gt;Peak!$G14,K$8*$X13,0))</f>
        <v>0</v>
      </c>
      <c r="L13" s="432" t="n">
        <f aca="false">IF('Peak Revenue'!$A$1="BL","-",IF(Peak!R14&gt;Peak!$G14,L$8*$X13,0))</f>
        <v>0</v>
      </c>
      <c r="M13" s="432" t="n">
        <f aca="false">IF('Peak Revenue'!$A$1="BL","-",IF(Peak!S14&gt;Peak!$G14,M$8*$X13,0))</f>
        <v>0</v>
      </c>
      <c r="N13" s="432" t="n">
        <f aca="false">IF('Peak Revenue'!$A$1="BL","-",IF(Peak!T14&gt;Peak!$G14,N$8*$X13,0))</f>
        <v>0</v>
      </c>
      <c r="O13" s="432" t="n">
        <f aca="false">IF('Peak Revenue'!$A$1="BL","-",IF(Peak!U14&gt;Peak!$G14,O$8*$X13,0))</f>
        <v>0</v>
      </c>
      <c r="P13" s="432" t="n">
        <f aca="false">IF('Peak Revenue'!$A$1="BL","-",IF(Peak!V14&gt;Peak!$G14,P$8*$X13,0))</f>
        <v>0</v>
      </c>
      <c r="Q13" s="432" t="n">
        <f aca="false">IF('Peak Revenue'!$A$1="BL","-",IF(Peak!W14&gt;Peak!$G14,Q$8*$X13,0))</f>
        <v>0</v>
      </c>
      <c r="R13" s="432" t="n">
        <f aca="false">IF('Peak Revenue'!$A$1="BL","-",IF(Peak!X14&gt;Peak!$G14,R$8*$X13,0))</f>
        <v>0</v>
      </c>
      <c r="S13" s="432" t="n">
        <f aca="false">IF('Peak Revenue'!$A$1="BL","-",IF(Peak!Y14&gt;Peak!$G14,S$8*$X13,0))</f>
        <v>0</v>
      </c>
      <c r="T13" s="432" t="n">
        <f aca="false">IF('Peak Revenue'!$A$1="BL","-",IF(Peak!Z14&gt;Peak!$G14,T$8*$X13,0))</f>
        <v>0</v>
      </c>
      <c r="U13" s="432" t="n">
        <f aca="false">IF('Peak Revenue'!$A$1="BL","-",IF(Peak!AA14&gt;Peak!$G14,U$8*$X13,0))</f>
        <v>0</v>
      </c>
      <c r="V13" s="441" t="n">
        <f aca="false">SUM(B13:U13)</f>
        <v>0</v>
      </c>
      <c r="W13" s="442"/>
      <c r="X13" s="439" t="n">
        <f aca="false">CHOOSE(QUOTIENT(MONTH($A13),3)+1,Peak!$AM$11,Peak!$AN$11,Peak!$AL$11,Peak!$AO$11,Peak!$AM$11)</f>
        <v>0.95</v>
      </c>
      <c r="Y13" s="440" t="n">
        <f aca="false">CHOOSE(QUOTIENT(MONTH($A13),3)+1,Peak!$AM$17,Peak!$AN$17,Peak!$AL$17,Peak!$AO$17,Peak!$AM$17)</f>
        <v>705</v>
      </c>
    </row>
    <row r="14" customFormat="false" ht="12.75" hidden="false" customHeight="false" outlineLevel="0" collapsed="false">
      <c r="A14" s="400" t="n">
        <f aca="false">A13+30.417</f>
        <v>36661.668</v>
      </c>
      <c r="B14" s="432" t="n">
        <f aca="false">IF('Peak Revenue'!$A$1="BL","-",IF(Peak!H15&gt;Peak!$G15,B$8*$X14,0))</f>
        <v>0</v>
      </c>
      <c r="C14" s="432" t="n">
        <f aca="false">IF('Peak Revenue'!$A$1="BL","-",IF(Peak!I15&gt;Peak!$G15,C$8*$X14,0))</f>
        <v>0</v>
      </c>
      <c r="D14" s="432" t="n">
        <f aca="false">IF('Peak Revenue'!$A$1="BL","-",IF(Peak!J15&gt;Peak!$G15,D$8*$X14,0))</f>
        <v>0</v>
      </c>
      <c r="E14" s="432" t="n">
        <f aca="false">IF('Peak Revenue'!$A$1="BL","-",IF(Peak!K15&gt;Peak!$G15,E$8*$X14,0))</f>
        <v>0</v>
      </c>
      <c r="F14" s="432" t="n">
        <f aca="false">IF('Peak Revenue'!$A$1="BL","-",IF(Peak!L15&gt;Peak!$G15,F$8*$X14,0))</f>
        <v>0</v>
      </c>
      <c r="G14" s="432" t="n">
        <f aca="false">IF('Peak Revenue'!$A$1="BL","-",IF(Peak!M15&gt;Peak!$G15,G$8*$X14,0))</f>
        <v>0</v>
      </c>
      <c r="H14" s="432" t="n">
        <f aca="false">IF('Peak Revenue'!$A$1="BL","-",IF(Peak!N15&gt;Peak!$G15,H$8*$X14,0))</f>
        <v>0</v>
      </c>
      <c r="I14" s="432" t="n">
        <f aca="false">IF('Peak Revenue'!$A$1="BL","-",IF(Peak!O15&gt;Peak!$G15,I$8*$X14,0))</f>
        <v>0</v>
      </c>
      <c r="J14" s="432" t="n">
        <f aca="false">IF('Peak Revenue'!$A$1="BL","-",IF(Peak!P15&gt;Peak!$G15,J$8*$X14,0))</f>
        <v>0</v>
      </c>
      <c r="K14" s="432" t="n">
        <f aca="false">IF('Peak Revenue'!$A$1="BL","-",IF(Peak!Q15&gt;Peak!$G15,K$8*$X14,0))</f>
        <v>0</v>
      </c>
      <c r="L14" s="432" t="n">
        <f aca="false">IF('Peak Revenue'!$A$1="BL","-",IF(Peak!R15&gt;Peak!$G15,L$8*$X14,0))</f>
        <v>0</v>
      </c>
      <c r="M14" s="432" t="n">
        <f aca="false">IF('Peak Revenue'!$A$1="BL","-",IF(Peak!S15&gt;Peak!$G15,M$8*$X14,0))</f>
        <v>0</v>
      </c>
      <c r="N14" s="432" t="n">
        <f aca="false">IF('Peak Revenue'!$A$1="BL","-",IF(Peak!T15&gt;Peak!$G15,N$8*$X14,0))</f>
        <v>0</v>
      </c>
      <c r="O14" s="432" t="n">
        <f aca="false">IF('Peak Revenue'!$A$1="BL","-",IF(Peak!U15&gt;Peak!$G15,O$8*$X14,0))</f>
        <v>0</v>
      </c>
      <c r="P14" s="432" t="n">
        <f aca="false">IF('Peak Revenue'!$A$1="BL","-",IF(Peak!V15&gt;Peak!$G15,P$8*$X14,0))</f>
        <v>0</v>
      </c>
      <c r="Q14" s="432" t="n">
        <f aca="false">IF('Peak Revenue'!$A$1="BL","-",IF(Peak!W15&gt;Peak!$G15,Q$8*$X14,0))</f>
        <v>0</v>
      </c>
      <c r="R14" s="432" t="n">
        <f aca="false">IF('Peak Revenue'!$A$1="BL","-",IF(Peak!X15&gt;Peak!$G15,R$8*$X14,0))</f>
        <v>0</v>
      </c>
      <c r="S14" s="432" t="n">
        <f aca="false">IF('Peak Revenue'!$A$1="BL","-",IF(Peak!Y15&gt;Peak!$G15,S$8*$X14,0))</f>
        <v>0</v>
      </c>
      <c r="T14" s="432" t="n">
        <f aca="false">IF('Peak Revenue'!$A$1="BL","-",IF(Peak!Z15&gt;Peak!$G15,T$8*$X14,0))</f>
        <v>0</v>
      </c>
      <c r="U14" s="432" t="n">
        <f aca="false">IF('Peak Revenue'!$A$1="BL","-",IF(Peak!AA15&gt;Peak!$G15,U$8*$X14,0))</f>
        <v>0</v>
      </c>
      <c r="V14" s="441" t="n">
        <f aca="false">SUM(B14:U14)</f>
        <v>0</v>
      </c>
      <c r="W14" s="442"/>
      <c r="X14" s="439" t="n">
        <f aca="false">CHOOSE(QUOTIENT(MONTH($A14),3)+1,Peak!$AM$11,Peak!$AN$11,Peak!$AL$11,Peak!$AO$11,Peak!$AM$11)</f>
        <v>0.95</v>
      </c>
      <c r="Y14" s="440" t="n">
        <f aca="false">CHOOSE(QUOTIENT(MONTH($A14),3)+1,Peak!$AM$17,Peak!$AN$17,Peak!$AL$17,Peak!$AO$17,Peak!$AM$17)</f>
        <v>705</v>
      </c>
    </row>
    <row r="15" customFormat="false" ht="12.75" hidden="false" customHeight="false" outlineLevel="0" collapsed="false">
      <c r="A15" s="400" t="n">
        <f aca="false">A14+30.417</f>
        <v>36692.085</v>
      </c>
      <c r="B15" s="432" t="n">
        <f aca="false">IF('Peak Revenue'!$A$1="BL","-",IF(Peak!H16&gt;Peak!$G16,B$8*$X15,0))</f>
        <v>0</v>
      </c>
      <c r="C15" s="432" t="n">
        <f aca="false">IF('Peak Revenue'!$A$1="BL","-",IF(Peak!I16&gt;Peak!$G16,C$8*$X15,0))</f>
        <v>0</v>
      </c>
      <c r="D15" s="432" t="n">
        <f aca="false">IF('Peak Revenue'!$A$1="BL","-",IF(Peak!J16&gt;Peak!$G16,D$8*$X15,0))</f>
        <v>0</v>
      </c>
      <c r="E15" s="432" t="n">
        <f aca="false">IF('Peak Revenue'!$A$1="BL","-",IF(Peak!K16&gt;Peak!$G16,E$8*$X15,0))</f>
        <v>0</v>
      </c>
      <c r="F15" s="432" t="n">
        <f aca="false">IF('Peak Revenue'!$A$1="BL","-",IF(Peak!L16&gt;Peak!$G16,F$8*$X15,0))</f>
        <v>0</v>
      </c>
      <c r="G15" s="432" t="n">
        <f aca="false">IF('Peak Revenue'!$A$1="BL","-",IF(Peak!M16&gt;Peak!$G16,G$8*$X15,0))</f>
        <v>0</v>
      </c>
      <c r="H15" s="432" t="n">
        <f aca="false">IF('Peak Revenue'!$A$1="BL","-",IF(Peak!N16&gt;Peak!$G16,H$8*$X15,0))</f>
        <v>0</v>
      </c>
      <c r="I15" s="432" t="n">
        <f aca="false">IF('Peak Revenue'!$A$1="BL","-",IF(Peak!O16&gt;Peak!$G16,I$8*$X15,0))</f>
        <v>0</v>
      </c>
      <c r="J15" s="432" t="n">
        <f aca="false">IF('Peak Revenue'!$A$1="BL","-",IF(Peak!P16&gt;Peak!$G16,J$8*$X15,0))</f>
        <v>0</v>
      </c>
      <c r="K15" s="432" t="n">
        <f aca="false">IF('Peak Revenue'!$A$1="BL","-",IF(Peak!Q16&gt;Peak!$G16,K$8*$X15,0))</f>
        <v>0</v>
      </c>
      <c r="L15" s="432" t="n">
        <f aca="false">IF('Peak Revenue'!$A$1="BL","-",IF(Peak!R16&gt;Peak!$G16,L$8*$X15,0))</f>
        <v>0</v>
      </c>
      <c r="M15" s="432" t="n">
        <f aca="false">IF('Peak Revenue'!$A$1="BL","-",IF(Peak!S16&gt;Peak!$G16,M$8*$X15,0))</f>
        <v>0</v>
      </c>
      <c r="N15" s="432" t="n">
        <f aca="false">IF('Peak Revenue'!$A$1="BL","-",IF(Peak!T16&gt;Peak!$G16,N$8*$X15,0))</f>
        <v>0</v>
      </c>
      <c r="O15" s="432" t="n">
        <f aca="false">IF('Peak Revenue'!$A$1="BL","-",IF(Peak!U16&gt;Peak!$G16,O$8*$X15,0))</f>
        <v>0</v>
      </c>
      <c r="P15" s="432" t="n">
        <f aca="false">IF('Peak Revenue'!$A$1="BL","-",IF(Peak!V16&gt;Peak!$G16,P$8*$X15,0))</f>
        <v>0</v>
      </c>
      <c r="Q15" s="432" t="n">
        <f aca="false">IF('Peak Revenue'!$A$1="BL","-",IF(Peak!W16&gt;Peak!$G16,Q$8*$X15,0))</f>
        <v>0</v>
      </c>
      <c r="R15" s="432" t="n">
        <f aca="false">IF('Peak Revenue'!$A$1="BL","-",IF(Peak!X16&gt;Peak!$G16,R$8*$X15,0))</f>
        <v>0</v>
      </c>
      <c r="S15" s="432" t="n">
        <f aca="false">IF('Peak Revenue'!$A$1="BL","-",IF(Peak!Y16&gt;Peak!$G16,S$8*$X15,0))</f>
        <v>0</v>
      </c>
      <c r="T15" s="432" t="n">
        <f aca="false">IF('Peak Revenue'!$A$1="BL","-",IF(Peak!Z16&gt;Peak!$G16,T$8*$X15,0))</f>
        <v>0</v>
      </c>
      <c r="U15" s="432" t="n">
        <f aca="false">IF('Peak Revenue'!$A$1="BL","-",IF(Peak!AA16&gt;Peak!$G16,U$8*$X15,0))</f>
        <v>0</v>
      </c>
      <c r="V15" s="441" t="n">
        <f aca="false">SUM(B15:U15)</f>
        <v>0</v>
      </c>
      <c r="W15" s="442"/>
      <c r="X15" s="439" t="n">
        <f aca="false">CHOOSE(QUOTIENT(MONTH($A15),3)+1,Peak!$AM$11,Peak!$AN$11,Peak!$AL$11,Peak!$AO$11,Peak!$AM$11)</f>
        <v>0.966121359095586</v>
      </c>
      <c r="Y15" s="440" t="n">
        <f aca="false">CHOOSE(QUOTIENT(MONTH($A15),3)+1,Peak!$AM$17,Peak!$AN$17,Peak!$AL$17,Peak!$AO$17,Peak!$AM$17)</f>
        <v>705</v>
      </c>
    </row>
    <row r="16" customFormat="false" ht="12.75" hidden="false" customHeight="false" outlineLevel="0" collapsed="false">
      <c r="A16" s="400" t="n">
        <f aca="false">A15+30.417</f>
        <v>36722.502</v>
      </c>
      <c r="B16" s="432" t="n">
        <f aca="false">IF('Peak Revenue'!$A$1="BL","-",IF(Peak!H17&gt;Peak!$G17,B$8*$X16,0))</f>
        <v>0</v>
      </c>
      <c r="C16" s="432" t="n">
        <f aca="false">IF('Peak Revenue'!$A$1="BL","-",IF(Peak!I17&gt;Peak!$G17,C$8*$X16,0))</f>
        <v>0</v>
      </c>
      <c r="D16" s="432" t="n">
        <f aca="false">IF('Peak Revenue'!$A$1="BL","-",IF(Peak!J17&gt;Peak!$G17,D$8*$X16,0))</f>
        <v>0</v>
      </c>
      <c r="E16" s="432" t="n">
        <f aca="false">IF('Peak Revenue'!$A$1="BL","-",IF(Peak!K17&gt;Peak!$G17,E$8*$X16,0))</f>
        <v>0</v>
      </c>
      <c r="F16" s="432" t="n">
        <f aca="false">IF('Peak Revenue'!$A$1="BL","-",IF(Peak!L17&gt;Peak!$G17,F$8*$X16,0))</f>
        <v>0</v>
      </c>
      <c r="G16" s="432" t="n">
        <f aca="false">IF('Peak Revenue'!$A$1="BL","-",IF(Peak!M17&gt;Peak!$G17,G$8*$X16,0))</f>
        <v>0</v>
      </c>
      <c r="H16" s="432" t="n">
        <f aca="false">IF('Peak Revenue'!$A$1="BL","-",IF(Peak!N17&gt;Peak!$G17,H$8*$X16,0))</f>
        <v>0</v>
      </c>
      <c r="I16" s="432" t="n">
        <f aca="false">IF('Peak Revenue'!$A$1="BL","-",IF(Peak!O17&gt;Peak!$G17,I$8*$X16,0))</f>
        <v>0</v>
      </c>
      <c r="J16" s="432" t="n">
        <f aca="false">IF('Peak Revenue'!$A$1="BL","-",IF(Peak!P17&gt;Peak!$G17,J$8*$X16,0))</f>
        <v>0</v>
      </c>
      <c r="K16" s="432" t="n">
        <f aca="false">IF('Peak Revenue'!$A$1="BL","-",IF(Peak!Q17&gt;Peak!$G17,K$8*$X16,0))</f>
        <v>0</v>
      </c>
      <c r="L16" s="432" t="n">
        <f aca="false">IF('Peak Revenue'!$A$1="BL","-",IF(Peak!R17&gt;Peak!$G17,L$8*$X16,0))</f>
        <v>0</v>
      </c>
      <c r="M16" s="432" t="n">
        <f aca="false">IF('Peak Revenue'!$A$1="BL","-",IF(Peak!S17&gt;Peak!$G17,M$8*$X16,0))</f>
        <v>0</v>
      </c>
      <c r="N16" s="432" t="n">
        <f aca="false">IF('Peak Revenue'!$A$1="BL","-",IF(Peak!T17&gt;Peak!$G17,N$8*$X16,0))</f>
        <v>0</v>
      </c>
      <c r="O16" s="432" t="n">
        <f aca="false">IF('Peak Revenue'!$A$1="BL","-",IF(Peak!U17&gt;Peak!$G17,O$8*$X16,0))</f>
        <v>0</v>
      </c>
      <c r="P16" s="432" t="n">
        <f aca="false">IF('Peak Revenue'!$A$1="BL","-",IF(Peak!V17&gt;Peak!$G17,P$8*$X16,0))</f>
        <v>0</v>
      </c>
      <c r="Q16" s="432" t="n">
        <f aca="false">IF('Peak Revenue'!$A$1="BL","-",IF(Peak!W17&gt;Peak!$G17,Q$8*$X16,0))</f>
        <v>0</v>
      </c>
      <c r="R16" s="432" t="n">
        <f aca="false">IF('Peak Revenue'!$A$1="BL","-",IF(Peak!X17&gt;Peak!$G17,R$8*$X16,0))</f>
        <v>0</v>
      </c>
      <c r="S16" s="432" t="n">
        <f aca="false">IF('Peak Revenue'!$A$1="BL","-",IF(Peak!Y17&gt;Peak!$G17,S$8*$X16,0))</f>
        <v>0</v>
      </c>
      <c r="T16" s="432" t="n">
        <f aca="false">IF('Peak Revenue'!$A$1="BL","-",IF(Peak!Z17&gt;Peak!$G17,T$8*$X16,0))</f>
        <v>0</v>
      </c>
      <c r="U16" s="432" t="n">
        <f aca="false">IF('Peak Revenue'!$A$1="BL","-",IF(Peak!AA17&gt;Peak!$G17,U$8*$X16,0))</f>
        <v>0</v>
      </c>
      <c r="V16" s="441" t="n">
        <f aca="false">SUM(B16:U16)</f>
        <v>0</v>
      </c>
      <c r="W16" s="442"/>
      <c r="X16" s="439" t="n">
        <f aca="false">CHOOSE(QUOTIENT(MONTH($A16),3)+1,Peak!$AM$11,Peak!$AN$11,Peak!$AL$11,Peak!$AO$11,Peak!$AM$11)</f>
        <v>0.966121359095586</v>
      </c>
      <c r="Y16" s="440" t="n">
        <f aca="false">CHOOSE(QUOTIENT(MONTH($A16),3)+1,Peak!$AM$17,Peak!$AN$17,Peak!$AL$17,Peak!$AO$17,Peak!$AM$17)</f>
        <v>705</v>
      </c>
    </row>
    <row r="17" customFormat="false" ht="12.75" hidden="false" customHeight="false" outlineLevel="0" collapsed="false">
      <c r="A17" s="400" t="n">
        <f aca="false">A16+30.417</f>
        <v>36752.919</v>
      </c>
      <c r="B17" s="432" t="n">
        <f aca="false">IF('Peak Revenue'!$A$1="BL","-",IF(Peak!H18&gt;Peak!$G18,B$8*$X17,0))</f>
        <v>0</v>
      </c>
      <c r="C17" s="432" t="n">
        <f aca="false">IF('Peak Revenue'!$A$1="BL","-",IF(Peak!I18&gt;Peak!$G18,C$8*$X17,0))</f>
        <v>0</v>
      </c>
      <c r="D17" s="432" t="n">
        <f aca="false">IF('Peak Revenue'!$A$1="BL","-",IF(Peak!J18&gt;Peak!$G18,D$8*$X17,0))</f>
        <v>0</v>
      </c>
      <c r="E17" s="432" t="n">
        <f aca="false">IF('Peak Revenue'!$A$1="BL","-",IF(Peak!K18&gt;Peak!$G18,E$8*$X17,0))</f>
        <v>0</v>
      </c>
      <c r="F17" s="432" t="n">
        <f aca="false">IF('Peak Revenue'!$A$1="BL","-",IF(Peak!L18&gt;Peak!$G18,F$8*$X17,0))</f>
        <v>0</v>
      </c>
      <c r="G17" s="432" t="n">
        <f aca="false">IF('Peak Revenue'!$A$1="BL","-",IF(Peak!M18&gt;Peak!$G18,G$8*$X17,0))</f>
        <v>0</v>
      </c>
      <c r="H17" s="432" t="n">
        <f aca="false">IF('Peak Revenue'!$A$1="BL","-",IF(Peak!N18&gt;Peak!$G18,H$8*$X17,0))</f>
        <v>0</v>
      </c>
      <c r="I17" s="432" t="n">
        <f aca="false">IF('Peak Revenue'!$A$1="BL","-",IF(Peak!O18&gt;Peak!$G18,I$8*$X17,0))</f>
        <v>0</v>
      </c>
      <c r="J17" s="432" t="n">
        <f aca="false">IF('Peak Revenue'!$A$1="BL","-",IF(Peak!P18&gt;Peak!$G18,J$8*$X17,0))</f>
        <v>0</v>
      </c>
      <c r="K17" s="432" t="n">
        <f aca="false">IF('Peak Revenue'!$A$1="BL","-",IF(Peak!Q18&gt;Peak!$G18,K$8*$X17,0))</f>
        <v>0</v>
      </c>
      <c r="L17" s="432" t="n">
        <f aca="false">IF('Peak Revenue'!$A$1="BL","-",IF(Peak!R18&gt;Peak!$G18,L$8*$X17,0))</f>
        <v>0</v>
      </c>
      <c r="M17" s="432" t="n">
        <f aca="false">IF('Peak Revenue'!$A$1="BL","-",IF(Peak!S18&gt;Peak!$G18,M$8*$X17,0))</f>
        <v>0</v>
      </c>
      <c r="N17" s="432" t="n">
        <f aca="false">IF('Peak Revenue'!$A$1="BL","-",IF(Peak!T18&gt;Peak!$G18,N$8*$X17,0))</f>
        <v>0</v>
      </c>
      <c r="O17" s="432" t="n">
        <f aca="false">IF('Peak Revenue'!$A$1="BL","-",IF(Peak!U18&gt;Peak!$G18,O$8*$X17,0))</f>
        <v>0</v>
      </c>
      <c r="P17" s="432" t="n">
        <f aca="false">IF('Peak Revenue'!$A$1="BL","-",IF(Peak!V18&gt;Peak!$G18,P$8*$X17,0))</f>
        <v>0</v>
      </c>
      <c r="Q17" s="432" t="n">
        <f aca="false">IF('Peak Revenue'!$A$1="BL","-",IF(Peak!W18&gt;Peak!$G18,Q$8*$X17,0))</f>
        <v>0</v>
      </c>
      <c r="R17" s="432" t="n">
        <f aca="false">IF('Peak Revenue'!$A$1="BL","-",IF(Peak!X18&gt;Peak!$G18,R$8*$X17,0))</f>
        <v>0</v>
      </c>
      <c r="S17" s="432" t="n">
        <f aca="false">IF('Peak Revenue'!$A$1="BL","-",IF(Peak!Y18&gt;Peak!$G18,S$8*$X17,0))</f>
        <v>0</v>
      </c>
      <c r="T17" s="432" t="n">
        <f aca="false">IF('Peak Revenue'!$A$1="BL","-",IF(Peak!Z18&gt;Peak!$G18,T$8*$X17,0))</f>
        <v>0</v>
      </c>
      <c r="U17" s="432" t="n">
        <f aca="false">IF('Peak Revenue'!$A$1="BL","-",IF(Peak!AA18&gt;Peak!$G18,U$8*$X17,0))</f>
        <v>0</v>
      </c>
      <c r="V17" s="441" t="n">
        <f aca="false">SUM(B17:U17)</f>
        <v>0</v>
      </c>
      <c r="W17" s="442"/>
      <c r="X17" s="439" t="n">
        <f aca="false">CHOOSE(QUOTIENT(MONTH($A17),3)+1,Peak!$AM$11,Peak!$AN$11,Peak!$AL$11,Peak!$AO$11,Peak!$AM$11)</f>
        <v>0.966121359095586</v>
      </c>
      <c r="Y17" s="440" t="n">
        <f aca="false">CHOOSE(QUOTIENT(MONTH($A17),3)+1,Peak!$AM$17,Peak!$AN$17,Peak!$AL$17,Peak!$AO$17,Peak!$AM$17)</f>
        <v>705</v>
      </c>
    </row>
    <row r="18" customFormat="false" ht="12.75" hidden="false" customHeight="false" outlineLevel="0" collapsed="false">
      <c r="A18" s="400" t="n">
        <f aca="false">A17+30.417</f>
        <v>36783.336</v>
      </c>
      <c r="B18" s="432" t="n">
        <f aca="false">IF('Peak Revenue'!$A$1="BL","-",IF(Peak!H19&gt;Peak!$G19,B$8*$X18,0))</f>
        <v>0</v>
      </c>
      <c r="C18" s="432" t="n">
        <f aca="false">IF('Peak Revenue'!$A$1="BL","-",IF(Peak!I19&gt;Peak!$G19,C$8*$X18,0))</f>
        <v>0</v>
      </c>
      <c r="D18" s="432" t="n">
        <f aca="false">IF('Peak Revenue'!$A$1="BL","-",IF(Peak!J19&gt;Peak!$G19,D$8*$X18,0))</f>
        <v>0</v>
      </c>
      <c r="E18" s="432" t="n">
        <f aca="false">IF('Peak Revenue'!$A$1="BL","-",IF(Peak!K19&gt;Peak!$G19,E$8*$X18,0))</f>
        <v>0</v>
      </c>
      <c r="F18" s="432" t="n">
        <f aca="false">IF('Peak Revenue'!$A$1="BL","-",IF(Peak!L19&gt;Peak!$G19,F$8*$X18,0))</f>
        <v>0</v>
      </c>
      <c r="G18" s="432" t="n">
        <f aca="false">IF('Peak Revenue'!$A$1="BL","-",IF(Peak!M19&gt;Peak!$G19,G$8*$X18,0))</f>
        <v>0</v>
      </c>
      <c r="H18" s="432" t="n">
        <f aca="false">IF('Peak Revenue'!$A$1="BL","-",IF(Peak!N19&gt;Peak!$G19,H$8*$X18,0))</f>
        <v>0</v>
      </c>
      <c r="I18" s="432" t="n">
        <f aca="false">IF('Peak Revenue'!$A$1="BL","-",IF(Peak!O19&gt;Peak!$G19,I$8*$X18,0))</f>
        <v>0</v>
      </c>
      <c r="J18" s="432" t="n">
        <f aca="false">IF('Peak Revenue'!$A$1="BL","-",IF(Peak!P19&gt;Peak!$G19,J$8*$X18,0))</f>
        <v>0</v>
      </c>
      <c r="K18" s="432" t="n">
        <f aca="false">IF('Peak Revenue'!$A$1="BL","-",IF(Peak!Q19&gt;Peak!$G19,K$8*$X18,0))</f>
        <v>0</v>
      </c>
      <c r="L18" s="432" t="n">
        <f aca="false">IF('Peak Revenue'!$A$1="BL","-",IF(Peak!R19&gt;Peak!$G19,L$8*$X18,0))</f>
        <v>0</v>
      </c>
      <c r="M18" s="432" t="n">
        <f aca="false">IF('Peak Revenue'!$A$1="BL","-",IF(Peak!S19&gt;Peak!$G19,M$8*$X18,0))</f>
        <v>0</v>
      </c>
      <c r="N18" s="432" t="n">
        <f aca="false">IF('Peak Revenue'!$A$1="BL","-",IF(Peak!T19&gt;Peak!$G19,N$8*$X18,0))</f>
        <v>0</v>
      </c>
      <c r="O18" s="432" t="n">
        <f aca="false">IF('Peak Revenue'!$A$1="BL","-",IF(Peak!U19&gt;Peak!$G19,O$8*$X18,0))</f>
        <v>0</v>
      </c>
      <c r="P18" s="432" t="n">
        <f aca="false">IF('Peak Revenue'!$A$1="BL","-",IF(Peak!V19&gt;Peak!$G19,P$8*$X18,0))</f>
        <v>0</v>
      </c>
      <c r="Q18" s="432" t="n">
        <f aca="false">IF('Peak Revenue'!$A$1="BL","-",IF(Peak!W19&gt;Peak!$G19,Q$8*$X18,0))</f>
        <v>0</v>
      </c>
      <c r="R18" s="432" t="n">
        <f aca="false">IF('Peak Revenue'!$A$1="BL","-",IF(Peak!X19&gt;Peak!$G19,R$8*$X18,0))</f>
        <v>0</v>
      </c>
      <c r="S18" s="432" t="n">
        <f aca="false">IF('Peak Revenue'!$A$1="BL","-",IF(Peak!Y19&gt;Peak!$G19,S$8*$X18,0))</f>
        <v>0</v>
      </c>
      <c r="T18" s="432" t="n">
        <f aca="false">IF('Peak Revenue'!$A$1="BL","-",IF(Peak!Z19&gt;Peak!$G19,T$8*$X18,0))</f>
        <v>0</v>
      </c>
      <c r="U18" s="432" t="n">
        <f aca="false">IF('Peak Revenue'!$A$1="BL","-",IF(Peak!AA19&gt;Peak!$G19,U$8*$X18,0))</f>
        <v>0</v>
      </c>
      <c r="V18" s="441" t="n">
        <f aca="false">SUM(B18:U18)</f>
        <v>0</v>
      </c>
      <c r="W18" s="442"/>
      <c r="X18" s="439" t="n">
        <f aca="false">CHOOSE(QUOTIENT(MONTH($A18),3)+1,Peak!$AM$11,Peak!$AN$11,Peak!$AL$11,Peak!$AO$11,Peak!$AM$11)</f>
        <v>0.95</v>
      </c>
      <c r="Y18" s="440" t="n">
        <f aca="false">CHOOSE(QUOTIENT(MONTH($A18),3)+1,Peak!$AM$17,Peak!$AN$17,Peak!$AL$17,Peak!$AO$17,Peak!$AM$17)</f>
        <v>705</v>
      </c>
    </row>
    <row r="19" customFormat="false" ht="12.75" hidden="false" customHeight="false" outlineLevel="0" collapsed="false">
      <c r="A19" s="400" t="n">
        <f aca="false">A18+30.417</f>
        <v>36813.753</v>
      </c>
      <c r="B19" s="432" t="n">
        <f aca="false">IF('Peak Revenue'!$A$1="BL","-",IF(Peak!H20&gt;Peak!$G20,B$8*$X19,0))</f>
        <v>0</v>
      </c>
      <c r="C19" s="432" t="n">
        <f aca="false">IF('Peak Revenue'!$A$1="BL","-",IF(Peak!I20&gt;Peak!$G20,C$8*$X19,0))</f>
        <v>0</v>
      </c>
      <c r="D19" s="432" t="n">
        <f aca="false">IF('Peak Revenue'!$A$1="BL","-",IF(Peak!J20&gt;Peak!$G20,D$8*$X19,0))</f>
        <v>0</v>
      </c>
      <c r="E19" s="432" t="n">
        <f aca="false">IF('Peak Revenue'!$A$1="BL","-",IF(Peak!K20&gt;Peak!$G20,E$8*$X19,0))</f>
        <v>0</v>
      </c>
      <c r="F19" s="432" t="n">
        <f aca="false">IF('Peak Revenue'!$A$1="BL","-",IF(Peak!L20&gt;Peak!$G20,F$8*$X19,0))</f>
        <v>0</v>
      </c>
      <c r="G19" s="432" t="n">
        <f aca="false">IF('Peak Revenue'!$A$1="BL","-",IF(Peak!M20&gt;Peak!$G20,G$8*$X19,0))</f>
        <v>0</v>
      </c>
      <c r="H19" s="432" t="n">
        <f aca="false">IF('Peak Revenue'!$A$1="BL","-",IF(Peak!N20&gt;Peak!$G20,H$8*$X19,0))</f>
        <v>0</v>
      </c>
      <c r="I19" s="432" t="n">
        <f aca="false">IF('Peak Revenue'!$A$1="BL","-",IF(Peak!O20&gt;Peak!$G20,I$8*$X19,0))</f>
        <v>0</v>
      </c>
      <c r="J19" s="432" t="n">
        <f aca="false">IF('Peak Revenue'!$A$1="BL","-",IF(Peak!P20&gt;Peak!$G20,J$8*$X19,0))</f>
        <v>0</v>
      </c>
      <c r="K19" s="432" t="n">
        <f aca="false">IF('Peak Revenue'!$A$1="BL","-",IF(Peak!Q20&gt;Peak!$G20,K$8*$X19,0))</f>
        <v>0</v>
      </c>
      <c r="L19" s="432" t="n">
        <f aca="false">IF('Peak Revenue'!$A$1="BL","-",IF(Peak!R20&gt;Peak!$G20,L$8*$X19,0))</f>
        <v>0</v>
      </c>
      <c r="M19" s="432" t="n">
        <f aca="false">IF('Peak Revenue'!$A$1="BL","-",IF(Peak!S20&gt;Peak!$G20,M$8*$X19,0))</f>
        <v>0</v>
      </c>
      <c r="N19" s="432" t="n">
        <f aca="false">IF('Peak Revenue'!$A$1="BL","-",IF(Peak!T20&gt;Peak!$G20,N$8*$X19,0))</f>
        <v>0</v>
      </c>
      <c r="O19" s="432" t="n">
        <f aca="false">IF('Peak Revenue'!$A$1="BL","-",IF(Peak!U20&gt;Peak!$G20,O$8*$X19,0))</f>
        <v>0</v>
      </c>
      <c r="P19" s="432" t="n">
        <f aca="false">IF('Peak Revenue'!$A$1="BL","-",IF(Peak!V20&gt;Peak!$G20,P$8*$X19,0))</f>
        <v>0</v>
      </c>
      <c r="Q19" s="432" t="n">
        <f aca="false">IF('Peak Revenue'!$A$1="BL","-",IF(Peak!W20&gt;Peak!$G20,Q$8*$X19,0))</f>
        <v>0</v>
      </c>
      <c r="R19" s="432" t="n">
        <f aca="false">IF('Peak Revenue'!$A$1="BL","-",IF(Peak!X20&gt;Peak!$G20,R$8*$X19,0))</f>
        <v>0</v>
      </c>
      <c r="S19" s="432" t="n">
        <f aca="false">IF('Peak Revenue'!$A$1="BL","-",IF(Peak!Y20&gt;Peak!$G20,S$8*$X19,0))</f>
        <v>0</v>
      </c>
      <c r="T19" s="432" t="n">
        <f aca="false">IF('Peak Revenue'!$A$1="BL","-",IF(Peak!Z20&gt;Peak!$G20,T$8*$X19,0))</f>
        <v>0</v>
      </c>
      <c r="U19" s="432" t="n">
        <f aca="false">IF('Peak Revenue'!$A$1="BL","-",IF(Peak!AA20&gt;Peak!$G20,U$8*$X19,0))</f>
        <v>0</v>
      </c>
      <c r="V19" s="441" t="n">
        <f aca="false">SUM(B19:U19)</f>
        <v>0</v>
      </c>
      <c r="W19" s="442"/>
      <c r="X19" s="439" t="n">
        <f aca="false">CHOOSE(QUOTIENT(MONTH($A19),3)+1,Peak!$AM$11,Peak!$AN$11,Peak!$AL$11,Peak!$AO$11,Peak!$AM$11)</f>
        <v>0.95</v>
      </c>
      <c r="Y19" s="440" t="n">
        <f aca="false">CHOOSE(QUOTIENT(MONTH($A19),3)+1,Peak!$AM$17,Peak!$AN$17,Peak!$AL$17,Peak!$AO$17,Peak!$AM$17)</f>
        <v>705</v>
      </c>
    </row>
    <row r="20" customFormat="false" ht="12.75" hidden="false" customHeight="false" outlineLevel="0" collapsed="false">
      <c r="A20" s="400" t="n">
        <f aca="false">A19+30.417</f>
        <v>36844.17</v>
      </c>
      <c r="B20" s="432" t="n">
        <f aca="false">IF('Peak Revenue'!$A$1="BL","-",IF(Peak!H21&gt;Peak!$G21,B$8*$X20,0))</f>
        <v>0</v>
      </c>
      <c r="C20" s="432" t="n">
        <f aca="false">IF('Peak Revenue'!$A$1="BL","-",IF(Peak!I21&gt;Peak!$G21,C$8*$X20,0))</f>
        <v>0</v>
      </c>
      <c r="D20" s="432" t="n">
        <f aca="false">IF('Peak Revenue'!$A$1="BL","-",IF(Peak!J21&gt;Peak!$G21,D$8*$X20,0))</f>
        <v>0</v>
      </c>
      <c r="E20" s="432" t="n">
        <f aca="false">IF('Peak Revenue'!$A$1="BL","-",IF(Peak!K21&gt;Peak!$G21,E$8*$X20,0))</f>
        <v>0</v>
      </c>
      <c r="F20" s="432" t="n">
        <f aca="false">IF('Peak Revenue'!$A$1="BL","-",IF(Peak!L21&gt;Peak!$G21,F$8*$X20,0))</f>
        <v>0</v>
      </c>
      <c r="G20" s="432" t="n">
        <f aca="false">IF('Peak Revenue'!$A$1="BL","-",IF(Peak!M21&gt;Peak!$G21,G$8*$X20,0))</f>
        <v>0</v>
      </c>
      <c r="H20" s="432" t="n">
        <f aca="false">IF('Peak Revenue'!$A$1="BL","-",IF(Peak!N21&gt;Peak!$G21,H$8*$X20,0))</f>
        <v>0</v>
      </c>
      <c r="I20" s="432" t="n">
        <f aca="false">IF('Peak Revenue'!$A$1="BL","-",IF(Peak!O21&gt;Peak!$G21,I$8*$X20,0))</f>
        <v>0</v>
      </c>
      <c r="J20" s="432" t="n">
        <f aca="false">IF('Peak Revenue'!$A$1="BL","-",IF(Peak!P21&gt;Peak!$G21,J$8*$X20,0))</f>
        <v>0</v>
      </c>
      <c r="K20" s="432" t="n">
        <f aca="false">IF('Peak Revenue'!$A$1="BL","-",IF(Peak!Q21&gt;Peak!$G21,K$8*$X20,0))</f>
        <v>0</v>
      </c>
      <c r="L20" s="432" t="n">
        <f aca="false">IF('Peak Revenue'!$A$1="BL","-",IF(Peak!R21&gt;Peak!$G21,L$8*$X20,0))</f>
        <v>0</v>
      </c>
      <c r="M20" s="432" t="n">
        <f aca="false">IF('Peak Revenue'!$A$1="BL","-",IF(Peak!S21&gt;Peak!$G21,M$8*$X20,0))</f>
        <v>0</v>
      </c>
      <c r="N20" s="432" t="n">
        <f aca="false">IF('Peak Revenue'!$A$1="BL","-",IF(Peak!T21&gt;Peak!$G21,N$8*$X20,0))</f>
        <v>0</v>
      </c>
      <c r="O20" s="432" t="n">
        <f aca="false">IF('Peak Revenue'!$A$1="BL","-",IF(Peak!U21&gt;Peak!$G21,O$8*$X20,0))</f>
        <v>0</v>
      </c>
      <c r="P20" s="432" t="n">
        <f aca="false">IF('Peak Revenue'!$A$1="BL","-",IF(Peak!V21&gt;Peak!$G21,P$8*$X20,0))</f>
        <v>0</v>
      </c>
      <c r="Q20" s="432" t="n">
        <f aca="false">IF('Peak Revenue'!$A$1="BL","-",IF(Peak!W21&gt;Peak!$G21,Q$8*$X20,0))</f>
        <v>0</v>
      </c>
      <c r="R20" s="432" t="n">
        <f aca="false">IF('Peak Revenue'!$A$1="BL","-",IF(Peak!X21&gt;Peak!$G21,R$8*$X20,0))</f>
        <v>0</v>
      </c>
      <c r="S20" s="432" t="n">
        <f aca="false">IF('Peak Revenue'!$A$1="BL","-",IF(Peak!Y21&gt;Peak!$G21,S$8*$X20,0))</f>
        <v>0</v>
      </c>
      <c r="T20" s="432" t="n">
        <f aca="false">IF('Peak Revenue'!$A$1="BL","-",IF(Peak!Z21&gt;Peak!$G21,T$8*$X20,0))</f>
        <v>0</v>
      </c>
      <c r="U20" s="432" t="n">
        <f aca="false">IF('Peak Revenue'!$A$1="BL","-",IF(Peak!AA21&gt;Peak!$G21,U$8*$X20,0))</f>
        <v>0</v>
      </c>
      <c r="V20" s="441" t="n">
        <f aca="false">SUM(B20:U20)</f>
        <v>0</v>
      </c>
      <c r="W20" s="442"/>
      <c r="X20" s="439" t="n">
        <f aca="false">CHOOSE(QUOTIENT(MONTH($A20),3)+1,Peak!$AM$11,Peak!$AN$11,Peak!$AL$11,Peak!$AO$11,Peak!$AM$11)</f>
        <v>0.95</v>
      </c>
      <c r="Y20" s="440" t="n">
        <f aca="false">CHOOSE(QUOTIENT(MONTH($A20),3)+1,Peak!$AM$17,Peak!$AN$17,Peak!$AL$17,Peak!$AO$17,Peak!$AM$17)</f>
        <v>705</v>
      </c>
    </row>
    <row r="21" customFormat="false" ht="12.75" hidden="false" customHeight="false" outlineLevel="0" collapsed="false">
      <c r="A21" s="400" t="n">
        <f aca="false">A20+30.417</f>
        <v>36874.587</v>
      </c>
      <c r="B21" s="432" t="n">
        <f aca="false">IF('Peak Revenue'!$A$1="BL","-",IF(Peak!H22&gt;Peak!$G22,B$8*$X21,0))</f>
        <v>0</v>
      </c>
      <c r="C21" s="432" t="n">
        <f aca="false">IF('Peak Revenue'!$A$1="BL","-",IF(Peak!I22&gt;Peak!$G22,C$8*$X21,0))</f>
        <v>0</v>
      </c>
      <c r="D21" s="432" t="n">
        <f aca="false">IF('Peak Revenue'!$A$1="BL","-",IF(Peak!J22&gt;Peak!$G22,D$8*$X21,0))</f>
        <v>0</v>
      </c>
      <c r="E21" s="432" t="n">
        <f aca="false">IF('Peak Revenue'!$A$1="BL","-",IF(Peak!K22&gt;Peak!$G22,E$8*$X21,0))</f>
        <v>0</v>
      </c>
      <c r="F21" s="432" t="n">
        <f aca="false">IF('Peak Revenue'!$A$1="BL","-",IF(Peak!L22&gt;Peak!$G22,F$8*$X21,0))</f>
        <v>0</v>
      </c>
      <c r="G21" s="432" t="n">
        <f aca="false">IF('Peak Revenue'!$A$1="BL","-",IF(Peak!M22&gt;Peak!$G22,G$8*$X21,0))</f>
        <v>0</v>
      </c>
      <c r="H21" s="432" t="n">
        <f aca="false">IF('Peak Revenue'!$A$1="BL","-",IF(Peak!N22&gt;Peak!$G22,H$8*$X21,0))</f>
        <v>0</v>
      </c>
      <c r="I21" s="432" t="n">
        <f aca="false">IF('Peak Revenue'!$A$1="BL","-",IF(Peak!O22&gt;Peak!$G22,I$8*$X21,0))</f>
        <v>0</v>
      </c>
      <c r="J21" s="432" t="n">
        <f aca="false">IF('Peak Revenue'!$A$1="BL","-",IF(Peak!P22&gt;Peak!$G22,J$8*$X21,0))</f>
        <v>0</v>
      </c>
      <c r="K21" s="432" t="n">
        <f aca="false">IF('Peak Revenue'!$A$1="BL","-",IF(Peak!Q22&gt;Peak!$G22,K$8*$X21,0))</f>
        <v>0</v>
      </c>
      <c r="L21" s="432" t="n">
        <f aca="false">IF('Peak Revenue'!$A$1="BL","-",IF(Peak!R22&gt;Peak!$G22,L$8*$X21,0))</f>
        <v>0</v>
      </c>
      <c r="M21" s="432" t="n">
        <f aca="false">IF('Peak Revenue'!$A$1="BL","-",IF(Peak!S22&gt;Peak!$G22,M$8*$X21,0))</f>
        <v>0</v>
      </c>
      <c r="N21" s="432" t="n">
        <f aca="false">IF('Peak Revenue'!$A$1="BL","-",IF(Peak!T22&gt;Peak!$G22,N$8*$X21,0))</f>
        <v>0</v>
      </c>
      <c r="O21" s="432" t="n">
        <f aca="false">IF('Peak Revenue'!$A$1="BL","-",IF(Peak!U22&gt;Peak!$G22,O$8*$X21,0))</f>
        <v>0</v>
      </c>
      <c r="P21" s="432" t="n">
        <f aca="false">IF('Peak Revenue'!$A$1="BL","-",IF(Peak!V22&gt;Peak!$G22,P$8*$X21,0))</f>
        <v>0</v>
      </c>
      <c r="Q21" s="432" t="n">
        <f aca="false">IF('Peak Revenue'!$A$1="BL","-",IF(Peak!W22&gt;Peak!$G22,Q$8*$X21,0))</f>
        <v>0</v>
      </c>
      <c r="R21" s="432" t="n">
        <f aca="false">IF('Peak Revenue'!$A$1="BL","-",IF(Peak!X22&gt;Peak!$G22,R$8*$X21,0))</f>
        <v>0</v>
      </c>
      <c r="S21" s="432" t="n">
        <f aca="false">IF('Peak Revenue'!$A$1="BL","-",IF(Peak!Y22&gt;Peak!$G22,S$8*$X21,0))</f>
        <v>0</v>
      </c>
      <c r="T21" s="432" t="n">
        <f aca="false">IF('Peak Revenue'!$A$1="BL","-",IF(Peak!Z22&gt;Peak!$G22,T$8*$X21,0))</f>
        <v>0</v>
      </c>
      <c r="U21" s="432" t="n">
        <f aca="false">IF('Peak Revenue'!$A$1="BL","-",IF(Peak!AA22&gt;Peak!$G22,U$8*$X21,0))</f>
        <v>0</v>
      </c>
      <c r="V21" s="441" t="n">
        <f aca="false">SUM(B21:U21)</f>
        <v>0</v>
      </c>
      <c r="W21" s="443" t="n">
        <f aca="false">SUM(V10:V21)</f>
        <v>0</v>
      </c>
      <c r="X21" s="439" t="n">
        <f aca="false">CHOOSE(QUOTIENT(MONTH($A21),3)+1,Peak!$AM$11,Peak!$AN$11,Peak!$AL$11,Peak!$AO$11,Peak!$AM$11)</f>
        <v>0.924276618786118</v>
      </c>
      <c r="Y21" s="440" t="n">
        <f aca="false">CHOOSE(QUOTIENT(MONTH($A21),3)+1,Peak!$AM$17,Peak!$AN$17,Peak!$AL$17,Peak!$AO$17,Peak!$AM$17)</f>
        <v>705</v>
      </c>
    </row>
    <row r="22" customFormat="false" ht="12.75" hidden="false" customHeight="false" outlineLevel="0" collapsed="false">
      <c r="A22" s="400" t="n">
        <f aca="false">A21+30.417</f>
        <v>36905.004</v>
      </c>
      <c r="B22" s="432" t="n">
        <f aca="false">IF('Peak Revenue'!$A$1="BL","-",IF(Peak!H23&gt;Peak!$G23,B$8*$X22,0))</f>
        <v>4.62138309393059</v>
      </c>
      <c r="C22" s="432" t="n">
        <f aca="false">IF('Peak Revenue'!$A$1="BL","-",IF(Peak!I23&gt;Peak!$G23,C$8*$X22,0))</f>
        <v>4.62138309393059</v>
      </c>
      <c r="D22" s="432" t="n">
        <f aca="false">IF('Peak Revenue'!$A$1="BL","-",IF(Peak!J23&gt;Peak!$G23,D$8*$X22,0))</f>
        <v>9.24276618786118</v>
      </c>
      <c r="E22" s="432" t="n">
        <f aca="false">IF('Peak Revenue'!$A$1="BL","-",IF(Peak!K23&gt;Peak!$G23,E$8*$X22,0))</f>
        <v>18.4855323757224</v>
      </c>
      <c r="F22" s="432" t="n">
        <f aca="false">IF('Peak Revenue'!$A$1="BL","-",IF(Peak!L23&gt;Peak!$G23,F$8*$X22,0))</f>
        <v>18.4855323757224</v>
      </c>
      <c r="G22" s="432" t="n">
        <f aca="false">IF('Peak Revenue'!$A$1="BL","-",IF(Peak!M23&gt;Peak!$G23,G$8*$X22,0))</f>
        <v>36.9710647514447</v>
      </c>
      <c r="H22" s="432" t="n">
        <f aca="false">IF('Peak Revenue'!$A$1="BL","-",IF(Peak!N23&gt;Peak!$G23,H$8*$X22,0))</f>
        <v>36.9710647514447</v>
      </c>
      <c r="I22" s="432" t="n">
        <f aca="false">IF('Peak Revenue'!$A$1="BL","-",IF(Peak!O23&gt;Peak!$G23,I$8*$X22,0))</f>
        <v>0</v>
      </c>
      <c r="J22" s="432" t="n">
        <f aca="false">IF('Peak Revenue'!$A$1="BL","-",IF(Peak!P23&gt;Peak!$G23,J$8*$X22,0))</f>
        <v>0</v>
      </c>
      <c r="K22" s="432" t="n">
        <f aca="false">IF('Peak Revenue'!$A$1="BL","-",IF(Peak!Q23&gt;Peak!$G23,K$8*$X22,0))</f>
        <v>0</v>
      </c>
      <c r="L22" s="432" t="n">
        <f aca="false">IF('Peak Revenue'!$A$1="BL","-",IF(Peak!R23&gt;Peak!$G23,L$8*$X22,0))</f>
        <v>0</v>
      </c>
      <c r="M22" s="432" t="n">
        <f aca="false">IF('Peak Revenue'!$A$1="BL","-",IF(Peak!S23&gt;Peak!$G23,M$8*$X22,0))</f>
        <v>0</v>
      </c>
      <c r="N22" s="432" t="n">
        <f aca="false">IF('Peak Revenue'!$A$1="BL","-",IF(Peak!T23&gt;Peak!$G23,N$8*$X22,0))</f>
        <v>0</v>
      </c>
      <c r="O22" s="432" t="n">
        <f aca="false">IF('Peak Revenue'!$A$1="BL","-",IF(Peak!U23&gt;Peak!$G23,O$8*$X22,0))</f>
        <v>0</v>
      </c>
      <c r="P22" s="432" t="n">
        <f aca="false">IF('Peak Revenue'!$A$1="BL","-",IF(Peak!V23&gt;Peak!$G23,P$8*$X22,0))</f>
        <v>0</v>
      </c>
      <c r="Q22" s="432" t="n">
        <f aca="false">IF('Peak Revenue'!$A$1="BL","-",IF(Peak!W23&gt;Peak!$G23,Q$8*$X22,0))</f>
        <v>0</v>
      </c>
      <c r="R22" s="432" t="n">
        <f aca="false">IF('Peak Revenue'!$A$1="BL","-",IF(Peak!X23&gt;Peak!$G23,R$8*$X22,0))</f>
        <v>0</v>
      </c>
      <c r="S22" s="432" t="n">
        <f aca="false">IF('Peak Revenue'!$A$1="BL","-",IF(Peak!Y23&gt;Peak!$G23,S$8*$X22,0))</f>
        <v>0</v>
      </c>
      <c r="T22" s="432" t="n">
        <f aca="false">IF('Peak Revenue'!$A$1="BL","-",IF(Peak!Z23&gt;Peak!$G23,T$8*$X22,0))</f>
        <v>0</v>
      </c>
      <c r="U22" s="432" t="n">
        <f aca="false">IF('Peak Revenue'!$A$1="BL","-",IF(Peak!AA23&gt;Peak!$G23,U$8*$X22,0))</f>
        <v>0</v>
      </c>
      <c r="V22" s="441" t="n">
        <f aca="false">SUM(B22:U22)</f>
        <v>129.398726630056</v>
      </c>
      <c r="W22" s="442"/>
      <c r="X22" s="439" t="n">
        <f aca="false">CHOOSE(QUOTIENT(MONTH($A22),3)+1,Peak!$AM$11,Peak!$AN$11,Peak!$AL$11,Peak!$AO$11,Peak!$AM$11)</f>
        <v>0.924276618786118</v>
      </c>
      <c r="Y22" s="440" t="n">
        <f aca="false">CHOOSE(QUOTIENT(MONTH($A22),3)+1,Peak!$AM$17,Peak!$AN$17,Peak!$AL$17,Peak!$AO$17,Peak!$AM$17)</f>
        <v>705</v>
      </c>
    </row>
    <row r="23" customFormat="false" ht="12.75" hidden="false" customHeight="false" outlineLevel="0" collapsed="false">
      <c r="A23" s="400" t="n">
        <f aca="false">A22+30.417</f>
        <v>36935.421</v>
      </c>
      <c r="B23" s="432" t="n">
        <f aca="false">IF('Peak Revenue'!$A$1="BL","-",IF(Peak!H24&gt;Peak!$G24,B$8*$X23,0))</f>
        <v>4.62138309393059</v>
      </c>
      <c r="C23" s="432" t="n">
        <f aca="false">IF('Peak Revenue'!$A$1="BL","-",IF(Peak!I24&gt;Peak!$G24,C$8*$X23,0))</f>
        <v>4.62138309393059</v>
      </c>
      <c r="D23" s="432" t="n">
        <f aca="false">IF('Peak Revenue'!$A$1="BL","-",IF(Peak!J24&gt;Peak!$G24,D$8*$X23,0))</f>
        <v>9.24276618786118</v>
      </c>
      <c r="E23" s="432" t="n">
        <f aca="false">IF('Peak Revenue'!$A$1="BL","-",IF(Peak!K24&gt;Peak!$G24,E$8*$X23,0))</f>
        <v>18.4855323757224</v>
      </c>
      <c r="F23" s="432" t="n">
        <f aca="false">IF('Peak Revenue'!$A$1="BL","-",IF(Peak!L24&gt;Peak!$G24,F$8*$X23,0))</f>
        <v>18.4855323757224</v>
      </c>
      <c r="G23" s="432" t="n">
        <f aca="false">IF('Peak Revenue'!$A$1="BL","-",IF(Peak!M24&gt;Peak!$G24,G$8*$X23,0))</f>
        <v>36.9710647514447</v>
      </c>
      <c r="H23" s="432" t="n">
        <f aca="false">IF('Peak Revenue'!$A$1="BL","-",IF(Peak!N24&gt;Peak!$G24,H$8*$X23,0))</f>
        <v>36.9710647514447</v>
      </c>
      <c r="I23" s="432" t="n">
        <f aca="false">IF('Peak Revenue'!$A$1="BL","-",IF(Peak!O24&gt;Peak!$G24,I$8*$X23,0))</f>
        <v>0</v>
      </c>
      <c r="J23" s="432" t="n">
        <f aca="false">IF('Peak Revenue'!$A$1="BL","-",IF(Peak!P24&gt;Peak!$G24,J$8*$X23,0))</f>
        <v>0</v>
      </c>
      <c r="K23" s="432" t="n">
        <f aca="false">IF('Peak Revenue'!$A$1="BL","-",IF(Peak!Q24&gt;Peak!$G24,K$8*$X23,0))</f>
        <v>0</v>
      </c>
      <c r="L23" s="432" t="n">
        <f aca="false">IF('Peak Revenue'!$A$1="BL","-",IF(Peak!R24&gt;Peak!$G24,L$8*$X23,0))</f>
        <v>0</v>
      </c>
      <c r="M23" s="432" t="n">
        <f aca="false">IF('Peak Revenue'!$A$1="BL","-",IF(Peak!S24&gt;Peak!$G24,M$8*$X23,0))</f>
        <v>0</v>
      </c>
      <c r="N23" s="432" t="n">
        <f aca="false">IF('Peak Revenue'!$A$1="BL","-",IF(Peak!T24&gt;Peak!$G24,N$8*$X23,0))</f>
        <v>0</v>
      </c>
      <c r="O23" s="432" t="n">
        <f aca="false">IF('Peak Revenue'!$A$1="BL","-",IF(Peak!U24&gt;Peak!$G24,O$8*$X23,0))</f>
        <v>0</v>
      </c>
      <c r="P23" s="432" t="n">
        <f aca="false">IF('Peak Revenue'!$A$1="BL","-",IF(Peak!V24&gt;Peak!$G24,P$8*$X23,0))</f>
        <v>0</v>
      </c>
      <c r="Q23" s="432" t="n">
        <f aca="false">IF('Peak Revenue'!$A$1="BL","-",IF(Peak!W24&gt;Peak!$G24,Q$8*$X23,0))</f>
        <v>0</v>
      </c>
      <c r="R23" s="432" t="n">
        <f aca="false">IF('Peak Revenue'!$A$1="BL","-",IF(Peak!X24&gt;Peak!$G24,R$8*$X23,0))</f>
        <v>0</v>
      </c>
      <c r="S23" s="432" t="n">
        <f aca="false">IF('Peak Revenue'!$A$1="BL","-",IF(Peak!Y24&gt;Peak!$G24,S$8*$X23,0))</f>
        <v>0</v>
      </c>
      <c r="T23" s="432" t="n">
        <f aca="false">IF('Peak Revenue'!$A$1="BL","-",IF(Peak!Z24&gt;Peak!$G24,T$8*$X23,0))</f>
        <v>0</v>
      </c>
      <c r="U23" s="432" t="n">
        <f aca="false">IF('Peak Revenue'!$A$1="BL","-",IF(Peak!AA24&gt;Peak!$G24,U$8*$X23,0))</f>
        <v>0</v>
      </c>
      <c r="V23" s="441" t="n">
        <f aca="false">SUM(B23:U23)</f>
        <v>129.398726630056</v>
      </c>
      <c r="W23" s="442"/>
      <c r="X23" s="439" t="n">
        <f aca="false">CHOOSE(QUOTIENT(MONTH($A23),3)+1,Peak!$AM$11,Peak!$AN$11,Peak!$AL$11,Peak!$AO$11,Peak!$AM$11)</f>
        <v>0.924276618786118</v>
      </c>
      <c r="Y23" s="440" t="n">
        <f aca="false">CHOOSE(QUOTIENT(MONTH($A23),3)+1,Peak!$AM$17,Peak!$AN$17,Peak!$AL$17,Peak!$AO$17,Peak!$AM$17)</f>
        <v>705</v>
      </c>
    </row>
    <row r="24" customFormat="false" ht="12.75" hidden="false" customHeight="false" outlineLevel="0" collapsed="false">
      <c r="A24" s="400" t="n">
        <f aca="false">A23+30.417</f>
        <v>36965.838</v>
      </c>
      <c r="B24" s="432" t="n">
        <f aca="false">IF('Peak Revenue'!$A$1="BL","-",IF(Peak!H25&gt;Peak!$G25,B$8*$X24,0))</f>
        <v>4.75</v>
      </c>
      <c r="C24" s="432" t="n">
        <f aca="false">IF('Peak Revenue'!$A$1="BL","-",IF(Peak!I25&gt;Peak!$G25,C$8*$X24,0))</f>
        <v>4.75</v>
      </c>
      <c r="D24" s="432" t="n">
        <f aca="false">IF('Peak Revenue'!$A$1="BL","-",IF(Peak!J25&gt;Peak!$G25,D$8*$X24,0))</f>
        <v>9.5</v>
      </c>
      <c r="E24" s="432" t="n">
        <f aca="false">IF('Peak Revenue'!$A$1="BL","-",IF(Peak!K25&gt;Peak!$G25,E$8*$X24,0))</f>
        <v>19</v>
      </c>
      <c r="F24" s="432" t="n">
        <f aca="false">IF('Peak Revenue'!$A$1="BL","-",IF(Peak!L25&gt;Peak!$G25,F$8*$X24,0))</f>
        <v>19</v>
      </c>
      <c r="G24" s="432" t="n">
        <f aca="false">IF('Peak Revenue'!$A$1="BL","-",IF(Peak!M25&gt;Peak!$G25,G$8*$X24,0))</f>
        <v>38</v>
      </c>
      <c r="H24" s="432" t="n">
        <f aca="false">IF('Peak Revenue'!$A$1="BL","-",IF(Peak!N25&gt;Peak!$G25,H$8*$X24,0))</f>
        <v>38</v>
      </c>
      <c r="I24" s="432" t="n">
        <f aca="false">IF('Peak Revenue'!$A$1="BL","-",IF(Peak!O25&gt;Peak!$G25,I$8*$X24,0))</f>
        <v>38</v>
      </c>
      <c r="J24" s="432" t="n">
        <f aca="false">IF('Peak Revenue'!$A$1="BL","-",IF(Peak!P25&gt;Peak!$G25,J$8*$X24,0))</f>
        <v>0</v>
      </c>
      <c r="K24" s="432" t="n">
        <f aca="false">IF('Peak Revenue'!$A$1="BL","-",IF(Peak!Q25&gt;Peak!$G25,K$8*$X24,0))</f>
        <v>0</v>
      </c>
      <c r="L24" s="432" t="n">
        <f aca="false">IF('Peak Revenue'!$A$1="BL","-",IF(Peak!R25&gt;Peak!$G25,L$8*$X24,0))</f>
        <v>0</v>
      </c>
      <c r="M24" s="432" t="n">
        <f aca="false">IF('Peak Revenue'!$A$1="BL","-",IF(Peak!S25&gt;Peak!$G25,M$8*$X24,0))</f>
        <v>0</v>
      </c>
      <c r="N24" s="432" t="n">
        <f aca="false">IF('Peak Revenue'!$A$1="BL","-",IF(Peak!T25&gt;Peak!$G25,N$8*$X24,0))</f>
        <v>0</v>
      </c>
      <c r="O24" s="432" t="n">
        <f aca="false">IF('Peak Revenue'!$A$1="BL","-",IF(Peak!U25&gt;Peak!$G25,O$8*$X24,0))</f>
        <v>0</v>
      </c>
      <c r="P24" s="432" t="n">
        <f aca="false">IF('Peak Revenue'!$A$1="BL","-",IF(Peak!V25&gt;Peak!$G25,P$8*$X24,0))</f>
        <v>0</v>
      </c>
      <c r="Q24" s="432" t="n">
        <f aca="false">IF('Peak Revenue'!$A$1="BL","-",IF(Peak!W25&gt;Peak!$G25,Q$8*$X24,0))</f>
        <v>0</v>
      </c>
      <c r="R24" s="432" t="n">
        <f aca="false">IF('Peak Revenue'!$A$1="BL","-",IF(Peak!X25&gt;Peak!$G25,R$8*$X24,0))</f>
        <v>0</v>
      </c>
      <c r="S24" s="432" t="n">
        <f aca="false">IF('Peak Revenue'!$A$1="BL","-",IF(Peak!Y25&gt;Peak!$G25,S$8*$X24,0))</f>
        <v>0</v>
      </c>
      <c r="T24" s="432" t="n">
        <f aca="false">IF('Peak Revenue'!$A$1="BL","-",IF(Peak!Z25&gt;Peak!$G25,T$8*$X24,0))</f>
        <v>0</v>
      </c>
      <c r="U24" s="432" t="n">
        <f aca="false">IF('Peak Revenue'!$A$1="BL","-",IF(Peak!AA25&gt;Peak!$G25,U$8*$X24,0))</f>
        <v>0</v>
      </c>
      <c r="V24" s="441" t="n">
        <f aca="false">SUM(B24:U24)</f>
        <v>171</v>
      </c>
      <c r="W24" s="442"/>
      <c r="X24" s="439" t="n">
        <f aca="false">CHOOSE(QUOTIENT(MONTH($A24),3)+1,Peak!$AM$11,Peak!$AN$11,Peak!$AL$11,Peak!$AO$11,Peak!$AM$11)</f>
        <v>0.95</v>
      </c>
      <c r="Y24" s="440" t="n">
        <f aca="false">CHOOSE(QUOTIENT(MONTH($A24),3)+1,Peak!$AM$17,Peak!$AN$17,Peak!$AL$17,Peak!$AO$17,Peak!$AM$17)</f>
        <v>705</v>
      </c>
    </row>
    <row r="25" customFormat="false" ht="12.75" hidden="false" customHeight="false" outlineLevel="0" collapsed="false">
      <c r="A25" s="400" t="n">
        <f aca="false">A24+30.417</f>
        <v>36996.255</v>
      </c>
      <c r="B25" s="432" t="n">
        <f aca="false">IF('Peak Revenue'!$A$1="BL","-",IF(Peak!H26&gt;Peak!$G26,B$8*$X25,0))</f>
        <v>4.75</v>
      </c>
      <c r="C25" s="432" t="n">
        <f aca="false">IF('Peak Revenue'!$A$1="BL","-",IF(Peak!I26&gt;Peak!$G26,C$8*$X25,0))</f>
        <v>4.75</v>
      </c>
      <c r="D25" s="432" t="n">
        <f aca="false">IF('Peak Revenue'!$A$1="BL","-",IF(Peak!J26&gt;Peak!$G26,D$8*$X25,0))</f>
        <v>9.5</v>
      </c>
      <c r="E25" s="432" t="n">
        <f aca="false">IF('Peak Revenue'!$A$1="BL","-",IF(Peak!K26&gt;Peak!$G26,E$8*$X25,0))</f>
        <v>19</v>
      </c>
      <c r="F25" s="432" t="n">
        <f aca="false">IF('Peak Revenue'!$A$1="BL","-",IF(Peak!L26&gt;Peak!$G26,F$8*$X25,0))</f>
        <v>19</v>
      </c>
      <c r="G25" s="432" t="n">
        <f aca="false">IF('Peak Revenue'!$A$1="BL","-",IF(Peak!M26&gt;Peak!$G26,G$8*$X25,0))</f>
        <v>38</v>
      </c>
      <c r="H25" s="432" t="n">
        <f aca="false">IF('Peak Revenue'!$A$1="BL","-",IF(Peak!N26&gt;Peak!$G26,H$8*$X25,0))</f>
        <v>38</v>
      </c>
      <c r="I25" s="432" t="n">
        <f aca="false">IF('Peak Revenue'!$A$1="BL","-",IF(Peak!O26&gt;Peak!$G26,I$8*$X25,0))</f>
        <v>0</v>
      </c>
      <c r="J25" s="432" t="n">
        <f aca="false">IF('Peak Revenue'!$A$1="BL","-",IF(Peak!P26&gt;Peak!$G26,J$8*$X25,0))</f>
        <v>0</v>
      </c>
      <c r="K25" s="432" t="n">
        <f aca="false">IF('Peak Revenue'!$A$1="BL","-",IF(Peak!Q26&gt;Peak!$G26,K$8*$X25,0))</f>
        <v>0</v>
      </c>
      <c r="L25" s="432" t="n">
        <f aca="false">IF('Peak Revenue'!$A$1="BL","-",IF(Peak!R26&gt;Peak!$G26,L$8*$X25,0))</f>
        <v>0</v>
      </c>
      <c r="M25" s="432" t="n">
        <f aca="false">IF('Peak Revenue'!$A$1="BL","-",IF(Peak!S26&gt;Peak!$G26,M$8*$X25,0))</f>
        <v>0</v>
      </c>
      <c r="N25" s="432" t="n">
        <f aca="false">IF('Peak Revenue'!$A$1="BL","-",IF(Peak!T26&gt;Peak!$G26,N$8*$X25,0))</f>
        <v>0</v>
      </c>
      <c r="O25" s="432" t="n">
        <f aca="false">IF('Peak Revenue'!$A$1="BL","-",IF(Peak!U26&gt;Peak!$G26,O$8*$X25,0))</f>
        <v>0</v>
      </c>
      <c r="P25" s="432" t="n">
        <f aca="false">IF('Peak Revenue'!$A$1="BL","-",IF(Peak!V26&gt;Peak!$G26,P$8*$X25,0))</f>
        <v>0</v>
      </c>
      <c r="Q25" s="432" t="n">
        <f aca="false">IF('Peak Revenue'!$A$1="BL","-",IF(Peak!W26&gt;Peak!$G26,Q$8*$X25,0))</f>
        <v>0</v>
      </c>
      <c r="R25" s="432" t="n">
        <f aca="false">IF('Peak Revenue'!$A$1="BL","-",IF(Peak!X26&gt;Peak!$G26,R$8*$X25,0))</f>
        <v>0</v>
      </c>
      <c r="S25" s="432" t="n">
        <f aca="false">IF('Peak Revenue'!$A$1="BL","-",IF(Peak!Y26&gt;Peak!$G26,S$8*$X25,0))</f>
        <v>0</v>
      </c>
      <c r="T25" s="432" t="n">
        <f aca="false">IF('Peak Revenue'!$A$1="BL","-",IF(Peak!Z26&gt;Peak!$G26,T$8*$X25,0))</f>
        <v>0</v>
      </c>
      <c r="U25" s="432" t="n">
        <f aca="false">IF('Peak Revenue'!$A$1="BL","-",IF(Peak!AA26&gt;Peak!$G26,U$8*$X25,0))</f>
        <v>0</v>
      </c>
      <c r="V25" s="441" t="n">
        <f aca="false">SUM(B25:U25)</f>
        <v>133</v>
      </c>
      <c r="W25" s="442"/>
      <c r="X25" s="439" t="n">
        <f aca="false">CHOOSE(QUOTIENT(MONTH($A25),3)+1,Peak!$AM$11,Peak!$AN$11,Peak!$AL$11,Peak!$AO$11,Peak!$AM$11)</f>
        <v>0.95</v>
      </c>
      <c r="Y25" s="440" t="n">
        <f aca="false">CHOOSE(QUOTIENT(MONTH($A25),3)+1,Peak!$AM$17,Peak!$AN$17,Peak!$AL$17,Peak!$AO$17,Peak!$AM$17)</f>
        <v>705</v>
      </c>
    </row>
    <row r="26" customFormat="false" ht="12.75" hidden="false" customHeight="false" outlineLevel="0" collapsed="false">
      <c r="A26" s="400" t="n">
        <f aca="false">A25+30.417</f>
        <v>37026.672</v>
      </c>
      <c r="B26" s="432" t="n">
        <f aca="false">IF('Peak Revenue'!$A$1="BL","-",IF(Peak!H27&gt;Peak!$G27,B$8*$X26,0))</f>
        <v>4.75</v>
      </c>
      <c r="C26" s="432" t="n">
        <f aca="false">IF('Peak Revenue'!$A$1="BL","-",IF(Peak!I27&gt;Peak!$G27,C$8*$X26,0))</f>
        <v>4.75</v>
      </c>
      <c r="D26" s="432" t="n">
        <f aca="false">IF('Peak Revenue'!$A$1="BL","-",IF(Peak!J27&gt;Peak!$G27,D$8*$X26,0))</f>
        <v>9.5</v>
      </c>
      <c r="E26" s="432" t="n">
        <f aca="false">IF('Peak Revenue'!$A$1="BL","-",IF(Peak!K27&gt;Peak!$G27,E$8*$X26,0))</f>
        <v>19</v>
      </c>
      <c r="F26" s="432" t="n">
        <f aca="false">IF('Peak Revenue'!$A$1="BL","-",IF(Peak!L27&gt;Peak!$G27,F$8*$X26,0))</f>
        <v>19</v>
      </c>
      <c r="G26" s="432" t="n">
        <f aca="false">IF('Peak Revenue'!$A$1="BL","-",IF(Peak!M27&gt;Peak!$G27,G$8*$X26,0))</f>
        <v>38</v>
      </c>
      <c r="H26" s="432" t="n">
        <f aca="false">IF('Peak Revenue'!$A$1="BL","-",IF(Peak!N27&gt;Peak!$G27,H$8*$X26,0))</f>
        <v>0</v>
      </c>
      <c r="I26" s="432" t="n">
        <f aca="false">IF('Peak Revenue'!$A$1="BL","-",IF(Peak!O27&gt;Peak!$G27,I$8*$X26,0))</f>
        <v>0</v>
      </c>
      <c r="J26" s="432" t="n">
        <f aca="false">IF('Peak Revenue'!$A$1="BL","-",IF(Peak!P27&gt;Peak!$G27,J$8*$X26,0))</f>
        <v>0</v>
      </c>
      <c r="K26" s="432" t="n">
        <f aca="false">IF('Peak Revenue'!$A$1="BL","-",IF(Peak!Q27&gt;Peak!$G27,K$8*$X26,0))</f>
        <v>0</v>
      </c>
      <c r="L26" s="432" t="n">
        <f aca="false">IF('Peak Revenue'!$A$1="BL","-",IF(Peak!R27&gt;Peak!$G27,L$8*$X26,0))</f>
        <v>0</v>
      </c>
      <c r="M26" s="432" t="n">
        <f aca="false">IF('Peak Revenue'!$A$1="BL","-",IF(Peak!S27&gt;Peak!$G27,M$8*$X26,0))</f>
        <v>0</v>
      </c>
      <c r="N26" s="432" t="n">
        <f aca="false">IF('Peak Revenue'!$A$1="BL","-",IF(Peak!T27&gt;Peak!$G27,N$8*$X26,0))</f>
        <v>0</v>
      </c>
      <c r="O26" s="432" t="n">
        <f aca="false">IF('Peak Revenue'!$A$1="BL","-",IF(Peak!U27&gt;Peak!$G27,O$8*$X26,0))</f>
        <v>0</v>
      </c>
      <c r="P26" s="432" t="n">
        <f aca="false">IF('Peak Revenue'!$A$1="BL","-",IF(Peak!V27&gt;Peak!$G27,P$8*$X26,0))</f>
        <v>0</v>
      </c>
      <c r="Q26" s="432" t="n">
        <f aca="false">IF('Peak Revenue'!$A$1="BL","-",IF(Peak!W27&gt;Peak!$G27,Q$8*$X26,0))</f>
        <v>0</v>
      </c>
      <c r="R26" s="432" t="n">
        <f aca="false">IF('Peak Revenue'!$A$1="BL","-",IF(Peak!X27&gt;Peak!$G27,R$8*$X26,0))</f>
        <v>0</v>
      </c>
      <c r="S26" s="432" t="n">
        <f aca="false">IF('Peak Revenue'!$A$1="BL","-",IF(Peak!Y27&gt;Peak!$G27,S$8*$X26,0))</f>
        <v>0</v>
      </c>
      <c r="T26" s="432" t="n">
        <f aca="false">IF('Peak Revenue'!$A$1="BL","-",IF(Peak!Z27&gt;Peak!$G27,T$8*$X26,0))</f>
        <v>0</v>
      </c>
      <c r="U26" s="432" t="n">
        <f aca="false">IF('Peak Revenue'!$A$1="BL","-",IF(Peak!AA27&gt;Peak!$G27,U$8*$X26,0))</f>
        <v>0</v>
      </c>
      <c r="V26" s="441" t="n">
        <f aca="false">SUM(B26:U26)</f>
        <v>95</v>
      </c>
      <c r="W26" s="442"/>
      <c r="X26" s="439" t="n">
        <f aca="false">CHOOSE(QUOTIENT(MONTH($A26),3)+1,Peak!$AM$11,Peak!$AN$11,Peak!$AL$11,Peak!$AO$11,Peak!$AM$11)</f>
        <v>0.95</v>
      </c>
      <c r="Y26" s="440" t="n">
        <f aca="false">CHOOSE(QUOTIENT(MONTH($A26),3)+1,Peak!$AM$17,Peak!$AN$17,Peak!$AL$17,Peak!$AO$17,Peak!$AM$17)</f>
        <v>705</v>
      </c>
    </row>
    <row r="27" customFormat="false" ht="12.75" hidden="false" customHeight="false" outlineLevel="0" collapsed="false">
      <c r="A27" s="400" t="n">
        <f aca="false">A26+30.417</f>
        <v>37057.089</v>
      </c>
      <c r="B27" s="432" t="n">
        <f aca="false">IF('Peak Revenue'!$A$1="BL","-",IF(Peak!H28&gt;Peak!$G28,B$8*$X27,0))</f>
        <v>4.83060679547793</v>
      </c>
      <c r="C27" s="432" t="n">
        <f aca="false">IF('Peak Revenue'!$A$1="BL","-",IF(Peak!I28&gt;Peak!$G28,C$8*$X27,0))</f>
        <v>4.83060679547793</v>
      </c>
      <c r="D27" s="432" t="n">
        <f aca="false">IF('Peak Revenue'!$A$1="BL","-",IF(Peak!J28&gt;Peak!$G28,D$8*$X27,0))</f>
        <v>9.66121359095586</v>
      </c>
      <c r="E27" s="432" t="n">
        <f aca="false">IF('Peak Revenue'!$A$1="BL","-",IF(Peak!K28&gt;Peak!$G28,E$8*$X27,0))</f>
        <v>19.3224271819117</v>
      </c>
      <c r="F27" s="432" t="n">
        <f aca="false">IF('Peak Revenue'!$A$1="BL","-",IF(Peak!L28&gt;Peak!$G28,F$8*$X27,0))</f>
        <v>19.3224271819117</v>
      </c>
      <c r="G27" s="432" t="n">
        <f aca="false">IF('Peak Revenue'!$A$1="BL","-",IF(Peak!M28&gt;Peak!$G28,G$8*$X27,0))</f>
        <v>38.6448543638234</v>
      </c>
      <c r="H27" s="432" t="n">
        <f aca="false">IF('Peak Revenue'!$A$1="BL","-",IF(Peak!N28&gt;Peak!$G28,H$8*$X27,0))</f>
        <v>38.6448543638234</v>
      </c>
      <c r="I27" s="432" t="n">
        <f aca="false">IF('Peak Revenue'!$A$1="BL","-",IF(Peak!O28&gt;Peak!$G28,I$8*$X27,0))</f>
        <v>0</v>
      </c>
      <c r="J27" s="432" t="n">
        <f aca="false">IF('Peak Revenue'!$A$1="BL","-",IF(Peak!P28&gt;Peak!$G28,J$8*$X27,0))</f>
        <v>0</v>
      </c>
      <c r="K27" s="432" t="n">
        <f aca="false">IF('Peak Revenue'!$A$1="BL","-",IF(Peak!Q28&gt;Peak!$G28,K$8*$X27,0))</f>
        <v>0</v>
      </c>
      <c r="L27" s="432" t="n">
        <f aca="false">IF('Peak Revenue'!$A$1="BL","-",IF(Peak!R28&gt;Peak!$G28,L$8*$X27,0))</f>
        <v>0</v>
      </c>
      <c r="M27" s="432" t="n">
        <f aca="false">IF('Peak Revenue'!$A$1="BL","-",IF(Peak!S28&gt;Peak!$G28,M$8*$X27,0))</f>
        <v>0</v>
      </c>
      <c r="N27" s="432" t="n">
        <f aca="false">IF('Peak Revenue'!$A$1="BL","-",IF(Peak!T28&gt;Peak!$G28,N$8*$X27,0))</f>
        <v>0</v>
      </c>
      <c r="O27" s="432" t="n">
        <f aca="false">IF('Peak Revenue'!$A$1="BL","-",IF(Peak!U28&gt;Peak!$G28,O$8*$X27,0))</f>
        <v>0</v>
      </c>
      <c r="P27" s="432" t="n">
        <f aca="false">IF('Peak Revenue'!$A$1="BL","-",IF(Peak!V28&gt;Peak!$G28,P$8*$X27,0))</f>
        <v>0</v>
      </c>
      <c r="Q27" s="432" t="n">
        <f aca="false">IF('Peak Revenue'!$A$1="BL","-",IF(Peak!W28&gt;Peak!$G28,Q$8*$X27,0))</f>
        <v>0</v>
      </c>
      <c r="R27" s="432" t="n">
        <f aca="false">IF('Peak Revenue'!$A$1="BL","-",IF(Peak!X28&gt;Peak!$G28,R$8*$X27,0))</f>
        <v>0</v>
      </c>
      <c r="S27" s="432" t="n">
        <f aca="false">IF('Peak Revenue'!$A$1="BL","-",IF(Peak!Y28&gt;Peak!$G28,S$8*$X27,0))</f>
        <v>0</v>
      </c>
      <c r="T27" s="432" t="n">
        <f aca="false">IF('Peak Revenue'!$A$1="BL","-",IF(Peak!Z28&gt;Peak!$G28,T$8*$X27,0))</f>
        <v>0</v>
      </c>
      <c r="U27" s="432" t="n">
        <f aca="false">IF('Peak Revenue'!$A$1="BL","-",IF(Peak!AA28&gt;Peak!$G28,U$8*$X27,0))</f>
        <v>0</v>
      </c>
      <c r="V27" s="441" t="n">
        <f aca="false">SUM(B27:U27)</f>
        <v>135.256990273382</v>
      </c>
      <c r="W27" s="442"/>
      <c r="X27" s="439" t="n">
        <f aca="false">CHOOSE(QUOTIENT(MONTH($A27),3)+1,Peak!$AM$11,Peak!$AN$11,Peak!$AL$11,Peak!$AO$11,Peak!$AM$11)</f>
        <v>0.966121359095586</v>
      </c>
      <c r="Y27" s="440" t="n">
        <f aca="false">CHOOSE(QUOTIENT(MONTH($A27),3)+1,Peak!$AM$17,Peak!$AN$17,Peak!$AL$17,Peak!$AO$17,Peak!$AM$17)</f>
        <v>705</v>
      </c>
    </row>
    <row r="28" customFormat="false" ht="12.75" hidden="false" customHeight="false" outlineLevel="0" collapsed="false">
      <c r="A28" s="400" t="n">
        <f aca="false">A27+30.417</f>
        <v>37087.506</v>
      </c>
      <c r="B28" s="432" t="n">
        <f aca="false">IF('Peak Revenue'!$A$1="BL","-",IF(Peak!H29&gt;Peak!$G29,B$8*$X28,0))</f>
        <v>4.83060679547793</v>
      </c>
      <c r="C28" s="432" t="n">
        <f aca="false">IF('Peak Revenue'!$A$1="BL","-",IF(Peak!I29&gt;Peak!$G29,C$8*$X28,0))</f>
        <v>4.83060679547793</v>
      </c>
      <c r="D28" s="432" t="n">
        <f aca="false">IF('Peak Revenue'!$A$1="BL","-",IF(Peak!J29&gt;Peak!$G29,D$8*$X28,0))</f>
        <v>9.66121359095586</v>
      </c>
      <c r="E28" s="432" t="n">
        <f aca="false">IF('Peak Revenue'!$A$1="BL","-",IF(Peak!K29&gt;Peak!$G29,E$8*$X28,0))</f>
        <v>19.3224271819117</v>
      </c>
      <c r="F28" s="432" t="n">
        <f aca="false">IF('Peak Revenue'!$A$1="BL","-",IF(Peak!L29&gt;Peak!$G29,F$8*$X28,0))</f>
        <v>19.3224271819117</v>
      </c>
      <c r="G28" s="432" t="n">
        <f aca="false">IF('Peak Revenue'!$A$1="BL","-",IF(Peak!M29&gt;Peak!$G29,G$8*$X28,0))</f>
        <v>38.6448543638234</v>
      </c>
      <c r="H28" s="432" t="n">
        <f aca="false">IF('Peak Revenue'!$A$1="BL","-",IF(Peak!N29&gt;Peak!$G29,H$8*$X28,0))</f>
        <v>38.6448543638234</v>
      </c>
      <c r="I28" s="432" t="n">
        <f aca="false">IF('Peak Revenue'!$A$1="BL","-",IF(Peak!O29&gt;Peak!$G29,I$8*$X28,0))</f>
        <v>38.6448543638234</v>
      </c>
      <c r="J28" s="432" t="n">
        <f aca="false">IF('Peak Revenue'!$A$1="BL","-",IF(Peak!P29&gt;Peak!$G29,J$8*$X28,0))</f>
        <v>38.6448543638234</v>
      </c>
      <c r="K28" s="432" t="n">
        <f aca="false">IF('Peak Revenue'!$A$1="BL","-",IF(Peak!Q29&gt;Peak!$G29,K$8*$X28,0))</f>
        <v>0</v>
      </c>
      <c r="L28" s="432" t="n">
        <f aca="false">IF('Peak Revenue'!$A$1="BL","-",IF(Peak!R29&gt;Peak!$G29,L$8*$X28,0))</f>
        <v>0</v>
      </c>
      <c r="M28" s="432" t="n">
        <f aca="false">IF('Peak Revenue'!$A$1="BL","-",IF(Peak!S29&gt;Peak!$G29,M$8*$X28,0))</f>
        <v>0</v>
      </c>
      <c r="N28" s="432" t="n">
        <f aca="false">IF('Peak Revenue'!$A$1="BL","-",IF(Peak!T29&gt;Peak!$G29,N$8*$X28,0))</f>
        <v>0</v>
      </c>
      <c r="O28" s="432" t="n">
        <f aca="false">IF('Peak Revenue'!$A$1="BL","-",IF(Peak!U29&gt;Peak!$G29,O$8*$X28,0))</f>
        <v>0</v>
      </c>
      <c r="P28" s="432" t="n">
        <f aca="false">IF('Peak Revenue'!$A$1="BL","-",IF(Peak!V29&gt;Peak!$G29,P$8*$X28,0))</f>
        <v>0</v>
      </c>
      <c r="Q28" s="432" t="n">
        <f aca="false">IF('Peak Revenue'!$A$1="BL","-",IF(Peak!W29&gt;Peak!$G29,Q$8*$X28,0))</f>
        <v>0</v>
      </c>
      <c r="R28" s="432" t="n">
        <f aca="false">IF('Peak Revenue'!$A$1="BL","-",IF(Peak!X29&gt;Peak!$G29,R$8*$X28,0))</f>
        <v>0</v>
      </c>
      <c r="S28" s="432" t="n">
        <f aca="false">IF('Peak Revenue'!$A$1="BL","-",IF(Peak!Y29&gt;Peak!$G29,S$8*$X28,0))</f>
        <v>0</v>
      </c>
      <c r="T28" s="432" t="n">
        <f aca="false">IF('Peak Revenue'!$A$1="BL","-",IF(Peak!Z29&gt;Peak!$G29,T$8*$X28,0))</f>
        <v>0</v>
      </c>
      <c r="U28" s="432" t="n">
        <f aca="false">IF('Peak Revenue'!$A$1="BL","-",IF(Peak!AA29&gt;Peak!$G29,U$8*$X28,0))</f>
        <v>0</v>
      </c>
      <c r="V28" s="441" t="n">
        <f aca="false">SUM(B28:U28)</f>
        <v>212.546699001029</v>
      </c>
      <c r="W28" s="442"/>
      <c r="X28" s="439" t="n">
        <f aca="false">CHOOSE(QUOTIENT(MONTH($A28),3)+1,Peak!$AM$11,Peak!$AN$11,Peak!$AL$11,Peak!$AO$11,Peak!$AM$11)</f>
        <v>0.966121359095586</v>
      </c>
      <c r="Y28" s="440" t="n">
        <f aca="false">CHOOSE(QUOTIENT(MONTH($A28),3)+1,Peak!$AM$17,Peak!$AN$17,Peak!$AL$17,Peak!$AO$17,Peak!$AM$17)</f>
        <v>705</v>
      </c>
    </row>
    <row r="29" customFormat="false" ht="12.75" hidden="false" customHeight="false" outlineLevel="0" collapsed="false">
      <c r="A29" s="400" t="n">
        <f aca="false">A28+30.417</f>
        <v>37117.923</v>
      </c>
      <c r="B29" s="432" t="n">
        <f aca="false">IF('Peak Revenue'!$A$1="BL","-",IF(Peak!H30&gt;Peak!$G30,B$8*$X29,0))</f>
        <v>4.83060679547793</v>
      </c>
      <c r="C29" s="432" t="n">
        <f aca="false">IF('Peak Revenue'!$A$1="BL","-",IF(Peak!I30&gt;Peak!$G30,C$8*$X29,0))</f>
        <v>4.83060679547793</v>
      </c>
      <c r="D29" s="432" t="n">
        <f aca="false">IF('Peak Revenue'!$A$1="BL","-",IF(Peak!J30&gt;Peak!$G30,D$8*$X29,0))</f>
        <v>9.66121359095586</v>
      </c>
      <c r="E29" s="432" t="n">
        <f aca="false">IF('Peak Revenue'!$A$1="BL","-",IF(Peak!K30&gt;Peak!$G30,E$8*$X29,0))</f>
        <v>19.3224271819117</v>
      </c>
      <c r="F29" s="432" t="n">
        <f aca="false">IF('Peak Revenue'!$A$1="BL","-",IF(Peak!L30&gt;Peak!$G30,F$8*$X29,0))</f>
        <v>19.3224271819117</v>
      </c>
      <c r="G29" s="432" t="n">
        <f aca="false">IF('Peak Revenue'!$A$1="BL","-",IF(Peak!M30&gt;Peak!$G30,G$8*$X29,0))</f>
        <v>38.6448543638234</v>
      </c>
      <c r="H29" s="432" t="n">
        <f aca="false">IF('Peak Revenue'!$A$1="BL","-",IF(Peak!N30&gt;Peak!$G30,H$8*$X29,0))</f>
        <v>38.6448543638234</v>
      </c>
      <c r="I29" s="432" t="n">
        <f aca="false">IF('Peak Revenue'!$A$1="BL","-",IF(Peak!O30&gt;Peak!$G30,I$8*$X29,0))</f>
        <v>0</v>
      </c>
      <c r="J29" s="432" t="n">
        <f aca="false">IF('Peak Revenue'!$A$1="BL","-",IF(Peak!P30&gt;Peak!$G30,J$8*$X29,0))</f>
        <v>0</v>
      </c>
      <c r="K29" s="432" t="n">
        <f aca="false">IF('Peak Revenue'!$A$1="BL","-",IF(Peak!Q30&gt;Peak!$G30,K$8*$X29,0))</f>
        <v>0</v>
      </c>
      <c r="L29" s="432" t="n">
        <f aca="false">IF('Peak Revenue'!$A$1="BL","-",IF(Peak!R30&gt;Peak!$G30,L$8*$X29,0))</f>
        <v>0</v>
      </c>
      <c r="M29" s="432" t="n">
        <f aca="false">IF('Peak Revenue'!$A$1="BL","-",IF(Peak!S30&gt;Peak!$G30,M$8*$X29,0))</f>
        <v>0</v>
      </c>
      <c r="N29" s="432" t="n">
        <f aca="false">IF('Peak Revenue'!$A$1="BL","-",IF(Peak!T30&gt;Peak!$G30,N$8*$X29,0))</f>
        <v>0</v>
      </c>
      <c r="O29" s="432" t="n">
        <f aca="false">IF('Peak Revenue'!$A$1="BL","-",IF(Peak!U30&gt;Peak!$G30,O$8*$X29,0))</f>
        <v>0</v>
      </c>
      <c r="P29" s="432" t="n">
        <f aca="false">IF('Peak Revenue'!$A$1="BL","-",IF(Peak!V30&gt;Peak!$G30,P$8*$X29,0))</f>
        <v>0</v>
      </c>
      <c r="Q29" s="432" t="n">
        <f aca="false">IF('Peak Revenue'!$A$1="BL","-",IF(Peak!W30&gt;Peak!$G30,Q$8*$X29,0))</f>
        <v>0</v>
      </c>
      <c r="R29" s="432" t="n">
        <f aca="false">IF('Peak Revenue'!$A$1="BL","-",IF(Peak!X30&gt;Peak!$G30,R$8*$X29,0))</f>
        <v>0</v>
      </c>
      <c r="S29" s="432" t="n">
        <f aca="false">IF('Peak Revenue'!$A$1="BL","-",IF(Peak!Y30&gt;Peak!$G30,S$8*$X29,0))</f>
        <v>0</v>
      </c>
      <c r="T29" s="432" t="n">
        <f aca="false">IF('Peak Revenue'!$A$1="BL","-",IF(Peak!Z30&gt;Peak!$G30,T$8*$X29,0))</f>
        <v>0</v>
      </c>
      <c r="U29" s="432" t="n">
        <f aca="false">IF('Peak Revenue'!$A$1="BL","-",IF(Peak!AA30&gt;Peak!$G30,U$8*$X29,0))</f>
        <v>0</v>
      </c>
      <c r="V29" s="441" t="n">
        <f aca="false">SUM(B29:U29)</f>
        <v>135.256990273382</v>
      </c>
      <c r="W29" s="442"/>
      <c r="X29" s="439" t="n">
        <f aca="false">CHOOSE(QUOTIENT(MONTH($A29),3)+1,Peak!$AM$11,Peak!$AN$11,Peak!$AL$11,Peak!$AO$11,Peak!$AM$11)</f>
        <v>0.966121359095586</v>
      </c>
      <c r="Y29" s="440" t="n">
        <f aca="false">CHOOSE(QUOTIENT(MONTH($A29),3)+1,Peak!$AM$17,Peak!$AN$17,Peak!$AL$17,Peak!$AO$17,Peak!$AM$17)</f>
        <v>705</v>
      </c>
    </row>
    <row r="30" customFormat="false" ht="12.75" hidden="false" customHeight="false" outlineLevel="0" collapsed="false">
      <c r="A30" s="400" t="n">
        <f aca="false">A29+30.417</f>
        <v>37148.34</v>
      </c>
      <c r="B30" s="432" t="n">
        <f aca="false">IF('Peak Revenue'!$A$1="BL","-",IF(Peak!H31&gt;Peak!$G31,B$8*$X30,0))</f>
        <v>4.75</v>
      </c>
      <c r="C30" s="432" t="n">
        <f aca="false">IF('Peak Revenue'!$A$1="BL","-",IF(Peak!I31&gt;Peak!$G31,C$8*$X30,0))</f>
        <v>4.75</v>
      </c>
      <c r="D30" s="432" t="n">
        <f aca="false">IF('Peak Revenue'!$A$1="BL","-",IF(Peak!J31&gt;Peak!$G31,D$8*$X30,0))</f>
        <v>9.5</v>
      </c>
      <c r="E30" s="432" t="n">
        <f aca="false">IF('Peak Revenue'!$A$1="BL","-",IF(Peak!K31&gt;Peak!$G31,E$8*$X30,0))</f>
        <v>19</v>
      </c>
      <c r="F30" s="432" t="n">
        <f aca="false">IF('Peak Revenue'!$A$1="BL","-",IF(Peak!L31&gt;Peak!$G31,F$8*$X30,0))</f>
        <v>19</v>
      </c>
      <c r="G30" s="432" t="n">
        <f aca="false">IF('Peak Revenue'!$A$1="BL","-",IF(Peak!M31&gt;Peak!$G31,G$8*$X30,0))</f>
        <v>38</v>
      </c>
      <c r="H30" s="432" t="n">
        <f aca="false">IF('Peak Revenue'!$A$1="BL","-",IF(Peak!N31&gt;Peak!$G31,H$8*$X30,0))</f>
        <v>0</v>
      </c>
      <c r="I30" s="432" t="n">
        <f aca="false">IF('Peak Revenue'!$A$1="BL","-",IF(Peak!O31&gt;Peak!$G31,I$8*$X30,0))</f>
        <v>0</v>
      </c>
      <c r="J30" s="432" t="n">
        <f aca="false">IF('Peak Revenue'!$A$1="BL","-",IF(Peak!P31&gt;Peak!$G31,J$8*$X30,0))</f>
        <v>0</v>
      </c>
      <c r="K30" s="432" t="n">
        <f aca="false">IF('Peak Revenue'!$A$1="BL","-",IF(Peak!Q31&gt;Peak!$G31,K$8*$X30,0))</f>
        <v>0</v>
      </c>
      <c r="L30" s="432" t="n">
        <f aca="false">IF('Peak Revenue'!$A$1="BL","-",IF(Peak!R31&gt;Peak!$G31,L$8*$X30,0))</f>
        <v>0</v>
      </c>
      <c r="M30" s="432" t="n">
        <f aca="false">IF('Peak Revenue'!$A$1="BL","-",IF(Peak!S31&gt;Peak!$G31,M$8*$X30,0))</f>
        <v>0</v>
      </c>
      <c r="N30" s="432" t="n">
        <f aca="false">IF('Peak Revenue'!$A$1="BL","-",IF(Peak!T31&gt;Peak!$G31,N$8*$X30,0))</f>
        <v>0</v>
      </c>
      <c r="O30" s="432" t="n">
        <f aca="false">IF('Peak Revenue'!$A$1="BL","-",IF(Peak!U31&gt;Peak!$G31,O$8*$X30,0))</f>
        <v>0</v>
      </c>
      <c r="P30" s="432" t="n">
        <f aca="false">IF('Peak Revenue'!$A$1="BL","-",IF(Peak!V31&gt;Peak!$G31,P$8*$X30,0))</f>
        <v>0</v>
      </c>
      <c r="Q30" s="432" t="n">
        <f aca="false">IF('Peak Revenue'!$A$1="BL","-",IF(Peak!W31&gt;Peak!$G31,Q$8*$X30,0))</f>
        <v>0</v>
      </c>
      <c r="R30" s="432" t="n">
        <f aca="false">IF('Peak Revenue'!$A$1="BL","-",IF(Peak!X31&gt;Peak!$G31,R$8*$X30,0))</f>
        <v>0</v>
      </c>
      <c r="S30" s="432" t="n">
        <f aca="false">IF('Peak Revenue'!$A$1="BL","-",IF(Peak!Y31&gt;Peak!$G31,S$8*$X30,0))</f>
        <v>0</v>
      </c>
      <c r="T30" s="432" t="n">
        <f aca="false">IF('Peak Revenue'!$A$1="BL","-",IF(Peak!Z31&gt;Peak!$G31,T$8*$X30,0))</f>
        <v>0</v>
      </c>
      <c r="U30" s="432" t="n">
        <f aca="false">IF('Peak Revenue'!$A$1="BL","-",IF(Peak!AA31&gt;Peak!$G31,U$8*$X30,0))</f>
        <v>0</v>
      </c>
      <c r="V30" s="441" t="n">
        <f aca="false">SUM(B30:U30)</f>
        <v>95</v>
      </c>
      <c r="W30" s="442"/>
      <c r="X30" s="439" t="n">
        <f aca="false">CHOOSE(QUOTIENT(MONTH($A30),3)+1,Peak!$AM$11,Peak!$AN$11,Peak!$AL$11,Peak!$AO$11,Peak!$AM$11)</f>
        <v>0.95</v>
      </c>
      <c r="Y30" s="440" t="n">
        <f aca="false">CHOOSE(QUOTIENT(MONTH($A30),3)+1,Peak!$AM$17,Peak!$AN$17,Peak!$AL$17,Peak!$AO$17,Peak!$AM$17)</f>
        <v>705</v>
      </c>
    </row>
    <row r="31" customFormat="false" ht="12.75" hidden="false" customHeight="false" outlineLevel="0" collapsed="false">
      <c r="A31" s="400" t="n">
        <f aca="false">A30+30.417</f>
        <v>37178.757</v>
      </c>
      <c r="B31" s="432" t="n">
        <f aca="false">IF('Peak Revenue'!$A$1="BL","-",IF(Peak!H32&gt;Peak!$G32,B$8*$X31,0))</f>
        <v>4.75</v>
      </c>
      <c r="C31" s="432" t="n">
        <f aca="false">IF('Peak Revenue'!$A$1="BL","-",IF(Peak!I32&gt;Peak!$G32,C$8*$X31,0))</f>
        <v>4.75</v>
      </c>
      <c r="D31" s="432" t="n">
        <f aca="false">IF('Peak Revenue'!$A$1="BL","-",IF(Peak!J32&gt;Peak!$G32,D$8*$X31,0))</f>
        <v>9.5</v>
      </c>
      <c r="E31" s="432" t="n">
        <f aca="false">IF('Peak Revenue'!$A$1="BL","-",IF(Peak!K32&gt;Peak!$G32,E$8*$X31,0))</f>
        <v>19</v>
      </c>
      <c r="F31" s="432" t="n">
        <f aca="false">IF('Peak Revenue'!$A$1="BL","-",IF(Peak!L32&gt;Peak!$G32,F$8*$X31,0))</f>
        <v>19</v>
      </c>
      <c r="G31" s="432" t="n">
        <f aca="false">IF('Peak Revenue'!$A$1="BL","-",IF(Peak!M32&gt;Peak!$G32,G$8*$X31,0))</f>
        <v>38</v>
      </c>
      <c r="H31" s="432" t="n">
        <f aca="false">IF('Peak Revenue'!$A$1="BL","-",IF(Peak!N32&gt;Peak!$G32,H$8*$X31,0))</f>
        <v>38</v>
      </c>
      <c r="I31" s="432" t="n">
        <f aca="false">IF('Peak Revenue'!$A$1="BL","-",IF(Peak!O32&gt;Peak!$G32,I$8*$X31,0))</f>
        <v>0</v>
      </c>
      <c r="J31" s="432" t="n">
        <f aca="false">IF('Peak Revenue'!$A$1="BL","-",IF(Peak!P32&gt;Peak!$G32,J$8*$X31,0))</f>
        <v>0</v>
      </c>
      <c r="K31" s="432" t="n">
        <f aca="false">IF('Peak Revenue'!$A$1="BL","-",IF(Peak!Q32&gt;Peak!$G32,K$8*$X31,0))</f>
        <v>0</v>
      </c>
      <c r="L31" s="432" t="n">
        <f aca="false">IF('Peak Revenue'!$A$1="BL","-",IF(Peak!R32&gt;Peak!$G32,L$8*$X31,0))</f>
        <v>0</v>
      </c>
      <c r="M31" s="432" t="n">
        <f aca="false">IF('Peak Revenue'!$A$1="BL","-",IF(Peak!S32&gt;Peak!$G32,M$8*$X31,0))</f>
        <v>0</v>
      </c>
      <c r="N31" s="432" t="n">
        <f aca="false">IF('Peak Revenue'!$A$1="BL","-",IF(Peak!T32&gt;Peak!$G32,N$8*$X31,0))</f>
        <v>0</v>
      </c>
      <c r="O31" s="432" t="n">
        <f aca="false">IF('Peak Revenue'!$A$1="BL","-",IF(Peak!U32&gt;Peak!$G32,O$8*$X31,0))</f>
        <v>0</v>
      </c>
      <c r="P31" s="432" t="n">
        <f aca="false">IF('Peak Revenue'!$A$1="BL","-",IF(Peak!V32&gt;Peak!$G32,P$8*$X31,0))</f>
        <v>0</v>
      </c>
      <c r="Q31" s="432" t="n">
        <f aca="false">IF('Peak Revenue'!$A$1="BL","-",IF(Peak!W32&gt;Peak!$G32,Q$8*$X31,0))</f>
        <v>0</v>
      </c>
      <c r="R31" s="432" t="n">
        <f aca="false">IF('Peak Revenue'!$A$1="BL","-",IF(Peak!X32&gt;Peak!$G32,R$8*$X31,0))</f>
        <v>0</v>
      </c>
      <c r="S31" s="432" t="n">
        <f aca="false">IF('Peak Revenue'!$A$1="BL","-",IF(Peak!Y32&gt;Peak!$G32,S$8*$X31,0))</f>
        <v>0</v>
      </c>
      <c r="T31" s="432" t="n">
        <f aca="false">IF('Peak Revenue'!$A$1="BL","-",IF(Peak!Z32&gt;Peak!$G32,T$8*$X31,0))</f>
        <v>0</v>
      </c>
      <c r="U31" s="432" t="n">
        <f aca="false">IF('Peak Revenue'!$A$1="BL","-",IF(Peak!AA32&gt;Peak!$G32,U$8*$X31,0))</f>
        <v>0</v>
      </c>
      <c r="V31" s="441" t="n">
        <f aca="false">SUM(B31:U31)</f>
        <v>133</v>
      </c>
      <c r="W31" s="442"/>
      <c r="X31" s="439" t="n">
        <f aca="false">CHOOSE(QUOTIENT(MONTH($A31),3)+1,Peak!$AM$11,Peak!$AN$11,Peak!$AL$11,Peak!$AO$11,Peak!$AM$11)</f>
        <v>0.95</v>
      </c>
      <c r="Y31" s="440" t="n">
        <f aca="false">CHOOSE(QUOTIENT(MONTH($A31),3)+1,Peak!$AM$17,Peak!$AN$17,Peak!$AL$17,Peak!$AO$17,Peak!$AM$17)</f>
        <v>705</v>
      </c>
    </row>
    <row r="32" customFormat="false" ht="12.75" hidden="false" customHeight="false" outlineLevel="0" collapsed="false">
      <c r="A32" s="400" t="n">
        <f aca="false">A31+30.417</f>
        <v>37209.174</v>
      </c>
      <c r="B32" s="432" t="n">
        <f aca="false">IF('Peak Revenue'!$A$1="BL","-",IF(Peak!H33&gt;Peak!$G33,B$8*$X32,0))</f>
        <v>4.75</v>
      </c>
      <c r="C32" s="432" t="n">
        <f aca="false">IF('Peak Revenue'!$A$1="BL","-",IF(Peak!I33&gt;Peak!$G33,C$8*$X32,0))</f>
        <v>4.75</v>
      </c>
      <c r="D32" s="432" t="n">
        <f aca="false">IF('Peak Revenue'!$A$1="BL","-",IF(Peak!J33&gt;Peak!$G33,D$8*$X32,0))</f>
        <v>9.5</v>
      </c>
      <c r="E32" s="432" t="n">
        <f aca="false">IF('Peak Revenue'!$A$1="BL","-",IF(Peak!K33&gt;Peak!$G33,E$8*$X32,0))</f>
        <v>19</v>
      </c>
      <c r="F32" s="432" t="n">
        <f aca="false">IF('Peak Revenue'!$A$1="BL","-",IF(Peak!L33&gt;Peak!$G33,F$8*$X32,0))</f>
        <v>19</v>
      </c>
      <c r="G32" s="432" t="n">
        <f aca="false">IF('Peak Revenue'!$A$1="BL","-",IF(Peak!M33&gt;Peak!$G33,G$8*$X32,0))</f>
        <v>38</v>
      </c>
      <c r="H32" s="432" t="n">
        <f aca="false">IF('Peak Revenue'!$A$1="BL","-",IF(Peak!N33&gt;Peak!$G33,H$8*$X32,0))</f>
        <v>38</v>
      </c>
      <c r="I32" s="432" t="n">
        <f aca="false">IF('Peak Revenue'!$A$1="BL","-",IF(Peak!O33&gt;Peak!$G33,I$8*$X32,0))</f>
        <v>38</v>
      </c>
      <c r="J32" s="432" t="n">
        <f aca="false">IF('Peak Revenue'!$A$1="BL","-",IF(Peak!P33&gt;Peak!$G33,J$8*$X32,0))</f>
        <v>0</v>
      </c>
      <c r="K32" s="432" t="n">
        <f aca="false">IF('Peak Revenue'!$A$1="BL","-",IF(Peak!Q33&gt;Peak!$G33,K$8*$X32,0))</f>
        <v>0</v>
      </c>
      <c r="L32" s="432" t="n">
        <f aca="false">IF('Peak Revenue'!$A$1="BL","-",IF(Peak!R33&gt;Peak!$G33,L$8*$X32,0))</f>
        <v>0</v>
      </c>
      <c r="M32" s="432" t="n">
        <f aca="false">IF('Peak Revenue'!$A$1="BL","-",IF(Peak!S33&gt;Peak!$G33,M$8*$X32,0))</f>
        <v>0</v>
      </c>
      <c r="N32" s="432" t="n">
        <f aca="false">IF('Peak Revenue'!$A$1="BL","-",IF(Peak!T33&gt;Peak!$G33,N$8*$X32,0))</f>
        <v>0</v>
      </c>
      <c r="O32" s="432" t="n">
        <f aca="false">IF('Peak Revenue'!$A$1="BL","-",IF(Peak!U33&gt;Peak!$G33,O$8*$X32,0))</f>
        <v>0</v>
      </c>
      <c r="P32" s="432" t="n">
        <f aca="false">IF('Peak Revenue'!$A$1="BL","-",IF(Peak!V33&gt;Peak!$G33,P$8*$X32,0))</f>
        <v>0</v>
      </c>
      <c r="Q32" s="432" t="n">
        <f aca="false">IF('Peak Revenue'!$A$1="BL","-",IF(Peak!W33&gt;Peak!$G33,Q$8*$X32,0))</f>
        <v>0</v>
      </c>
      <c r="R32" s="432" t="n">
        <f aca="false">IF('Peak Revenue'!$A$1="BL","-",IF(Peak!X33&gt;Peak!$G33,R$8*$X32,0))</f>
        <v>0</v>
      </c>
      <c r="S32" s="432" t="n">
        <f aca="false">IF('Peak Revenue'!$A$1="BL","-",IF(Peak!Y33&gt;Peak!$G33,S$8*$X32,0))</f>
        <v>0</v>
      </c>
      <c r="T32" s="432" t="n">
        <f aca="false">IF('Peak Revenue'!$A$1="BL","-",IF(Peak!Z33&gt;Peak!$G33,T$8*$X32,0))</f>
        <v>0</v>
      </c>
      <c r="U32" s="432" t="n">
        <f aca="false">IF('Peak Revenue'!$A$1="BL","-",IF(Peak!AA33&gt;Peak!$G33,U$8*$X32,0))</f>
        <v>0</v>
      </c>
      <c r="V32" s="441" t="n">
        <f aca="false">SUM(B32:U32)</f>
        <v>171</v>
      </c>
      <c r="W32" s="442"/>
      <c r="X32" s="439" t="n">
        <f aca="false">CHOOSE(QUOTIENT(MONTH($A32),3)+1,Peak!$AM$11,Peak!$AN$11,Peak!$AL$11,Peak!$AO$11,Peak!$AM$11)</f>
        <v>0.95</v>
      </c>
      <c r="Y32" s="440" t="n">
        <f aca="false">CHOOSE(QUOTIENT(MONTH($A32),3)+1,Peak!$AM$17,Peak!$AN$17,Peak!$AL$17,Peak!$AO$17,Peak!$AM$17)</f>
        <v>705</v>
      </c>
    </row>
    <row r="33" customFormat="false" ht="12.75" hidden="false" customHeight="false" outlineLevel="0" collapsed="false">
      <c r="A33" s="400" t="n">
        <f aca="false">A32+30.417</f>
        <v>37239.591</v>
      </c>
      <c r="B33" s="432" t="n">
        <f aca="false">IF('Peak Revenue'!$A$1="BL","-",IF(Peak!H34&gt;Peak!$G34,B$8*$X33,0))</f>
        <v>4.62138309393059</v>
      </c>
      <c r="C33" s="432" t="n">
        <f aca="false">IF('Peak Revenue'!$A$1="BL","-",IF(Peak!I34&gt;Peak!$G34,C$8*$X33,0))</f>
        <v>4.62138309393059</v>
      </c>
      <c r="D33" s="432" t="n">
        <f aca="false">IF('Peak Revenue'!$A$1="BL","-",IF(Peak!J34&gt;Peak!$G34,D$8*$X33,0))</f>
        <v>9.24276618786118</v>
      </c>
      <c r="E33" s="432" t="n">
        <f aca="false">IF('Peak Revenue'!$A$1="BL","-",IF(Peak!K34&gt;Peak!$G34,E$8*$X33,0))</f>
        <v>18.4855323757224</v>
      </c>
      <c r="F33" s="432" t="n">
        <f aca="false">IF('Peak Revenue'!$A$1="BL","-",IF(Peak!L34&gt;Peak!$G34,F$8*$X33,0))</f>
        <v>18.4855323757224</v>
      </c>
      <c r="G33" s="432" t="n">
        <f aca="false">IF('Peak Revenue'!$A$1="BL","-",IF(Peak!M34&gt;Peak!$G34,G$8*$X33,0))</f>
        <v>36.9710647514447</v>
      </c>
      <c r="H33" s="432" t="n">
        <f aca="false">IF('Peak Revenue'!$A$1="BL","-",IF(Peak!N34&gt;Peak!$G34,H$8*$X33,0))</f>
        <v>36.9710647514447</v>
      </c>
      <c r="I33" s="432" t="n">
        <f aca="false">IF('Peak Revenue'!$A$1="BL","-",IF(Peak!O34&gt;Peak!$G34,I$8*$X33,0))</f>
        <v>36.9710647514447</v>
      </c>
      <c r="J33" s="432" t="n">
        <f aca="false">IF('Peak Revenue'!$A$1="BL","-",IF(Peak!P34&gt;Peak!$G34,J$8*$X33,0))</f>
        <v>36.9710647514447</v>
      </c>
      <c r="K33" s="432" t="n">
        <f aca="false">IF('Peak Revenue'!$A$1="BL","-",IF(Peak!Q34&gt;Peak!$G34,K$8*$X33,0))</f>
        <v>36.9710647514447</v>
      </c>
      <c r="L33" s="432" t="n">
        <f aca="false">IF('Peak Revenue'!$A$1="BL","-",IF(Peak!R34&gt;Peak!$G34,L$8*$X33,0))</f>
        <v>0</v>
      </c>
      <c r="M33" s="432" t="n">
        <f aca="false">IF('Peak Revenue'!$A$1="BL","-",IF(Peak!S34&gt;Peak!$G34,M$8*$X33,0))</f>
        <v>0</v>
      </c>
      <c r="N33" s="432" t="n">
        <f aca="false">IF('Peak Revenue'!$A$1="BL","-",IF(Peak!T34&gt;Peak!$G34,N$8*$X33,0))</f>
        <v>0</v>
      </c>
      <c r="O33" s="432" t="n">
        <f aca="false">IF('Peak Revenue'!$A$1="BL","-",IF(Peak!U34&gt;Peak!$G34,O$8*$X33,0))</f>
        <v>0</v>
      </c>
      <c r="P33" s="432" t="n">
        <f aca="false">IF('Peak Revenue'!$A$1="BL","-",IF(Peak!V34&gt;Peak!$G34,P$8*$X33,0))</f>
        <v>0</v>
      </c>
      <c r="Q33" s="432" t="n">
        <f aca="false">IF('Peak Revenue'!$A$1="BL","-",IF(Peak!W34&gt;Peak!$G34,Q$8*$X33,0))</f>
        <v>0</v>
      </c>
      <c r="R33" s="432" t="n">
        <f aca="false">IF('Peak Revenue'!$A$1="BL","-",IF(Peak!X34&gt;Peak!$G34,R$8*$X33,0))</f>
        <v>0</v>
      </c>
      <c r="S33" s="432" t="n">
        <f aca="false">IF('Peak Revenue'!$A$1="BL","-",IF(Peak!Y34&gt;Peak!$G34,S$8*$X33,0))</f>
        <v>0</v>
      </c>
      <c r="T33" s="432" t="n">
        <f aca="false">IF('Peak Revenue'!$A$1="BL","-",IF(Peak!Z34&gt;Peak!$G34,T$8*$X33,0))</f>
        <v>0</v>
      </c>
      <c r="U33" s="432" t="n">
        <f aca="false">IF('Peak Revenue'!$A$1="BL","-",IF(Peak!AA34&gt;Peak!$G34,U$8*$X33,0))</f>
        <v>0</v>
      </c>
      <c r="V33" s="441" t="n">
        <f aca="false">SUM(B33:U33)</f>
        <v>240.311920884391</v>
      </c>
      <c r="W33" s="443" t="n">
        <f aca="false">SUM(V22:V33)</f>
        <v>1780.1700536923</v>
      </c>
      <c r="X33" s="439" t="n">
        <f aca="false">CHOOSE(QUOTIENT(MONTH($A33),3)+1,Peak!$AM$11,Peak!$AN$11,Peak!$AL$11,Peak!$AO$11,Peak!$AM$11)</f>
        <v>0.924276618786118</v>
      </c>
      <c r="Y33" s="440" t="n">
        <f aca="false">CHOOSE(QUOTIENT(MONTH($A33),3)+1,Peak!$AM$17,Peak!$AN$17,Peak!$AL$17,Peak!$AO$17,Peak!$AM$17)</f>
        <v>705</v>
      </c>
    </row>
    <row r="34" customFormat="false" ht="12.75" hidden="false" customHeight="false" outlineLevel="0" collapsed="false">
      <c r="A34" s="400" t="n">
        <f aca="false">A33+30.417</f>
        <v>37270.008</v>
      </c>
      <c r="B34" s="432" t="n">
        <f aca="false">IF('Peak Revenue'!$A$1="BL","-",IF(Peak!H35&gt;Peak!$G35,B$8*$X34,0))</f>
        <v>4.62138309393059</v>
      </c>
      <c r="C34" s="432" t="n">
        <f aca="false">IF('Peak Revenue'!$A$1="BL","-",IF(Peak!I35&gt;Peak!$G35,C$8*$X34,0))</f>
        <v>4.62138309393059</v>
      </c>
      <c r="D34" s="432" t="n">
        <f aca="false">IF('Peak Revenue'!$A$1="BL","-",IF(Peak!J35&gt;Peak!$G35,D$8*$X34,0))</f>
        <v>9.24276618786118</v>
      </c>
      <c r="E34" s="432" t="n">
        <f aca="false">IF('Peak Revenue'!$A$1="BL","-",IF(Peak!K35&gt;Peak!$G35,E$8*$X34,0))</f>
        <v>18.4855323757224</v>
      </c>
      <c r="F34" s="432" t="n">
        <f aca="false">IF('Peak Revenue'!$A$1="BL","-",IF(Peak!L35&gt;Peak!$G35,F$8*$X34,0))</f>
        <v>18.4855323757224</v>
      </c>
      <c r="G34" s="432" t="n">
        <f aca="false">IF('Peak Revenue'!$A$1="BL","-",IF(Peak!M35&gt;Peak!$G35,G$8*$X34,0))</f>
        <v>36.9710647514447</v>
      </c>
      <c r="H34" s="432" t="n">
        <f aca="false">IF('Peak Revenue'!$A$1="BL","-",IF(Peak!N35&gt;Peak!$G35,H$8*$X34,0))</f>
        <v>36.9710647514447</v>
      </c>
      <c r="I34" s="432" t="n">
        <f aca="false">IF('Peak Revenue'!$A$1="BL","-",IF(Peak!O35&gt;Peak!$G35,I$8*$X34,0))</f>
        <v>36.9710647514447</v>
      </c>
      <c r="J34" s="432" t="n">
        <f aca="false">IF('Peak Revenue'!$A$1="BL","-",IF(Peak!P35&gt;Peak!$G35,J$8*$X34,0))</f>
        <v>0</v>
      </c>
      <c r="K34" s="432" t="n">
        <f aca="false">IF('Peak Revenue'!$A$1="BL","-",IF(Peak!Q35&gt;Peak!$G35,K$8*$X34,0))</f>
        <v>0</v>
      </c>
      <c r="L34" s="432" t="n">
        <f aca="false">IF('Peak Revenue'!$A$1="BL","-",IF(Peak!R35&gt;Peak!$G35,L$8*$X34,0))</f>
        <v>0</v>
      </c>
      <c r="M34" s="432" t="n">
        <f aca="false">IF('Peak Revenue'!$A$1="BL","-",IF(Peak!S35&gt;Peak!$G35,M$8*$X34,0))</f>
        <v>0</v>
      </c>
      <c r="N34" s="432" t="n">
        <f aca="false">IF('Peak Revenue'!$A$1="BL","-",IF(Peak!T35&gt;Peak!$G35,N$8*$X34,0))</f>
        <v>0</v>
      </c>
      <c r="O34" s="432" t="n">
        <f aca="false">IF('Peak Revenue'!$A$1="BL","-",IF(Peak!U35&gt;Peak!$G35,O$8*$X34,0))</f>
        <v>0</v>
      </c>
      <c r="P34" s="432" t="n">
        <f aca="false">IF('Peak Revenue'!$A$1="BL","-",IF(Peak!V35&gt;Peak!$G35,P$8*$X34,0))</f>
        <v>0</v>
      </c>
      <c r="Q34" s="432" t="n">
        <f aca="false">IF('Peak Revenue'!$A$1="BL","-",IF(Peak!W35&gt;Peak!$G35,Q$8*$X34,0))</f>
        <v>0</v>
      </c>
      <c r="R34" s="432" t="n">
        <f aca="false">IF('Peak Revenue'!$A$1="BL","-",IF(Peak!X35&gt;Peak!$G35,R$8*$X34,0))</f>
        <v>0</v>
      </c>
      <c r="S34" s="432" t="n">
        <f aca="false">IF('Peak Revenue'!$A$1="BL","-",IF(Peak!Y35&gt;Peak!$G35,S$8*$X34,0))</f>
        <v>0</v>
      </c>
      <c r="T34" s="432" t="n">
        <f aca="false">IF('Peak Revenue'!$A$1="BL","-",IF(Peak!Z35&gt;Peak!$G35,T$8*$X34,0))</f>
        <v>0</v>
      </c>
      <c r="U34" s="432" t="n">
        <f aca="false">IF('Peak Revenue'!$A$1="BL","-",IF(Peak!AA35&gt;Peak!$G35,U$8*$X34,0))</f>
        <v>0</v>
      </c>
      <c r="V34" s="441" t="n">
        <f aca="false">SUM(B34:U34)</f>
        <v>166.369791381501</v>
      </c>
      <c r="W34" s="442"/>
      <c r="X34" s="439" t="n">
        <f aca="false">CHOOSE(QUOTIENT(MONTH($A34),3)+1,Peak!$AM$11,Peak!$AN$11,Peak!$AL$11,Peak!$AO$11,Peak!$AM$11)</f>
        <v>0.924276618786118</v>
      </c>
      <c r="Y34" s="440" t="n">
        <f aca="false">CHOOSE(QUOTIENT(MONTH($A34),3)+1,Peak!$AM$17,Peak!$AN$17,Peak!$AL$17,Peak!$AO$17,Peak!$AM$17)</f>
        <v>705</v>
      </c>
    </row>
    <row r="35" customFormat="false" ht="12.75" hidden="false" customHeight="false" outlineLevel="0" collapsed="false">
      <c r="A35" s="400" t="n">
        <f aca="false">A34+30.417</f>
        <v>37300.425</v>
      </c>
      <c r="B35" s="432" t="n">
        <f aca="false">IF('Peak Revenue'!$A$1="BL","-",IF(Peak!H36&gt;Peak!$G36,B$8*$X35,0))</f>
        <v>4.62138309393059</v>
      </c>
      <c r="C35" s="432" t="n">
        <f aca="false">IF('Peak Revenue'!$A$1="BL","-",IF(Peak!I36&gt;Peak!$G36,C$8*$X35,0))</f>
        <v>4.62138309393059</v>
      </c>
      <c r="D35" s="432" t="n">
        <f aca="false">IF('Peak Revenue'!$A$1="BL","-",IF(Peak!J36&gt;Peak!$G36,D$8*$X35,0))</f>
        <v>9.24276618786118</v>
      </c>
      <c r="E35" s="432" t="n">
        <f aca="false">IF('Peak Revenue'!$A$1="BL","-",IF(Peak!K36&gt;Peak!$G36,E$8*$X35,0))</f>
        <v>18.4855323757224</v>
      </c>
      <c r="F35" s="432" t="n">
        <f aca="false">IF('Peak Revenue'!$A$1="BL","-",IF(Peak!L36&gt;Peak!$G36,F$8*$X35,0))</f>
        <v>18.4855323757224</v>
      </c>
      <c r="G35" s="432" t="n">
        <f aca="false">IF('Peak Revenue'!$A$1="BL","-",IF(Peak!M36&gt;Peak!$G36,G$8*$X35,0))</f>
        <v>36.9710647514447</v>
      </c>
      <c r="H35" s="432" t="n">
        <f aca="false">IF('Peak Revenue'!$A$1="BL","-",IF(Peak!N36&gt;Peak!$G36,H$8*$X35,0))</f>
        <v>36.9710647514447</v>
      </c>
      <c r="I35" s="432" t="n">
        <f aca="false">IF('Peak Revenue'!$A$1="BL","-",IF(Peak!O36&gt;Peak!$G36,I$8*$X35,0))</f>
        <v>36.9710647514447</v>
      </c>
      <c r="J35" s="432" t="n">
        <f aca="false">IF('Peak Revenue'!$A$1="BL","-",IF(Peak!P36&gt;Peak!$G36,J$8*$X35,0))</f>
        <v>36.9710647514447</v>
      </c>
      <c r="K35" s="432" t="n">
        <f aca="false">IF('Peak Revenue'!$A$1="BL","-",IF(Peak!Q36&gt;Peak!$G36,K$8*$X35,0))</f>
        <v>0</v>
      </c>
      <c r="L35" s="432" t="n">
        <f aca="false">IF('Peak Revenue'!$A$1="BL","-",IF(Peak!R36&gt;Peak!$G36,L$8*$X35,0))</f>
        <v>0</v>
      </c>
      <c r="M35" s="432" t="n">
        <f aca="false">IF('Peak Revenue'!$A$1="BL","-",IF(Peak!S36&gt;Peak!$G36,M$8*$X35,0))</f>
        <v>0</v>
      </c>
      <c r="N35" s="432" t="n">
        <f aca="false">IF('Peak Revenue'!$A$1="BL","-",IF(Peak!T36&gt;Peak!$G36,N$8*$X35,0))</f>
        <v>0</v>
      </c>
      <c r="O35" s="432" t="n">
        <f aca="false">IF('Peak Revenue'!$A$1="BL","-",IF(Peak!U36&gt;Peak!$G36,O$8*$X35,0))</f>
        <v>0</v>
      </c>
      <c r="P35" s="432" t="n">
        <f aca="false">IF('Peak Revenue'!$A$1="BL","-",IF(Peak!V36&gt;Peak!$G36,P$8*$X35,0))</f>
        <v>0</v>
      </c>
      <c r="Q35" s="432" t="n">
        <f aca="false">IF('Peak Revenue'!$A$1="BL","-",IF(Peak!W36&gt;Peak!$G36,Q$8*$X35,0))</f>
        <v>0</v>
      </c>
      <c r="R35" s="432" t="n">
        <f aca="false">IF('Peak Revenue'!$A$1="BL","-",IF(Peak!X36&gt;Peak!$G36,R$8*$X35,0))</f>
        <v>0</v>
      </c>
      <c r="S35" s="432" t="n">
        <f aca="false">IF('Peak Revenue'!$A$1="BL","-",IF(Peak!Y36&gt;Peak!$G36,S$8*$X35,0))</f>
        <v>0</v>
      </c>
      <c r="T35" s="432" t="n">
        <f aca="false">IF('Peak Revenue'!$A$1="BL","-",IF(Peak!Z36&gt;Peak!$G36,T$8*$X35,0))</f>
        <v>0</v>
      </c>
      <c r="U35" s="432" t="n">
        <f aca="false">IF('Peak Revenue'!$A$1="BL","-",IF(Peak!AA36&gt;Peak!$G36,U$8*$X35,0))</f>
        <v>0</v>
      </c>
      <c r="V35" s="441" t="n">
        <f aca="false">SUM(B35:U35)</f>
        <v>203.340856132946</v>
      </c>
      <c r="W35" s="442"/>
      <c r="X35" s="439" t="n">
        <f aca="false">CHOOSE(QUOTIENT(MONTH($A35),3)+1,Peak!$AM$11,Peak!$AN$11,Peak!$AL$11,Peak!$AO$11,Peak!$AM$11)</f>
        <v>0.924276618786118</v>
      </c>
      <c r="Y35" s="440" t="n">
        <f aca="false">CHOOSE(QUOTIENT(MONTH($A35),3)+1,Peak!$AM$17,Peak!$AN$17,Peak!$AL$17,Peak!$AO$17,Peak!$AM$17)</f>
        <v>705</v>
      </c>
    </row>
    <row r="36" customFormat="false" ht="12.75" hidden="false" customHeight="false" outlineLevel="0" collapsed="false">
      <c r="A36" s="400" t="n">
        <f aca="false">A35+30.417</f>
        <v>37330.842</v>
      </c>
      <c r="B36" s="432" t="n">
        <f aca="false">IF('Peak Revenue'!$A$1="BL","-",IF(Peak!H37&gt;Peak!$G37,B$8*$X36,0))</f>
        <v>4.75</v>
      </c>
      <c r="C36" s="432" t="n">
        <f aca="false">IF('Peak Revenue'!$A$1="BL","-",IF(Peak!I37&gt;Peak!$G37,C$8*$X36,0))</f>
        <v>4.75</v>
      </c>
      <c r="D36" s="432" t="n">
        <f aca="false">IF('Peak Revenue'!$A$1="BL","-",IF(Peak!J37&gt;Peak!$G37,D$8*$X36,0))</f>
        <v>9.5</v>
      </c>
      <c r="E36" s="432" t="n">
        <f aca="false">IF('Peak Revenue'!$A$1="BL","-",IF(Peak!K37&gt;Peak!$G37,E$8*$X36,0))</f>
        <v>19</v>
      </c>
      <c r="F36" s="432" t="n">
        <f aca="false">IF('Peak Revenue'!$A$1="BL","-",IF(Peak!L37&gt;Peak!$G37,F$8*$X36,0))</f>
        <v>19</v>
      </c>
      <c r="G36" s="432" t="n">
        <f aca="false">IF('Peak Revenue'!$A$1="BL","-",IF(Peak!M37&gt;Peak!$G37,G$8*$X36,0))</f>
        <v>38</v>
      </c>
      <c r="H36" s="432" t="n">
        <f aca="false">IF('Peak Revenue'!$A$1="BL","-",IF(Peak!N37&gt;Peak!$G37,H$8*$X36,0))</f>
        <v>38</v>
      </c>
      <c r="I36" s="432" t="n">
        <f aca="false">IF('Peak Revenue'!$A$1="BL","-",IF(Peak!O37&gt;Peak!$G37,I$8*$X36,0))</f>
        <v>38</v>
      </c>
      <c r="J36" s="432" t="n">
        <f aca="false">IF('Peak Revenue'!$A$1="BL","-",IF(Peak!P37&gt;Peak!$G37,J$8*$X36,0))</f>
        <v>38</v>
      </c>
      <c r="K36" s="432" t="n">
        <f aca="false">IF('Peak Revenue'!$A$1="BL","-",IF(Peak!Q37&gt;Peak!$G37,K$8*$X36,0))</f>
        <v>38</v>
      </c>
      <c r="L36" s="432" t="n">
        <f aca="false">IF('Peak Revenue'!$A$1="BL","-",IF(Peak!R37&gt;Peak!$G37,L$8*$X36,0))</f>
        <v>38</v>
      </c>
      <c r="M36" s="432" t="n">
        <f aca="false">IF('Peak Revenue'!$A$1="BL","-",IF(Peak!S37&gt;Peak!$G37,M$8*$X36,0))</f>
        <v>0</v>
      </c>
      <c r="N36" s="432" t="n">
        <f aca="false">IF('Peak Revenue'!$A$1="BL","-",IF(Peak!T37&gt;Peak!$G37,N$8*$X36,0))</f>
        <v>0</v>
      </c>
      <c r="O36" s="432" t="n">
        <f aca="false">IF('Peak Revenue'!$A$1="BL","-",IF(Peak!U37&gt;Peak!$G37,O$8*$X36,0))</f>
        <v>0</v>
      </c>
      <c r="P36" s="432" t="n">
        <f aca="false">IF('Peak Revenue'!$A$1="BL","-",IF(Peak!V37&gt;Peak!$G37,P$8*$X36,0))</f>
        <v>0</v>
      </c>
      <c r="Q36" s="432" t="n">
        <f aca="false">IF('Peak Revenue'!$A$1="BL","-",IF(Peak!W37&gt;Peak!$G37,Q$8*$X36,0))</f>
        <v>0</v>
      </c>
      <c r="R36" s="432" t="n">
        <f aca="false">IF('Peak Revenue'!$A$1="BL","-",IF(Peak!X37&gt;Peak!$G37,R$8*$X36,0))</f>
        <v>0</v>
      </c>
      <c r="S36" s="432" t="n">
        <f aca="false">IF('Peak Revenue'!$A$1="BL","-",IF(Peak!Y37&gt;Peak!$G37,S$8*$X36,0))</f>
        <v>0</v>
      </c>
      <c r="T36" s="432" t="n">
        <f aca="false">IF('Peak Revenue'!$A$1="BL","-",IF(Peak!Z37&gt;Peak!$G37,T$8*$X36,0))</f>
        <v>0</v>
      </c>
      <c r="U36" s="432" t="n">
        <f aca="false">IF('Peak Revenue'!$A$1="BL","-",IF(Peak!AA37&gt;Peak!$G37,U$8*$X36,0))</f>
        <v>0</v>
      </c>
      <c r="V36" s="441" t="n">
        <f aca="false">SUM(B36:U36)</f>
        <v>285</v>
      </c>
      <c r="W36" s="442"/>
      <c r="X36" s="439" t="n">
        <f aca="false">CHOOSE(QUOTIENT(MONTH($A36),3)+1,Peak!$AM$11,Peak!$AN$11,Peak!$AL$11,Peak!$AO$11,Peak!$AM$11)</f>
        <v>0.95</v>
      </c>
      <c r="Y36" s="440" t="n">
        <f aca="false">CHOOSE(QUOTIENT(MONTH($A36),3)+1,Peak!$AM$17,Peak!$AN$17,Peak!$AL$17,Peak!$AO$17,Peak!$AM$17)</f>
        <v>705</v>
      </c>
    </row>
    <row r="37" customFormat="false" ht="12.75" hidden="false" customHeight="false" outlineLevel="0" collapsed="false">
      <c r="A37" s="400" t="n">
        <f aca="false">A36+30.417</f>
        <v>37361.259</v>
      </c>
      <c r="B37" s="432" t="n">
        <f aca="false">IF('Peak Revenue'!$A$1="BL","-",IF(Peak!H38&gt;Peak!$G38,B$8*$X37,0))</f>
        <v>4.75</v>
      </c>
      <c r="C37" s="432" t="n">
        <f aca="false">IF('Peak Revenue'!$A$1="BL","-",IF(Peak!I38&gt;Peak!$G38,C$8*$X37,0))</f>
        <v>4.75</v>
      </c>
      <c r="D37" s="432" t="n">
        <f aca="false">IF('Peak Revenue'!$A$1="BL","-",IF(Peak!J38&gt;Peak!$G38,D$8*$X37,0))</f>
        <v>9.5</v>
      </c>
      <c r="E37" s="432" t="n">
        <f aca="false">IF('Peak Revenue'!$A$1="BL","-",IF(Peak!K38&gt;Peak!$G38,E$8*$X37,0))</f>
        <v>19</v>
      </c>
      <c r="F37" s="432" t="n">
        <f aca="false">IF('Peak Revenue'!$A$1="BL","-",IF(Peak!L38&gt;Peak!$G38,F$8*$X37,0))</f>
        <v>19</v>
      </c>
      <c r="G37" s="432" t="n">
        <f aca="false">IF('Peak Revenue'!$A$1="BL","-",IF(Peak!M38&gt;Peak!$G38,G$8*$X37,0))</f>
        <v>38</v>
      </c>
      <c r="H37" s="432" t="n">
        <f aca="false">IF('Peak Revenue'!$A$1="BL","-",IF(Peak!N38&gt;Peak!$G38,H$8*$X37,0))</f>
        <v>38</v>
      </c>
      <c r="I37" s="432" t="n">
        <f aca="false">IF('Peak Revenue'!$A$1="BL","-",IF(Peak!O38&gt;Peak!$G38,I$8*$X37,0))</f>
        <v>38</v>
      </c>
      <c r="J37" s="432" t="n">
        <f aca="false">IF('Peak Revenue'!$A$1="BL","-",IF(Peak!P38&gt;Peak!$G38,J$8*$X37,0))</f>
        <v>0</v>
      </c>
      <c r="K37" s="432" t="n">
        <f aca="false">IF('Peak Revenue'!$A$1="BL","-",IF(Peak!Q38&gt;Peak!$G38,K$8*$X37,0))</f>
        <v>0</v>
      </c>
      <c r="L37" s="432" t="n">
        <f aca="false">IF('Peak Revenue'!$A$1="BL","-",IF(Peak!R38&gt;Peak!$G38,L$8*$X37,0))</f>
        <v>0</v>
      </c>
      <c r="M37" s="432" t="n">
        <f aca="false">IF('Peak Revenue'!$A$1="BL","-",IF(Peak!S38&gt;Peak!$G38,M$8*$X37,0))</f>
        <v>0</v>
      </c>
      <c r="N37" s="432" t="n">
        <f aca="false">IF('Peak Revenue'!$A$1="BL","-",IF(Peak!T38&gt;Peak!$G38,N$8*$X37,0))</f>
        <v>0</v>
      </c>
      <c r="O37" s="432" t="n">
        <f aca="false">IF('Peak Revenue'!$A$1="BL","-",IF(Peak!U38&gt;Peak!$G38,O$8*$X37,0))</f>
        <v>0</v>
      </c>
      <c r="P37" s="432" t="n">
        <f aca="false">IF('Peak Revenue'!$A$1="BL","-",IF(Peak!V38&gt;Peak!$G38,P$8*$X37,0))</f>
        <v>0</v>
      </c>
      <c r="Q37" s="432" t="n">
        <f aca="false">IF('Peak Revenue'!$A$1="BL","-",IF(Peak!W38&gt;Peak!$G38,Q$8*$X37,0))</f>
        <v>0</v>
      </c>
      <c r="R37" s="432" t="n">
        <f aca="false">IF('Peak Revenue'!$A$1="BL","-",IF(Peak!X38&gt;Peak!$G38,R$8*$X37,0))</f>
        <v>0</v>
      </c>
      <c r="S37" s="432" t="n">
        <f aca="false">IF('Peak Revenue'!$A$1="BL","-",IF(Peak!Y38&gt;Peak!$G38,S$8*$X37,0))</f>
        <v>0</v>
      </c>
      <c r="T37" s="432" t="n">
        <f aca="false">IF('Peak Revenue'!$A$1="BL","-",IF(Peak!Z38&gt;Peak!$G38,T$8*$X37,0))</f>
        <v>0</v>
      </c>
      <c r="U37" s="432" t="n">
        <f aca="false">IF('Peak Revenue'!$A$1="BL","-",IF(Peak!AA38&gt;Peak!$G38,U$8*$X37,0))</f>
        <v>0</v>
      </c>
      <c r="V37" s="441" t="n">
        <f aca="false">SUM(B37:U37)</f>
        <v>171</v>
      </c>
      <c r="W37" s="442"/>
      <c r="X37" s="439" t="n">
        <f aca="false">CHOOSE(QUOTIENT(MONTH($A37),3)+1,Peak!$AM$11,Peak!$AN$11,Peak!$AL$11,Peak!$AO$11,Peak!$AM$11)</f>
        <v>0.95</v>
      </c>
      <c r="Y37" s="440" t="n">
        <f aca="false">CHOOSE(QUOTIENT(MONTH($A37),3)+1,Peak!$AM$17,Peak!$AN$17,Peak!$AL$17,Peak!$AO$17,Peak!$AM$17)</f>
        <v>705</v>
      </c>
    </row>
    <row r="38" customFormat="false" ht="12.75" hidden="false" customHeight="false" outlineLevel="0" collapsed="false">
      <c r="A38" s="400" t="n">
        <f aca="false">A37+30.417</f>
        <v>37391.676</v>
      </c>
      <c r="B38" s="432" t="n">
        <f aca="false">IF('Peak Revenue'!$A$1="BL","-",IF(Peak!H39&gt;Peak!$G39,B$8*$X38,0))</f>
        <v>4.75</v>
      </c>
      <c r="C38" s="432" t="n">
        <f aca="false">IF('Peak Revenue'!$A$1="BL","-",IF(Peak!I39&gt;Peak!$G39,C$8*$X38,0))</f>
        <v>4.75</v>
      </c>
      <c r="D38" s="432" t="n">
        <f aca="false">IF('Peak Revenue'!$A$1="BL","-",IF(Peak!J39&gt;Peak!$G39,D$8*$X38,0))</f>
        <v>9.5</v>
      </c>
      <c r="E38" s="432" t="n">
        <f aca="false">IF('Peak Revenue'!$A$1="BL","-",IF(Peak!K39&gt;Peak!$G39,E$8*$X38,0))</f>
        <v>19</v>
      </c>
      <c r="F38" s="432" t="n">
        <f aca="false">IF('Peak Revenue'!$A$1="BL","-",IF(Peak!L39&gt;Peak!$G39,F$8*$X38,0))</f>
        <v>19</v>
      </c>
      <c r="G38" s="432" t="n">
        <f aca="false">IF('Peak Revenue'!$A$1="BL","-",IF(Peak!M39&gt;Peak!$G39,G$8*$X38,0))</f>
        <v>38</v>
      </c>
      <c r="H38" s="432" t="n">
        <f aca="false">IF('Peak Revenue'!$A$1="BL","-",IF(Peak!N39&gt;Peak!$G39,H$8*$X38,0))</f>
        <v>0</v>
      </c>
      <c r="I38" s="432" t="n">
        <f aca="false">IF('Peak Revenue'!$A$1="BL","-",IF(Peak!O39&gt;Peak!$G39,I$8*$X38,0))</f>
        <v>0</v>
      </c>
      <c r="J38" s="432" t="n">
        <f aca="false">IF('Peak Revenue'!$A$1="BL","-",IF(Peak!P39&gt;Peak!$G39,J$8*$X38,0))</f>
        <v>0</v>
      </c>
      <c r="K38" s="432" t="n">
        <f aca="false">IF('Peak Revenue'!$A$1="BL","-",IF(Peak!Q39&gt;Peak!$G39,K$8*$X38,0))</f>
        <v>0</v>
      </c>
      <c r="L38" s="432" t="n">
        <f aca="false">IF('Peak Revenue'!$A$1="BL","-",IF(Peak!R39&gt;Peak!$G39,L$8*$X38,0))</f>
        <v>0</v>
      </c>
      <c r="M38" s="432" t="n">
        <f aca="false">IF('Peak Revenue'!$A$1="BL","-",IF(Peak!S39&gt;Peak!$G39,M$8*$X38,0))</f>
        <v>0</v>
      </c>
      <c r="N38" s="432" t="n">
        <f aca="false">IF('Peak Revenue'!$A$1="BL","-",IF(Peak!T39&gt;Peak!$G39,N$8*$X38,0))</f>
        <v>0</v>
      </c>
      <c r="O38" s="432" t="n">
        <f aca="false">IF('Peak Revenue'!$A$1="BL","-",IF(Peak!U39&gt;Peak!$G39,O$8*$X38,0))</f>
        <v>0</v>
      </c>
      <c r="P38" s="432" t="n">
        <f aca="false">IF('Peak Revenue'!$A$1="BL","-",IF(Peak!V39&gt;Peak!$G39,P$8*$X38,0))</f>
        <v>0</v>
      </c>
      <c r="Q38" s="432" t="n">
        <f aca="false">IF('Peak Revenue'!$A$1="BL","-",IF(Peak!W39&gt;Peak!$G39,Q$8*$X38,0))</f>
        <v>0</v>
      </c>
      <c r="R38" s="432" t="n">
        <f aca="false">IF('Peak Revenue'!$A$1="BL","-",IF(Peak!X39&gt;Peak!$G39,R$8*$X38,0))</f>
        <v>0</v>
      </c>
      <c r="S38" s="432" t="n">
        <f aca="false">IF('Peak Revenue'!$A$1="BL","-",IF(Peak!Y39&gt;Peak!$G39,S$8*$X38,0))</f>
        <v>0</v>
      </c>
      <c r="T38" s="432" t="n">
        <f aca="false">IF('Peak Revenue'!$A$1="BL","-",IF(Peak!Z39&gt;Peak!$G39,T$8*$X38,0))</f>
        <v>0</v>
      </c>
      <c r="U38" s="432" t="n">
        <f aca="false">IF('Peak Revenue'!$A$1="BL","-",IF(Peak!AA39&gt;Peak!$G39,U$8*$X38,0))</f>
        <v>0</v>
      </c>
      <c r="V38" s="441" t="n">
        <f aca="false">SUM(B38:U38)</f>
        <v>95</v>
      </c>
      <c r="W38" s="442"/>
      <c r="X38" s="439" t="n">
        <f aca="false">CHOOSE(QUOTIENT(MONTH($A38),3)+1,Peak!$AM$11,Peak!$AN$11,Peak!$AL$11,Peak!$AO$11,Peak!$AM$11)</f>
        <v>0.95</v>
      </c>
      <c r="Y38" s="440" t="n">
        <f aca="false">CHOOSE(QUOTIENT(MONTH($A38),3)+1,Peak!$AM$17,Peak!$AN$17,Peak!$AL$17,Peak!$AO$17,Peak!$AM$17)</f>
        <v>705</v>
      </c>
    </row>
    <row r="39" customFormat="false" ht="12.75" hidden="false" customHeight="false" outlineLevel="0" collapsed="false">
      <c r="A39" s="400" t="n">
        <f aca="false">A38+30.417</f>
        <v>37422.093</v>
      </c>
      <c r="B39" s="432" t="n">
        <f aca="false">IF('Peak Revenue'!$A$1="BL","-",IF(Peak!H40&gt;Peak!$G40,B$8*$X39,0))</f>
        <v>4.83060679547793</v>
      </c>
      <c r="C39" s="432" t="n">
        <f aca="false">IF('Peak Revenue'!$A$1="BL","-",IF(Peak!I40&gt;Peak!$G40,C$8*$X39,0))</f>
        <v>4.83060679547793</v>
      </c>
      <c r="D39" s="432" t="n">
        <f aca="false">IF('Peak Revenue'!$A$1="BL","-",IF(Peak!J40&gt;Peak!$G40,D$8*$X39,0))</f>
        <v>9.66121359095586</v>
      </c>
      <c r="E39" s="432" t="n">
        <f aca="false">IF('Peak Revenue'!$A$1="BL","-",IF(Peak!K40&gt;Peak!$G40,E$8*$X39,0))</f>
        <v>19.3224271819117</v>
      </c>
      <c r="F39" s="432" t="n">
        <f aca="false">IF('Peak Revenue'!$A$1="BL","-",IF(Peak!L40&gt;Peak!$G40,F$8*$X39,0))</f>
        <v>19.3224271819117</v>
      </c>
      <c r="G39" s="432" t="n">
        <f aca="false">IF('Peak Revenue'!$A$1="BL","-",IF(Peak!M40&gt;Peak!$G40,G$8*$X39,0))</f>
        <v>38.6448543638234</v>
      </c>
      <c r="H39" s="432" t="n">
        <f aca="false">IF('Peak Revenue'!$A$1="BL","-",IF(Peak!N40&gt;Peak!$G40,H$8*$X39,0))</f>
        <v>38.6448543638234</v>
      </c>
      <c r="I39" s="432" t="n">
        <f aca="false">IF('Peak Revenue'!$A$1="BL","-",IF(Peak!O40&gt;Peak!$G40,I$8*$X39,0))</f>
        <v>38.6448543638234</v>
      </c>
      <c r="J39" s="432" t="n">
        <f aca="false">IF('Peak Revenue'!$A$1="BL","-",IF(Peak!P40&gt;Peak!$G40,J$8*$X39,0))</f>
        <v>0</v>
      </c>
      <c r="K39" s="432" t="n">
        <f aca="false">IF('Peak Revenue'!$A$1="BL","-",IF(Peak!Q40&gt;Peak!$G40,K$8*$X39,0))</f>
        <v>0</v>
      </c>
      <c r="L39" s="432" t="n">
        <f aca="false">IF('Peak Revenue'!$A$1="BL","-",IF(Peak!R40&gt;Peak!$G40,L$8*$X39,0))</f>
        <v>0</v>
      </c>
      <c r="M39" s="432" t="n">
        <f aca="false">IF('Peak Revenue'!$A$1="BL","-",IF(Peak!S40&gt;Peak!$G40,M$8*$X39,0))</f>
        <v>0</v>
      </c>
      <c r="N39" s="432" t="n">
        <f aca="false">IF('Peak Revenue'!$A$1="BL","-",IF(Peak!T40&gt;Peak!$G40,N$8*$X39,0))</f>
        <v>0</v>
      </c>
      <c r="O39" s="432" t="n">
        <f aca="false">IF('Peak Revenue'!$A$1="BL","-",IF(Peak!U40&gt;Peak!$G40,O$8*$X39,0))</f>
        <v>0</v>
      </c>
      <c r="P39" s="432" t="n">
        <f aca="false">IF('Peak Revenue'!$A$1="BL","-",IF(Peak!V40&gt;Peak!$G40,P$8*$X39,0))</f>
        <v>0</v>
      </c>
      <c r="Q39" s="432" t="n">
        <f aca="false">IF('Peak Revenue'!$A$1="BL","-",IF(Peak!W40&gt;Peak!$G40,Q$8*$X39,0))</f>
        <v>0</v>
      </c>
      <c r="R39" s="432" t="n">
        <f aca="false">IF('Peak Revenue'!$A$1="BL","-",IF(Peak!X40&gt;Peak!$G40,R$8*$X39,0))</f>
        <v>0</v>
      </c>
      <c r="S39" s="432" t="n">
        <f aca="false">IF('Peak Revenue'!$A$1="BL","-",IF(Peak!Y40&gt;Peak!$G40,S$8*$X39,0))</f>
        <v>0</v>
      </c>
      <c r="T39" s="432" t="n">
        <f aca="false">IF('Peak Revenue'!$A$1="BL","-",IF(Peak!Z40&gt;Peak!$G40,T$8*$X39,0))</f>
        <v>0</v>
      </c>
      <c r="U39" s="432" t="n">
        <f aca="false">IF('Peak Revenue'!$A$1="BL","-",IF(Peak!AA40&gt;Peak!$G40,U$8*$X39,0))</f>
        <v>0</v>
      </c>
      <c r="V39" s="441" t="n">
        <f aca="false">SUM(B39:U39)</f>
        <v>173.901844637205</v>
      </c>
      <c r="W39" s="442"/>
      <c r="X39" s="439" t="n">
        <f aca="false">CHOOSE(QUOTIENT(MONTH($A39),3)+1,Peak!$AM$11,Peak!$AN$11,Peak!$AL$11,Peak!$AO$11,Peak!$AM$11)</f>
        <v>0.966121359095586</v>
      </c>
      <c r="Y39" s="440" t="n">
        <f aca="false">CHOOSE(QUOTIENT(MONTH($A39),3)+1,Peak!$AM$17,Peak!$AN$17,Peak!$AL$17,Peak!$AO$17,Peak!$AM$17)</f>
        <v>705</v>
      </c>
    </row>
    <row r="40" customFormat="false" ht="12.75" hidden="false" customHeight="false" outlineLevel="0" collapsed="false">
      <c r="A40" s="400" t="n">
        <f aca="false">A39+30.417</f>
        <v>37452.51</v>
      </c>
      <c r="B40" s="432" t="n">
        <f aca="false">IF('Peak Revenue'!$A$1="BL","-",IF(Peak!H41&gt;Peak!$G41,B$8*$X40,0))</f>
        <v>4.83060679547793</v>
      </c>
      <c r="C40" s="432" t="n">
        <f aca="false">IF('Peak Revenue'!$A$1="BL","-",IF(Peak!I41&gt;Peak!$G41,C$8*$X40,0))</f>
        <v>4.83060679547793</v>
      </c>
      <c r="D40" s="432" t="n">
        <f aca="false">IF('Peak Revenue'!$A$1="BL","-",IF(Peak!J41&gt;Peak!$G41,D$8*$X40,0))</f>
        <v>9.66121359095586</v>
      </c>
      <c r="E40" s="432" t="n">
        <f aca="false">IF('Peak Revenue'!$A$1="BL","-",IF(Peak!K41&gt;Peak!$G41,E$8*$X40,0))</f>
        <v>19.3224271819117</v>
      </c>
      <c r="F40" s="432" t="n">
        <f aca="false">IF('Peak Revenue'!$A$1="BL","-",IF(Peak!L41&gt;Peak!$G41,F$8*$X40,0))</f>
        <v>19.3224271819117</v>
      </c>
      <c r="G40" s="432" t="n">
        <f aca="false">IF('Peak Revenue'!$A$1="BL","-",IF(Peak!M41&gt;Peak!$G41,G$8*$X40,0))</f>
        <v>38.6448543638234</v>
      </c>
      <c r="H40" s="432" t="n">
        <f aca="false">IF('Peak Revenue'!$A$1="BL","-",IF(Peak!N41&gt;Peak!$G41,H$8*$X40,0))</f>
        <v>38.6448543638234</v>
      </c>
      <c r="I40" s="432" t="n">
        <f aca="false">IF('Peak Revenue'!$A$1="BL","-",IF(Peak!O41&gt;Peak!$G41,I$8*$X40,0))</f>
        <v>38.6448543638234</v>
      </c>
      <c r="J40" s="432" t="n">
        <f aca="false">IF('Peak Revenue'!$A$1="BL","-",IF(Peak!P41&gt;Peak!$G41,J$8*$X40,0))</f>
        <v>38.6448543638234</v>
      </c>
      <c r="K40" s="432" t="n">
        <f aca="false">IF('Peak Revenue'!$A$1="BL","-",IF(Peak!Q41&gt;Peak!$G41,K$8*$X40,0))</f>
        <v>0</v>
      </c>
      <c r="L40" s="432" t="n">
        <f aca="false">IF('Peak Revenue'!$A$1="BL","-",IF(Peak!R41&gt;Peak!$G41,L$8*$X40,0))</f>
        <v>0</v>
      </c>
      <c r="M40" s="432" t="n">
        <f aca="false">IF('Peak Revenue'!$A$1="BL","-",IF(Peak!S41&gt;Peak!$G41,M$8*$X40,0))</f>
        <v>0</v>
      </c>
      <c r="N40" s="432" t="n">
        <f aca="false">IF('Peak Revenue'!$A$1="BL","-",IF(Peak!T41&gt;Peak!$G41,N$8*$X40,0))</f>
        <v>0</v>
      </c>
      <c r="O40" s="432" t="n">
        <f aca="false">IF('Peak Revenue'!$A$1="BL","-",IF(Peak!U41&gt;Peak!$G41,O$8*$X40,0))</f>
        <v>0</v>
      </c>
      <c r="P40" s="432" t="n">
        <f aca="false">IF('Peak Revenue'!$A$1="BL","-",IF(Peak!V41&gt;Peak!$G41,P$8*$X40,0))</f>
        <v>0</v>
      </c>
      <c r="Q40" s="432" t="n">
        <f aca="false">IF('Peak Revenue'!$A$1="BL","-",IF(Peak!W41&gt;Peak!$G41,Q$8*$X40,0))</f>
        <v>0</v>
      </c>
      <c r="R40" s="432" t="n">
        <f aca="false">IF('Peak Revenue'!$A$1="BL","-",IF(Peak!X41&gt;Peak!$G41,R$8*$X40,0))</f>
        <v>0</v>
      </c>
      <c r="S40" s="432" t="n">
        <f aca="false">IF('Peak Revenue'!$A$1="BL","-",IF(Peak!Y41&gt;Peak!$G41,S$8*$X40,0))</f>
        <v>0</v>
      </c>
      <c r="T40" s="432" t="n">
        <f aca="false">IF('Peak Revenue'!$A$1="BL","-",IF(Peak!Z41&gt;Peak!$G41,T$8*$X40,0))</f>
        <v>0</v>
      </c>
      <c r="U40" s="432" t="n">
        <f aca="false">IF('Peak Revenue'!$A$1="BL","-",IF(Peak!AA41&gt;Peak!$G41,U$8*$X40,0))</f>
        <v>0</v>
      </c>
      <c r="V40" s="441" t="n">
        <f aca="false">SUM(B40:U40)</f>
        <v>212.546699001029</v>
      </c>
      <c r="W40" s="442"/>
      <c r="X40" s="439" t="n">
        <f aca="false">CHOOSE(QUOTIENT(MONTH($A40),3)+1,Peak!$AM$11,Peak!$AN$11,Peak!$AL$11,Peak!$AO$11,Peak!$AM$11)</f>
        <v>0.966121359095586</v>
      </c>
      <c r="Y40" s="440" t="n">
        <f aca="false">CHOOSE(QUOTIENT(MONTH($A40),3)+1,Peak!$AM$17,Peak!$AN$17,Peak!$AL$17,Peak!$AO$17,Peak!$AM$17)</f>
        <v>705</v>
      </c>
    </row>
    <row r="41" customFormat="false" ht="12.75" hidden="false" customHeight="false" outlineLevel="0" collapsed="false">
      <c r="A41" s="400" t="n">
        <f aca="false">A40+30.417</f>
        <v>37482.927</v>
      </c>
      <c r="B41" s="432" t="n">
        <f aca="false">IF('Peak Revenue'!$A$1="BL","-",IF(Peak!H42&gt;Peak!$G42,B$8*$X41,0))</f>
        <v>4.83060679547793</v>
      </c>
      <c r="C41" s="432" t="n">
        <f aca="false">IF('Peak Revenue'!$A$1="BL","-",IF(Peak!I42&gt;Peak!$G42,C$8*$X41,0))</f>
        <v>4.83060679547793</v>
      </c>
      <c r="D41" s="432" t="n">
        <f aca="false">IF('Peak Revenue'!$A$1="BL","-",IF(Peak!J42&gt;Peak!$G42,D$8*$X41,0))</f>
        <v>9.66121359095586</v>
      </c>
      <c r="E41" s="432" t="n">
        <f aca="false">IF('Peak Revenue'!$A$1="BL","-",IF(Peak!K42&gt;Peak!$G42,E$8*$X41,0))</f>
        <v>19.3224271819117</v>
      </c>
      <c r="F41" s="432" t="n">
        <f aca="false">IF('Peak Revenue'!$A$1="BL","-",IF(Peak!L42&gt;Peak!$G42,F$8*$X41,0))</f>
        <v>19.3224271819117</v>
      </c>
      <c r="G41" s="432" t="n">
        <f aca="false">IF('Peak Revenue'!$A$1="BL","-",IF(Peak!M42&gt;Peak!$G42,G$8*$X41,0))</f>
        <v>38.6448543638234</v>
      </c>
      <c r="H41" s="432" t="n">
        <f aca="false">IF('Peak Revenue'!$A$1="BL","-",IF(Peak!N42&gt;Peak!$G42,H$8*$X41,0))</f>
        <v>38.6448543638234</v>
      </c>
      <c r="I41" s="432" t="n">
        <f aca="false">IF('Peak Revenue'!$A$1="BL","-",IF(Peak!O42&gt;Peak!$G42,I$8*$X41,0))</f>
        <v>38.6448543638234</v>
      </c>
      <c r="J41" s="432" t="n">
        <f aca="false">IF('Peak Revenue'!$A$1="BL","-",IF(Peak!P42&gt;Peak!$G42,J$8*$X41,0))</f>
        <v>38.6448543638234</v>
      </c>
      <c r="K41" s="432" t="n">
        <f aca="false">IF('Peak Revenue'!$A$1="BL","-",IF(Peak!Q42&gt;Peak!$G42,K$8*$X41,0))</f>
        <v>38.6448543638234</v>
      </c>
      <c r="L41" s="432" t="n">
        <f aca="false">IF('Peak Revenue'!$A$1="BL","-",IF(Peak!R42&gt;Peak!$G42,L$8*$X41,0))</f>
        <v>0</v>
      </c>
      <c r="M41" s="432" t="n">
        <f aca="false">IF('Peak Revenue'!$A$1="BL","-",IF(Peak!S42&gt;Peak!$G42,M$8*$X41,0))</f>
        <v>0</v>
      </c>
      <c r="N41" s="432" t="n">
        <f aca="false">IF('Peak Revenue'!$A$1="BL","-",IF(Peak!T42&gt;Peak!$G42,N$8*$X41,0))</f>
        <v>0</v>
      </c>
      <c r="O41" s="432" t="n">
        <f aca="false">IF('Peak Revenue'!$A$1="BL","-",IF(Peak!U42&gt;Peak!$G42,O$8*$X41,0))</f>
        <v>0</v>
      </c>
      <c r="P41" s="432" t="n">
        <f aca="false">IF('Peak Revenue'!$A$1="BL","-",IF(Peak!V42&gt;Peak!$G42,P$8*$X41,0))</f>
        <v>0</v>
      </c>
      <c r="Q41" s="432" t="n">
        <f aca="false">IF('Peak Revenue'!$A$1="BL","-",IF(Peak!W42&gt;Peak!$G42,Q$8*$X41,0))</f>
        <v>0</v>
      </c>
      <c r="R41" s="432" t="n">
        <f aca="false">IF('Peak Revenue'!$A$1="BL","-",IF(Peak!X42&gt;Peak!$G42,R$8*$X41,0))</f>
        <v>0</v>
      </c>
      <c r="S41" s="432" t="n">
        <f aca="false">IF('Peak Revenue'!$A$1="BL","-",IF(Peak!Y42&gt;Peak!$G42,S$8*$X41,0))</f>
        <v>0</v>
      </c>
      <c r="T41" s="432" t="n">
        <f aca="false">IF('Peak Revenue'!$A$1="BL","-",IF(Peak!Z42&gt;Peak!$G42,T$8*$X41,0))</f>
        <v>0</v>
      </c>
      <c r="U41" s="432" t="n">
        <f aca="false">IF('Peak Revenue'!$A$1="BL","-",IF(Peak!AA42&gt;Peak!$G42,U$8*$X41,0))</f>
        <v>0</v>
      </c>
      <c r="V41" s="441" t="n">
        <f aca="false">SUM(B41:U41)</f>
        <v>251.191553364852</v>
      </c>
      <c r="W41" s="442"/>
      <c r="X41" s="439" t="n">
        <f aca="false">CHOOSE(QUOTIENT(MONTH($A41),3)+1,Peak!$AM$11,Peak!$AN$11,Peak!$AL$11,Peak!$AO$11,Peak!$AM$11)</f>
        <v>0.966121359095586</v>
      </c>
      <c r="Y41" s="440" t="n">
        <f aca="false">CHOOSE(QUOTIENT(MONTH($A41),3)+1,Peak!$AM$17,Peak!$AN$17,Peak!$AL$17,Peak!$AO$17,Peak!$AM$17)</f>
        <v>705</v>
      </c>
    </row>
    <row r="42" customFormat="false" ht="12.75" hidden="false" customHeight="false" outlineLevel="0" collapsed="false">
      <c r="A42" s="400" t="n">
        <f aca="false">A41+30.417</f>
        <v>37513.344</v>
      </c>
      <c r="B42" s="432" t="n">
        <f aca="false">IF('Peak Revenue'!$A$1="BL","-",IF(Peak!H43&gt;Peak!$G43,B$8*$X42,0))</f>
        <v>4.75</v>
      </c>
      <c r="C42" s="432" t="n">
        <f aca="false">IF('Peak Revenue'!$A$1="BL","-",IF(Peak!I43&gt;Peak!$G43,C$8*$X42,0))</f>
        <v>4.75</v>
      </c>
      <c r="D42" s="432" t="n">
        <f aca="false">IF('Peak Revenue'!$A$1="BL","-",IF(Peak!J43&gt;Peak!$G43,D$8*$X42,0))</f>
        <v>9.5</v>
      </c>
      <c r="E42" s="432" t="n">
        <f aca="false">IF('Peak Revenue'!$A$1="BL","-",IF(Peak!K43&gt;Peak!$G43,E$8*$X42,0))</f>
        <v>19</v>
      </c>
      <c r="F42" s="432" t="n">
        <f aca="false">IF('Peak Revenue'!$A$1="BL","-",IF(Peak!L43&gt;Peak!$G43,F$8*$X42,0))</f>
        <v>19</v>
      </c>
      <c r="G42" s="432" t="n">
        <f aca="false">IF('Peak Revenue'!$A$1="BL","-",IF(Peak!M43&gt;Peak!$G43,G$8*$X42,0))</f>
        <v>38</v>
      </c>
      <c r="H42" s="432" t="n">
        <f aca="false">IF('Peak Revenue'!$A$1="BL","-",IF(Peak!N43&gt;Peak!$G43,H$8*$X42,0))</f>
        <v>0</v>
      </c>
      <c r="I42" s="432" t="n">
        <f aca="false">IF('Peak Revenue'!$A$1="BL","-",IF(Peak!O43&gt;Peak!$G43,I$8*$X42,0))</f>
        <v>0</v>
      </c>
      <c r="J42" s="432" t="n">
        <f aca="false">IF('Peak Revenue'!$A$1="BL","-",IF(Peak!P43&gt;Peak!$G43,J$8*$X42,0))</f>
        <v>0</v>
      </c>
      <c r="K42" s="432" t="n">
        <f aca="false">IF('Peak Revenue'!$A$1="BL","-",IF(Peak!Q43&gt;Peak!$G43,K$8*$X42,0))</f>
        <v>0</v>
      </c>
      <c r="L42" s="432" t="n">
        <f aca="false">IF('Peak Revenue'!$A$1="BL","-",IF(Peak!R43&gt;Peak!$G43,L$8*$X42,0))</f>
        <v>0</v>
      </c>
      <c r="M42" s="432" t="n">
        <f aca="false">IF('Peak Revenue'!$A$1="BL","-",IF(Peak!S43&gt;Peak!$G43,M$8*$X42,0))</f>
        <v>0</v>
      </c>
      <c r="N42" s="432" t="n">
        <f aca="false">IF('Peak Revenue'!$A$1="BL","-",IF(Peak!T43&gt;Peak!$G43,N$8*$X42,0))</f>
        <v>0</v>
      </c>
      <c r="O42" s="432" t="n">
        <f aca="false">IF('Peak Revenue'!$A$1="BL","-",IF(Peak!U43&gt;Peak!$G43,O$8*$X42,0))</f>
        <v>0</v>
      </c>
      <c r="P42" s="432" t="n">
        <f aca="false">IF('Peak Revenue'!$A$1="BL","-",IF(Peak!V43&gt;Peak!$G43,P$8*$X42,0))</f>
        <v>0</v>
      </c>
      <c r="Q42" s="432" t="n">
        <f aca="false">IF('Peak Revenue'!$A$1="BL","-",IF(Peak!W43&gt;Peak!$G43,Q$8*$X42,0))</f>
        <v>0</v>
      </c>
      <c r="R42" s="432" t="n">
        <f aca="false">IF('Peak Revenue'!$A$1="BL","-",IF(Peak!X43&gt;Peak!$G43,R$8*$X42,0))</f>
        <v>0</v>
      </c>
      <c r="S42" s="432" t="n">
        <f aca="false">IF('Peak Revenue'!$A$1="BL","-",IF(Peak!Y43&gt;Peak!$G43,S$8*$X42,0))</f>
        <v>0</v>
      </c>
      <c r="T42" s="432" t="n">
        <f aca="false">IF('Peak Revenue'!$A$1="BL","-",IF(Peak!Z43&gt;Peak!$G43,T$8*$X42,0))</f>
        <v>0</v>
      </c>
      <c r="U42" s="432" t="n">
        <f aca="false">IF('Peak Revenue'!$A$1="BL","-",IF(Peak!AA43&gt;Peak!$G43,U$8*$X42,0))</f>
        <v>0</v>
      </c>
      <c r="V42" s="441" t="n">
        <f aca="false">SUM(B42:U42)</f>
        <v>95</v>
      </c>
      <c r="W42" s="442"/>
      <c r="X42" s="439" t="n">
        <f aca="false">CHOOSE(QUOTIENT(MONTH($A42),3)+1,Peak!$AM$11,Peak!$AN$11,Peak!$AL$11,Peak!$AO$11,Peak!$AM$11)</f>
        <v>0.95</v>
      </c>
      <c r="Y42" s="440" t="n">
        <f aca="false">CHOOSE(QUOTIENT(MONTH($A42),3)+1,Peak!$AM$17,Peak!$AN$17,Peak!$AL$17,Peak!$AO$17,Peak!$AM$17)</f>
        <v>705</v>
      </c>
    </row>
    <row r="43" customFormat="false" ht="12.75" hidden="false" customHeight="false" outlineLevel="0" collapsed="false">
      <c r="A43" s="400" t="n">
        <f aca="false">A42+30.417</f>
        <v>37543.761</v>
      </c>
      <c r="B43" s="432" t="n">
        <f aca="false">IF('Peak Revenue'!$A$1="BL","-",IF(Peak!H44&gt;Peak!$G44,B$8*$X43,0))</f>
        <v>4.75</v>
      </c>
      <c r="C43" s="432" t="n">
        <f aca="false">IF('Peak Revenue'!$A$1="BL","-",IF(Peak!I44&gt;Peak!$G44,C$8*$X43,0))</f>
        <v>4.75</v>
      </c>
      <c r="D43" s="432" t="n">
        <f aca="false">IF('Peak Revenue'!$A$1="BL","-",IF(Peak!J44&gt;Peak!$G44,D$8*$X43,0))</f>
        <v>9.5</v>
      </c>
      <c r="E43" s="432" t="n">
        <f aca="false">IF('Peak Revenue'!$A$1="BL","-",IF(Peak!K44&gt;Peak!$G44,E$8*$X43,0))</f>
        <v>19</v>
      </c>
      <c r="F43" s="432" t="n">
        <f aca="false">IF('Peak Revenue'!$A$1="BL","-",IF(Peak!L44&gt;Peak!$G44,F$8*$X43,0))</f>
        <v>19</v>
      </c>
      <c r="G43" s="432" t="n">
        <f aca="false">IF('Peak Revenue'!$A$1="BL","-",IF(Peak!M44&gt;Peak!$G44,G$8*$X43,0))</f>
        <v>38</v>
      </c>
      <c r="H43" s="432" t="n">
        <f aca="false">IF('Peak Revenue'!$A$1="BL","-",IF(Peak!N44&gt;Peak!$G44,H$8*$X43,0))</f>
        <v>38</v>
      </c>
      <c r="I43" s="432" t="n">
        <f aca="false">IF('Peak Revenue'!$A$1="BL","-",IF(Peak!O44&gt;Peak!$G44,I$8*$X43,0))</f>
        <v>38</v>
      </c>
      <c r="J43" s="432" t="n">
        <f aca="false">IF('Peak Revenue'!$A$1="BL","-",IF(Peak!P44&gt;Peak!$G44,J$8*$X43,0))</f>
        <v>0</v>
      </c>
      <c r="K43" s="432" t="n">
        <f aca="false">IF('Peak Revenue'!$A$1="BL","-",IF(Peak!Q44&gt;Peak!$G44,K$8*$X43,0))</f>
        <v>0</v>
      </c>
      <c r="L43" s="432" t="n">
        <f aca="false">IF('Peak Revenue'!$A$1="BL","-",IF(Peak!R44&gt;Peak!$G44,L$8*$X43,0))</f>
        <v>0</v>
      </c>
      <c r="M43" s="432" t="n">
        <f aca="false">IF('Peak Revenue'!$A$1="BL","-",IF(Peak!S44&gt;Peak!$G44,M$8*$X43,0))</f>
        <v>0</v>
      </c>
      <c r="N43" s="432" t="n">
        <f aca="false">IF('Peak Revenue'!$A$1="BL","-",IF(Peak!T44&gt;Peak!$G44,N$8*$X43,0))</f>
        <v>0</v>
      </c>
      <c r="O43" s="432" t="n">
        <f aca="false">IF('Peak Revenue'!$A$1="BL","-",IF(Peak!U44&gt;Peak!$G44,O$8*$X43,0))</f>
        <v>0</v>
      </c>
      <c r="P43" s="432" t="n">
        <f aca="false">IF('Peak Revenue'!$A$1="BL","-",IF(Peak!V44&gt;Peak!$G44,P$8*$X43,0))</f>
        <v>0</v>
      </c>
      <c r="Q43" s="432" t="n">
        <f aca="false">IF('Peak Revenue'!$A$1="BL","-",IF(Peak!W44&gt;Peak!$G44,Q$8*$X43,0))</f>
        <v>0</v>
      </c>
      <c r="R43" s="432" t="n">
        <f aca="false">IF('Peak Revenue'!$A$1="BL","-",IF(Peak!X44&gt;Peak!$G44,R$8*$X43,0))</f>
        <v>0</v>
      </c>
      <c r="S43" s="432" t="n">
        <f aca="false">IF('Peak Revenue'!$A$1="BL","-",IF(Peak!Y44&gt;Peak!$G44,S$8*$X43,0))</f>
        <v>0</v>
      </c>
      <c r="T43" s="432" t="n">
        <f aca="false">IF('Peak Revenue'!$A$1="BL","-",IF(Peak!Z44&gt;Peak!$G44,T$8*$X43,0))</f>
        <v>0</v>
      </c>
      <c r="U43" s="432" t="n">
        <f aca="false">IF('Peak Revenue'!$A$1="BL","-",IF(Peak!AA44&gt;Peak!$G44,U$8*$X43,0))</f>
        <v>0</v>
      </c>
      <c r="V43" s="441" t="n">
        <f aca="false">SUM(B43:U43)</f>
        <v>171</v>
      </c>
      <c r="W43" s="442"/>
      <c r="X43" s="439" t="n">
        <f aca="false">CHOOSE(QUOTIENT(MONTH($A43),3)+1,Peak!$AM$11,Peak!$AN$11,Peak!$AL$11,Peak!$AO$11,Peak!$AM$11)</f>
        <v>0.95</v>
      </c>
      <c r="Y43" s="440" t="n">
        <f aca="false">CHOOSE(QUOTIENT(MONTH($A43),3)+1,Peak!$AM$17,Peak!$AN$17,Peak!$AL$17,Peak!$AO$17,Peak!$AM$17)</f>
        <v>705</v>
      </c>
    </row>
    <row r="44" customFormat="false" ht="12.75" hidden="false" customHeight="false" outlineLevel="0" collapsed="false">
      <c r="A44" s="400" t="n">
        <f aca="false">A43+30.417</f>
        <v>37574.178</v>
      </c>
      <c r="B44" s="432" t="n">
        <f aca="false">IF('Peak Revenue'!$A$1="BL","-",IF(Peak!H45&gt;Peak!$G45,B$8*$X44,0))</f>
        <v>4.75</v>
      </c>
      <c r="C44" s="432" t="n">
        <f aca="false">IF('Peak Revenue'!$A$1="BL","-",IF(Peak!I45&gt;Peak!$G45,C$8*$X44,0))</f>
        <v>4.75</v>
      </c>
      <c r="D44" s="432" t="n">
        <f aca="false">IF('Peak Revenue'!$A$1="BL","-",IF(Peak!J45&gt;Peak!$G45,D$8*$X44,0))</f>
        <v>9.5</v>
      </c>
      <c r="E44" s="432" t="n">
        <f aca="false">IF('Peak Revenue'!$A$1="BL","-",IF(Peak!K45&gt;Peak!$G45,E$8*$X44,0))</f>
        <v>19</v>
      </c>
      <c r="F44" s="432" t="n">
        <f aca="false">IF('Peak Revenue'!$A$1="BL","-",IF(Peak!L45&gt;Peak!$G45,F$8*$X44,0))</f>
        <v>19</v>
      </c>
      <c r="G44" s="432" t="n">
        <f aca="false">IF('Peak Revenue'!$A$1="BL","-",IF(Peak!M45&gt;Peak!$G45,G$8*$X44,0))</f>
        <v>38</v>
      </c>
      <c r="H44" s="432" t="n">
        <f aca="false">IF('Peak Revenue'!$A$1="BL","-",IF(Peak!N45&gt;Peak!$G45,H$8*$X44,0))</f>
        <v>38</v>
      </c>
      <c r="I44" s="432" t="n">
        <f aca="false">IF('Peak Revenue'!$A$1="BL","-",IF(Peak!O45&gt;Peak!$G45,I$8*$X44,0))</f>
        <v>38</v>
      </c>
      <c r="J44" s="432" t="n">
        <f aca="false">IF('Peak Revenue'!$A$1="BL","-",IF(Peak!P45&gt;Peak!$G45,J$8*$X44,0))</f>
        <v>0</v>
      </c>
      <c r="K44" s="432" t="n">
        <f aca="false">IF('Peak Revenue'!$A$1="BL","-",IF(Peak!Q45&gt;Peak!$G45,K$8*$X44,0))</f>
        <v>0</v>
      </c>
      <c r="L44" s="432" t="n">
        <f aca="false">IF('Peak Revenue'!$A$1="BL","-",IF(Peak!R45&gt;Peak!$G45,L$8*$X44,0))</f>
        <v>0</v>
      </c>
      <c r="M44" s="432" t="n">
        <f aca="false">IF('Peak Revenue'!$A$1="BL","-",IF(Peak!S45&gt;Peak!$G45,M$8*$X44,0))</f>
        <v>0</v>
      </c>
      <c r="N44" s="432" t="n">
        <f aca="false">IF('Peak Revenue'!$A$1="BL","-",IF(Peak!T45&gt;Peak!$G45,N$8*$X44,0))</f>
        <v>0</v>
      </c>
      <c r="O44" s="432" t="n">
        <f aca="false">IF('Peak Revenue'!$A$1="BL","-",IF(Peak!U45&gt;Peak!$G45,O$8*$X44,0))</f>
        <v>0</v>
      </c>
      <c r="P44" s="432" t="n">
        <f aca="false">IF('Peak Revenue'!$A$1="BL","-",IF(Peak!V45&gt;Peak!$G45,P$8*$X44,0))</f>
        <v>0</v>
      </c>
      <c r="Q44" s="432" t="n">
        <f aca="false">IF('Peak Revenue'!$A$1="BL","-",IF(Peak!W45&gt;Peak!$G45,Q$8*$X44,0))</f>
        <v>0</v>
      </c>
      <c r="R44" s="432" t="n">
        <f aca="false">IF('Peak Revenue'!$A$1="BL","-",IF(Peak!X45&gt;Peak!$G45,R$8*$X44,0))</f>
        <v>0</v>
      </c>
      <c r="S44" s="432" t="n">
        <f aca="false">IF('Peak Revenue'!$A$1="BL","-",IF(Peak!Y45&gt;Peak!$G45,S$8*$X44,0))</f>
        <v>0</v>
      </c>
      <c r="T44" s="432" t="n">
        <f aca="false">IF('Peak Revenue'!$A$1="BL","-",IF(Peak!Z45&gt;Peak!$G45,T$8*$X44,0))</f>
        <v>0</v>
      </c>
      <c r="U44" s="432" t="n">
        <f aca="false">IF('Peak Revenue'!$A$1="BL","-",IF(Peak!AA45&gt;Peak!$G45,U$8*$X44,0))</f>
        <v>0</v>
      </c>
      <c r="V44" s="441" t="n">
        <f aca="false">SUM(B44:U44)</f>
        <v>171</v>
      </c>
      <c r="W44" s="442"/>
      <c r="X44" s="439" t="n">
        <f aca="false">CHOOSE(QUOTIENT(MONTH($A44),3)+1,Peak!$AM$11,Peak!$AN$11,Peak!$AL$11,Peak!$AO$11,Peak!$AM$11)</f>
        <v>0.95</v>
      </c>
      <c r="Y44" s="440" t="n">
        <f aca="false">CHOOSE(QUOTIENT(MONTH($A44),3)+1,Peak!$AM$17,Peak!$AN$17,Peak!$AL$17,Peak!$AO$17,Peak!$AM$17)</f>
        <v>705</v>
      </c>
    </row>
    <row r="45" customFormat="false" ht="12.75" hidden="false" customHeight="false" outlineLevel="0" collapsed="false">
      <c r="A45" s="400" t="n">
        <f aca="false">A44+30.417</f>
        <v>37604.595</v>
      </c>
      <c r="B45" s="432" t="n">
        <f aca="false">IF('Peak Revenue'!$A$1="BL","-",IF(Peak!H46&gt;Peak!$G46,B$8*$X45,0))</f>
        <v>4.62138309393059</v>
      </c>
      <c r="C45" s="432" t="n">
        <f aca="false">IF('Peak Revenue'!$A$1="BL","-",IF(Peak!I46&gt;Peak!$G46,C$8*$X45,0))</f>
        <v>4.62138309393059</v>
      </c>
      <c r="D45" s="432" t="n">
        <f aca="false">IF('Peak Revenue'!$A$1="BL","-",IF(Peak!J46&gt;Peak!$G46,D$8*$X45,0))</f>
        <v>9.24276618786118</v>
      </c>
      <c r="E45" s="432" t="n">
        <f aca="false">IF('Peak Revenue'!$A$1="BL","-",IF(Peak!K46&gt;Peak!$G46,E$8*$X45,0))</f>
        <v>18.4855323757224</v>
      </c>
      <c r="F45" s="432" t="n">
        <f aca="false">IF('Peak Revenue'!$A$1="BL","-",IF(Peak!L46&gt;Peak!$G46,F$8*$X45,0))</f>
        <v>18.4855323757224</v>
      </c>
      <c r="G45" s="432" t="n">
        <f aca="false">IF('Peak Revenue'!$A$1="BL","-",IF(Peak!M46&gt;Peak!$G46,G$8*$X45,0))</f>
        <v>36.9710647514447</v>
      </c>
      <c r="H45" s="432" t="n">
        <f aca="false">IF('Peak Revenue'!$A$1="BL","-",IF(Peak!N46&gt;Peak!$G46,H$8*$X45,0))</f>
        <v>36.9710647514447</v>
      </c>
      <c r="I45" s="432" t="n">
        <f aca="false">IF('Peak Revenue'!$A$1="BL","-",IF(Peak!O46&gt;Peak!$G46,I$8*$X45,0))</f>
        <v>36.9710647514447</v>
      </c>
      <c r="J45" s="432" t="n">
        <f aca="false">IF('Peak Revenue'!$A$1="BL","-",IF(Peak!P46&gt;Peak!$G46,J$8*$X45,0))</f>
        <v>0</v>
      </c>
      <c r="K45" s="432" t="n">
        <f aca="false">IF('Peak Revenue'!$A$1="BL","-",IF(Peak!Q46&gt;Peak!$G46,K$8*$X45,0))</f>
        <v>0</v>
      </c>
      <c r="L45" s="432" t="n">
        <f aca="false">IF('Peak Revenue'!$A$1="BL","-",IF(Peak!R46&gt;Peak!$G46,L$8*$X45,0))</f>
        <v>0</v>
      </c>
      <c r="M45" s="432" t="n">
        <f aca="false">IF('Peak Revenue'!$A$1="BL","-",IF(Peak!S46&gt;Peak!$G46,M$8*$X45,0))</f>
        <v>0</v>
      </c>
      <c r="N45" s="432" t="n">
        <f aca="false">IF('Peak Revenue'!$A$1="BL","-",IF(Peak!T46&gt;Peak!$G46,N$8*$X45,0))</f>
        <v>0</v>
      </c>
      <c r="O45" s="432" t="n">
        <f aca="false">IF('Peak Revenue'!$A$1="BL","-",IF(Peak!U46&gt;Peak!$G46,O$8*$X45,0))</f>
        <v>0</v>
      </c>
      <c r="P45" s="432" t="n">
        <f aca="false">IF('Peak Revenue'!$A$1="BL","-",IF(Peak!V46&gt;Peak!$G46,P$8*$X45,0))</f>
        <v>0</v>
      </c>
      <c r="Q45" s="432" t="n">
        <f aca="false">IF('Peak Revenue'!$A$1="BL","-",IF(Peak!W46&gt;Peak!$G46,Q$8*$X45,0))</f>
        <v>0</v>
      </c>
      <c r="R45" s="432" t="n">
        <f aca="false">IF('Peak Revenue'!$A$1="BL","-",IF(Peak!X46&gt;Peak!$G46,R$8*$X45,0))</f>
        <v>0</v>
      </c>
      <c r="S45" s="432" t="n">
        <f aca="false">IF('Peak Revenue'!$A$1="BL","-",IF(Peak!Y46&gt;Peak!$G46,S$8*$X45,0))</f>
        <v>0</v>
      </c>
      <c r="T45" s="432" t="n">
        <f aca="false">IF('Peak Revenue'!$A$1="BL","-",IF(Peak!Z46&gt;Peak!$G46,T$8*$X45,0))</f>
        <v>0</v>
      </c>
      <c r="U45" s="432" t="n">
        <f aca="false">IF('Peak Revenue'!$A$1="BL","-",IF(Peak!AA46&gt;Peak!$G46,U$8*$X45,0))</f>
        <v>0</v>
      </c>
      <c r="V45" s="441" t="n">
        <f aca="false">SUM(B45:U45)</f>
        <v>166.369791381501</v>
      </c>
      <c r="W45" s="443" t="n">
        <f aca="false">SUM(V34:V45)</f>
        <v>2161.72053589904</v>
      </c>
      <c r="X45" s="439" t="n">
        <f aca="false">CHOOSE(QUOTIENT(MONTH($A45),3)+1,Peak!$AM$11,Peak!$AN$11,Peak!$AL$11,Peak!$AO$11,Peak!$AM$11)</f>
        <v>0.924276618786118</v>
      </c>
      <c r="Y45" s="440" t="n">
        <f aca="false">CHOOSE(QUOTIENT(MONTH($A45),3)+1,Peak!$AM$17,Peak!$AN$17,Peak!$AL$17,Peak!$AO$17,Peak!$AM$17)</f>
        <v>705</v>
      </c>
    </row>
    <row r="46" customFormat="false" ht="12.75" hidden="false" customHeight="false" outlineLevel="0" collapsed="false">
      <c r="A46" s="400" t="n">
        <f aca="false">A45+30.417</f>
        <v>37635.012</v>
      </c>
      <c r="B46" s="432" t="n">
        <f aca="false">IF('Peak Revenue'!$A$1="BL","-",IF(Peak!H47&gt;Peak!$G47,B$8*$X46,0))</f>
        <v>4.62138309393059</v>
      </c>
      <c r="C46" s="432" t="n">
        <f aca="false">IF('Peak Revenue'!$A$1="BL","-",IF(Peak!I47&gt;Peak!$G47,C$8*$X46,0))</f>
        <v>4.62138309393059</v>
      </c>
      <c r="D46" s="432" t="n">
        <f aca="false">IF('Peak Revenue'!$A$1="BL","-",IF(Peak!J47&gt;Peak!$G47,D$8*$X46,0))</f>
        <v>9.24276618786118</v>
      </c>
      <c r="E46" s="432" t="n">
        <f aca="false">IF('Peak Revenue'!$A$1="BL","-",IF(Peak!K47&gt;Peak!$G47,E$8*$X46,0))</f>
        <v>18.4855323757224</v>
      </c>
      <c r="F46" s="432" t="n">
        <f aca="false">IF('Peak Revenue'!$A$1="BL","-",IF(Peak!L47&gt;Peak!$G47,F$8*$X46,0))</f>
        <v>18.4855323757224</v>
      </c>
      <c r="G46" s="432" t="n">
        <f aca="false">IF('Peak Revenue'!$A$1="BL","-",IF(Peak!M47&gt;Peak!$G47,G$8*$X46,0))</f>
        <v>36.9710647514447</v>
      </c>
      <c r="H46" s="432" t="n">
        <f aca="false">IF('Peak Revenue'!$A$1="BL","-",IF(Peak!N47&gt;Peak!$G47,H$8*$X46,0))</f>
        <v>36.9710647514447</v>
      </c>
      <c r="I46" s="432" t="n">
        <f aca="false">IF('Peak Revenue'!$A$1="BL","-",IF(Peak!O47&gt;Peak!$G47,I$8*$X46,0))</f>
        <v>36.9710647514447</v>
      </c>
      <c r="J46" s="432" t="n">
        <f aca="false">IF('Peak Revenue'!$A$1="BL","-",IF(Peak!P47&gt;Peak!$G47,J$8*$X46,0))</f>
        <v>36.9710647514447</v>
      </c>
      <c r="K46" s="432" t="n">
        <f aca="false">IF('Peak Revenue'!$A$1="BL","-",IF(Peak!Q47&gt;Peak!$G47,K$8*$X46,0))</f>
        <v>0</v>
      </c>
      <c r="L46" s="432" t="n">
        <f aca="false">IF('Peak Revenue'!$A$1="BL","-",IF(Peak!R47&gt;Peak!$G47,L$8*$X46,0))</f>
        <v>0</v>
      </c>
      <c r="M46" s="432" t="n">
        <f aca="false">IF('Peak Revenue'!$A$1="BL","-",IF(Peak!S47&gt;Peak!$G47,M$8*$X46,0))</f>
        <v>0</v>
      </c>
      <c r="N46" s="432" t="n">
        <f aca="false">IF('Peak Revenue'!$A$1="BL","-",IF(Peak!T47&gt;Peak!$G47,N$8*$X46,0))</f>
        <v>0</v>
      </c>
      <c r="O46" s="432" t="n">
        <f aca="false">IF('Peak Revenue'!$A$1="BL","-",IF(Peak!U47&gt;Peak!$G47,O$8*$X46,0))</f>
        <v>0</v>
      </c>
      <c r="P46" s="432" t="n">
        <f aca="false">IF('Peak Revenue'!$A$1="BL","-",IF(Peak!V47&gt;Peak!$G47,P$8*$X46,0))</f>
        <v>0</v>
      </c>
      <c r="Q46" s="432" t="n">
        <f aca="false">IF('Peak Revenue'!$A$1="BL","-",IF(Peak!W47&gt;Peak!$G47,Q$8*$X46,0))</f>
        <v>0</v>
      </c>
      <c r="R46" s="432" t="n">
        <f aca="false">IF('Peak Revenue'!$A$1="BL","-",IF(Peak!X47&gt;Peak!$G47,R$8*$X46,0))</f>
        <v>0</v>
      </c>
      <c r="S46" s="432" t="n">
        <f aca="false">IF('Peak Revenue'!$A$1="BL","-",IF(Peak!Y47&gt;Peak!$G47,S$8*$X46,0))</f>
        <v>0</v>
      </c>
      <c r="T46" s="432" t="n">
        <f aca="false">IF('Peak Revenue'!$A$1="BL","-",IF(Peak!Z47&gt;Peak!$G47,T$8*$X46,0))</f>
        <v>0</v>
      </c>
      <c r="U46" s="432" t="n">
        <f aca="false">IF('Peak Revenue'!$A$1="BL","-",IF(Peak!AA47&gt;Peak!$G47,U$8*$X46,0))</f>
        <v>0</v>
      </c>
      <c r="V46" s="441" t="n">
        <f aca="false">SUM(B46:U46)</f>
        <v>203.340856132946</v>
      </c>
      <c r="W46" s="442"/>
      <c r="X46" s="439" t="n">
        <f aca="false">CHOOSE(QUOTIENT(MONTH($A46),3)+1,Peak!$AM$11,Peak!$AN$11,Peak!$AL$11,Peak!$AO$11,Peak!$AM$11)</f>
        <v>0.924276618786118</v>
      </c>
      <c r="Y46" s="440" t="n">
        <f aca="false">CHOOSE(QUOTIENT(MONTH($A46),3)+1,Peak!$AM$17,Peak!$AN$17,Peak!$AL$17,Peak!$AO$17,Peak!$AM$17)</f>
        <v>705</v>
      </c>
    </row>
    <row r="47" customFormat="false" ht="12.75" hidden="false" customHeight="false" outlineLevel="0" collapsed="false">
      <c r="A47" s="400" t="n">
        <f aca="false">A46+30.417</f>
        <v>37665.429</v>
      </c>
      <c r="B47" s="432" t="n">
        <f aca="false">IF('Peak Revenue'!$A$1="BL","-",IF(Peak!H48&gt;Peak!$G48,B$8*$X47,0))</f>
        <v>4.62138309393059</v>
      </c>
      <c r="C47" s="432" t="n">
        <f aca="false">IF('Peak Revenue'!$A$1="BL","-",IF(Peak!I48&gt;Peak!$G48,C$8*$X47,0))</f>
        <v>4.62138309393059</v>
      </c>
      <c r="D47" s="432" t="n">
        <f aca="false">IF('Peak Revenue'!$A$1="BL","-",IF(Peak!J48&gt;Peak!$G48,D$8*$X47,0))</f>
        <v>9.24276618786118</v>
      </c>
      <c r="E47" s="432" t="n">
        <f aca="false">IF('Peak Revenue'!$A$1="BL","-",IF(Peak!K48&gt;Peak!$G48,E$8*$X47,0))</f>
        <v>18.4855323757224</v>
      </c>
      <c r="F47" s="432" t="n">
        <f aca="false">IF('Peak Revenue'!$A$1="BL","-",IF(Peak!L48&gt;Peak!$G48,F$8*$X47,0))</f>
        <v>18.4855323757224</v>
      </c>
      <c r="G47" s="432" t="n">
        <f aca="false">IF('Peak Revenue'!$A$1="BL","-",IF(Peak!M48&gt;Peak!$G48,G$8*$X47,0))</f>
        <v>36.9710647514447</v>
      </c>
      <c r="H47" s="432" t="n">
        <f aca="false">IF('Peak Revenue'!$A$1="BL","-",IF(Peak!N48&gt;Peak!$G48,H$8*$X47,0))</f>
        <v>36.9710647514447</v>
      </c>
      <c r="I47" s="432" t="n">
        <f aca="false">IF('Peak Revenue'!$A$1="BL","-",IF(Peak!O48&gt;Peak!$G48,I$8*$X47,0))</f>
        <v>36.9710647514447</v>
      </c>
      <c r="J47" s="432" t="n">
        <f aca="false">IF('Peak Revenue'!$A$1="BL","-",IF(Peak!P48&gt;Peak!$G48,J$8*$X47,0))</f>
        <v>36.9710647514447</v>
      </c>
      <c r="K47" s="432" t="n">
        <f aca="false">IF('Peak Revenue'!$A$1="BL","-",IF(Peak!Q48&gt;Peak!$G48,K$8*$X47,0))</f>
        <v>0</v>
      </c>
      <c r="L47" s="432" t="n">
        <f aca="false">IF('Peak Revenue'!$A$1="BL","-",IF(Peak!R48&gt;Peak!$G48,L$8*$X47,0))</f>
        <v>0</v>
      </c>
      <c r="M47" s="432" t="n">
        <f aca="false">IF('Peak Revenue'!$A$1="BL","-",IF(Peak!S48&gt;Peak!$G48,M$8*$X47,0))</f>
        <v>0</v>
      </c>
      <c r="N47" s="432" t="n">
        <f aca="false">IF('Peak Revenue'!$A$1="BL","-",IF(Peak!T48&gt;Peak!$G48,N$8*$X47,0))</f>
        <v>0</v>
      </c>
      <c r="O47" s="432" t="n">
        <f aca="false">IF('Peak Revenue'!$A$1="BL","-",IF(Peak!U48&gt;Peak!$G48,O$8*$X47,0))</f>
        <v>0</v>
      </c>
      <c r="P47" s="432" t="n">
        <f aca="false">IF('Peak Revenue'!$A$1="BL","-",IF(Peak!V48&gt;Peak!$G48,P$8*$X47,0))</f>
        <v>0</v>
      </c>
      <c r="Q47" s="432" t="n">
        <f aca="false">IF('Peak Revenue'!$A$1="BL","-",IF(Peak!W48&gt;Peak!$G48,Q$8*$X47,0))</f>
        <v>0</v>
      </c>
      <c r="R47" s="432" t="n">
        <f aca="false">IF('Peak Revenue'!$A$1="BL","-",IF(Peak!X48&gt;Peak!$G48,R$8*$X47,0))</f>
        <v>0</v>
      </c>
      <c r="S47" s="432" t="n">
        <f aca="false">IF('Peak Revenue'!$A$1="BL","-",IF(Peak!Y48&gt;Peak!$G48,S$8*$X47,0))</f>
        <v>0</v>
      </c>
      <c r="T47" s="432" t="n">
        <f aca="false">IF('Peak Revenue'!$A$1="BL","-",IF(Peak!Z48&gt;Peak!$G48,T$8*$X47,0))</f>
        <v>0</v>
      </c>
      <c r="U47" s="432" t="n">
        <f aca="false">IF('Peak Revenue'!$A$1="BL","-",IF(Peak!AA48&gt;Peak!$G48,U$8*$X47,0))</f>
        <v>0</v>
      </c>
      <c r="V47" s="441" t="n">
        <f aca="false">SUM(B47:U47)</f>
        <v>203.340856132946</v>
      </c>
      <c r="W47" s="442"/>
      <c r="X47" s="439" t="n">
        <f aca="false">CHOOSE(QUOTIENT(MONTH($A47),3)+1,Peak!$AM$11,Peak!$AN$11,Peak!$AL$11,Peak!$AO$11,Peak!$AM$11)</f>
        <v>0.924276618786118</v>
      </c>
      <c r="Y47" s="440" t="n">
        <f aca="false">CHOOSE(QUOTIENT(MONTH($A47),3)+1,Peak!$AM$17,Peak!$AN$17,Peak!$AL$17,Peak!$AO$17,Peak!$AM$17)</f>
        <v>705</v>
      </c>
    </row>
    <row r="48" customFormat="false" ht="12.75" hidden="false" customHeight="false" outlineLevel="0" collapsed="false">
      <c r="A48" s="400" t="n">
        <f aca="false">A47+30.417</f>
        <v>37695.846</v>
      </c>
      <c r="B48" s="432" t="n">
        <f aca="false">IF('Peak Revenue'!$A$1="BL","-",IF(Peak!H49&gt;Peak!$G49,B$8*$X48,0))</f>
        <v>4.75</v>
      </c>
      <c r="C48" s="432" t="n">
        <f aca="false">IF('Peak Revenue'!$A$1="BL","-",IF(Peak!I49&gt;Peak!$G49,C$8*$X48,0))</f>
        <v>4.75</v>
      </c>
      <c r="D48" s="432" t="n">
        <f aca="false">IF('Peak Revenue'!$A$1="BL","-",IF(Peak!J49&gt;Peak!$G49,D$8*$X48,0))</f>
        <v>9.5</v>
      </c>
      <c r="E48" s="432" t="n">
        <f aca="false">IF('Peak Revenue'!$A$1="BL","-",IF(Peak!K49&gt;Peak!$G49,E$8*$X48,0))</f>
        <v>19</v>
      </c>
      <c r="F48" s="432" t="n">
        <f aca="false">IF('Peak Revenue'!$A$1="BL","-",IF(Peak!L49&gt;Peak!$G49,F$8*$X48,0))</f>
        <v>19</v>
      </c>
      <c r="G48" s="432" t="n">
        <f aca="false">IF('Peak Revenue'!$A$1="BL","-",IF(Peak!M49&gt;Peak!$G49,G$8*$X48,0))</f>
        <v>38</v>
      </c>
      <c r="H48" s="432" t="n">
        <f aca="false">IF('Peak Revenue'!$A$1="BL","-",IF(Peak!N49&gt;Peak!$G49,H$8*$X48,0))</f>
        <v>38</v>
      </c>
      <c r="I48" s="432" t="n">
        <f aca="false">IF('Peak Revenue'!$A$1="BL","-",IF(Peak!O49&gt;Peak!$G49,I$8*$X48,0))</f>
        <v>38</v>
      </c>
      <c r="J48" s="432" t="n">
        <f aca="false">IF('Peak Revenue'!$A$1="BL","-",IF(Peak!P49&gt;Peak!$G49,J$8*$X48,0))</f>
        <v>38</v>
      </c>
      <c r="K48" s="432" t="n">
        <f aca="false">IF('Peak Revenue'!$A$1="BL","-",IF(Peak!Q49&gt;Peak!$G49,K$8*$X48,0))</f>
        <v>0</v>
      </c>
      <c r="L48" s="432" t="n">
        <f aca="false">IF('Peak Revenue'!$A$1="BL","-",IF(Peak!R49&gt;Peak!$G49,L$8*$X48,0))</f>
        <v>0</v>
      </c>
      <c r="M48" s="432" t="n">
        <f aca="false">IF('Peak Revenue'!$A$1="BL","-",IF(Peak!S49&gt;Peak!$G49,M$8*$X48,0))</f>
        <v>0</v>
      </c>
      <c r="N48" s="432" t="n">
        <f aca="false">IF('Peak Revenue'!$A$1="BL","-",IF(Peak!T49&gt;Peak!$G49,N$8*$X48,0))</f>
        <v>0</v>
      </c>
      <c r="O48" s="432" t="n">
        <f aca="false">IF('Peak Revenue'!$A$1="BL","-",IF(Peak!U49&gt;Peak!$G49,O$8*$X48,0))</f>
        <v>0</v>
      </c>
      <c r="P48" s="432" t="n">
        <f aca="false">IF('Peak Revenue'!$A$1="BL","-",IF(Peak!V49&gt;Peak!$G49,P$8*$X48,0))</f>
        <v>0</v>
      </c>
      <c r="Q48" s="432" t="n">
        <f aca="false">IF('Peak Revenue'!$A$1="BL","-",IF(Peak!W49&gt;Peak!$G49,Q$8*$X48,0))</f>
        <v>0</v>
      </c>
      <c r="R48" s="432" t="n">
        <f aca="false">IF('Peak Revenue'!$A$1="BL","-",IF(Peak!X49&gt;Peak!$G49,R$8*$X48,0))</f>
        <v>0</v>
      </c>
      <c r="S48" s="432" t="n">
        <f aca="false">IF('Peak Revenue'!$A$1="BL","-",IF(Peak!Y49&gt;Peak!$G49,S$8*$X48,0))</f>
        <v>0</v>
      </c>
      <c r="T48" s="432" t="n">
        <f aca="false">IF('Peak Revenue'!$A$1="BL","-",IF(Peak!Z49&gt;Peak!$G49,T$8*$X48,0))</f>
        <v>0</v>
      </c>
      <c r="U48" s="432" t="n">
        <f aca="false">IF('Peak Revenue'!$A$1="BL","-",IF(Peak!AA49&gt;Peak!$G49,U$8*$X48,0))</f>
        <v>0</v>
      </c>
      <c r="V48" s="441" t="n">
        <f aca="false">SUM(B48:U48)</f>
        <v>209</v>
      </c>
      <c r="W48" s="442"/>
      <c r="X48" s="439" t="n">
        <f aca="false">CHOOSE(QUOTIENT(MONTH($A48),3)+1,Peak!$AM$11,Peak!$AN$11,Peak!$AL$11,Peak!$AO$11,Peak!$AM$11)</f>
        <v>0.95</v>
      </c>
      <c r="Y48" s="440" t="n">
        <f aca="false">CHOOSE(QUOTIENT(MONTH($A48),3)+1,Peak!$AM$17,Peak!$AN$17,Peak!$AL$17,Peak!$AO$17,Peak!$AM$17)</f>
        <v>705</v>
      </c>
    </row>
    <row r="49" customFormat="false" ht="12.75" hidden="false" customHeight="false" outlineLevel="0" collapsed="false">
      <c r="A49" s="400" t="n">
        <f aca="false">A48+30.417</f>
        <v>37726.263</v>
      </c>
      <c r="B49" s="432" t="n">
        <f aca="false">IF('Peak Revenue'!$A$1="BL","-",IF(Peak!H50&gt;Peak!$G50,B$8*$X49,0))</f>
        <v>4.75</v>
      </c>
      <c r="C49" s="432" t="n">
        <f aca="false">IF('Peak Revenue'!$A$1="BL","-",IF(Peak!I50&gt;Peak!$G50,C$8*$X49,0))</f>
        <v>4.75</v>
      </c>
      <c r="D49" s="432" t="n">
        <f aca="false">IF('Peak Revenue'!$A$1="BL","-",IF(Peak!J50&gt;Peak!$G50,D$8*$X49,0))</f>
        <v>9.5</v>
      </c>
      <c r="E49" s="432" t="n">
        <f aca="false">IF('Peak Revenue'!$A$1="BL","-",IF(Peak!K50&gt;Peak!$G50,E$8*$X49,0))</f>
        <v>19</v>
      </c>
      <c r="F49" s="432" t="n">
        <f aca="false">IF('Peak Revenue'!$A$1="BL","-",IF(Peak!L50&gt;Peak!$G50,F$8*$X49,0))</f>
        <v>19</v>
      </c>
      <c r="G49" s="432" t="n">
        <f aca="false">IF('Peak Revenue'!$A$1="BL","-",IF(Peak!M50&gt;Peak!$G50,G$8*$X49,0))</f>
        <v>38</v>
      </c>
      <c r="H49" s="432" t="n">
        <f aca="false">IF('Peak Revenue'!$A$1="BL","-",IF(Peak!N50&gt;Peak!$G50,H$8*$X49,0))</f>
        <v>0</v>
      </c>
      <c r="I49" s="432" t="n">
        <f aca="false">IF('Peak Revenue'!$A$1="BL","-",IF(Peak!O50&gt;Peak!$G50,I$8*$X49,0))</f>
        <v>0</v>
      </c>
      <c r="J49" s="432" t="n">
        <f aca="false">IF('Peak Revenue'!$A$1="BL","-",IF(Peak!P50&gt;Peak!$G50,J$8*$X49,0))</f>
        <v>0</v>
      </c>
      <c r="K49" s="432" t="n">
        <f aca="false">IF('Peak Revenue'!$A$1="BL","-",IF(Peak!Q50&gt;Peak!$G50,K$8*$X49,0))</f>
        <v>0</v>
      </c>
      <c r="L49" s="432" t="n">
        <f aca="false">IF('Peak Revenue'!$A$1="BL","-",IF(Peak!R50&gt;Peak!$G50,L$8*$X49,0))</f>
        <v>0</v>
      </c>
      <c r="M49" s="432" t="n">
        <f aca="false">IF('Peak Revenue'!$A$1="BL","-",IF(Peak!S50&gt;Peak!$G50,M$8*$X49,0))</f>
        <v>0</v>
      </c>
      <c r="N49" s="432" t="n">
        <f aca="false">IF('Peak Revenue'!$A$1="BL","-",IF(Peak!T50&gt;Peak!$G50,N$8*$X49,0))</f>
        <v>0</v>
      </c>
      <c r="O49" s="432" t="n">
        <f aca="false">IF('Peak Revenue'!$A$1="BL","-",IF(Peak!U50&gt;Peak!$G50,O$8*$X49,0))</f>
        <v>0</v>
      </c>
      <c r="P49" s="432" t="n">
        <f aca="false">IF('Peak Revenue'!$A$1="BL","-",IF(Peak!V50&gt;Peak!$G50,P$8*$X49,0))</f>
        <v>0</v>
      </c>
      <c r="Q49" s="432" t="n">
        <f aca="false">IF('Peak Revenue'!$A$1="BL","-",IF(Peak!W50&gt;Peak!$G50,Q$8*$X49,0))</f>
        <v>0</v>
      </c>
      <c r="R49" s="432" t="n">
        <f aca="false">IF('Peak Revenue'!$A$1="BL","-",IF(Peak!X50&gt;Peak!$G50,R$8*$X49,0))</f>
        <v>0</v>
      </c>
      <c r="S49" s="432" t="n">
        <f aca="false">IF('Peak Revenue'!$A$1="BL","-",IF(Peak!Y50&gt;Peak!$G50,S$8*$X49,0))</f>
        <v>0</v>
      </c>
      <c r="T49" s="432" t="n">
        <f aca="false">IF('Peak Revenue'!$A$1="BL","-",IF(Peak!Z50&gt;Peak!$G50,T$8*$X49,0))</f>
        <v>0</v>
      </c>
      <c r="U49" s="432" t="n">
        <f aca="false">IF('Peak Revenue'!$A$1="BL","-",IF(Peak!AA50&gt;Peak!$G50,U$8*$X49,0))</f>
        <v>0</v>
      </c>
      <c r="V49" s="441" t="n">
        <f aca="false">SUM(B49:U49)</f>
        <v>95</v>
      </c>
      <c r="W49" s="442"/>
      <c r="X49" s="439" t="n">
        <f aca="false">CHOOSE(QUOTIENT(MONTH($A49),3)+1,Peak!$AM$11,Peak!$AN$11,Peak!$AL$11,Peak!$AO$11,Peak!$AM$11)</f>
        <v>0.95</v>
      </c>
      <c r="Y49" s="440" t="n">
        <f aca="false">CHOOSE(QUOTIENT(MONTH($A49),3)+1,Peak!$AM$17,Peak!$AN$17,Peak!$AL$17,Peak!$AO$17,Peak!$AM$17)</f>
        <v>705</v>
      </c>
    </row>
    <row r="50" customFormat="false" ht="12.75" hidden="false" customHeight="false" outlineLevel="0" collapsed="false">
      <c r="A50" s="400" t="n">
        <f aca="false">A49+30.417</f>
        <v>37756.68</v>
      </c>
      <c r="B50" s="432" t="n">
        <f aca="false">IF('Peak Revenue'!$A$1="BL","-",IF(Peak!H51&gt;Peak!$G51,B$8*$X50,0))</f>
        <v>4.75</v>
      </c>
      <c r="C50" s="432" t="n">
        <f aca="false">IF('Peak Revenue'!$A$1="BL","-",IF(Peak!I51&gt;Peak!$G51,C$8*$X50,0))</f>
        <v>4.75</v>
      </c>
      <c r="D50" s="432" t="n">
        <f aca="false">IF('Peak Revenue'!$A$1="BL","-",IF(Peak!J51&gt;Peak!$G51,D$8*$X50,0))</f>
        <v>9.5</v>
      </c>
      <c r="E50" s="432" t="n">
        <f aca="false">IF('Peak Revenue'!$A$1="BL","-",IF(Peak!K51&gt;Peak!$G51,E$8*$X50,0))</f>
        <v>19</v>
      </c>
      <c r="F50" s="432" t="n">
        <f aca="false">IF('Peak Revenue'!$A$1="BL","-",IF(Peak!L51&gt;Peak!$G51,F$8*$X50,0))</f>
        <v>19</v>
      </c>
      <c r="G50" s="432" t="n">
        <f aca="false">IF('Peak Revenue'!$A$1="BL","-",IF(Peak!M51&gt;Peak!$G51,G$8*$X50,0))</f>
        <v>38</v>
      </c>
      <c r="H50" s="432" t="n">
        <f aca="false">IF('Peak Revenue'!$A$1="BL","-",IF(Peak!N51&gt;Peak!$G51,H$8*$X50,0))</f>
        <v>38</v>
      </c>
      <c r="I50" s="432" t="n">
        <f aca="false">IF('Peak Revenue'!$A$1="BL","-",IF(Peak!O51&gt;Peak!$G51,I$8*$X50,0))</f>
        <v>38</v>
      </c>
      <c r="J50" s="432" t="n">
        <f aca="false">IF('Peak Revenue'!$A$1="BL","-",IF(Peak!P51&gt;Peak!$G51,J$8*$X50,0))</f>
        <v>0</v>
      </c>
      <c r="K50" s="432" t="n">
        <f aca="false">IF('Peak Revenue'!$A$1="BL","-",IF(Peak!Q51&gt;Peak!$G51,K$8*$X50,0))</f>
        <v>0</v>
      </c>
      <c r="L50" s="432" t="n">
        <f aca="false">IF('Peak Revenue'!$A$1="BL","-",IF(Peak!R51&gt;Peak!$G51,L$8*$X50,0))</f>
        <v>0</v>
      </c>
      <c r="M50" s="432" t="n">
        <f aca="false">IF('Peak Revenue'!$A$1="BL","-",IF(Peak!S51&gt;Peak!$G51,M$8*$X50,0))</f>
        <v>0</v>
      </c>
      <c r="N50" s="432" t="n">
        <f aca="false">IF('Peak Revenue'!$A$1="BL","-",IF(Peak!T51&gt;Peak!$G51,N$8*$X50,0))</f>
        <v>0</v>
      </c>
      <c r="O50" s="432" t="n">
        <f aca="false">IF('Peak Revenue'!$A$1="BL","-",IF(Peak!U51&gt;Peak!$G51,O$8*$X50,0))</f>
        <v>0</v>
      </c>
      <c r="P50" s="432" t="n">
        <f aca="false">IF('Peak Revenue'!$A$1="BL","-",IF(Peak!V51&gt;Peak!$G51,P$8*$X50,0))</f>
        <v>0</v>
      </c>
      <c r="Q50" s="432" t="n">
        <f aca="false">IF('Peak Revenue'!$A$1="BL","-",IF(Peak!W51&gt;Peak!$G51,Q$8*$X50,0))</f>
        <v>0</v>
      </c>
      <c r="R50" s="432" t="n">
        <f aca="false">IF('Peak Revenue'!$A$1="BL","-",IF(Peak!X51&gt;Peak!$G51,R$8*$X50,0))</f>
        <v>0</v>
      </c>
      <c r="S50" s="432" t="n">
        <f aca="false">IF('Peak Revenue'!$A$1="BL","-",IF(Peak!Y51&gt;Peak!$G51,S$8*$X50,0))</f>
        <v>0</v>
      </c>
      <c r="T50" s="432" t="n">
        <f aca="false">IF('Peak Revenue'!$A$1="BL","-",IF(Peak!Z51&gt;Peak!$G51,T$8*$X50,0))</f>
        <v>0</v>
      </c>
      <c r="U50" s="432" t="n">
        <f aca="false">IF('Peak Revenue'!$A$1="BL","-",IF(Peak!AA51&gt;Peak!$G51,U$8*$X50,0))</f>
        <v>0</v>
      </c>
      <c r="V50" s="441" t="n">
        <f aca="false">SUM(B50:U50)</f>
        <v>171</v>
      </c>
      <c r="W50" s="442"/>
      <c r="X50" s="439" t="n">
        <f aca="false">CHOOSE(QUOTIENT(MONTH($A50),3)+1,Peak!$AM$11,Peak!$AN$11,Peak!$AL$11,Peak!$AO$11,Peak!$AM$11)</f>
        <v>0.95</v>
      </c>
      <c r="Y50" s="440" t="n">
        <f aca="false">CHOOSE(QUOTIENT(MONTH($A50),3)+1,Peak!$AM$17,Peak!$AN$17,Peak!$AL$17,Peak!$AO$17,Peak!$AM$17)</f>
        <v>705</v>
      </c>
    </row>
    <row r="51" customFormat="false" ht="12.75" hidden="false" customHeight="false" outlineLevel="0" collapsed="false">
      <c r="A51" s="400" t="n">
        <f aca="false">A50+30.417</f>
        <v>37787.097</v>
      </c>
      <c r="B51" s="432" t="n">
        <f aca="false">IF('Peak Revenue'!$A$1="BL","-",IF(Peak!H52&gt;Peak!$G52,B$8*$X51,0))</f>
        <v>4.83060679547793</v>
      </c>
      <c r="C51" s="432" t="n">
        <f aca="false">IF('Peak Revenue'!$A$1="BL","-",IF(Peak!I52&gt;Peak!$G52,C$8*$X51,0))</f>
        <v>4.83060679547793</v>
      </c>
      <c r="D51" s="432" t="n">
        <f aca="false">IF('Peak Revenue'!$A$1="BL","-",IF(Peak!J52&gt;Peak!$G52,D$8*$X51,0))</f>
        <v>9.66121359095586</v>
      </c>
      <c r="E51" s="432" t="n">
        <f aca="false">IF('Peak Revenue'!$A$1="BL","-",IF(Peak!K52&gt;Peak!$G52,E$8*$X51,0))</f>
        <v>19.3224271819117</v>
      </c>
      <c r="F51" s="432" t="n">
        <f aca="false">IF('Peak Revenue'!$A$1="BL","-",IF(Peak!L52&gt;Peak!$G52,F$8*$X51,0))</f>
        <v>19.3224271819117</v>
      </c>
      <c r="G51" s="432" t="n">
        <f aca="false">IF('Peak Revenue'!$A$1="BL","-",IF(Peak!M52&gt;Peak!$G52,G$8*$X51,0))</f>
        <v>38.6448543638234</v>
      </c>
      <c r="H51" s="432" t="n">
        <f aca="false">IF('Peak Revenue'!$A$1="BL","-",IF(Peak!N52&gt;Peak!$G52,H$8*$X51,0))</f>
        <v>38.6448543638234</v>
      </c>
      <c r="I51" s="432" t="n">
        <f aca="false">IF('Peak Revenue'!$A$1="BL","-",IF(Peak!O52&gt;Peak!$G52,I$8*$X51,0))</f>
        <v>38.6448543638234</v>
      </c>
      <c r="J51" s="432" t="n">
        <f aca="false">IF('Peak Revenue'!$A$1="BL","-",IF(Peak!P52&gt;Peak!$G52,J$8*$X51,0))</f>
        <v>38.6448543638234</v>
      </c>
      <c r="K51" s="432" t="n">
        <f aca="false">IF('Peak Revenue'!$A$1="BL","-",IF(Peak!Q52&gt;Peak!$G52,K$8*$X51,0))</f>
        <v>38.6448543638234</v>
      </c>
      <c r="L51" s="432" t="n">
        <f aca="false">IF('Peak Revenue'!$A$1="BL","-",IF(Peak!R52&gt;Peak!$G52,L$8*$X51,0))</f>
        <v>0</v>
      </c>
      <c r="M51" s="432" t="n">
        <f aca="false">IF('Peak Revenue'!$A$1="BL","-",IF(Peak!S52&gt;Peak!$G52,M$8*$X51,0))</f>
        <v>0</v>
      </c>
      <c r="N51" s="432" t="n">
        <f aca="false">IF('Peak Revenue'!$A$1="BL","-",IF(Peak!T52&gt;Peak!$G52,N$8*$X51,0))</f>
        <v>0</v>
      </c>
      <c r="O51" s="432" t="n">
        <f aca="false">IF('Peak Revenue'!$A$1="BL","-",IF(Peak!U52&gt;Peak!$G52,O$8*$X51,0))</f>
        <v>0</v>
      </c>
      <c r="P51" s="432" t="n">
        <f aca="false">IF('Peak Revenue'!$A$1="BL","-",IF(Peak!V52&gt;Peak!$G52,P$8*$X51,0))</f>
        <v>0</v>
      </c>
      <c r="Q51" s="432" t="n">
        <f aca="false">IF('Peak Revenue'!$A$1="BL","-",IF(Peak!W52&gt;Peak!$G52,Q$8*$X51,0))</f>
        <v>0</v>
      </c>
      <c r="R51" s="432" t="n">
        <f aca="false">IF('Peak Revenue'!$A$1="BL","-",IF(Peak!X52&gt;Peak!$G52,R$8*$X51,0))</f>
        <v>0</v>
      </c>
      <c r="S51" s="432" t="n">
        <f aca="false">IF('Peak Revenue'!$A$1="BL","-",IF(Peak!Y52&gt;Peak!$G52,S$8*$X51,0))</f>
        <v>0</v>
      </c>
      <c r="T51" s="432" t="n">
        <f aca="false">IF('Peak Revenue'!$A$1="BL","-",IF(Peak!Z52&gt;Peak!$G52,T$8*$X51,0))</f>
        <v>0</v>
      </c>
      <c r="U51" s="432" t="n">
        <f aca="false">IF('Peak Revenue'!$A$1="BL","-",IF(Peak!AA52&gt;Peak!$G52,U$8*$X51,0))</f>
        <v>0</v>
      </c>
      <c r="V51" s="441" t="n">
        <f aca="false">SUM(B51:U51)</f>
        <v>251.191553364852</v>
      </c>
      <c r="W51" s="442"/>
      <c r="X51" s="439" t="n">
        <f aca="false">CHOOSE(QUOTIENT(MONTH($A51),3)+1,Peak!$AM$11,Peak!$AN$11,Peak!$AL$11,Peak!$AO$11,Peak!$AM$11)</f>
        <v>0.966121359095586</v>
      </c>
      <c r="Y51" s="440" t="n">
        <f aca="false">CHOOSE(QUOTIENT(MONTH($A51),3)+1,Peak!$AM$17,Peak!$AN$17,Peak!$AL$17,Peak!$AO$17,Peak!$AM$17)</f>
        <v>705</v>
      </c>
    </row>
    <row r="52" customFormat="false" ht="12.75" hidden="false" customHeight="false" outlineLevel="0" collapsed="false">
      <c r="A52" s="400" t="n">
        <f aca="false">A51+30.417</f>
        <v>37817.514</v>
      </c>
      <c r="B52" s="432" t="n">
        <f aca="false">IF('Peak Revenue'!$A$1="BL","-",IF(Peak!H53&gt;Peak!$G53,B$8*$X52,0))</f>
        <v>4.83060679547793</v>
      </c>
      <c r="C52" s="432" t="n">
        <f aca="false">IF('Peak Revenue'!$A$1="BL","-",IF(Peak!I53&gt;Peak!$G53,C$8*$X52,0))</f>
        <v>4.83060679547793</v>
      </c>
      <c r="D52" s="432" t="n">
        <f aca="false">IF('Peak Revenue'!$A$1="BL","-",IF(Peak!J53&gt;Peak!$G53,D$8*$X52,0))</f>
        <v>9.66121359095586</v>
      </c>
      <c r="E52" s="432" t="n">
        <f aca="false">IF('Peak Revenue'!$A$1="BL","-",IF(Peak!K53&gt;Peak!$G53,E$8*$X52,0))</f>
        <v>19.3224271819117</v>
      </c>
      <c r="F52" s="432" t="n">
        <f aca="false">IF('Peak Revenue'!$A$1="BL","-",IF(Peak!L53&gt;Peak!$G53,F$8*$X52,0))</f>
        <v>19.3224271819117</v>
      </c>
      <c r="G52" s="432" t="n">
        <f aca="false">IF('Peak Revenue'!$A$1="BL","-",IF(Peak!M53&gt;Peak!$G53,G$8*$X52,0))</f>
        <v>38.6448543638234</v>
      </c>
      <c r="H52" s="432" t="n">
        <f aca="false">IF('Peak Revenue'!$A$1="BL","-",IF(Peak!N53&gt;Peak!$G53,H$8*$X52,0))</f>
        <v>38.6448543638234</v>
      </c>
      <c r="I52" s="432" t="n">
        <f aca="false">IF('Peak Revenue'!$A$1="BL","-",IF(Peak!O53&gt;Peak!$G53,I$8*$X52,0))</f>
        <v>38.6448543638234</v>
      </c>
      <c r="J52" s="432" t="n">
        <f aca="false">IF('Peak Revenue'!$A$1="BL","-",IF(Peak!P53&gt;Peak!$G53,J$8*$X52,0))</f>
        <v>38.6448543638234</v>
      </c>
      <c r="K52" s="432" t="n">
        <f aca="false">IF('Peak Revenue'!$A$1="BL","-",IF(Peak!Q53&gt;Peak!$G53,K$8*$X52,0))</f>
        <v>38.6448543638234</v>
      </c>
      <c r="L52" s="432" t="n">
        <f aca="false">IF('Peak Revenue'!$A$1="BL","-",IF(Peak!R53&gt;Peak!$G53,L$8*$X52,0))</f>
        <v>38.6448543638234</v>
      </c>
      <c r="M52" s="432" t="n">
        <f aca="false">IF('Peak Revenue'!$A$1="BL","-",IF(Peak!S53&gt;Peak!$G53,M$8*$X52,0))</f>
        <v>38.6448543638234</v>
      </c>
      <c r="N52" s="432" t="n">
        <f aca="false">IF('Peak Revenue'!$A$1="BL","-",IF(Peak!T53&gt;Peak!$G53,N$8*$X52,0))</f>
        <v>0</v>
      </c>
      <c r="O52" s="432" t="n">
        <f aca="false">IF('Peak Revenue'!$A$1="BL","-",IF(Peak!U53&gt;Peak!$G53,O$8*$X52,0))</f>
        <v>0</v>
      </c>
      <c r="P52" s="432" t="n">
        <f aca="false">IF('Peak Revenue'!$A$1="BL","-",IF(Peak!V53&gt;Peak!$G53,P$8*$X52,0))</f>
        <v>0</v>
      </c>
      <c r="Q52" s="432" t="n">
        <f aca="false">IF('Peak Revenue'!$A$1="BL","-",IF(Peak!W53&gt;Peak!$G53,Q$8*$X52,0))</f>
        <v>0</v>
      </c>
      <c r="R52" s="432" t="n">
        <f aca="false">IF('Peak Revenue'!$A$1="BL","-",IF(Peak!X53&gt;Peak!$G53,R$8*$X52,0))</f>
        <v>0</v>
      </c>
      <c r="S52" s="432" t="n">
        <f aca="false">IF('Peak Revenue'!$A$1="BL","-",IF(Peak!Y53&gt;Peak!$G53,S$8*$X52,0))</f>
        <v>0</v>
      </c>
      <c r="T52" s="432" t="n">
        <f aca="false">IF('Peak Revenue'!$A$1="BL","-",IF(Peak!Z53&gt;Peak!$G53,T$8*$X52,0))</f>
        <v>0</v>
      </c>
      <c r="U52" s="432" t="n">
        <f aca="false">IF('Peak Revenue'!$A$1="BL","-",IF(Peak!AA53&gt;Peak!$G53,U$8*$X52,0))</f>
        <v>0</v>
      </c>
      <c r="V52" s="441" t="n">
        <f aca="false">SUM(B52:U52)</f>
        <v>328.481262092499</v>
      </c>
      <c r="W52" s="442"/>
      <c r="X52" s="439" t="n">
        <f aca="false">CHOOSE(QUOTIENT(MONTH($A52),3)+1,Peak!$AM$11,Peak!$AN$11,Peak!$AL$11,Peak!$AO$11,Peak!$AM$11)</f>
        <v>0.966121359095586</v>
      </c>
      <c r="Y52" s="440" t="n">
        <f aca="false">CHOOSE(QUOTIENT(MONTH($A52),3)+1,Peak!$AM$17,Peak!$AN$17,Peak!$AL$17,Peak!$AO$17,Peak!$AM$17)</f>
        <v>705</v>
      </c>
    </row>
    <row r="53" customFormat="false" ht="12.75" hidden="false" customHeight="false" outlineLevel="0" collapsed="false">
      <c r="A53" s="400" t="n">
        <f aca="false">A52+30.417</f>
        <v>37847.931</v>
      </c>
      <c r="B53" s="432" t="n">
        <f aca="false">IF('Peak Revenue'!$A$1="BL","-",IF(Peak!H54&gt;Peak!$G54,B$8*$X53,0))</f>
        <v>4.83060679547793</v>
      </c>
      <c r="C53" s="432" t="n">
        <f aca="false">IF('Peak Revenue'!$A$1="BL","-",IF(Peak!I54&gt;Peak!$G54,C$8*$X53,0))</f>
        <v>4.83060679547793</v>
      </c>
      <c r="D53" s="432" t="n">
        <f aca="false">IF('Peak Revenue'!$A$1="BL","-",IF(Peak!J54&gt;Peak!$G54,D$8*$X53,0))</f>
        <v>9.66121359095586</v>
      </c>
      <c r="E53" s="432" t="n">
        <f aca="false">IF('Peak Revenue'!$A$1="BL","-",IF(Peak!K54&gt;Peak!$G54,E$8*$X53,0))</f>
        <v>19.3224271819117</v>
      </c>
      <c r="F53" s="432" t="n">
        <f aca="false">IF('Peak Revenue'!$A$1="BL","-",IF(Peak!L54&gt;Peak!$G54,F$8*$X53,0))</f>
        <v>19.3224271819117</v>
      </c>
      <c r="G53" s="432" t="n">
        <f aca="false">IF('Peak Revenue'!$A$1="BL","-",IF(Peak!M54&gt;Peak!$G54,G$8*$X53,0))</f>
        <v>38.6448543638234</v>
      </c>
      <c r="H53" s="432" t="n">
        <f aca="false">IF('Peak Revenue'!$A$1="BL","-",IF(Peak!N54&gt;Peak!$G54,H$8*$X53,0))</f>
        <v>38.6448543638234</v>
      </c>
      <c r="I53" s="432" t="n">
        <f aca="false">IF('Peak Revenue'!$A$1="BL","-",IF(Peak!O54&gt;Peak!$G54,I$8*$X53,0))</f>
        <v>38.6448543638234</v>
      </c>
      <c r="J53" s="432" t="n">
        <f aca="false">IF('Peak Revenue'!$A$1="BL","-",IF(Peak!P54&gt;Peak!$G54,J$8*$X53,0))</f>
        <v>38.6448543638234</v>
      </c>
      <c r="K53" s="432" t="n">
        <f aca="false">IF('Peak Revenue'!$A$1="BL","-",IF(Peak!Q54&gt;Peak!$G54,K$8*$X53,0))</f>
        <v>38.6448543638234</v>
      </c>
      <c r="L53" s="432" t="n">
        <f aca="false">IF('Peak Revenue'!$A$1="BL","-",IF(Peak!R54&gt;Peak!$G54,L$8*$X53,0))</f>
        <v>38.6448543638234</v>
      </c>
      <c r="M53" s="432" t="n">
        <f aca="false">IF('Peak Revenue'!$A$1="BL","-",IF(Peak!S54&gt;Peak!$G54,M$8*$X53,0))</f>
        <v>38.6448543638234</v>
      </c>
      <c r="N53" s="432" t="n">
        <f aca="false">IF('Peak Revenue'!$A$1="BL","-",IF(Peak!T54&gt;Peak!$G54,N$8*$X53,0))</f>
        <v>0</v>
      </c>
      <c r="O53" s="432" t="n">
        <f aca="false">IF('Peak Revenue'!$A$1="BL","-",IF(Peak!U54&gt;Peak!$G54,O$8*$X53,0))</f>
        <v>0</v>
      </c>
      <c r="P53" s="432" t="n">
        <f aca="false">IF('Peak Revenue'!$A$1="BL","-",IF(Peak!V54&gt;Peak!$G54,P$8*$X53,0))</f>
        <v>0</v>
      </c>
      <c r="Q53" s="432" t="n">
        <f aca="false">IF('Peak Revenue'!$A$1="BL","-",IF(Peak!W54&gt;Peak!$G54,Q$8*$X53,0))</f>
        <v>0</v>
      </c>
      <c r="R53" s="432" t="n">
        <f aca="false">IF('Peak Revenue'!$A$1="BL","-",IF(Peak!X54&gt;Peak!$G54,R$8*$X53,0))</f>
        <v>0</v>
      </c>
      <c r="S53" s="432" t="n">
        <f aca="false">IF('Peak Revenue'!$A$1="BL","-",IF(Peak!Y54&gt;Peak!$G54,S$8*$X53,0))</f>
        <v>0</v>
      </c>
      <c r="T53" s="432" t="n">
        <f aca="false">IF('Peak Revenue'!$A$1="BL","-",IF(Peak!Z54&gt;Peak!$G54,T$8*$X53,0))</f>
        <v>0</v>
      </c>
      <c r="U53" s="432" t="n">
        <f aca="false">IF('Peak Revenue'!$A$1="BL","-",IF(Peak!AA54&gt;Peak!$G54,U$8*$X53,0))</f>
        <v>0</v>
      </c>
      <c r="V53" s="441" t="n">
        <f aca="false">SUM(B53:U53)</f>
        <v>328.481262092499</v>
      </c>
      <c r="W53" s="442"/>
      <c r="X53" s="439" t="n">
        <f aca="false">CHOOSE(QUOTIENT(MONTH($A53),3)+1,Peak!$AM$11,Peak!$AN$11,Peak!$AL$11,Peak!$AO$11,Peak!$AM$11)</f>
        <v>0.966121359095586</v>
      </c>
      <c r="Y53" s="440" t="n">
        <f aca="false">CHOOSE(QUOTIENT(MONTH($A53),3)+1,Peak!$AM$17,Peak!$AN$17,Peak!$AL$17,Peak!$AO$17,Peak!$AM$17)</f>
        <v>705</v>
      </c>
    </row>
    <row r="54" customFormat="false" ht="12.75" hidden="false" customHeight="false" outlineLevel="0" collapsed="false">
      <c r="A54" s="400" t="n">
        <f aca="false">A53+30.417</f>
        <v>37878.348</v>
      </c>
      <c r="B54" s="432" t="n">
        <f aca="false">IF('Peak Revenue'!$A$1="BL","-",IF(Peak!H55&gt;Peak!$G55,B$8*$X54,0))</f>
        <v>4.75</v>
      </c>
      <c r="C54" s="432" t="n">
        <f aca="false">IF('Peak Revenue'!$A$1="BL","-",IF(Peak!I55&gt;Peak!$G55,C$8*$X54,0))</f>
        <v>4.75</v>
      </c>
      <c r="D54" s="432" t="n">
        <f aca="false">IF('Peak Revenue'!$A$1="BL","-",IF(Peak!J55&gt;Peak!$G55,D$8*$X54,0))</f>
        <v>9.5</v>
      </c>
      <c r="E54" s="432" t="n">
        <f aca="false">IF('Peak Revenue'!$A$1="BL","-",IF(Peak!K55&gt;Peak!$G55,E$8*$X54,0))</f>
        <v>19</v>
      </c>
      <c r="F54" s="432" t="n">
        <f aca="false">IF('Peak Revenue'!$A$1="BL","-",IF(Peak!L55&gt;Peak!$G55,F$8*$X54,0))</f>
        <v>19</v>
      </c>
      <c r="G54" s="432" t="n">
        <f aca="false">IF('Peak Revenue'!$A$1="BL","-",IF(Peak!M55&gt;Peak!$G55,G$8*$X54,0))</f>
        <v>38</v>
      </c>
      <c r="H54" s="432" t="n">
        <f aca="false">IF('Peak Revenue'!$A$1="BL","-",IF(Peak!N55&gt;Peak!$G55,H$8*$X54,0))</f>
        <v>38</v>
      </c>
      <c r="I54" s="432" t="n">
        <f aca="false">IF('Peak Revenue'!$A$1="BL","-",IF(Peak!O55&gt;Peak!$G55,I$8*$X54,0))</f>
        <v>38</v>
      </c>
      <c r="J54" s="432" t="n">
        <f aca="false">IF('Peak Revenue'!$A$1="BL","-",IF(Peak!P55&gt;Peak!$G55,J$8*$X54,0))</f>
        <v>38</v>
      </c>
      <c r="K54" s="432" t="n">
        <f aca="false">IF('Peak Revenue'!$A$1="BL","-",IF(Peak!Q55&gt;Peak!$G55,K$8*$X54,0))</f>
        <v>38</v>
      </c>
      <c r="L54" s="432" t="n">
        <f aca="false">IF('Peak Revenue'!$A$1="BL","-",IF(Peak!R55&gt;Peak!$G55,L$8*$X54,0))</f>
        <v>38</v>
      </c>
      <c r="M54" s="432" t="n">
        <f aca="false">IF('Peak Revenue'!$A$1="BL","-",IF(Peak!S55&gt;Peak!$G55,M$8*$X54,0))</f>
        <v>0</v>
      </c>
      <c r="N54" s="432" t="n">
        <f aca="false">IF('Peak Revenue'!$A$1="BL","-",IF(Peak!T55&gt;Peak!$G55,N$8*$X54,0))</f>
        <v>0</v>
      </c>
      <c r="O54" s="432" t="n">
        <f aca="false">IF('Peak Revenue'!$A$1="BL","-",IF(Peak!U55&gt;Peak!$G55,O$8*$X54,0))</f>
        <v>0</v>
      </c>
      <c r="P54" s="432" t="n">
        <f aca="false">IF('Peak Revenue'!$A$1="BL","-",IF(Peak!V55&gt;Peak!$G55,P$8*$X54,0))</f>
        <v>0</v>
      </c>
      <c r="Q54" s="432" t="n">
        <f aca="false">IF('Peak Revenue'!$A$1="BL","-",IF(Peak!W55&gt;Peak!$G55,Q$8*$X54,0))</f>
        <v>0</v>
      </c>
      <c r="R54" s="432" t="n">
        <f aca="false">IF('Peak Revenue'!$A$1="BL","-",IF(Peak!X55&gt;Peak!$G55,R$8*$X54,0))</f>
        <v>0</v>
      </c>
      <c r="S54" s="432" t="n">
        <f aca="false">IF('Peak Revenue'!$A$1="BL","-",IF(Peak!Y55&gt;Peak!$G55,S$8*$X54,0))</f>
        <v>0</v>
      </c>
      <c r="T54" s="432" t="n">
        <f aca="false">IF('Peak Revenue'!$A$1="BL","-",IF(Peak!Z55&gt;Peak!$G55,T$8*$X54,0))</f>
        <v>0</v>
      </c>
      <c r="U54" s="432" t="n">
        <f aca="false">IF('Peak Revenue'!$A$1="BL","-",IF(Peak!AA55&gt;Peak!$G55,U$8*$X54,0))</f>
        <v>0</v>
      </c>
      <c r="V54" s="441" t="n">
        <f aca="false">SUM(B54:U54)</f>
        <v>285</v>
      </c>
      <c r="W54" s="442"/>
      <c r="X54" s="439" t="n">
        <f aca="false">CHOOSE(QUOTIENT(MONTH($A54),3)+1,Peak!$AM$11,Peak!$AN$11,Peak!$AL$11,Peak!$AO$11,Peak!$AM$11)</f>
        <v>0.95</v>
      </c>
      <c r="Y54" s="440" t="n">
        <f aca="false">CHOOSE(QUOTIENT(MONTH($A54),3)+1,Peak!$AM$17,Peak!$AN$17,Peak!$AL$17,Peak!$AO$17,Peak!$AM$17)</f>
        <v>705</v>
      </c>
    </row>
    <row r="55" customFormat="false" ht="12.75" hidden="false" customHeight="false" outlineLevel="0" collapsed="false">
      <c r="A55" s="400" t="n">
        <f aca="false">A54+30.417</f>
        <v>37908.765</v>
      </c>
      <c r="B55" s="432" t="n">
        <f aca="false">IF('Peak Revenue'!$A$1="BL","-",IF(Peak!H56&gt;Peak!$G56,B$8*$X55,0))</f>
        <v>4.75</v>
      </c>
      <c r="C55" s="432" t="n">
        <f aca="false">IF('Peak Revenue'!$A$1="BL","-",IF(Peak!I56&gt;Peak!$G56,C$8*$X55,0))</f>
        <v>4.75</v>
      </c>
      <c r="D55" s="432" t="n">
        <f aca="false">IF('Peak Revenue'!$A$1="BL","-",IF(Peak!J56&gt;Peak!$G56,D$8*$X55,0))</f>
        <v>9.5</v>
      </c>
      <c r="E55" s="432" t="n">
        <f aca="false">IF('Peak Revenue'!$A$1="BL","-",IF(Peak!K56&gt;Peak!$G56,E$8*$X55,0))</f>
        <v>19</v>
      </c>
      <c r="F55" s="432" t="n">
        <f aca="false">IF('Peak Revenue'!$A$1="BL","-",IF(Peak!L56&gt;Peak!$G56,F$8*$X55,0))</f>
        <v>19</v>
      </c>
      <c r="G55" s="432" t="n">
        <f aca="false">IF('Peak Revenue'!$A$1="BL","-",IF(Peak!M56&gt;Peak!$G56,G$8*$X55,0))</f>
        <v>38</v>
      </c>
      <c r="H55" s="432" t="n">
        <f aca="false">IF('Peak Revenue'!$A$1="BL","-",IF(Peak!N56&gt;Peak!$G56,H$8*$X55,0))</f>
        <v>38</v>
      </c>
      <c r="I55" s="432" t="n">
        <f aca="false">IF('Peak Revenue'!$A$1="BL","-",IF(Peak!O56&gt;Peak!$G56,I$8*$X55,0))</f>
        <v>38</v>
      </c>
      <c r="J55" s="432" t="n">
        <f aca="false">IF('Peak Revenue'!$A$1="BL","-",IF(Peak!P56&gt;Peak!$G56,J$8*$X55,0))</f>
        <v>38</v>
      </c>
      <c r="K55" s="432" t="n">
        <f aca="false">IF('Peak Revenue'!$A$1="BL","-",IF(Peak!Q56&gt;Peak!$G56,K$8*$X55,0))</f>
        <v>38</v>
      </c>
      <c r="L55" s="432" t="n">
        <f aca="false">IF('Peak Revenue'!$A$1="BL","-",IF(Peak!R56&gt;Peak!$G56,L$8*$X55,0))</f>
        <v>0</v>
      </c>
      <c r="M55" s="432" t="n">
        <f aca="false">IF('Peak Revenue'!$A$1="BL","-",IF(Peak!S56&gt;Peak!$G56,M$8*$X55,0))</f>
        <v>0</v>
      </c>
      <c r="N55" s="432" t="n">
        <f aca="false">IF('Peak Revenue'!$A$1="BL","-",IF(Peak!T56&gt;Peak!$G56,N$8*$X55,0))</f>
        <v>0</v>
      </c>
      <c r="O55" s="432" t="n">
        <f aca="false">IF('Peak Revenue'!$A$1="BL","-",IF(Peak!U56&gt;Peak!$G56,O$8*$X55,0))</f>
        <v>0</v>
      </c>
      <c r="P55" s="432" t="n">
        <f aca="false">IF('Peak Revenue'!$A$1="BL","-",IF(Peak!V56&gt;Peak!$G56,P$8*$X55,0))</f>
        <v>0</v>
      </c>
      <c r="Q55" s="432" t="n">
        <f aca="false">IF('Peak Revenue'!$A$1="BL","-",IF(Peak!W56&gt;Peak!$G56,Q$8*$X55,0))</f>
        <v>0</v>
      </c>
      <c r="R55" s="432" t="n">
        <f aca="false">IF('Peak Revenue'!$A$1="BL","-",IF(Peak!X56&gt;Peak!$G56,R$8*$X55,0))</f>
        <v>0</v>
      </c>
      <c r="S55" s="432" t="n">
        <f aca="false">IF('Peak Revenue'!$A$1="BL","-",IF(Peak!Y56&gt;Peak!$G56,S$8*$X55,0))</f>
        <v>0</v>
      </c>
      <c r="T55" s="432" t="n">
        <f aca="false">IF('Peak Revenue'!$A$1="BL","-",IF(Peak!Z56&gt;Peak!$G56,T$8*$X55,0))</f>
        <v>0</v>
      </c>
      <c r="U55" s="432" t="n">
        <f aca="false">IF('Peak Revenue'!$A$1="BL","-",IF(Peak!AA56&gt;Peak!$G56,U$8*$X55,0))</f>
        <v>0</v>
      </c>
      <c r="V55" s="441" t="n">
        <f aca="false">SUM(B55:U55)</f>
        <v>247</v>
      </c>
      <c r="W55" s="442"/>
      <c r="X55" s="439" t="n">
        <f aca="false">CHOOSE(QUOTIENT(MONTH($A55),3)+1,Peak!$AM$11,Peak!$AN$11,Peak!$AL$11,Peak!$AO$11,Peak!$AM$11)</f>
        <v>0.95</v>
      </c>
      <c r="Y55" s="440" t="n">
        <f aca="false">CHOOSE(QUOTIENT(MONTH($A55),3)+1,Peak!$AM$17,Peak!$AN$17,Peak!$AL$17,Peak!$AO$17,Peak!$AM$17)</f>
        <v>705</v>
      </c>
    </row>
    <row r="56" customFormat="false" ht="12.75" hidden="false" customHeight="false" outlineLevel="0" collapsed="false">
      <c r="A56" s="400" t="n">
        <f aca="false">A55+30.417</f>
        <v>37939.182</v>
      </c>
      <c r="B56" s="432" t="n">
        <f aca="false">IF('Peak Revenue'!$A$1="BL","-",IF(Peak!H57&gt;Peak!$G57,B$8*$X56,0))</f>
        <v>4.75</v>
      </c>
      <c r="C56" s="432" t="n">
        <f aca="false">IF('Peak Revenue'!$A$1="BL","-",IF(Peak!I57&gt;Peak!$G57,C$8*$X56,0))</f>
        <v>4.75</v>
      </c>
      <c r="D56" s="432" t="n">
        <f aca="false">IF('Peak Revenue'!$A$1="BL","-",IF(Peak!J57&gt;Peak!$G57,D$8*$X56,0))</f>
        <v>9.5</v>
      </c>
      <c r="E56" s="432" t="n">
        <f aca="false">IF('Peak Revenue'!$A$1="BL","-",IF(Peak!K57&gt;Peak!$G57,E$8*$X56,0))</f>
        <v>19</v>
      </c>
      <c r="F56" s="432" t="n">
        <f aca="false">IF('Peak Revenue'!$A$1="BL","-",IF(Peak!L57&gt;Peak!$G57,F$8*$X56,0))</f>
        <v>19</v>
      </c>
      <c r="G56" s="432" t="n">
        <f aca="false">IF('Peak Revenue'!$A$1="BL","-",IF(Peak!M57&gt;Peak!$G57,G$8*$X56,0))</f>
        <v>38</v>
      </c>
      <c r="H56" s="432" t="n">
        <f aca="false">IF('Peak Revenue'!$A$1="BL","-",IF(Peak!N57&gt;Peak!$G57,H$8*$X56,0))</f>
        <v>38</v>
      </c>
      <c r="I56" s="432" t="n">
        <f aca="false">IF('Peak Revenue'!$A$1="BL","-",IF(Peak!O57&gt;Peak!$G57,I$8*$X56,0))</f>
        <v>38</v>
      </c>
      <c r="J56" s="432" t="n">
        <f aca="false">IF('Peak Revenue'!$A$1="BL","-",IF(Peak!P57&gt;Peak!$G57,J$8*$X56,0))</f>
        <v>0</v>
      </c>
      <c r="K56" s="432" t="n">
        <f aca="false">IF('Peak Revenue'!$A$1="BL","-",IF(Peak!Q57&gt;Peak!$G57,K$8*$X56,0))</f>
        <v>0</v>
      </c>
      <c r="L56" s="432" t="n">
        <f aca="false">IF('Peak Revenue'!$A$1="BL","-",IF(Peak!R57&gt;Peak!$G57,L$8*$X56,0))</f>
        <v>0</v>
      </c>
      <c r="M56" s="432" t="n">
        <f aca="false">IF('Peak Revenue'!$A$1="BL","-",IF(Peak!S57&gt;Peak!$G57,M$8*$X56,0))</f>
        <v>0</v>
      </c>
      <c r="N56" s="432" t="n">
        <f aca="false">IF('Peak Revenue'!$A$1="BL","-",IF(Peak!T57&gt;Peak!$G57,N$8*$X56,0))</f>
        <v>0</v>
      </c>
      <c r="O56" s="432" t="n">
        <f aca="false">IF('Peak Revenue'!$A$1="BL","-",IF(Peak!U57&gt;Peak!$G57,O$8*$X56,0))</f>
        <v>0</v>
      </c>
      <c r="P56" s="432" t="n">
        <f aca="false">IF('Peak Revenue'!$A$1="BL","-",IF(Peak!V57&gt;Peak!$G57,P$8*$X56,0))</f>
        <v>0</v>
      </c>
      <c r="Q56" s="432" t="n">
        <f aca="false">IF('Peak Revenue'!$A$1="BL","-",IF(Peak!W57&gt;Peak!$G57,Q$8*$X56,0))</f>
        <v>0</v>
      </c>
      <c r="R56" s="432" t="n">
        <f aca="false">IF('Peak Revenue'!$A$1="BL","-",IF(Peak!X57&gt;Peak!$G57,R$8*$X56,0))</f>
        <v>0</v>
      </c>
      <c r="S56" s="432" t="n">
        <f aca="false">IF('Peak Revenue'!$A$1="BL","-",IF(Peak!Y57&gt;Peak!$G57,S$8*$X56,0))</f>
        <v>0</v>
      </c>
      <c r="T56" s="432" t="n">
        <f aca="false">IF('Peak Revenue'!$A$1="BL","-",IF(Peak!Z57&gt;Peak!$G57,T$8*$X56,0))</f>
        <v>0</v>
      </c>
      <c r="U56" s="432" t="n">
        <f aca="false">IF('Peak Revenue'!$A$1="BL","-",IF(Peak!AA57&gt;Peak!$G57,U$8*$X56,0))</f>
        <v>0</v>
      </c>
      <c r="V56" s="441" t="n">
        <f aca="false">SUM(B56:U56)</f>
        <v>171</v>
      </c>
      <c r="W56" s="442"/>
      <c r="X56" s="439" t="n">
        <f aca="false">CHOOSE(QUOTIENT(MONTH($A56),3)+1,Peak!$AM$11,Peak!$AN$11,Peak!$AL$11,Peak!$AO$11,Peak!$AM$11)</f>
        <v>0.95</v>
      </c>
      <c r="Y56" s="440" t="n">
        <f aca="false">CHOOSE(QUOTIENT(MONTH($A56),3)+1,Peak!$AM$17,Peak!$AN$17,Peak!$AL$17,Peak!$AO$17,Peak!$AM$17)</f>
        <v>705</v>
      </c>
    </row>
    <row r="57" customFormat="false" ht="12.75" hidden="false" customHeight="false" outlineLevel="0" collapsed="false">
      <c r="A57" s="400" t="n">
        <f aca="false">A56+30.417</f>
        <v>37969.599</v>
      </c>
      <c r="B57" s="432" t="n">
        <f aca="false">IF('Peak Revenue'!$A$1="BL","-",IF(Peak!H58&gt;Peak!$G58,B$8*$X57,0))</f>
        <v>4.62138309393059</v>
      </c>
      <c r="C57" s="432" t="n">
        <f aca="false">IF('Peak Revenue'!$A$1="BL","-",IF(Peak!I58&gt;Peak!$G58,C$8*$X57,0))</f>
        <v>4.62138309393059</v>
      </c>
      <c r="D57" s="432" t="n">
        <f aca="false">IF('Peak Revenue'!$A$1="BL","-",IF(Peak!J58&gt;Peak!$G58,D$8*$X57,0))</f>
        <v>9.24276618786118</v>
      </c>
      <c r="E57" s="432" t="n">
        <f aca="false">IF('Peak Revenue'!$A$1="BL","-",IF(Peak!K58&gt;Peak!$G58,E$8*$X57,0))</f>
        <v>18.4855323757224</v>
      </c>
      <c r="F57" s="432" t="n">
        <f aca="false">IF('Peak Revenue'!$A$1="BL","-",IF(Peak!L58&gt;Peak!$G58,F$8*$X57,0))</f>
        <v>18.4855323757224</v>
      </c>
      <c r="G57" s="432" t="n">
        <f aca="false">IF('Peak Revenue'!$A$1="BL","-",IF(Peak!M58&gt;Peak!$G58,G$8*$X57,0))</f>
        <v>36.9710647514447</v>
      </c>
      <c r="H57" s="432" t="n">
        <f aca="false">IF('Peak Revenue'!$A$1="BL","-",IF(Peak!N58&gt;Peak!$G58,H$8*$X57,0))</f>
        <v>36.9710647514447</v>
      </c>
      <c r="I57" s="432" t="n">
        <f aca="false">IF('Peak Revenue'!$A$1="BL","-",IF(Peak!O58&gt;Peak!$G58,I$8*$X57,0))</f>
        <v>36.9710647514447</v>
      </c>
      <c r="J57" s="432" t="n">
        <f aca="false">IF('Peak Revenue'!$A$1="BL","-",IF(Peak!P58&gt;Peak!$G58,J$8*$X57,0))</f>
        <v>0</v>
      </c>
      <c r="K57" s="432" t="n">
        <f aca="false">IF('Peak Revenue'!$A$1="BL","-",IF(Peak!Q58&gt;Peak!$G58,K$8*$X57,0))</f>
        <v>0</v>
      </c>
      <c r="L57" s="432" t="n">
        <f aca="false">IF('Peak Revenue'!$A$1="BL","-",IF(Peak!R58&gt;Peak!$G58,L$8*$X57,0))</f>
        <v>0</v>
      </c>
      <c r="M57" s="432" t="n">
        <f aca="false">IF('Peak Revenue'!$A$1="BL","-",IF(Peak!S58&gt;Peak!$G58,M$8*$X57,0))</f>
        <v>0</v>
      </c>
      <c r="N57" s="432" t="n">
        <f aca="false">IF('Peak Revenue'!$A$1="BL","-",IF(Peak!T58&gt;Peak!$G58,N$8*$X57,0))</f>
        <v>0</v>
      </c>
      <c r="O57" s="432" t="n">
        <f aca="false">IF('Peak Revenue'!$A$1="BL","-",IF(Peak!U58&gt;Peak!$G58,O$8*$X57,0))</f>
        <v>0</v>
      </c>
      <c r="P57" s="432" t="n">
        <f aca="false">IF('Peak Revenue'!$A$1="BL","-",IF(Peak!V58&gt;Peak!$G58,P$8*$X57,0))</f>
        <v>0</v>
      </c>
      <c r="Q57" s="432" t="n">
        <f aca="false">IF('Peak Revenue'!$A$1="BL","-",IF(Peak!W58&gt;Peak!$G58,Q$8*$X57,0))</f>
        <v>0</v>
      </c>
      <c r="R57" s="432" t="n">
        <f aca="false">IF('Peak Revenue'!$A$1="BL","-",IF(Peak!X58&gt;Peak!$G58,R$8*$X57,0))</f>
        <v>0</v>
      </c>
      <c r="S57" s="432" t="n">
        <f aca="false">IF('Peak Revenue'!$A$1="BL","-",IF(Peak!Y58&gt;Peak!$G58,S$8*$X57,0))</f>
        <v>0</v>
      </c>
      <c r="T57" s="432" t="n">
        <f aca="false">IF('Peak Revenue'!$A$1="BL","-",IF(Peak!Z58&gt;Peak!$G58,T$8*$X57,0))</f>
        <v>0</v>
      </c>
      <c r="U57" s="432" t="n">
        <f aca="false">IF('Peak Revenue'!$A$1="BL","-",IF(Peak!AA58&gt;Peak!$G58,U$8*$X57,0))</f>
        <v>0</v>
      </c>
      <c r="V57" s="441" t="n">
        <f aca="false">SUM(B57:U57)</f>
        <v>166.369791381501</v>
      </c>
      <c r="W57" s="443" t="n">
        <f aca="false">SUM(V46:V57)</f>
        <v>2659.20558119724</v>
      </c>
      <c r="X57" s="439" t="n">
        <f aca="false">CHOOSE(QUOTIENT(MONTH($A57),3)+1,Peak!$AM$11,Peak!$AN$11,Peak!$AL$11,Peak!$AO$11,Peak!$AM$11)</f>
        <v>0.924276618786118</v>
      </c>
      <c r="Y57" s="440" t="n">
        <f aca="false">CHOOSE(QUOTIENT(MONTH($A57),3)+1,Peak!$AM$17,Peak!$AN$17,Peak!$AL$17,Peak!$AO$17,Peak!$AM$17)</f>
        <v>705</v>
      </c>
    </row>
    <row r="58" customFormat="false" ht="12.75" hidden="false" customHeight="false" outlineLevel="0" collapsed="false">
      <c r="A58" s="400" t="n">
        <f aca="false">A57+30.417</f>
        <v>38000.016</v>
      </c>
      <c r="B58" s="432" t="n">
        <f aca="false">IF('Peak Revenue'!$A$1="BL","-",IF(Peak!H59&gt;Peak!$G59,B$8*$X58,0))</f>
        <v>4.62138309393059</v>
      </c>
      <c r="C58" s="432" t="n">
        <f aca="false">IF('Peak Revenue'!$A$1="BL","-",IF(Peak!I59&gt;Peak!$G59,C$8*$X58,0))</f>
        <v>4.62138309393059</v>
      </c>
      <c r="D58" s="432" t="n">
        <f aca="false">IF('Peak Revenue'!$A$1="BL","-",IF(Peak!J59&gt;Peak!$G59,D$8*$X58,0))</f>
        <v>9.24276618786118</v>
      </c>
      <c r="E58" s="432" t="n">
        <f aca="false">IF('Peak Revenue'!$A$1="BL","-",IF(Peak!K59&gt;Peak!$G59,E$8*$X58,0))</f>
        <v>18.4855323757224</v>
      </c>
      <c r="F58" s="432" t="n">
        <f aca="false">IF('Peak Revenue'!$A$1="BL","-",IF(Peak!L59&gt;Peak!$G59,F$8*$X58,0))</f>
        <v>18.4855323757224</v>
      </c>
      <c r="G58" s="432" t="n">
        <f aca="false">IF('Peak Revenue'!$A$1="BL","-",IF(Peak!M59&gt;Peak!$G59,G$8*$X58,0))</f>
        <v>36.9710647514447</v>
      </c>
      <c r="H58" s="432" t="n">
        <f aca="false">IF('Peak Revenue'!$A$1="BL","-",IF(Peak!N59&gt;Peak!$G59,H$8*$X58,0))</f>
        <v>36.9710647514447</v>
      </c>
      <c r="I58" s="432" t="n">
        <f aca="false">IF('Peak Revenue'!$A$1="BL","-",IF(Peak!O59&gt;Peak!$G59,I$8*$X58,0))</f>
        <v>0</v>
      </c>
      <c r="J58" s="432" t="n">
        <f aca="false">IF('Peak Revenue'!$A$1="BL","-",IF(Peak!P59&gt;Peak!$G59,J$8*$X58,0))</f>
        <v>0</v>
      </c>
      <c r="K58" s="432" t="n">
        <f aca="false">IF('Peak Revenue'!$A$1="BL","-",IF(Peak!Q59&gt;Peak!$G59,K$8*$X58,0))</f>
        <v>0</v>
      </c>
      <c r="L58" s="432" t="n">
        <f aca="false">IF('Peak Revenue'!$A$1="BL","-",IF(Peak!R59&gt;Peak!$G59,L$8*$X58,0))</f>
        <v>0</v>
      </c>
      <c r="M58" s="432" t="n">
        <f aca="false">IF('Peak Revenue'!$A$1="BL","-",IF(Peak!S59&gt;Peak!$G59,M$8*$X58,0))</f>
        <v>0</v>
      </c>
      <c r="N58" s="432" t="n">
        <f aca="false">IF('Peak Revenue'!$A$1="BL","-",IF(Peak!T59&gt;Peak!$G59,N$8*$X58,0))</f>
        <v>0</v>
      </c>
      <c r="O58" s="432" t="n">
        <f aca="false">IF('Peak Revenue'!$A$1="BL","-",IF(Peak!U59&gt;Peak!$G59,O$8*$X58,0))</f>
        <v>0</v>
      </c>
      <c r="P58" s="432" t="n">
        <f aca="false">IF('Peak Revenue'!$A$1="BL","-",IF(Peak!V59&gt;Peak!$G59,P$8*$X58,0))</f>
        <v>0</v>
      </c>
      <c r="Q58" s="432" t="n">
        <f aca="false">IF('Peak Revenue'!$A$1="BL","-",IF(Peak!W59&gt;Peak!$G59,Q$8*$X58,0))</f>
        <v>0</v>
      </c>
      <c r="R58" s="432" t="n">
        <f aca="false">IF('Peak Revenue'!$A$1="BL","-",IF(Peak!X59&gt;Peak!$G59,R$8*$X58,0))</f>
        <v>0</v>
      </c>
      <c r="S58" s="432" t="n">
        <f aca="false">IF('Peak Revenue'!$A$1="BL","-",IF(Peak!Y59&gt;Peak!$G59,S$8*$X58,0))</f>
        <v>0</v>
      </c>
      <c r="T58" s="432" t="n">
        <f aca="false">IF('Peak Revenue'!$A$1="BL","-",IF(Peak!Z59&gt;Peak!$G59,T$8*$X58,0))</f>
        <v>0</v>
      </c>
      <c r="U58" s="432" t="n">
        <f aca="false">IF('Peak Revenue'!$A$1="BL","-",IF(Peak!AA59&gt;Peak!$G59,U$8*$X58,0))</f>
        <v>0</v>
      </c>
      <c r="V58" s="441" t="n">
        <f aca="false">SUM(B58:U58)</f>
        <v>129.398726630056</v>
      </c>
      <c r="W58" s="442"/>
      <c r="X58" s="439" t="n">
        <f aca="false">CHOOSE(QUOTIENT(MONTH($A58),3)+1,Peak!$AM$11,Peak!$AN$11,Peak!$AL$11,Peak!$AO$11,Peak!$AM$11)</f>
        <v>0.924276618786118</v>
      </c>
      <c r="Y58" s="440" t="n">
        <f aca="false">CHOOSE(QUOTIENT(MONTH($A58),3)+1,Peak!$AM$17,Peak!$AN$17,Peak!$AL$17,Peak!$AO$17,Peak!$AM$17)</f>
        <v>705</v>
      </c>
    </row>
    <row r="59" customFormat="false" ht="12.75" hidden="false" customHeight="false" outlineLevel="0" collapsed="false">
      <c r="A59" s="400" t="n">
        <f aca="false">A58+30.417</f>
        <v>38030.433</v>
      </c>
      <c r="B59" s="432" t="n">
        <f aca="false">IF('Peak Revenue'!$A$1="BL","-",IF(Peak!H60&gt;Peak!$G60,B$8*$X59,0))</f>
        <v>4.62138309393059</v>
      </c>
      <c r="C59" s="432" t="n">
        <f aca="false">IF('Peak Revenue'!$A$1="BL","-",IF(Peak!I60&gt;Peak!$G60,C$8*$X59,0))</f>
        <v>4.62138309393059</v>
      </c>
      <c r="D59" s="432" t="n">
        <f aca="false">IF('Peak Revenue'!$A$1="BL","-",IF(Peak!J60&gt;Peak!$G60,D$8*$X59,0))</f>
        <v>9.24276618786118</v>
      </c>
      <c r="E59" s="432" t="n">
        <f aca="false">IF('Peak Revenue'!$A$1="BL","-",IF(Peak!K60&gt;Peak!$G60,E$8*$X59,0))</f>
        <v>18.4855323757224</v>
      </c>
      <c r="F59" s="432" t="n">
        <f aca="false">IF('Peak Revenue'!$A$1="BL","-",IF(Peak!L60&gt;Peak!$G60,F$8*$X59,0))</f>
        <v>18.4855323757224</v>
      </c>
      <c r="G59" s="432" t="n">
        <f aca="false">IF('Peak Revenue'!$A$1="BL","-",IF(Peak!M60&gt;Peak!$G60,G$8*$X59,0))</f>
        <v>36.9710647514447</v>
      </c>
      <c r="H59" s="432" t="n">
        <f aca="false">IF('Peak Revenue'!$A$1="BL","-",IF(Peak!N60&gt;Peak!$G60,H$8*$X59,0))</f>
        <v>36.9710647514447</v>
      </c>
      <c r="I59" s="432" t="n">
        <f aca="false">IF('Peak Revenue'!$A$1="BL","-",IF(Peak!O60&gt;Peak!$G60,I$8*$X59,0))</f>
        <v>36.9710647514447</v>
      </c>
      <c r="J59" s="432" t="n">
        <f aca="false">IF('Peak Revenue'!$A$1="BL","-",IF(Peak!P60&gt;Peak!$G60,J$8*$X59,0))</f>
        <v>0</v>
      </c>
      <c r="K59" s="432" t="n">
        <f aca="false">IF('Peak Revenue'!$A$1="BL","-",IF(Peak!Q60&gt;Peak!$G60,K$8*$X59,0))</f>
        <v>0</v>
      </c>
      <c r="L59" s="432" t="n">
        <f aca="false">IF('Peak Revenue'!$A$1="BL","-",IF(Peak!R60&gt;Peak!$G60,L$8*$X59,0))</f>
        <v>0</v>
      </c>
      <c r="M59" s="432" t="n">
        <f aca="false">IF('Peak Revenue'!$A$1="BL","-",IF(Peak!S60&gt;Peak!$G60,M$8*$X59,0))</f>
        <v>0</v>
      </c>
      <c r="N59" s="432" t="n">
        <f aca="false">IF('Peak Revenue'!$A$1="BL","-",IF(Peak!T60&gt;Peak!$G60,N$8*$X59,0))</f>
        <v>0</v>
      </c>
      <c r="O59" s="432" t="n">
        <f aca="false">IF('Peak Revenue'!$A$1="BL","-",IF(Peak!U60&gt;Peak!$G60,O$8*$X59,0))</f>
        <v>0</v>
      </c>
      <c r="P59" s="432" t="n">
        <f aca="false">IF('Peak Revenue'!$A$1="BL","-",IF(Peak!V60&gt;Peak!$G60,P$8*$X59,0))</f>
        <v>0</v>
      </c>
      <c r="Q59" s="432" t="n">
        <f aca="false">IF('Peak Revenue'!$A$1="BL","-",IF(Peak!W60&gt;Peak!$G60,Q$8*$X59,0))</f>
        <v>0</v>
      </c>
      <c r="R59" s="432" t="n">
        <f aca="false">IF('Peak Revenue'!$A$1="BL","-",IF(Peak!X60&gt;Peak!$G60,R$8*$X59,0))</f>
        <v>0</v>
      </c>
      <c r="S59" s="432" t="n">
        <f aca="false">IF('Peak Revenue'!$A$1="BL","-",IF(Peak!Y60&gt;Peak!$G60,S$8*$X59,0))</f>
        <v>0</v>
      </c>
      <c r="T59" s="432" t="n">
        <f aca="false">IF('Peak Revenue'!$A$1="BL","-",IF(Peak!Z60&gt;Peak!$G60,T$8*$X59,0))</f>
        <v>0</v>
      </c>
      <c r="U59" s="432" t="n">
        <f aca="false">IF('Peak Revenue'!$A$1="BL","-",IF(Peak!AA60&gt;Peak!$G60,U$8*$X59,0))</f>
        <v>0</v>
      </c>
      <c r="V59" s="441" t="n">
        <f aca="false">SUM(B59:U59)</f>
        <v>166.369791381501</v>
      </c>
      <c r="W59" s="442"/>
      <c r="X59" s="439" t="n">
        <f aca="false">CHOOSE(QUOTIENT(MONTH($A59),3)+1,Peak!$AM$11,Peak!$AN$11,Peak!$AL$11,Peak!$AO$11,Peak!$AM$11)</f>
        <v>0.924276618786118</v>
      </c>
      <c r="Y59" s="440" t="n">
        <f aca="false">CHOOSE(QUOTIENT(MONTH($A59),3)+1,Peak!$AM$17,Peak!$AN$17,Peak!$AL$17,Peak!$AO$17,Peak!$AM$17)</f>
        <v>705</v>
      </c>
    </row>
    <row r="60" customFormat="false" ht="12.75" hidden="false" customHeight="false" outlineLevel="0" collapsed="false">
      <c r="A60" s="400" t="n">
        <f aca="false">A59+30.417</f>
        <v>38060.85</v>
      </c>
      <c r="B60" s="432" t="n">
        <f aca="false">IF('Peak Revenue'!$A$1="BL","-",IF(Peak!H61&gt;Peak!$G61,B$8*$X60,0))</f>
        <v>4.75</v>
      </c>
      <c r="C60" s="432" t="n">
        <f aca="false">IF('Peak Revenue'!$A$1="BL","-",IF(Peak!I61&gt;Peak!$G61,C$8*$X60,0))</f>
        <v>4.75</v>
      </c>
      <c r="D60" s="432" t="n">
        <f aca="false">IF('Peak Revenue'!$A$1="BL","-",IF(Peak!J61&gt;Peak!$G61,D$8*$X60,0))</f>
        <v>9.5</v>
      </c>
      <c r="E60" s="432" t="n">
        <f aca="false">IF('Peak Revenue'!$A$1="BL","-",IF(Peak!K61&gt;Peak!$G61,E$8*$X60,0))</f>
        <v>19</v>
      </c>
      <c r="F60" s="432" t="n">
        <f aca="false">IF('Peak Revenue'!$A$1="BL","-",IF(Peak!L61&gt;Peak!$G61,F$8*$X60,0))</f>
        <v>19</v>
      </c>
      <c r="G60" s="432" t="n">
        <f aca="false">IF('Peak Revenue'!$A$1="BL","-",IF(Peak!M61&gt;Peak!$G61,G$8*$X60,0))</f>
        <v>38</v>
      </c>
      <c r="H60" s="432" t="n">
        <f aca="false">IF('Peak Revenue'!$A$1="BL","-",IF(Peak!N61&gt;Peak!$G61,H$8*$X60,0))</f>
        <v>38</v>
      </c>
      <c r="I60" s="432" t="n">
        <f aca="false">IF('Peak Revenue'!$A$1="BL","-",IF(Peak!O61&gt;Peak!$G61,I$8*$X60,0))</f>
        <v>38</v>
      </c>
      <c r="J60" s="432" t="n">
        <f aca="false">IF('Peak Revenue'!$A$1="BL","-",IF(Peak!P61&gt;Peak!$G61,J$8*$X60,0))</f>
        <v>0</v>
      </c>
      <c r="K60" s="432" t="n">
        <f aca="false">IF('Peak Revenue'!$A$1="BL","-",IF(Peak!Q61&gt;Peak!$G61,K$8*$X60,0))</f>
        <v>0</v>
      </c>
      <c r="L60" s="432" t="n">
        <f aca="false">IF('Peak Revenue'!$A$1="BL","-",IF(Peak!R61&gt;Peak!$G61,L$8*$X60,0))</f>
        <v>0</v>
      </c>
      <c r="M60" s="432" t="n">
        <f aca="false">IF('Peak Revenue'!$A$1="BL","-",IF(Peak!S61&gt;Peak!$G61,M$8*$X60,0))</f>
        <v>0</v>
      </c>
      <c r="N60" s="432" t="n">
        <f aca="false">IF('Peak Revenue'!$A$1="BL","-",IF(Peak!T61&gt;Peak!$G61,N$8*$X60,0))</f>
        <v>0</v>
      </c>
      <c r="O60" s="432" t="n">
        <f aca="false">IF('Peak Revenue'!$A$1="BL","-",IF(Peak!U61&gt;Peak!$G61,O$8*$X60,0))</f>
        <v>0</v>
      </c>
      <c r="P60" s="432" t="n">
        <f aca="false">IF('Peak Revenue'!$A$1="BL","-",IF(Peak!V61&gt;Peak!$G61,P$8*$X60,0))</f>
        <v>0</v>
      </c>
      <c r="Q60" s="432" t="n">
        <f aca="false">IF('Peak Revenue'!$A$1="BL","-",IF(Peak!W61&gt;Peak!$G61,Q$8*$X60,0))</f>
        <v>0</v>
      </c>
      <c r="R60" s="432" t="n">
        <f aca="false">IF('Peak Revenue'!$A$1="BL","-",IF(Peak!X61&gt;Peak!$G61,R$8*$X60,0))</f>
        <v>0</v>
      </c>
      <c r="S60" s="432" t="n">
        <f aca="false">IF('Peak Revenue'!$A$1="BL","-",IF(Peak!Y61&gt;Peak!$G61,S$8*$X60,0))</f>
        <v>0</v>
      </c>
      <c r="T60" s="432" t="n">
        <f aca="false">IF('Peak Revenue'!$A$1="BL","-",IF(Peak!Z61&gt;Peak!$G61,T$8*$X60,0))</f>
        <v>0</v>
      </c>
      <c r="U60" s="432" t="n">
        <f aca="false">IF('Peak Revenue'!$A$1="BL","-",IF(Peak!AA61&gt;Peak!$G61,U$8*$X60,0))</f>
        <v>0</v>
      </c>
      <c r="V60" s="441" t="n">
        <f aca="false">SUM(B60:U60)</f>
        <v>171</v>
      </c>
      <c r="W60" s="442"/>
      <c r="X60" s="439" t="n">
        <f aca="false">CHOOSE(QUOTIENT(MONTH($A60),3)+1,Peak!$AM$11,Peak!$AN$11,Peak!$AL$11,Peak!$AO$11,Peak!$AM$11)</f>
        <v>0.95</v>
      </c>
      <c r="Y60" s="440" t="n">
        <f aca="false">CHOOSE(QUOTIENT(MONTH($A60),3)+1,Peak!$AM$17,Peak!$AN$17,Peak!$AL$17,Peak!$AO$17,Peak!$AM$17)</f>
        <v>705</v>
      </c>
    </row>
    <row r="61" customFormat="false" ht="12.75" hidden="false" customHeight="false" outlineLevel="0" collapsed="false">
      <c r="A61" s="400" t="n">
        <f aca="false">A60+30.417</f>
        <v>38091.267</v>
      </c>
      <c r="B61" s="432" t="n">
        <f aca="false">IF('Peak Revenue'!$A$1="BL","-",IF(Peak!H62&gt;Peak!$G62,B$8*$X61,0))</f>
        <v>4.75</v>
      </c>
      <c r="C61" s="432" t="n">
        <f aca="false">IF('Peak Revenue'!$A$1="BL","-",IF(Peak!I62&gt;Peak!$G62,C$8*$X61,0))</f>
        <v>4.75</v>
      </c>
      <c r="D61" s="432" t="n">
        <f aca="false">IF('Peak Revenue'!$A$1="BL","-",IF(Peak!J62&gt;Peak!$G62,D$8*$X61,0))</f>
        <v>9.5</v>
      </c>
      <c r="E61" s="432" t="n">
        <f aca="false">IF('Peak Revenue'!$A$1="BL","-",IF(Peak!K62&gt;Peak!$G62,E$8*$X61,0))</f>
        <v>19</v>
      </c>
      <c r="F61" s="432" t="n">
        <f aca="false">IF('Peak Revenue'!$A$1="BL","-",IF(Peak!L62&gt;Peak!$G62,F$8*$X61,0))</f>
        <v>19</v>
      </c>
      <c r="G61" s="432" t="n">
        <f aca="false">IF('Peak Revenue'!$A$1="BL","-",IF(Peak!M62&gt;Peak!$G62,G$8*$X61,0))</f>
        <v>38</v>
      </c>
      <c r="H61" s="432" t="n">
        <f aca="false">IF('Peak Revenue'!$A$1="BL","-",IF(Peak!N62&gt;Peak!$G62,H$8*$X61,0))</f>
        <v>38</v>
      </c>
      <c r="I61" s="432" t="n">
        <f aca="false">IF('Peak Revenue'!$A$1="BL","-",IF(Peak!O62&gt;Peak!$G62,I$8*$X61,0))</f>
        <v>0</v>
      </c>
      <c r="J61" s="432" t="n">
        <f aca="false">IF('Peak Revenue'!$A$1="BL","-",IF(Peak!P62&gt;Peak!$G62,J$8*$X61,0))</f>
        <v>0</v>
      </c>
      <c r="K61" s="432" t="n">
        <f aca="false">IF('Peak Revenue'!$A$1="BL","-",IF(Peak!Q62&gt;Peak!$G62,K$8*$X61,0))</f>
        <v>0</v>
      </c>
      <c r="L61" s="432" t="n">
        <f aca="false">IF('Peak Revenue'!$A$1="BL","-",IF(Peak!R62&gt;Peak!$G62,L$8*$X61,0))</f>
        <v>0</v>
      </c>
      <c r="M61" s="432" t="n">
        <f aca="false">IF('Peak Revenue'!$A$1="BL","-",IF(Peak!S62&gt;Peak!$G62,M$8*$X61,0))</f>
        <v>0</v>
      </c>
      <c r="N61" s="432" t="n">
        <f aca="false">IF('Peak Revenue'!$A$1="BL","-",IF(Peak!T62&gt;Peak!$G62,N$8*$X61,0))</f>
        <v>0</v>
      </c>
      <c r="O61" s="432" t="n">
        <f aca="false">IF('Peak Revenue'!$A$1="BL","-",IF(Peak!U62&gt;Peak!$G62,O$8*$X61,0))</f>
        <v>0</v>
      </c>
      <c r="P61" s="432" t="n">
        <f aca="false">IF('Peak Revenue'!$A$1="BL","-",IF(Peak!V62&gt;Peak!$G62,P$8*$X61,0))</f>
        <v>0</v>
      </c>
      <c r="Q61" s="432" t="n">
        <f aca="false">IF('Peak Revenue'!$A$1="BL","-",IF(Peak!W62&gt;Peak!$G62,Q$8*$X61,0))</f>
        <v>0</v>
      </c>
      <c r="R61" s="432" t="n">
        <f aca="false">IF('Peak Revenue'!$A$1="BL","-",IF(Peak!X62&gt;Peak!$G62,R$8*$X61,0))</f>
        <v>0</v>
      </c>
      <c r="S61" s="432" t="n">
        <f aca="false">IF('Peak Revenue'!$A$1="BL","-",IF(Peak!Y62&gt;Peak!$G62,S$8*$X61,0))</f>
        <v>0</v>
      </c>
      <c r="T61" s="432" t="n">
        <f aca="false">IF('Peak Revenue'!$A$1="BL","-",IF(Peak!Z62&gt;Peak!$G62,T$8*$X61,0))</f>
        <v>0</v>
      </c>
      <c r="U61" s="432" t="n">
        <f aca="false">IF('Peak Revenue'!$A$1="BL","-",IF(Peak!AA62&gt;Peak!$G62,U$8*$X61,0))</f>
        <v>0</v>
      </c>
      <c r="V61" s="441" t="n">
        <f aca="false">SUM(B61:U61)</f>
        <v>133</v>
      </c>
      <c r="W61" s="442"/>
      <c r="X61" s="439" t="n">
        <f aca="false">CHOOSE(QUOTIENT(MONTH($A61),3)+1,Peak!$AM$11,Peak!$AN$11,Peak!$AL$11,Peak!$AO$11,Peak!$AM$11)</f>
        <v>0.95</v>
      </c>
      <c r="Y61" s="440" t="n">
        <f aca="false">CHOOSE(QUOTIENT(MONTH($A61),3)+1,Peak!$AM$17,Peak!$AN$17,Peak!$AL$17,Peak!$AO$17,Peak!$AM$17)</f>
        <v>705</v>
      </c>
    </row>
    <row r="62" customFormat="false" ht="12.75" hidden="false" customHeight="false" outlineLevel="0" collapsed="false">
      <c r="A62" s="400" t="n">
        <f aca="false">A61+30.417</f>
        <v>38121.684</v>
      </c>
      <c r="B62" s="432" t="n">
        <f aca="false">IF('Peak Revenue'!$A$1="BL","-",IF(Peak!H63&gt;Peak!$G63,B$8*$X62,0))</f>
        <v>4.75</v>
      </c>
      <c r="C62" s="432" t="n">
        <f aca="false">IF('Peak Revenue'!$A$1="BL","-",IF(Peak!I63&gt;Peak!$G63,C$8*$X62,0))</f>
        <v>4.75</v>
      </c>
      <c r="D62" s="432" t="n">
        <f aca="false">IF('Peak Revenue'!$A$1="BL","-",IF(Peak!J63&gt;Peak!$G63,D$8*$X62,0))</f>
        <v>9.5</v>
      </c>
      <c r="E62" s="432" t="n">
        <f aca="false">IF('Peak Revenue'!$A$1="BL","-",IF(Peak!K63&gt;Peak!$G63,E$8*$X62,0))</f>
        <v>19</v>
      </c>
      <c r="F62" s="432" t="n">
        <f aca="false">IF('Peak Revenue'!$A$1="BL","-",IF(Peak!L63&gt;Peak!$G63,F$8*$X62,0))</f>
        <v>19</v>
      </c>
      <c r="G62" s="432" t="n">
        <f aca="false">IF('Peak Revenue'!$A$1="BL","-",IF(Peak!M63&gt;Peak!$G63,G$8*$X62,0))</f>
        <v>38</v>
      </c>
      <c r="H62" s="432" t="n">
        <f aca="false">IF('Peak Revenue'!$A$1="BL","-",IF(Peak!N63&gt;Peak!$G63,H$8*$X62,0))</f>
        <v>38</v>
      </c>
      <c r="I62" s="432" t="n">
        <f aca="false">IF('Peak Revenue'!$A$1="BL","-",IF(Peak!O63&gt;Peak!$G63,I$8*$X62,0))</f>
        <v>0</v>
      </c>
      <c r="J62" s="432" t="n">
        <f aca="false">IF('Peak Revenue'!$A$1="BL","-",IF(Peak!P63&gt;Peak!$G63,J$8*$X62,0))</f>
        <v>0</v>
      </c>
      <c r="K62" s="432" t="n">
        <f aca="false">IF('Peak Revenue'!$A$1="BL","-",IF(Peak!Q63&gt;Peak!$G63,K$8*$X62,0))</f>
        <v>0</v>
      </c>
      <c r="L62" s="432" t="n">
        <f aca="false">IF('Peak Revenue'!$A$1="BL","-",IF(Peak!R63&gt;Peak!$G63,L$8*$X62,0))</f>
        <v>0</v>
      </c>
      <c r="M62" s="432" t="n">
        <f aca="false">IF('Peak Revenue'!$A$1="BL","-",IF(Peak!S63&gt;Peak!$G63,M$8*$X62,0))</f>
        <v>0</v>
      </c>
      <c r="N62" s="432" t="n">
        <f aca="false">IF('Peak Revenue'!$A$1="BL","-",IF(Peak!T63&gt;Peak!$G63,N$8*$X62,0))</f>
        <v>0</v>
      </c>
      <c r="O62" s="432" t="n">
        <f aca="false">IF('Peak Revenue'!$A$1="BL","-",IF(Peak!U63&gt;Peak!$G63,O$8*$X62,0))</f>
        <v>0</v>
      </c>
      <c r="P62" s="432" t="n">
        <f aca="false">IF('Peak Revenue'!$A$1="BL","-",IF(Peak!V63&gt;Peak!$G63,P$8*$X62,0))</f>
        <v>0</v>
      </c>
      <c r="Q62" s="432" t="n">
        <f aca="false">IF('Peak Revenue'!$A$1="BL","-",IF(Peak!W63&gt;Peak!$G63,Q$8*$X62,0))</f>
        <v>0</v>
      </c>
      <c r="R62" s="432" t="n">
        <f aca="false">IF('Peak Revenue'!$A$1="BL","-",IF(Peak!X63&gt;Peak!$G63,R$8*$X62,0))</f>
        <v>0</v>
      </c>
      <c r="S62" s="432" t="n">
        <f aca="false">IF('Peak Revenue'!$A$1="BL","-",IF(Peak!Y63&gt;Peak!$G63,S$8*$X62,0))</f>
        <v>0</v>
      </c>
      <c r="T62" s="432" t="n">
        <f aca="false">IF('Peak Revenue'!$A$1="BL","-",IF(Peak!Z63&gt;Peak!$G63,T$8*$X62,0))</f>
        <v>0</v>
      </c>
      <c r="U62" s="432" t="n">
        <f aca="false">IF('Peak Revenue'!$A$1="BL","-",IF(Peak!AA63&gt;Peak!$G63,U$8*$X62,0))</f>
        <v>0</v>
      </c>
      <c r="V62" s="441" t="n">
        <f aca="false">SUM(B62:U62)</f>
        <v>133</v>
      </c>
      <c r="W62" s="442"/>
      <c r="X62" s="439" t="n">
        <f aca="false">CHOOSE(QUOTIENT(MONTH($A62),3)+1,Peak!$AM$11,Peak!$AN$11,Peak!$AL$11,Peak!$AO$11,Peak!$AM$11)</f>
        <v>0.95</v>
      </c>
      <c r="Y62" s="440" t="n">
        <f aca="false">CHOOSE(QUOTIENT(MONTH($A62),3)+1,Peak!$AM$17,Peak!$AN$17,Peak!$AL$17,Peak!$AO$17,Peak!$AM$17)</f>
        <v>705</v>
      </c>
    </row>
    <row r="63" customFormat="false" ht="12.75" hidden="false" customHeight="false" outlineLevel="0" collapsed="false">
      <c r="A63" s="400" t="n">
        <f aca="false">A62+30.417</f>
        <v>38152.101</v>
      </c>
      <c r="B63" s="432" t="n">
        <f aca="false">IF('Peak Revenue'!$A$1="BL","-",IF(Peak!H64&gt;Peak!$G64,B$8*$X63,0))</f>
        <v>4.83060679547793</v>
      </c>
      <c r="C63" s="432" t="n">
        <f aca="false">IF('Peak Revenue'!$A$1="BL","-",IF(Peak!I64&gt;Peak!$G64,C$8*$X63,0))</f>
        <v>4.83060679547793</v>
      </c>
      <c r="D63" s="432" t="n">
        <f aca="false">IF('Peak Revenue'!$A$1="BL","-",IF(Peak!J64&gt;Peak!$G64,D$8*$X63,0))</f>
        <v>9.66121359095586</v>
      </c>
      <c r="E63" s="432" t="n">
        <f aca="false">IF('Peak Revenue'!$A$1="BL","-",IF(Peak!K64&gt;Peak!$G64,E$8*$X63,0))</f>
        <v>19.3224271819117</v>
      </c>
      <c r="F63" s="432" t="n">
        <f aca="false">IF('Peak Revenue'!$A$1="BL","-",IF(Peak!L64&gt;Peak!$G64,F$8*$X63,0))</f>
        <v>19.3224271819117</v>
      </c>
      <c r="G63" s="432" t="n">
        <f aca="false">IF('Peak Revenue'!$A$1="BL","-",IF(Peak!M64&gt;Peak!$G64,G$8*$X63,0))</f>
        <v>38.6448543638234</v>
      </c>
      <c r="H63" s="432" t="n">
        <f aca="false">IF('Peak Revenue'!$A$1="BL","-",IF(Peak!N64&gt;Peak!$G64,H$8*$X63,0))</f>
        <v>38.6448543638234</v>
      </c>
      <c r="I63" s="432" t="n">
        <f aca="false">IF('Peak Revenue'!$A$1="BL","-",IF(Peak!O64&gt;Peak!$G64,I$8*$X63,0))</f>
        <v>38.6448543638234</v>
      </c>
      <c r="J63" s="432" t="n">
        <f aca="false">IF('Peak Revenue'!$A$1="BL","-",IF(Peak!P64&gt;Peak!$G64,J$8*$X63,0))</f>
        <v>0</v>
      </c>
      <c r="K63" s="432" t="n">
        <f aca="false">IF('Peak Revenue'!$A$1="BL","-",IF(Peak!Q64&gt;Peak!$G64,K$8*$X63,0))</f>
        <v>0</v>
      </c>
      <c r="L63" s="432" t="n">
        <f aca="false">IF('Peak Revenue'!$A$1="BL","-",IF(Peak!R64&gt;Peak!$G64,L$8*$X63,0))</f>
        <v>0</v>
      </c>
      <c r="M63" s="432" t="n">
        <f aca="false">IF('Peak Revenue'!$A$1="BL","-",IF(Peak!S64&gt;Peak!$G64,M$8*$X63,0))</f>
        <v>0</v>
      </c>
      <c r="N63" s="432" t="n">
        <f aca="false">IF('Peak Revenue'!$A$1="BL","-",IF(Peak!T64&gt;Peak!$G64,N$8*$X63,0))</f>
        <v>0</v>
      </c>
      <c r="O63" s="432" t="n">
        <f aca="false">IF('Peak Revenue'!$A$1="BL","-",IF(Peak!U64&gt;Peak!$G64,O$8*$X63,0))</f>
        <v>0</v>
      </c>
      <c r="P63" s="432" t="n">
        <f aca="false">IF('Peak Revenue'!$A$1="BL","-",IF(Peak!V64&gt;Peak!$G64,P$8*$X63,0))</f>
        <v>0</v>
      </c>
      <c r="Q63" s="432" t="n">
        <f aca="false">IF('Peak Revenue'!$A$1="BL","-",IF(Peak!W64&gt;Peak!$G64,Q$8*$X63,0))</f>
        <v>0</v>
      </c>
      <c r="R63" s="432" t="n">
        <f aca="false">IF('Peak Revenue'!$A$1="BL","-",IF(Peak!X64&gt;Peak!$G64,R$8*$X63,0))</f>
        <v>0</v>
      </c>
      <c r="S63" s="432" t="n">
        <f aca="false">IF('Peak Revenue'!$A$1="BL","-",IF(Peak!Y64&gt;Peak!$G64,S$8*$X63,0))</f>
        <v>0</v>
      </c>
      <c r="T63" s="432" t="n">
        <f aca="false">IF('Peak Revenue'!$A$1="BL","-",IF(Peak!Z64&gt;Peak!$G64,T$8*$X63,0))</f>
        <v>0</v>
      </c>
      <c r="U63" s="432" t="n">
        <f aca="false">IF('Peak Revenue'!$A$1="BL","-",IF(Peak!AA64&gt;Peak!$G64,U$8*$X63,0))</f>
        <v>0</v>
      </c>
      <c r="V63" s="441" t="n">
        <f aca="false">SUM(B63:U63)</f>
        <v>173.901844637205</v>
      </c>
      <c r="W63" s="442"/>
      <c r="X63" s="439" t="n">
        <f aca="false">CHOOSE(QUOTIENT(MONTH($A63),3)+1,Peak!$AM$11,Peak!$AN$11,Peak!$AL$11,Peak!$AO$11,Peak!$AM$11)</f>
        <v>0.966121359095586</v>
      </c>
      <c r="Y63" s="440" t="n">
        <f aca="false">CHOOSE(QUOTIENT(MONTH($A63),3)+1,Peak!$AM$17,Peak!$AN$17,Peak!$AL$17,Peak!$AO$17,Peak!$AM$17)</f>
        <v>705</v>
      </c>
    </row>
    <row r="64" customFormat="false" ht="12.75" hidden="false" customHeight="false" outlineLevel="0" collapsed="false">
      <c r="A64" s="400" t="n">
        <f aca="false">A63+30.417</f>
        <v>38182.518</v>
      </c>
      <c r="B64" s="432" t="n">
        <f aca="false">IF('Peak Revenue'!$A$1="BL","-",IF(Peak!H65&gt;Peak!$G65,B$8*$X64,0))</f>
        <v>4.83060679547793</v>
      </c>
      <c r="C64" s="432" t="n">
        <f aca="false">IF('Peak Revenue'!$A$1="BL","-",IF(Peak!I65&gt;Peak!$G65,C$8*$X64,0))</f>
        <v>4.83060679547793</v>
      </c>
      <c r="D64" s="432" t="n">
        <f aca="false">IF('Peak Revenue'!$A$1="BL","-",IF(Peak!J65&gt;Peak!$G65,D$8*$X64,0))</f>
        <v>9.66121359095586</v>
      </c>
      <c r="E64" s="432" t="n">
        <f aca="false">IF('Peak Revenue'!$A$1="BL","-",IF(Peak!K65&gt;Peak!$G65,E$8*$X64,0))</f>
        <v>19.3224271819117</v>
      </c>
      <c r="F64" s="432" t="n">
        <f aca="false">IF('Peak Revenue'!$A$1="BL","-",IF(Peak!L65&gt;Peak!$G65,F$8*$X64,0))</f>
        <v>19.3224271819117</v>
      </c>
      <c r="G64" s="432" t="n">
        <f aca="false">IF('Peak Revenue'!$A$1="BL","-",IF(Peak!M65&gt;Peak!$G65,G$8*$X64,0))</f>
        <v>38.6448543638234</v>
      </c>
      <c r="H64" s="432" t="n">
        <f aca="false">IF('Peak Revenue'!$A$1="BL","-",IF(Peak!N65&gt;Peak!$G65,H$8*$X64,0))</f>
        <v>38.6448543638234</v>
      </c>
      <c r="I64" s="432" t="n">
        <f aca="false">IF('Peak Revenue'!$A$1="BL","-",IF(Peak!O65&gt;Peak!$G65,I$8*$X64,0))</f>
        <v>38.6448543638234</v>
      </c>
      <c r="J64" s="432" t="n">
        <f aca="false">IF('Peak Revenue'!$A$1="BL","-",IF(Peak!P65&gt;Peak!$G65,J$8*$X64,0))</f>
        <v>38.6448543638234</v>
      </c>
      <c r="K64" s="432" t="n">
        <f aca="false">IF('Peak Revenue'!$A$1="BL","-",IF(Peak!Q65&gt;Peak!$G65,K$8*$X64,0))</f>
        <v>38.6448543638234</v>
      </c>
      <c r="L64" s="432" t="n">
        <f aca="false">IF('Peak Revenue'!$A$1="BL","-",IF(Peak!R65&gt;Peak!$G65,L$8*$X64,0))</f>
        <v>38.6448543638234</v>
      </c>
      <c r="M64" s="432" t="n">
        <f aca="false">IF('Peak Revenue'!$A$1="BL","-",IF(Peak!S65&gt;Peak!$G65,M$8*$X64,0))</f>
        <v>0</v>
      </c>
      <c r="N64" s="432" t="n">
        <f aca="false">IF('Peak Revenue'!$A$1="BL","-",IF(Peak!T65&gt;Peak!$G65,N$8*$X64,0))</f>
        <v>0</v>
      </c>
      <c r="O64" s="432" t="n">
        <f aca="false">IF('Peak Revenue'!$A$1="BL","-",IF(Peak!U65&gt;Peak!$G65,O$8*$X64,0))</f>
        <v>0</v>
      </c>
      <c r="P64" s="432" t="n">
        <f aca="false">IF('Peak Revenue'!$A$1="BL","-",IF(Peak!V65&gt;Peak!$G65,P$8*$X64,0))</f>
        <v>0</v>
      </c>
      <c r="Q64" s="432" t="n">
        <f aca="false">IF('Peak Revenue'!$A$1="BL","-",IF(Peak!W65&gt;Peak!$G65,Q$8*$X64,0))</f>
        <v>0</v>
      </c>
      <c r="R64" s="432" t="n">
        <f aca="false">IF('Peak Revenue'!$A$1="BL","-",IF(Peak!X65&gt;Peak!$G65,R$8*$X64,0))</f>
        <v>0</v>
      </c>
      <c r="S64" s="432" t="n">
        <f aca="false">IF('Peak Revenue'!$A$1="BL","-",IF(Peak!Y65&gt;Peak!$G65,S$8*$X64,0))</f>
        <v>0</v>
      </c>
      <c r="T64" s="432" t="n">
        <f aca="false">IF('Peak Revenue'!$A$1="BL","-",IF(Peak!Z65&gt;Peak!$G65,T$8*$X64,0))</f>
        <v>0</v>
      </c>
      <c r="U64" s="432" t="n">
        <f aca="false">IF('Peak Revenue'!$A$1="BL","-",IF(Peak!AA65&gt;Peak!$G65,U$8*$X64,0))</f>
        <v>0</v>
      </c>
      <c r="V64" s="441" t="n">
        <f aca="false">SUM(B64:U64)</f>
        <v>289.836407728676</v>
      </c>
      <c r="W64" s="442"/>
      <c r="X64" s="439" t="n">
        <f aca="false">CHOOSE(QUOTIENT(MONTH($A64),3)+1,Peak!$AM$11,Peak!$AN$11,Peak!$AL$11,Peak!$AO$11,Peak!$AM$11)</f>
        <v>0.966121359095586</v>
      </c>
      <c r="Y64" s="440" t="n">
        <f aca="false">CHOOSE(QUOTIENT(MONTH($A64),3)+1,Peak!$AM$17,Peak!$AN$17,Peak!$AL$17,Peak!$AO$17,Peak!$AM$17)</f>
        <v>705</v>
      </c>
    </row>
    <row r="65" customFormat="false" ht="12.75" hidden="false" customHeight="false" outlineLevel="0" collapsed="false">
      <c r="A65" s="400" t="n">
        <f aca="false">A64+30.417</f>
        <v>38212.935</v>
      </c>
      <c r="B65" s="432" t="n">
        <f aca="false">IF('Peak Revenue'!$A$1="BL","-",IF(Peak!H66&gt;Peak!$G66,B$8*$X65,0))</f>
        <v>4.83060679547793</v>
      </c>
      <c r="C65" s="432" t="n">
        <f aca="false">IF('Peak Revenue'!$A$1="BL","-",IF(Peak!I66&gt;Peak!$G66,C$8*$X65,0))</f>
        <v>4.83060679547793</v>
      </c>
      <c r="D65" s="432" t="n">
        <f aca="false">IF('Peak Revenue'!$A$1="BL","-",IF(Peak!J66&gt;Peak!$G66,D$8*$X65,0))</f>
        <v>9.66121359095586</v>
      </c>
      <c r="E65" s="432" t="n">
        <f aca="false">IF('Peak Revenue'!$A$1="BL","-",IF(Peak!K66&gt;Peak!$G66,E$8*$X65,0))</f>
        <v>19.3224271819117</v>
      </c>
      <c r="F65" s="432" t="n">
        <f aca="false">IF('Peak Revenue'!$A$1="BL","-",IF(Peak!L66&gt;Peak!$G66,F$8*$X65,0))</f>
        <v>19.3224271819117</v>
      </c>
      <c r="G65" s="432" t="n">
        <f aca="false">IF('Peak Revenue'!$A$1="BL","-",IF(Peak!M66&gt;Peak!$G66,G$8*$X65,0))</f>
        <v>38.6448543638234</v>
      </c>
      <c r="H65" s="432" t="n">
        <f aca="false">IF('Peak Revenue'!$A$1="BL","-",IF(Peak!N66&gt;Peak!$G66,H$8*$X65,0))</f>
        <v>38.6448543638234</v>
      </c>
      <c r="I65" s="432" t="n">
        <f aca="false">IF('Peak Revenue'!$A$1="BL","-",IF(Peak!O66&gt;Peak!$G66,I$8*$X65,0))</f>
        <v>38.6448543638234</v>
      </c>
      <c r="J65" s="432" t="n">
        <f aca="false">IF('Peak Revenue'!$A$1="BL","-",IF(Peak!P66&gt;Peak!$G66,J$8*$X65,0))</f>
        <v>38.6448543638234</v>
      </c>
      <c r="K65" s="432" t="n">
        <f aca="false">IF('Peak Revenue'!$A$1="BL","-",IF(Peak!Q66&gt;Peak!$G66,K$8*$X65,0))</f>
        <v>0</v>
      </c>
      <c r="L65" s="432" t="n">
        <f aca="false">IF('Peak Revenue'!$A$1="BL","-",IF(Peak!R66&gt;Peak!$G66,L$8*$X65,0))</f>
        <v>0</v>
      </c>
      <c r="M65" s="432" t="n">
        <f aca="false">IF('Peak Revenue'!$A$1="BL","-",IF(Peak!S66&gt;Peak!$G66,M$8*$X65,0))</f>
        <v>0</v>
      </c>
      <c r="N65" s="432" t="n">
        <f aca="false">IF('Peak Revenue'!$A$1="BL","-",IF(Peak!T66&gt;Peak!$G66,N$8*$X65,0))</f>
        <v>0</v>
      </c>
      <c r="O65" s="432" t="n">
        <f aca="false">IF('Peak Revenue'!$A$1="BL","-",IF(Peak!U66&gt;Peak!$G66,O$8*$X65,0))</f>
        <v>0</v>
      </c>
      <c r="P65" s="432" t="n">
        <f aca="false">IF('Peak Revenue'!$A$1="BL","-",IF(Peak!V66&gt;Peak!$G66,P$8*$X65,0))</f>
        <v>0</v>
      </c>
      <c r="Q65" s="432" t="n">
        <f aca="false">IF('Peak Revenue'!$A$1="BL","-",IF(Peak!W66&gt;Peak!$G66,Q$8*$X65,0))</f>
        <v>0</v>
      </c>
      <c r="R65" s="432" t="n">
        <f aca="false">IF('Peak Revenue'!$A$1="BL","-",IF(Peak!X66&gt;Peak!$G66,R$8*$X65,0))</f>
        <v>0</v>
      </c>
      <c r="S65" s="432" t="n">
        <f aca="false">IF('Peak Revenue'!$A$1="BL","-",IF(Peak!Y66&gt;Peak!$G66,S$8*$X65,0))</f>
        <v>0</v>
      </c>
      <c r="T65" s="432" t="n">
        <f aca="false">IF('Peak Revenue'!$A$1="BL","-",IF(Peak!Z66&gt;Peak!$G66,T$8*$X65,0))</f>
        <v>0</v>
      </c>
      <c r="U65" s="432" t="n">
        <f aca="false">IF('Peak Revenue'!$A$1="BL","-",IF(Peak!AA66&gt;Peak!$G66,U$8*$X65,0))</f>
        <v>0</v>
      </c>
      <c r="V65" s="441" t="n">
        <f aca="false">SUM(B65:U65)</f>
        <v>212.546699001029</v>
      </c>
      <c r="W65" s="442"/>
      <c r="X65" s="439" t="n">
        <f aca="false">CHOOSE(QUOTIENT(MONTH($A65),3)+1,Peak!$AM$11,Peak!$AN$11,Peak!$AL$11,Peak!$AO$11,Peak!$AM$11)</f>
        <v>0.966121359095586</v>
      </c>
      <c r="Y65" s="440" t="n">
        <f aca="false">CHOOSE(QUOTIENT(MONTH($A65),3)+1,Peak!$AM$17,Peak!$AN$17,Peak!$AL$17,Peak!$AO$17,Peak!$AM$17)</f>
        <v>705</v>
      </c>
    </row>
    <row r="66" customFormat="false" ht="12.75" hidden="false" customHeight="false" outlineLevel="0" collapsed="false">
      <c r="A66" s="400" t="n">
        <f aca="false">A65+30.417</f>
        <v>38243.352</v>
      </c>
      <c r="B66" s="432" t="n">
        <f aca="false">IF('Peak Revenue'!$A$1="BL","-",IF(Peak!H67&gt;Peak!$G67,B$8*$X66,0))</f>
        <v>4.75</v>
      </c>
      <c r="C66" s="432" t="n">
        <f aca="false">IF('Peak Revenue'!$A$1="BL","-",IF(Peak!I67&gt;Peak!$G67,C$8*$X66,0))</f>
        <v>4.75</v>
      </c>
      <c r="D66" s="432" t="n">
        <f aca="false">IF('Peak Revenue'!$A$1="BL","-",IF(Peak!J67&gt;Peak!$G67,D$8*$X66,0))</f>
        <v>9.5</v>
      </c>
      <c r="E66" s="432" t="n">
        <f aca="false">IF('Peak Revenue'!$A$1="BL","-",IF(Peak!K67&gt;Peak!$G67,E$8*$X66,0))</f>
        <v>19</v>
      </c>
      <c r="F66" s="432" t="n">
        <f aca="false">IF('Peak Revenue'!$A$1="BL","-",IF(Peak!L67&gt;Peak!$G67,F$8*$X66,0))</f>
        <v>19</v>
      </c>
      <c r="G66" s="432" t="n">
        <f aca="false">IF('Peak Revenue'!$A$1="BL","-",IF(Peak!M67&gt;Peak!$G67,G$8*$X66,0))</f>
        <v>38</v>
      </c>
      <c r="H66" s="432" t="n">
        <f aca="false">IF('Peak Revenue'!$A$1="BL","-",IF(Peak!N67&gt;Peak!$G67,H$8*$X66,0))</f>
        <v>38</v>
      </c>
      <c r="I66" s="432" t="n">
        <f aca="false">IF('Peak Revenue'!$A$1="BL","-",IF(Peak!O67&gt;Peak!$G67,I$8*$X66,0))</f>
        <v>38</v>
      </c>
      <c r="J66" s="432" t="n">
        <f aca="false">IF('Peak Revenue'!$A$1="BL","-",IF(Peak!P67&gt;Peak!$G67,J$8*$X66,0))</f>
        <v>38</v>
      </c>
      <c r="K66" s="432" t="n">
        <f aca="false">IF('Peak Revenue'!$A$1="BL","-",IF(Peak!Q67&gt;Peak!$G67,K$8*$X66,0))</f>
        <v>0</v>
      </c>
      <c r="L66" s="432" t="n">
        <f aca="false">IF('Peak Revenue'!$A$1="BL","-",IF(Peak!R67&gt;Peak!$G67,L$8*$X66,0))</f>
        <v>0</v>
      </c>
      <c r="M66" s="432" t="n">
        <f aca="false">IF('Peak Revenue'!$A$1="BL","-",IF(Peak!S67&gt;Peak!$G67,M$8*$X66,0))</f>
        <v>0</v>
      </c>
      <c r="N66" s="432" t="n">
        <f aca="false">IF('Peak Revenue'!$A$1="BL","-",IF(Peak!T67&gt;Peak!$G67,N$8*$X66,0))</f>
        <v>0</v>
      </c>
      <c r="O66" s="432" t="n">
        <f aca="false">IF('Peak Revenue'!$A$1="BL","-",IF(Peak!U67&gt;Peak!$G67,O$8*$X66,0))</f>
        <v>0</v>
      </c>
      <c r="P66" s="432" t="n">
        <f aca="false">IF('Peak Revenue'!$A$1="BL","-",IF(Peak!V67&gt;Peak!$G67,P$8*$X66,0))</f>
        <v>0</v>
      </c>
      <c r="Q66" s="432" t="n">
        <f aca="false">IF('Peak Revenue'!$A$1="BL","-",IF(Peak!W67&gt;Peak!$G67,Q$8*$X66,0))</f>
        <v>0</v>
      </c>
      <c r="R66" s="432" t="n">
        <f aca="false">IF('Peak Revenue'!$A$1="BL","-",IF(Peak!X67&gt;Peak!$G67,R$8*$X66,0))</f>
        <v>0</v>
      </c>
      <c r="S66" s="432" t="n">
        <f aca="false">IF('Peak Revenue'!$A$1="BL","-",IF(Peak!Y67&gt;Peak!$G67,S$8*$X66,0))</f>
        <v>0</v>
      </c>
      <c r="T66" s="432" t="n">
        <f aca="false">IF('Peak Revenue'!$A$1="BL","-",IF(Peak!Z67&gt;Peak!$G67,T$8*$X66,0))</f>
        <v>0</v>
      </c>
      <c r="U66" s="432" t="n">
        <f aca="false">IF('Peak Revenue'!$A$1="BL","-",IF(Peak!AA67&gt;Peak!$G67,U$8*$X66,0))</f>
        <v>0</v>
      </c>
      <c r="V66" s="441" t="n">
        <f aca="false">SUM(B66:U66)</f>
        <v>209</v>
      </c>
      <c r="W66" s="442"/>
      <c r="X66" s="439" t="n">
        <f aca="false">CHOOSE(QUOTIENT(MONTH($A66),3)+1,Peak!$AM$11,Peak!$AN$11,Peak!$AL$11,Peak!$AO$11,Peak!$AM$11)</f>
        <v>0.95</v>
      </c>
      <c r="Y66" s="440" t="n">
        <f aca="false">CHOOSE(QUOTIENT(MONTH($A66),3)+1,Peak!$AM$17,Peak!$AN$17,Peak!$AL$17,Peak!$AO$17,Peak!$AM$17)</f>
        <v>705</v>
      </c>
    </row>
    <row r="67" customFormat="false" ht="12.75" hidden="false" customHeight="false" outlineLevel="0" collapsed="false">
      <c r="A67" s="400" t="n">
        <f aca="false">A66+30.417</f>
        <v>38273.769</v>
      </c>
      <c r="B67" s="432" t="n">
        <f aca="false">IF('Peak Revenue'!$A$1="BL","-",IF(Peak!H68&gt;Peak!$G68,B$8*$X67,0))</f>
        <v>4.75</v>
      </c>
      <c r="C67" s="432" t="n">
        <f aca="false">IF('Peak Revenue'!$A$1="BL","-",IF(Peak!I68&gt;Peak!$G68,C$8*$X67,0))</f>
        <v>4.75</v>
      </c>
      <c r="D67" s="432" t="n">
        <f aca="false">IF('Peak Revenue'!$A$1="BL","-",IF(Peak!J68&gt;Peak!$G68,D$8*$X67,0))</f>
        <v>9.5</v>
      </c>
      <c r="E67" s="432" t="n">
        <f aca="false">IF('Peak Revenue'!$A$1="BL","-",IF(Peak!K68&gt;Peak!$G68,E$8*$X67,0))</f>
        <v>19</v>
      </c>
      <c r="F67" s="432" t="n">
        <f aca="false">IF('Peak Revenue'!$A$1="BL","-",IF(Peak!L68&gt;Peak!$G68,F$8*$X67,0))</f>
        <v>19</v>
      </c>
      <c r="G67" s="432" t="n">
        <f aca="false">IF('Peak Revenue'!$A$1="BL","-",IF(Peak!M68&gt;Peak!$G68,G$8*$X67,0))</f>
        <v>38</v>
      </c>
      <c r="H67" s="432" t="n">
        <f aca="false">IF('Peak Revenue'!$A$1="BL","-",IF(Peak!N68&gt;Peak!$G68,H$8*$X67,0))</f>
        <v>38</v>
      </c>
      <c r="I67" s="432" t="n">
        <f aca="false">IF('Peak Revenue'!$A$1="BL","-",IF(Peak!O68&gt;Peak!$G68,I$8*$X67,0))</f>
        <v>0</v>
      </c>
      <c r="J67" s="432" t="n">
        <f aca="false">IF('Peak Revenue'!$A$1="BL","-",IF(Peak!P68&gt;Peak!$G68,J$8*$X67,0))</f>
        <v>0</v>
      </c>
      <c r="K67" s="432" t="n">
        <f aca="false">IF('Peak Revenue'!$A$1="BL","-",IF(Peak!Q68&gt;Peak!$G68,K$8*$X67,0))</f>
        <v>0</v>
      </c>
      <c r="L67" s="432" t="n">
        <f aca="false">IF('Peak Revenue'!$A$1="BL","-",IF(Peak!R68&gt;Peak!$G68,L$8*$X67,0))</f>
        <v>0</v>
      </c>
      <c r="M67" s="432" t="n">
        <f aca="false">IF('Peak Revenue'!$A$1="BL","-",IF(Peak!S68&gt;Peak!$G68,M$8*$X67,0))</f>
        <v>0</v>
      </c>
      <c r="N67" s="432" t="n">
        <f aca="false">IF('Peak Revenue'!$A$1="BL","-",IF(Peak!T68&gt;Peak!$G68,N$8*$X67,0))</f>
        <v>0</v>
      </c>
      <c r="O67" s="432" t="n">
        <f aca="false">IF('Peak Revenue'!$A$1="BL","-",IF(Peak!U68&gt;Peak!$G68,O$8*$X67,0))</f>
        <v>0</v>
      </c>
      <c r="P67" s="432" t="n">
        <f aca="false">IF('Peak Revenue'!$A$1="BL","-",IF(Peak!V68&gt;Peak!$G68,P$8*$X67,0))</f>
        <v>0</v>
      </c>
      <c r="Q67" s="432" t="n">
        <f aca="false">IF('Peak Revenue'!$A$1="BL","-",IF(Peak!W68&gt;Peak!$G68,Q$8*$X67,0))</f>
        <v>0</v>
      </c>
      <c r="R67" s="432" t="n">
        <f aca="false">IF('Peak Revenue'!$A$1="BL","-",IF(Peak!X68&gt;Peak!$G68,R$8*$X67,0))</f>
        <v>0</v>
      </c>
      <c r="S67" s="432" t="n">
        <f aca="false">IF('Peak Revenue'!$A$1="BL","-",IF(Peak!Y68&gt;Peak!$G68,S$8*$X67,0))</f>
        <v>0</v>
      </c>
      <c r="T67" s="432" t="n">
        <f aca="false">IF('Peak Revenue'!$A$1="BL","-",IF(Peak!Z68&gt;Peak!$G68,T$8*$X67,0))</f>
        <v>0</v>
      </c>
      <c r="U67" s="432" t="n">
        <f aca="false">IF('Peak Revenue'!$A$1="BL","-",IF(Peak!AA68&gt;Peak!$G68,U$8*$X67,0))</f>
        <v>0</v>
      </c>
      <c r="V67" s="441" t="n">
        <f aca="false">SUM(B67:U67)</f>
        <v>133</v>
      </c>
      <c r="W67" s="442"/>
      <c r="X67" s="439" t="n">
        <f aca="false">CHOOSE(QUOTIENT(MONTH($A67),3)+1,Peak!$AM$11,Peak!$AN$11,Peak!$AL$11,Peak!$AO$11,Peak!$AM$11)</f>
        <v>0.95</v>
      </c>
      <c r="Y67" s="440" t="n">
        <f aca="false">CHOOSE(QUOTIENT(MONTH($A67),3)+1,Peak!$AM$17,Peak!$AN$17,Peak!$AL$17,Peak!$AO$17,Peak!$AM$17)</f>
        <v>705</v>
      </c>
    </row>
    <row r="68" customFormat="false" ht="12.75" hidden="false" customHeight="false" outlineLevel="0" collapsed="false">
      <c r="A68" s="400" t="n">
        <f aca="false">A67+30.417</f>
        <v>38304.186</v>
      </c>
      <c r="B68" s="432" t="n">
        <f aca="false">IF('Peak Revenue'!$A$1="BL","-",IF(Peak!H69&gt;Peak!$G69,B$8*$X68,0))</f>
        <v>4.75</v>
      </c>
      <c r="C68" s="432" t="n">
        <f aca="false">IF('Peak Revenue'!$A$1="BL","-",IF(Peak!I69&gt;Peak!$G69,C$8*$X68,0))</f>
        <v>4.75</v>
      </c>
      <c r="D68" s="432" t="n">
        <f aca="false">IF('Peak Revenue'!$A$1="BL","-",IF(Peak!J69&gt;Peak!$G69,D$8*$X68,0))</f>
        <v>9.5</v>
      </c>
      <c r="E68" s="432" t="n">
        <f aca="false">IF('Peak Revenue'!$A$1="BL","-",IF(Peak!K69&gt;Peak!$G69,E$8*$X68,0))</f>
        <v>19</v>
      </c>
      <c r="F68" s="432" t="n">
        <f aca="false">IF('Peak Revenue'!$A$1="BL","-",IF(Peak!L69&gt;Peak!$G69,F$8*$X68,0))</f>
        <v>19</v>
      </c>
      <c r="G68" s="432" t="n">
        <f aca="false">IF('Peak Revenue'!$A$1="BL","-",IF(Peak!M69&gt;Peak!$G69,G$8*$X68,0))</f>
        <v>38</v>
      </c>
      <c r="H68" s="432" t="n">
        <f aca="false">IF('Peak Revenue'!$A$1="BL","-",IF(Peak!N69&gt;Peak!$G69,H$8*$X68,0))</f>
        <v>38</v>
      </c>
      <c r="I68" s="432" t="n">
        <f aca="false">IF('Peak Revenue'!$A$1="BL","-",IF(Peak!O69&gt;Peak!$G69,I$8*$X68,0))</f>
        <v>38</v>
      </c>
      <c r="J68" s="432" t="n">
        <f aca="false">IF('Peak Revenue'!$A$1="BL","-",IF(Peak!P69&gt;Peak!$G69,J$8*$X68,0))</f>
        <v>0</v>
      </c>
      <c r="K68" s="432" t="n">
        <f aca="false">IF('Peak Revenue'!$A$1="BL","-",IF(Peak!Q69&gt;Peak!$G69,K$8*$X68,0))</f>
        <v>0</v>
      </c>
      <c r="L68" s="432" t="n">
        <f aca="false">IF('Peak Revenue'!$A$1="BL","-",IF(Peak!R69&gt;Peak!$G69,L$8*$X68,0))</f>
        <v>0</v>
      </c>
      <c r="M68" s="432" t="n">
        <f aca="false">IF('Peak Revenue'!$A$1="BL","-",IF(Peak!S69&gt;Peak!$G69,M$8*$X68,0))</f>
        <v>0</v>
      </c>
      <c r="N68" s="432" t="n">
        <f aca="false">IF('Peak Revenue'!$A$1="BL","-",IF(Peak!T69&gt;Peak!$G69,N$8*$X68,0))</f>
        <v>0</v>
      </c>
      <c r="O68" s="432" t="n">
        <f aca="false">IF('Peak Revenue'!$A$1="BL","-",IF(Peak!U69&gt;Peak!$G69,O$8*$X68,0))</f>
        <v>0</v>
      </c>
      <c r="P68" s="432" t="n">
        <f aca="false">IF('Peak Revenue'!$A$1="BL","-",IF(Peak!V69&gt;Peak!$G69,P$8*$X68,0))</f>
        <v>0</v>
      </c>
      <c r="Q68" s="432" t="n">
        <f aca="false">IF('Peak Revenue'!$A$1="BL","-",IF(Peak!W69&gt;Peak!$G69,Q$8*$X68,0))</f>
        <v>0</v>
      </c>
      <c r="R68" s="432" t="n">
        <f aca="false">IF('Peak Revenue'!$A$1="BL","-",IF(Peak!X69&gt;Peak!$G69,R$8*$X68,0))</f>
        <v>0</v>
      </c>
      <c r="S68" s="432" t="n">
        <f aca="false">IF('Peak Revenue'!$A$1="BL","-",IF(Peak!Y69&gt;Peak!$G69,S$8*$X68,0))</f>
        <v>0</v>
      </c>
      <c r="T68" s="432" t="n">
        <f aca="false">IF('Peak Revenue'!$A$1="BL","-",IF(Peak!Z69&gt;Peak!$G69,T$8*$X68,0))</f>
        <v>0</v>
      </c>
      <c r="U68" s="432" t="n">
        <f aca="false">IF('Peak Revenue'!$A$1="BL","-",IF(Peak!AA69&gt;Peak!$G69,U$8*$X68,0))</f>
        <v>0</v>
      </c>
      <c r="V68" s="441" t="n">
        <f aca="false">SUM(B68:U68)</f>
        <v>171</v>
      </c>
      <c r="W68" s="442"/>
      <c r="X68" s="439" t="n">
        <f aca="false">CHOOSE(QUOTIENT(MONTH($A68),3)+1,Peak!$AM$11,Peak!$AN$11,Peak!$AL$11,Peak!$AO$11,Peak!$AM$11)</f>
        <v>0.95</v>
      </c>
      <c r="Y68" s="440" t="n">
        <f aca="false">CHOOSE(QUOTIENT(MONTH($A68),3)+1,Peak!$AM$17,Peak!$AN$17,Peak!$AL$17,Peak!$AO$17,Peak!$AM$17)</f>
        <v>705</v>
      </c>
    </row>
    <row r="69" customFormat="false" ht="12.75" hidden="false" customHeight="false" outlineLevel="0" collapsed="false">
      <c r="A69" s="400" t="n">
        <f aca="false">A68+30.417</f>
        <v>38334.603</v>
      </c>
      <c r="B69" s="432" t="n">
        <f aca="false">IF('Peak Revenue'!$A$1="BL","-",IF(Peak!H70&gt;Peak!$G70,B$8*$X69,0))</f>
        <v>4.62138309393059</v>
      </c>
      <c r="C69" s="432" t="n">
        <f aca="false">IF('Peak Revenue'!$A$1="BL","-",IF(Peak!I70&gt;Peak!$G70,C$8*$X69,0))</f>
        <v>4.62138309393059</v>
      </c>
      <c r="D69" s="432" t="n">
        <f aca="false">IF('Peak Revenue'!$A$1="BL","-",IF(Peak!J70&gt;Peak!$G70,D$8*$X69,0))</f>
        <v>9.24276618786118</v>
      </c>
      <c r="E69" s="432" t="n">
        <f aca="false">IF('Peak Revenue'!$A$1="BL","-",IF(Peak!K70&gt;Peak!$G70,E$8*$X69,0))</f>
        <v>18.4855323757224</v>
      </c>
      <c r="F69" s="432" t="n">
        <f aca="false">IF('Peak Revenue'!$A$1="BL","-",IF(Peak!L70&gt;Peak!$G70,F$8*$X69,0))</f>
        <v>18.4855323757224</v>
      </c>
      <c r="G69" s="432" t="n">
        <f aca="false">IF('Peak Revenue'!$A$1="BL","-",IF(Peak!M70&gt;Peak!$G70,G$8*$X69,0))</f>
        <v>36.9710647514447</v>
      </c>
      <c r="H69" s="432" t="n">
        <f aca="false">IF('Peak Revenue'!$A$1="BL","-",IF(Peak!N70&gt;Peak!$G70,H$8*$X69,0))</f>
        <v>36.9710647514447</v>
      </c>
      <c r="I69" s="432" t="n">
        <f aca="false">IF('Peak Revenue'!$A$1="BL","-",IF(Peak!O70&gt;Peak!$G70,I$8*$X69,0))</f>
        <v>36.9710647514447</v>
      </c>
      <c r="J69" s="432" t="n">
        <f aca="false">IF('Peak Revenue'!$A$1="BL","-",IF(Peak!P70&gt;Peak!$G70,J$8*$X69,0))</f>
        <v>0</v>
      </c>
      <c r="K69" s="432" t="n">
        <f aca="false">IF('Peak Revenue'!$A$1="BL","-",IF(Peak!Q70&gt;Peak!$G70,K$8*$X69,0))</f>
        <v>0</v>
      </c>
      <c r="L69" s="432" t="n">
        <f aca="false">IF('Peak Revenue'!$A$1="BL","-",IF(Peak!R70&gt;Peak!$G70,L$8*$X69,0))</f>
        <v>0</v>
      </c>
      <c r="M69" s="432" t="n">
        <f aca="false">IF('Peak Revenue'!$A$1="BL","-",IF(Peak!S70&gt;Peak!$G70,M$8*$X69,0))</f>
        <v>0</v>
      </c>
      <c r="N69" s="432" t="n">
        <f aca="false">IF('Peak Revenue'!$A$1="BL","-",IF(Peak!T70&gt;Peak!$G70,N$8*$X69,0))</f>
        <v>0</v>
      </c>
      <c r="O69" s="432" t="n">
        <f aca="false">IF('Peak Revenue'!$A$1="BL","-",IF(Peak!U70&gt;Peak!$G70,O$8*$X69,0))</f>
        <v>0</v>
      </c>
      <c r="P69" s="432" t="n">
        <f aca="false">IF('Peak Revenue'!$A$1="BL","-",IF(Peak!V70&gt;Peak!$G70,P$8*$X69,0))</f>
        <v>0</v>
      </c>
      <c r="Q69" s="432" t="n">
        <f aca="false">IF('Peak Revenue'!$A$1="BL","-",IF(Peak!W70&gt;Peak!$G70,Q$8*$X69,0))</f>
        <v>0</v>
      </c>
      <c r="R69" s="432" t="n">
        <f aca="false">IF('Peak Revenue'!$A$1="BL","-",IF(Peak!X70&gt;Peak!$G70,R$8*$X69,0))</f>
        <v>0</v>
      </c>
      <c r="S69" s="432" t="n">
        <f aca="false">IF('Peak Revenue'!$A$1="BL","-",IF(Peak!Y70&gt;Peak!$G70,S$8*$X69,0))</f>
        <v>0</v>
      </c>
      <c r="T69" s="432" t="n">
        <f aca="false">IF('Peak Revenue'!$A$1="BL","-",IF(Peak!Z70&gt;Peak!$G70,T$8*$X69,0))</f>
        <v>0</v>
      </c>
      <c r="U69" s="432" t="n">
        <f aca="false">IF('Peak Revenue'!$A$1="BL","-",IF(Peak!AA70&gt;Peak!$G70,U$8*$X69,0))</f>
        <v>0</v>
      </c>
      <c r="V69" s="441" t="n">
        <f aca="false">SUM(B69:U69)</f>
        <v>166.369791381501</v>
      </c>
      <c r="W69" s="443" t="n">
        <f aca="false">SUM(V58:V69)</f>
        <v>2088.42326075997</v>
      </c>
      <c r="X69" s="439" t="n">
        <f aca="false">CHOOSE(QUOTIENT(MONTH($A69),3)+1,Peak!$AM$11,Peak!$AN$11,Peak!$AL$11,Peak!$AO$11,Peak!$AM$11)</f>
        <v>0.924276618786118</v>
      </c>
      <c r="Y69" s="440" t="n">
        <f aca="false">CHOOSE(QUOTIENT(MONTH($A69),3)+1,Peak!$AM$17,Peak!$AN$17,Peak!$AL$17,Peak!$AO$17,Peak!$AM$17)</f>
        <v>705</v>
      </c>
    </row>
    <row r="70" customFormat="false" ht="12.75" hidden="false" customHeight="false" outlineLevel="0" collapsed="false">
      <c r="A70" s="400" t="n">
        <f aca="false">A69+30.417</f>
        <v>38365.02</v>
      </c>
      <c r="B70" s="432" t="n">
        <f aca="false">IF('Peak Revenue'!$A$1="BL","-",IF(Peak!H71&gt;Peak!$G71,B$8*$X70,0))</f>
        <v>4.62138309393059</v>
      </c>
      <c r="C70" s="432" t="n">
        <f aca="false">IF('Peak Revenue'!$A$1="BL","-",IF(Peak!I71&gt;Peak!$G71,C$8*$X70,0))</f>
        <v>4.62138309393059</v>
      </c>
      <c r="D70" s="432" t="n">
        <f aca="false">IF('Peak Revenue'!$A$1="BL","-",IF(Peak!J71&gt;Peak!$G71,D$8*$X70,0))</f>
        <v>9.24276618786118</v>
      </c>
      <c r="E70" s="432" t="n">
        <f aca="false">IF('Peak Revenue'!$A$1="BL","-",IF(Peak!K71&gt;Peak!$G71,E$8*$X70,0))</f>
        <v>18.4855323757224</v>
      </c>
      <c r="F70" s="432" t="n">
        <f aca="false">IF('Peak Revenue'!$A$1="BL","-",IF(Peak!L71&gt;Peak!$G71,F$8*$X70,0))</f>
        <v>18.4855323757224</v>
      </c>
      <c r="G70" s="432" t="n">
        <f aca="false">IF('Peak Revenue'!$A$1="BL","-",IF(Peak!M71&gt;Peak!$G71,G$8*$X70,0))</f>
        <v>36.9710647514447</v>
      </c>
      <c r="H70" s="432" t="n">
        <f aca="false">IF('Peak Revenue'!$A$1="BL","-",IF(Peak!N71&gt;Peak!$G71,H$8*$X70,0))</f>
        <v>36.9710647514447</v>
      </c>
      <c r="I70" s="432" t="n">
        <f aca="false">IF('Peak Revenue'!$A$1="BL","-",IF(Peak!O71&gt;Peak!$G71,I$8*$X70,0))</f>
        <v>0</v>
      </c>
      <c r="J70" s="432" t="n">
        <f aca="false">IF('Peak Revenue'!$A$1="BL","-",IF(Peak!P71&gt;Peak!$G71,J$8*$X70,0))</f>
        <v>0</v>
      </c>
      <c r="K70" s="432" t="n">
        <f aca="false">IF('Peak Revenue'!$A$1="BL","-",IF(Peak!Q71&gt;Peak!$G71,K$8*$X70,0))</f>
        <v>0</v>
      </c>
      <c r="L70" s="432" t="n">
        <f aca="false">IF('Peak Revenue'!$A$1="BL","-",IF(Peak!R71&gt;Peak!$G71,L$8*$X70,0))</f>
        <v>0</v>
      </c>
      <c r="M70" s="432" t="n">
        <f aca="false">IF('Peak Revenue'!$A$1="BL","-",IF(Peak!S71&gt;Peak!$G71,M$8*$X70,0))</f>
        <v>0</v>
      </c>
      <c r="N70" s="432" t="n">
        <f aca="false">IF('Peak Revenue'!$A$1="BL","-",IF(Peak!T71&gt;Peak!$G71,N$8*$X70,0))</f>
        <v>0</v>
      </c>
      <c r="O70" s="432" t="n">
        <f aca="false">IF('Peak Revenue'!$A$1="BL","-",IF(Peak!U71&gt;Peak!$G71,O$8*$X70,0))</f>
        <v>0</v>
      </c>
      <c r="P70" s="432" t="n">
        <f aca="false">IF('Peak Revenue'!$A$1="BL","-",IF(Peak!V71&gt;Peak!$G71,P$8*$X70,0))</f>
        <v>0</v>
      </c>
      <c r="Q70" s="432" t="n">
        <f aca="false">IF('Peak Revenue'!$A$1="BL","-",IF(Peak!W71&gt;Peak!$G71,Q$8*$X70,0))</f>
        <v>0</v>
      </c>
      <c r="R70" s="432" t="n">
        <f aca="false">IF('Peak Revenue'!$A$1="BL","-",IF(Peak!X71&gt;Peak!$G71,R$8*$X70,0))</f>
        <v>0</v>
      </c>
      <c r="S70" s="432" t="n">
        <f aca="false">IF('Peak Revenue'!$A$1="BL","-",IF(Peak!Y71&gt;Peak!$G71,S$8*$X70,0))</f>
        <v>0</v>
      </c>
      <c r="T70" s="432" t="n">
        <f aca="false">IF('Peak Revenue'!$A$1="BL","-",IF(Peak!Z71&gt;Peak!$G71,T$8*$X70,0))</f>
        <v>0</v>
      </c>
      <c r="U70" s="432" t="n">
        <f aca="false">IF('Peak Revenue'!$A$1="BL","-",IF(Peak!AA71&gt;Peak!$G71,U$8*$X70,0))</f>
        <v>0</v>
      </c>
      <c r="V70" s="441" t="n">
        <f aca="false">SUM(B70:U70)</f>
        <v>129.398726630056</v>
      </c>
      <c r="W70" s="442"/>
      <c r="X70" s="439" t="n">
        <f aca="false">CHOOSE(QUOTIENT(MONTH($A70),3)+1,Peak!$AM$11,Peak!$AN$11,Peak!$AL$11,Peak!$AO$11,Peak!$AM$11)</f>
        <v>0.924276618786118</v>
      </c>
      <c r="Y70" s="440" t="n">
        <f aca="false">CHOOSE(QUOTIENT(MONTH($A70),3)+1,Peak!$AM$17,Peak!$AN$17,Peak!$AL$17,Peak!$AO$17,Peak!$AM$17)</f>
        <v>705</v>
      </c>
    </row>
    <row r="71" customFormat="false" ht="12.75" hidden="false" customHeight="false" outlineLevel="0" collapsed="false">
      <c r="A71" s="400" t="n">
        <f aca="false">A70+30.417</f>
        <v>38395.437</v>
      </c>
      <c r="B71" s="432" t="n">
        <f aca="false">IF('Peak Revenue'!$A$1="BL","-",IF(Peak!H72&gt;Peak!$G72,B$8*$X71,0))</f>
        <v>4.62138309393059</v>
      </c>
      <c r="C71" s="432" t="n">
        <f aca="false">IF('Peak Revenue'!$A$1="BL","-",IF(Peak!I72&gt;Peak!$G72,C$8*$X71,0))</f>
        <v>4.62138309393059</v>
      </c>
      <c r="D71" s="432" t="n">
        <f aca="false">IF('Peak Revenue'!$A$1="BL","-",IF(Peak!J72&gt;Peak!$G72,D$8*$X71,0))</f>
        <v>9.24276618786118</v>
      </c>
      <c r="E71" s="432" t="n">
        <f aca="false">IF('Peak Revenue'!$A$1="BL","-",IF(Peak!K72&gt;Peak!$G72,E$8*$X71,0))</f>
        <v>18.4855323757224</v>
      </c>
      <c r="F71" s="432" t="n">
        <f aca="false">IF('Peak Revenue'!$A$1="BL","-",IF(Peak!L72&gt;Peak!$G72,F$8*$X71,0))</f>
        <v>18.4855323757224</v>
      </c>
      <c r="G71" s="432" t="n">
        <f aca="false">IF('Peak Revenue'!$A$1="BL","-",IF(Peak!M72&gt;Peak!$G72,G$8*$X71,0))</f>
        <v>36.9710647514447</v>
      </c>
      <c r="H71" s="432" t="n">
        <f aca="false">IF('Peak Revenue'!$A$1="BL","-",IF(Peak!N72&gt;Peak!$G72,H$8*$X71,0))</f>
        <v>36.9710647514447</v>
      </c>
      <c r="I71" s="432" t="n">
        <f aca="false">IF('Peak Revenue'!$A$1="BL","-",IF(Peak!O72&gt;Peak!$G72,I$8*$X71,0))</f>
        <v>36.9710647514447</v>
      </c>
      <c r="J71" s="432" t="n">
        <f aca="false">IF('Peak Revenue'!$A$1="BL","-",IF(Peak!P72&gt;Peak!$G72,J$8*$X71,0))</f>
        <v>0</v>
      </c>
      <c r="K71" s="432" t="n">
        <f aca="false">IF('Peak Revenue'!$A$1="BL","-",IF(Peak!Q72&gt;Peak!$G72,K$8*$X71,0))</f>
        <v>0</v>
      </c>
      <c r="L71" s="432" t="n">
        <f aca="false">IF('Peak Revenue'!$A$1="BL","-",IF(Peak!R72&gt;Peak!$G72,L$8*$X71,0))</f>
        <v>0</v>
      </c>
      <c r="M71" s="432" t="n">
        <f aca="false">IF('Peak Revenue'!$A$1="BL","-",IF(Peak!S72&gt;Peak!$G72,M$8*$X71,0))</f>
        <v>0</v>
      </c>
      <c r="N71" s="432" t="n">
        <f aca="false">IF('Peak Revenue'!$A$1="BL","-",IF(Peak!T72&gt;Peak!$G72,N$8*$X71,0))</f>
        <v>0</v>
      </c>
      <c r="O71" s="432" t="n">
        <f aca="false">IF('Peak Revenue'!$A$1="BL","-",IF(Peak!U72&gt;Peak!$G72,O$8*$X71,0))</f>
        <v>0</v>
      </c>
      <c r="P71" s="432" t="n">
        <f aca="false">IF('Peak Revenue'!$A$1="BL","-",IF(Peak!V72&gt;Peak!$G72,P$8*$X71,0))</f>
        <v>0</v>
      </c>
      <c r="Q71" s="432" t="n">
        <f aca="false">IF('Peak Revenue'!$A$1="BL","-",IF(Peak!W72&gt;Peak!$G72,Q$8*$X71,0))</f>
        <v>0</v>
      </c>
      <c r="R71" s="432" t="n">
        <f aca="false">IF('Peak Revenue'!$A$1="BL","-",IF(Peak!X72&gt;Peak!$G72,R$8*$X71,0))</f>
        <v>0</v>
      </c>
      <c r="S71" s="432" t="n">
        <f aca="false">IF('Peak Revenue'!$A$1="BL","-",IF(Peak!Y72&gt;Peak!$G72,S$8*$X71,0))</f>
        <v>0</v>
      </c>
      <c r="T71" s="432" t="n">
        <f aca="false">IF('Peak Revenue'!$A$1="BL","-",IF(Peak!Z72&gt;Peak!$G72,T$8*$X71,0))</f>
        <v>0</v>
      </c>
      <c r="U71" s="432" t="n">
        <f aca="false">IF('Peak Revenue'!$A$1="BL","-",IF(Peak!AA72&gt;Peak!$G72,U$8*$X71,0))</f>
        <v>0</v>
      </c>
      <c r="V71" s="441" t="n">
        <f aca="false">SUM(B71:U71)</f>
        <v>166.369791381501</v>
      </c>
      <c r="W71" s="442"/>
      <c r="X71" s="439" t="n">
        <f aca="false">CHOOSE(QUOTIENT(MONTH($A71),3)+1,Peak!$AM$11,Peak!$AN$11,Peak!$AL$11,Peak!$AO$11,Peak!$AM$11)</f>
        <v>0.924276618786118</v>
      </c>
      <c r="Y71" s="440" t="n">
        <f aca="false">CHOOSE(QUOTIENT(MONTH($A71),3)+1,Peak!$AM$17,Peak!$AN$17,Peak!$AL$17,Peak!$AO$17,Peak!$AM$17)</f>
        <v>705</v>
      </c>
    </row>
    <row r="72" customFormat="false" ht="12.75" hidden="false" customHeight="false" outlineLevel="0" collapsed="false">
      <c r="A72" s="400" t="n">
        <f aca="false">A71+30.417</f>
        <v>38425.854</v>
      </c>
      <c r="B72" s="432" t="n">
        <f aca="false">IF('Peak Revenue'!$A$1="BL","-",IF(Peak!H73&gt;Peak!$G73,B$8*$X72,0))</f>
        <v>4.75</v>
      </c>
      <c r="C72" s="432" t="n">
        <f aca="false">IF('Peak Revenue'!$A$1="BL","-",IF(Peak!I73&gt;Peak!$G73,C$8*$X72,0))</f>
        <v>4.75</v>
      </c>
      <c r="D72" s="432" t="n">
        <f aca="false">IF('Peak Revenue'!$A$1="BL","-",IF(Peak!J73&gt;Peak!$G73,D$8*$X72,0))</f>
        <v>9.5</v>
      </c>
      <c r="E72" s="432" t="n">
        <f aca="false">IF('Peak Revenue'!$A$1="BL","-",IF(Peak!K73&gt;Peak!$G73,E$8*$X72,0))</f>
        <v>19</v>
      </c>
      <c r="F72" s="432" t="n">
        <f aca="false">IF('Peak Revenue'!$A$1="BL","-",IF(Peak!L73&gt;Peak!$G73,F$8*$X72,0))</f>
        <v>19</v>
      </c>
      <c r="G72" s="432" t="n">
        <f aca="false">IF('Peak Revenue'!$A$1="BL","-",IF(Peak!M73&gt;Peak!$G73,G$8*$X72,0))</f>
        <v>38</v>
      </c>
      <c r="H72" s="432" t="n">
        <f aca="false">IF('Peak Revenue'!$A$1="BL","-",IF(Peak!N73&gt;Peak!$G73,H$8*$X72,0))</f>
        <v>38</v>
      </c>
      <c r="I72" s="432" t="n">
        <f aca="false">IF('Peak Revenue'!$A$1="BL","-",IF(Peak!O73&gt;Peak!$G73,I$8*$X72,0))</f>
        <v>0</v>
      </c>
      <c r="J72" s="432" t="n">
        <f aca="false">IF('Peak Revenue'!$A$1="BL","-",IF(Peak!P73&gt;Peak!$G73,J$8*$X72,0))</f>
        <v>0</v>
      </c>
      <c r="K72" s="432" t="n">
        <f aca="false">IF('Peak Revenue'!$A$1="BL","-",IF(Peak!Q73&gt;Peak!$G73,K$8*$X72,0))</f>
        <v>0</v>
      </c>
      <c r="L72" s="432" t="n">
        <f aca="false">IF('Peak Revenue'!$A$1="BL","-",IF(Peak!R73&gt;Peak!$G73,L$8*$X72,0))</f>
        <v>0</v>
      </c>
      <c r="M72" s="432" t="n">
        <f aca="false">IF('Peak Revenue'!$A$1="BL","-",IF(Peak!S73&gt;Peak!$G73,M$8*$X72,0))</f>
        <v>0</v>
      </c>
      <c r="N72" s="432" t="n">
        <f aca="false">IF('Peak Revenue'!$A$1="BL","-",IF(Peak!T73&gt;Peak!$G73,N$8*$X72,0))</f>
        <v>0</v>
      </c>
      <c r="O72" s="432" t="n">
        <f aca="false">IF('Peak Revenue'!$A$1="BL","-",IF(Peak!U73&gt;Peak!$G73,O$8*$X72,0))</f>
        <v>0</v>
      </c>
      <c r="P72" s="432" t="n">
        <f aca="false">IF('Peak Revenue'!$A$1="BL","-",IF(Peak!V73&gt;Peak!$G73,P$8*$X72,0))</f>
        <v>0</v>
      </c>
      <c r="Q72" s="432" t="n">
        <f aca="false">IF('Peak Revenue'!$A$1="BL","-",IF(Peak!W73&gt;Peak!$G73,Q$8*$X72,0))</f>
        <v>0</v>
      </c>
      <c r="R72" s="432" t="n">
        <f aca="false">IF('Peak Revenue'!$A$1="BL","-",IF(Peak!X73&gt;Peak!$G73,R$8*$X72,0))</f>
        <v>0</v>
      </c>
      <c r="S72" s="432" t="n">
        <f aca="false">IF('Peak Revenue'!$A$1="BL","-",IF(Peak!Y73&gt;Peak!$G73,S$8*$X72,0))</f>
        <v>0</v>
      </c>
      <c r="T72" s="432" t="n">
        <f aca="false">IF('Peak Revenue'!$A$1="BL","-",IF(Peak!Z73&gt;Peak!$G73,T$8*$X72,0))</f>
        <v>0</v>
      </c>
      <c r="U72" s="432" t="n">
        <f aca="false">IF('Peak Revenue'!$A$1="BL","-",IF(Peak!AA73&gt;Peak!$G73,U$8*$X72,0))</f>
        <v>0</v>
      </c>
      <c r="V72" s="441" t="n">
        <f aca="false">SUM(B72:U72)</f>
        <v>133</v>
      </c>
      <c r="W72" s="442"/>
      <c r="X72" s="439" t="n">
        <f aca="false">CHOOSE(QUOTIENT(MONTH($A72),3)+1,Peak!$AM$11,Peak!$AN$11,Peak!$AL$11,Peak!$AO$11,Peak!$AM$11)</f>
        <v>0.95</v>
      </c>
      <c r="Y72" s="440" t="n">
        <f aca="false">CHOOSE(QUOTIENT(MONTH($A72),3)+1,Peak!$AM$17,Peak!$AN$17,Peak!$AL$17,Peak!$AO$17,Peak!$AM$17)</f>
        <v>705</v>
      </c>
    </row>
    <row r="73" customFormat="false" ht="12.75" hidden="false" customHeight="false" outlineLevel="0" collapsed="false">
      <c r="A73" s="400" t="n">
        <f aca="false">A72+30.417</f>
        <v>38456.271</v>
      </c>
      <c r="B73" s="432" t="n">
        <f aca="false">IF('Peak Revenue'!$A$1="BL","-",IF(Peak!H74&gt;Peak!$G74,B$8*$X73,0))</f>
        <v>4.75</v>
      </c>
      <c r="C73" s="432" t="n">
        <f aca="false">IF('Peak Revenue'!$A$1="BL","-",IF(Peak!I74&gt;Peak!$G74,C$8*$X73,0))</f>
        <v>4.75</v>
      </c>
      <c r="D73" s="432" t="n">
        <f aca="false">IF('Peak Revenue'!$A$1="BL","-",IF(Peak!J74&gt;Peak!$G74,D$8*$X73,0))</f>
        <v>9.5</v>
      </c>
      <c r="E73" s="432" t="n">
        <f aca="false">IF('Peak Revenue'!$A$1="BL","-",IF(Peak!K74&gt;Peak!$G74,E$8*$X73,0))</f>
        <v>19</v>
      </c>
      <c r="F73" s="432" t="n">
        <f aca="false">IF('Peak Revenue'!$A$1="BL","-",IF(Peak!L74&gt;Peak!$G74,F$8*$X73,0))</f>
        <v>19</v>
      </c>
      <c r="G73" s="432" t="n">
        <f aca="false">IF('Peak Revenue'!$A$1="BL","-",IF(Peak!M74&gt;Peak!$G74,G$8*$X73,0))</f>
        <v>38</v>
      </c>
      <c r="H73" s="432" t="n">
        <f aca="false">IF('Peak Revenue'!$A$1="BL","-",IF(Peak!N74&gt;Peak!$G74,H$8*$X73,0))</f>
        <v>38</v>
      </c>
      <c r="I73" s="432" t="n">
        <f aca="false">IF('Peak Revenue'!$A$1="BL","-",IF(Peak!O74&gt;Peak!$G74,I$8*$X73,0))</f>
        <v>0</v>
      </c>
      <c r="J73" s="432" t="n">
        <f aca="false">IF('Peak Revenue'!$A$1="BL","-",IF(Peak!P74&gt;Peak!$G74,J$8*$X73,0))</f>
        <v>0</v>
      </c>
      <c r="K73" s="432" t="n">
        <f aca="false">IF('Peak Revenue'!$A$1="BL","-",IF(Peak!Q74&gt;Peak!$G74,K$8*$X73,0))</f>
        <v>0</v>
      </c>
      <c r="L73" s="432" t="n">
        <f aca="false">IF('Peak Revenue'!$A$1="BL","-",IF(Peak!R74&gt;Peak!$G74,L$8*$X73,0))</f>
        <v>0</v>
      </c>
      <c r="M73" s="432" t="n">
        <f aca="false">IF('Peak Revenue'!$A$1="BL","-",IF(Peak!S74&gt;Peak!$G74,M$8*$X73,0))</f>
        <v>0</v>
      </c>
      <c r="N73" s="432" t="n">
        <f aca="false">IF('Peak Revenue'!$A$1="BL","-",IF(Peak!T74&gt;Peak!$G74,N$8*$X73,0))</f>
        <v>0</v>
      </c>
      <c r="O73" s="432" t="n">
        <f aca="false">IF('Peak Revenue'!$A$1="BL","-",IF(Peak!U74&gt;Peak!$G74,O$8*$X73,0))</f>
        <v>0</v>
      </c>
      <c r="P73" s="432" t="n">
        <f aca="false">IF('Peak Revenue'!$A$1="BL","-",IF(Peak!V74&gt;Peak!$G74,P$8*$X73,0))</f>
        <v>0</v>
      </c>
      <c r="Q73" s="432" t="n">
        <f aca="false">IF('Peak Revenue'!$A$1="BL","-",IF(Peak!W74&gt;Peak!$G74,Q$8*$X73,0))</f>
        <v>0</v>
      </c>
      <c r="R73" s="432" t="n">
        <f aca="false">IF('Peak Revenue'!$A$1="BL","-",IF(Peak!X74&gt;Peak!$G74,R$8*$X73,0))</f>
        <v>0</v>
      </c>
      <c r="S73" s="432" t="n">
        <f aca="false">IF('Peak Revenue'!$A$1="BL","-",IF(Peak!Y74&gt;Peak!$G74,S$8*$X73,0))</f>
        <v>0</v>
      </c>
      <c r="T73" s="432" t="n">
        <f aca="false">IF('Peak Revenue'!$A$1="BL","-",IF(Peak!Z74&gt;Peak!$G74,T$8*$X73,0))</f>
        <v>0</v>
      </c>
      <c r="U73" s="432" t="n">
        <f aca="false">IF('Peak Revenue'!$A$1="BL","-",IF(Peak!AA74&gt;Peak!$G74,U$8*$X73,0))</f>
        <v>0</v>
      </c>
      <c r="V73" s="441" t="n">
        <f aca="false">SUM(B73:U73)</f>
        <v>133</v>
      </c>
      <c r="W73" s="442"/>
      <c r="X73" s="439" t="n">
        <f aca="false">CHOOSE(QUOTIENT(MONTH($A73),3)+1,Peak!$AM$11,Peak!$AN$11,Peak!$AL$11,Peak!$AO$11,Peak!$AM$11)</f>
        <v>0.95</v>
      </c>
      <c r="Y73" s="440" t="n">
        <f aca="false">CHOOSE(QUOTIENT(MONTH($A73),3)+1,Peak!$AM$17,Peak!$AN$17,Peak!$AL$17,Peak!$AO$17,Peak!$AM$17)</f>
        <v>705</v>
      </c>
    </row>
    <row r="74" customFormat="false" ht="12.75" hidden="false" customHeight="false" outlineLevel="0" collapsed="false">
      <c r="A74" s="400" t="n">
        <f aca="false">A73+30.417</f>
        <v>38486.688</v>
      </c>
      <c r="B74" s="432" t="n">
        <f aca="false">IF('Peak Revenue'!$A$1="BL","-",IF(Peak!H75&gt;Peak!$G75,B$8*$X74,0))</f>
        <v>4.75</v>
      </c>
      <c r="C74" s="432" t="n">
        <f aca="false">IF('Peak Revenue'!$A$1="BL","-",IF(Peak!I75&gt;Peak!$G75,C$8*$X74,0))</f>
        <v>4.75</v>
      </c>
      <c r="D74" s="432" t="n">
        <f aca="false">IF('Peak Revenue'!$A$1="BL","-",IF(Peak!J75&gt;Peak!$G75,D$8*$X74,0))</f>
        <v>9.5</v>
      </c>
      <c r="E74" s="432" t="n">
        <f aca="false">IF('Peak Revenue'!$A$1="BL","-",IF(Peak!K75&gt;Peak!$G75,E$8*$X74,0))</f>
        <v>19</v>
      </c>
      <c r="F74" s="432" t="n">
        <f aca="false">IF('Peak Revenue'!$A$1="BL","-",IF(Peak!L75&gt;Peak!$G75,F$8*$X74,0))</f>
        <v>19</v>
      </c>
      <c r="G74" s="432" t="n">
        <f aca="false">IF('Peak Revenue'!$A$1="BL","-",IF(Peak!M75&gt;Peak!$G75,G$8*$X74,0))</f>
        <v>38</v>
      </c>
      <c r="H74" s="432" t="n">
        <f aca="false">IF('Peak Revenue'!$A$1="BL","-",IF(Peak!N75&gt;Peak!$G75,H$8*$X74,0))</f>
        <v>38</v>
      </c>
      <c r="I74" s="432" t="n">
        <f aca="false">IF('Peak Revenue'!$A$1="BL","-",IF(Peak!O75&gt;Peak!$G75,I$8*$X74,0))</f>
        <v>0</v>
      </c>
      <c r="J74" s="432" t="n">
        <f aca="false">IF('Peak Revenue'!$A$1="BL","-",IF(Peak!P75&gt;Peak!$G75,J$8*$X74,0))</f>
        <v>0</v>
      </c>
      <c r="K74" s="432" t="n">
        <f aca="false">IF('Peak Revenue'!$A$1="BL","-",IF(Peak!Q75&gt;Peak!$G75,K$8*$X74,0))</f>
        <v>0</v>
      </c>
      <c r="L74" s="432" t="n">
        <f aca="false">IF('Peak Revenue'!$A$1="BL","-",IF(Peak!R75&gt;Peak!$G75,L$8*$X74,0))</f>
        <v>0</v>
      </c>
      <c r="M74" s="432" t="n">
        <f aca="false">IF('Peak Revenue'!$A$1="BL","-",IF(Peak!S75&gt;Peak!$G75,M$8*$X74,0))</f>
        <v>0</v>
      </c>
      <c r="N74" s="432" t="n">
        <f aca="false">IF('Peak Revenue'!$A$1="BL","-",IF(Peak!T75&gt;Peak!$G75,N$8*$X74,0))</f>
        <v>0</v>
      </c>
      <c r="O74" s="432" t="n">
        <f aca="false">IF('Peak Revenue'!$A$1="BL","-",IF(Peak!U75&gt;Peak!$G75,O$8*$X74,0))</f>
        <v>0</v>
      </c>
      <c r="P74" s="432" t="n">
        <f aca="false">IF('Peak Revenue'!$A$1="BL","-",IF(Peak!V75&gt;Peak!$G75,P$8*$X74,0))</f>
        <v>0</v>
      </c>
      <c r="Q74" s="432" t="n">
        <f aca="false">IF('Peak Revenue'!$A$1="BL","-",IF(Peak!W75&gt;Peak!$G75,Q$8*$X74,0))</f>
        <v>0</v>
      </c>
      <c r="R74" s="432" t="n">
        <f aca="false">IF('Peak Revenue'!$A$1="BL","-",IF(Peak!X75&gt;Peak!$G75,R$8*$X74,0))</f>
        <v>0</v>
      </c>
      <c r="S74" s="432" t="n">
        <f aca="false">IF('Peak Revenue'!$A$1="BL","-",IF(Peak!Y75&gt;Peak!$G75,S$8*$X74,0))</f>
        <v>0</v>
      </c>
      <c r="T74" s="432" t="n">
        <f aca="false">IF('Peak Revenue'!$A$1="BL","-",IF(Peak!Z75&gt;Peak!$G75,T$8*$X74,0))</f>
        <v>0</v>
      </c>
      <c r="U74" s="432" t="n">
        <f aca="false">IF('Peak Revenue'!$A$1="BL","-",IF(Peak!AA75&gt;Peak!$G75,U$8*$X74,0))</f>
        <v>0</v>
      </c>
      <c r="V74" s="441" t="n">
        <f aca="false">SUM(B74:U74)</f>
        <v>133</v>
      </c>
      <c r="W74" s="442"/>
      <c r="X74" s="439" t="n">
        <f aca="false">CHOOSE(QUOTIENT(MONTH($A74),3)+1,Peak!$AM$11,Peak!$AN$11,Peak!$AL$11,Peak!$AO$11,Peak!$AM$11)</f>
        <v>0.95</v>
      </c>
      <c r="Y74" s="440" t="n">
        <f aca="false">CHOOSE(QUOTIENT(MONTH($A74),3)+1,Peak!$AM$17,Peak!$AN$17,Peak!$AL$17,Peak!$AO$17,Peak!$AM$17)</f>
        <v>705</v>
      </c>
    </row>
    <row r="75" customFormat="false" ht="12.75" hidden="false" customHeight="false" outlineLevel="0" collapsed="false">
      <c r="A75" s="400" t="n">
        <f aca="false">A74+30.417</f>
        <v>38517.105</v>
      </c>
      <c r="B75" s="432" t="n">
        <f aca="false">IF('Peak Revenue'!$A$1="BL","-",IF(Peak!H76&gt;Peak!$G76,B$8*$X75,0))</f>
        <v>4.83060679547793</v>
      </c>
      <c r="C75" s="432" t="n">
        <f aca="false">IF('Peak Revenue'!$A$1="BL","-",IF(Peak!I76&gt;Peak!$G76,C$8*$X75,0))</f>
        <v>4.83060679547793</v>
      </c>
      <c r="D75" s="432" t="n">
        <f aca="false">IF('Peak Revenue'!$A$1="BL","-",IF(Peak!J76&gt;Peak!$G76,D$8*$X75,0))</f>
        <v>9.66121359095586</v>
      </c>
      <c r="E75" s="432" t="n">
        <f aca="false">IF('Peak Revenue'!$A$1="BL","-",IF(Peak!K76&gt;Peak!$G76,E$8*$X75,0))</f>
        <v>19.3224271819117</v>
      </c>
      <c r="F75" s="432" t="n">
        <f aca="false">IF('Peak Revenue'!$A$1="BL","-",IF(Peak!L76&gt;Peak!$G76,F$8*$X75,0))</f>
        <v>19.3224271819117</v>
      </c>
      <c r="G75" s="432" t="n">
        <f aca="false">IF('Peak Revenue'!$A$1="BL","-",IF(Peak!M76&gt;Peak!$G76,G$8*$X75,0))</f>
        <v>38.6448543638234</v>
      </c>
      <c r="H75" s="432" t="n">
        <f aca="false">IF('Peak Revenue'!$A$1="BL","-",IF(Peak!N76&gt;Peak!$G76,H$8*$X75,0))</f>
        <v>38.6448543638234</v>
      </c>
      <c r="I75" s="432" t="n">
        <f aca="false">IF('Peak Revenue'!$A$1="BL","-",IF(Peak!O76&gt;Peak!$G76,I$8*$X75,0))</f>
        <v>38.6448543638234</v>
      </c>
      <c r="J75" s="432" t="n">
        <f aca="false">IF('Peak Revenue'!$A$1="BL","-",IF(Peak!P76&gt;Peak!$G76,J$8*$X75,0))</f>
        <v>0</v>
      </c>
      <c r="K75" s="432" t="n">
        <f aca="false">IF('Peak Revenue'!$A$1="BL","-",IF(Peak!Q76&gt;Peak!$G76,K$8*$X75,0))</f>
        <v>0</v>
      </c>
      <c r="L75" s="432" t="n">
        <f aca="false">IF('Peak Revenue'!$A$1="BL","-",IF(Peak!R76&gt;Peak!$G76,L$8*$X75,0))</f>
        <v>0</v>
      </c>
      <c r="M75" s="432" t="n">
        <f aca="false">IF('Peak Revenue'!$A$1="BL","-",IF(Peak!S76&gt;Peak!$G76,M$8*$X75,0))</f>
        <v>0</v>
      </c>
      <c r="N75" s="432" t="n">
        <f aca="false">IF('Peak Revenue'!$A$1="BL","-",IF(Peak!T76&gt;Peak!$G76,N$8*$X75,0))</f>
        <v>0</v>
      </c>
      <c r="O75" s="432" t="n">
        <f aca="false">IF('Peak Revenue'!$A$1="BL","-",IF(Peak!U76&gt;Peak!$G76,O$8*$X75,0))</f>
        <v>0</v>
      </c>
      <c r="P75" s="432" t="n">
        <f aca="false">IF('Peak Revenue'!$A$1="BL","-",IF(Peak!V76&gt;Peak!$G76,P$8*$X75,0))</f>
        <v>0</v>
      </c>
      <c r="Q75" s="432" t="n">
        <f aca="false">IF('Peak Revenue'!$A$1="BL","-",IF(Peak!W76&gt;Peak!$G76,Q$8*$X75,0))</f>
        <v>0</v>
      </c>
      <c r="R75" s="432" t="n">
        <f aca="false">IF('Peak Revenue'!$A$1="BL","-",IF(Peak!X76&gt;Peak!$G76,R$8*$X75,0))</f>
        <v>0</v>
      </c>
      <c r="S75" s="432" t="n">
        <f aca="false">IF('Peak Revenue'!$A$1="BL","-",IF(Peak!Y76&gt;Peak!$G76,S$8*$X75,0))</f>
        <v>0</v>
      </c>
      <c r="T75" s="432" t="n">
        <f aca="false">IF('Peak Revenue'!$A$1="BL","-",IF(Peak!Z76&gt;Peak!$G76,T$8*$X75,0))</f>
        <v>0</v>
      </c>
      <c r="U75" s="432" t="n">
        <f aca="false">IF('Peak Revenue'!$A$1="BL","-",IF(Peak!AA76&gt;Peak!$G76,U$8*$X75,0))</f>
        <v>0</v>
      </c>
      <c r="V75" s="441" t="n">
        <f aca="false">SUM(B75:U75)</f>
        <v>173.901844637205</v>
      </c>
      <c r="W75" s="442"/>
      <c r="X75" s="439" t="n">
        <f aca="false">CHOOSE(QUOTIENT(MONTH($A75),3)+1,Peak!$AM$11,Peak!$AN$11,Peak!$AL$11,Peak!$AO$11,Peak!$AM$11)</f>
        <v>0.966121359095586</v>
      </c>
      <c r="Y75" s="440" t="n">
        <f aca="false">CHOOSE(QUOTIENT(MONTH($A75),3)+1,Peak!$AM$17,Peak!$AN$17,Peak!$AL$17,Peak!$AO$17,Peak!$AM$17)</f>
        <v>705</v>
      </c>
    </row>
    <row r="76" customFormat="false" ht="12.75" hidden="false" customHeight="false" outlineLevel="0" collapsed="false">
      <c r="A76" s="400" t="n">
        <f aca="false">A75+30.417</f>
        <v>38547.522</v>
      </c>
      <c r="B76" s="432" t="n">
        <f aca="false">IF('Peak Revenue'!$A$1="BL","-",IF(Peak!H77&gt;Peak!$G77,B$8*$X76,0))</f>
        <v>4.83060679547793</v>
      </c>
      <c r="C76" s="432" t="n">
        <f aca="false">IF('Peak Revenue'!$A$1="BL","-",IF(Peak!I77&gt;Peak!$G77,C$8*$X76,0))</f>
        <v>4.83060679547793</v>
      </c>
      <c r="D76" s="432" t="n">
        <f aca="false">IF('Peak Revenue'!$A$1="BL","-",IF(Peak!J77&gt;Peak!$G77,D$8*$X76,0))</f>
        <v>9.66121359095586</v>
      </c>
      <c r="E76" s="432" t="n">
        <f aca="false">IF('Peak Revenue'!$A$1="BL","-",IF(Peak!K77&gt;Peak!$G77,E$8*$X76,0))</f>
        <v>19.3224271819117</v>
      </c>
      <c r="F76" s="432" t="n">
        <f aca="false">IF('Peak Revenue'!$A$1="BL","-",IF(Peak!L77&gt;Peak!$G77,F$8*$X76,0))</f>
        <v>19.3224271819117</v>
      </c>
      <c r="G76" s="432" t="n">
        <f aca="false">IF('Peak Revenue'!$A$1="BL","-",IF(Peak!M77&gt;Peak!$G77,G$8*$X76,0))</f>
        <v>38.6448543638234</v>
      </c>
      <c r="H76" s="432" t="n">
        <f aca="false">IF('Peak Revenue'!$A$1="BL","-",IF(Peak!N77&gt;Peak!$G77,H$8*$X76,0))</f>
        <v>38.6448543638234</v>
      </c>
      <c r="I76" s="432" t="n">
        <f aca="false">IF('Peak Revenue'!$A$1="BL","-",IF(Peak!O77&gt;Peak!$G77,I$8*$X76,0))</f>
        <v>38.6448543638234</v>
      </c>
      <c r="J76" s="432" t="n">
        <f aca="false">IF('Peak Revenue'!$A$1="BL","-",IF(Peak!P77&gt;Peak!$G77,J$8*$X76,0))</f>
        <v>38.6448543638234</v>
      </c>
      <c r="K76" s="432" t="n">
        <f aca="false">IF('Peak Revenue'!$A$1="BL","-",IF(Peak!Q77&gt;Peak!$G77,K$8*$X76,0))</f>
        <v>38.6448543638234</v>
      </c>
      <c r="L76" s="432" t="n">
        <f aca="false">IF('Peak Revenue'!$A$1="BL","-",IF(Peak!R77&gt;Peak!$G77,L$8*$X76,0))</f>
        <v>0</v>
      </c>
      <c r="M76" s="432" t="n">
        <f aca="false">IF('Peak Revenue'!$A$1="BL","-",IF(Peak!S77&gt;Peak!$G77,M$8*$X76,0))</f>
        <v>0</v>
      </c>
      <c r="N76" s="432" t="n">
        <f aca="false">IF('Peak Revenue'!$A$1="BL","-",IF(Peak!T77&gt;Peak!$G77,N$8*$X76,0))</f>
        <v>0</v>
      </c>
      <c r="O76" s="432" t="n">
        <f aca="false">IF('Peak Revenue'!$A$1="BL","-",IF(Peak!U77&gt;Peak!$G77,O$8*$X76,0))</f>
        <v>0</v>
      </c>
      <c r="P76" s="432" t="n">
        <f aca="false">IF('Peak Revenue'!$A$1="BL","-",IF(Peak!V77&gt;Peak!$G77,P$8*$X76,0))</f>
        <v>0</v>
      </c>
      <c r="Q76" s="432" t="n">
        <f aca="false">IF('Peak Revenue'!$A$1="BL","-",IF(Peak!W77&gt;Peak!$G77,Q$8*$X76,0))</f>
        <v>0</v>
      </c>
      <c r="R76" s="432" t="n">
        <f aca="false">IF('Peak Revenue'!$A$1="BL","-",IF(Peak!X77&gt;Peak!$G77,R$8*$X76,0))</f>
        <v>0</v>
      </c>
      <c r="S76" s="432" t="n">
        <f aca="false">IF('Peak Revenue'!$A$1="BL","-",IF(Peak!Y77&gt;Peak!$G77,S$8*$X76,0))</f>
        <v>0</v>
      </c>
      <c r="T76" s="432" t="n">
        <f aca="false">IF('Peak Revenue'!$A$1="BL","-",IF(Peak!Z77&gt;Peak!$G77,T$8*$X76,0))</f>
        <v>0</v>
      </c>
      <c r="U76" s="432" t="n">
        <f aca="false">IF('Peak Revenue'!$A$1="BL","-",IF(Peak!AA77&gt;Peak!$G77,U$8*$X76,0))</f>
        <v>0</v>
      </c>
      <c r="V76" s="441" t="n">
        <f aca="false">SUM(B76:U76)</f>
        <v>251.191553364852</v>
      </c>
      <c r="W76" s="442"/>
      <c r="X76" s="439" t="n">
        <f aca="false">CHOOSE(QUOTIENT(MONTH($A76),3)+1,Peak!$AM$11,Peak!$AN$11,Peak!$AL$11,Peak!$AO$11,Peak!$AM$11)</f>
        <v>0.966121359095586</v>
      </c>
      <c r="Y76" s="440" t="n">
        <f aca="false">CHOOSE(QUOTIENT(MONTH($A76),3)+1,Peak!$AM$17,Peak!$AN$17,Peak!$AL$17,Peak!$AO$17,Peak!$AM$17)</f>
        <v>705</v>
      </c>
    </row>
    <row r="77" customFormat="false" ht="12.75" hidden="false" customHeight="false" outlineLevel="0" collapsed="false">
      <c r="A77" s="400" t="n">
        <f aca="false">A76+30.417</f>
        <v>38577.939</v>
      </c>
      <c r="B77" s="432" t="n">
        <f aca="false">IF('Peak Revenue'!$A$1="BL","-",IF(Peak!H78&gt;Peak!$G78,B$8*$X77,0))</f>
        <v>4.83060679547793</v>
      </c>
      <c r="C77" s="432" t="n">
        <f aca="false">IF('Peak Revenue'!$A$1="BL","-",IF(Peak!I78&gt;Peak!$G78,C$8*$X77,0))</f>
        <v>4.83060679547793</v>
      </c>
      <c r="D77" s="432" t="n">
        <f aca="false">IF('Peak Revenue'!$A$1="BL","-",IF(Peak!J78&gt;Peak!$G78,D$8*$X77,0))</f>
        <v>9.66121359095586</v>
      </c>
      <c r="E77" s="432" t="n">
        <f aca="false">IF('Peak Revenue'!$A$1="BL","-",IF(Peak!K78&gt;Peak!$G78,E$8*$X77,0))</f>
        <v>19.3224271819117</v>
      </c>
      <c r="F77" s="432" t="n">
        <f aca="false">IF('Peak Revenue'!$A$1="BL","-",IF(Peak!L78&gt;Peak!$G78,F$8*$X77,0))</f>
        <v>19.3224271819117</v>
      </c>
      <c r="G77" s="432" t="n">
        <f aca="false">IF('Peak Revenue'!$A$1="BL","-",IF(Peak!M78&gt;Peak!$G78,G$8*$X77,0))</f>
        <v>38.6448543638234</v>
      </c>
      <c r="H77" s="432" t="n">
        <f aca="false">IF('Peak Revenue'!$A$1="BL","-",IF(Peak!N78&gt;Peak!$G78,H$8*$X77,0))</f>
        <v>38.6448543638234</v>
      </c>
      <c r="I77" s="432" t="n">
        <f aca="false">IF('Peak Revenue'!$A$1="BL","-",IF(Peak!O78&gt;Peak!$G78,I$8*$X77,0))</f>
        <v>38.6448543638234</v>
      </c>
      <c r="J77" s="432" t="n">
        <f aca="false">IF('Peak Revenue'!$A$1="BL","-",IF(Peak!P78&gt;Peak!$G78,J$8*$X77,0))</f>
        <v>38.6448543638234</v>
      </c>
      <c r="K77" s="432" t="n">
        <f aca="false">IF('Peak Revenue'!$A$1="BL","-",IF(Peak!Q78&gt;Peak!$G78,K$8*$X77,0))</f>
        <v>38.6448543638234</v>
      </c>
      <c r="L77" s="432" t="n">
        <f aca="false">IF('Peak Revenue'!$A$1="BL","-",IF(Peak!R78&gt;Peak!$G78,L$8*$X77,0))</f>
        <v>38.6448543638234</v>
      </c>
      <c r="M77" s="432" t="n">
        <f aca="false">IF('Peak Revenue'!$A$1="BL","-",IF(Peak!S78&gt;Peak!$G78,M$8*$X77,0))</f>
        <v>0</v>
      </c>
      <c r="N77" s="432" t="n">
        <f aca="false">IF('Peak Revenue'!$A$1="BL","-",IF(Peak!T78&gt;Peak!$G78,N$8*$X77,0))</f>
        <v>0</v>
      </c>
      <c r="O77" s="432" t="n">
        <f aca="false">IF('Peak Revenue'!$A$1="BL","-",IF(Peak!U78&gt;Peak!$G78,O$8*$X77,0))</f>
        <v>0</v>
      </c>
      <c r="P77" s="432" t="n">
        <f aca="false">IF('Peak Revenue'!$A$1="BL","-",IF(Peak!V78&gt;Peak!$G78,P$8*$X77,0))</f>
        <v>0</v>
      </c>
      <c r="Q77" s="432" t="n">
        <f aca="false">IF('Peak Revenue'!$A$1="BL","-",IF(Peak!W78&gt;Peak!$G78,Q$8*$X77,0))</f>
        <v>0</v>
      </c>
      <c r="R77" s="432" t="n">
        <f aca="false">IF('Peak Revenue'!$A$1="BL","-",IF(Peak!X78&gt;Peak!$G78,R$8*$X77,0))</f>
        <v>0</v>
      </c>
      <c r="S77" s="432" t="n">
        <f aca="false">IF('Peak Revenue'!$A$1="BL","-",IF(Peak!Y78&gt;Peak!$G78,S$8*$X77,0))</f>
        <v>0</v>
      </c>
      <c r="T77" s="432" t="n">
        <f aca="false">IF('Peak Revenue'!$A$1="BL","-",IF(Peak!Z78&gt;Peak!$G78,T$8*$X77,0))</f>
        <v>0</v>
      </c>
      <c r="U77" s="432" t="n">
        <f aca="false">IF('Peak Revenue'!$A$1="BL","-",IF(Peak!AA78&gt;Peak!$G78,U$8*$X77,0))</f>
        <v>0</v>
      </c>
      <c r="V77" s="441" t="n">
        <f aca="false">SUM(B77:U77)</f>
        <v>289.836407728676</v>
      </c>
      <c r="W77" s="442"/>
      <c r="X77" s="439" t="n">
        <f aca="false">CHOOSE(QUOTIENT(MONTH($A77),3)+1,Peak!$AM$11,Peak!$AN$11,Peak!$AL$11,Peak!$AO$11,Peak!$AM$11)</f>
        <v>0.966121359095586</v>
      </c>
      <c r="Y77" s="440" t="n">
        <f aca="false">CHOOSE(QUOTIENT(MONTH($A77),3)+1,Peak!$AM$17,Peak!$AN$17,Peak!$AL$17,Peak!$AO$17,Peak!$AM$17)</f>
        <v>705</v>
      </c>
    </row>
    <row r="78" customFormat="false" ht="12.75" hidden="false" customHeight="false" outlineLevel="0" collapsed="false">
      <c r="A78" s="400" t="n">
        <f aca="false">A77+30.417</f>
        <v>38608.356</v>
      </c>
      <c r="B78" s="432" t="n">
        <f aca="false">IF('Peak Revenue'!$A$1="BL","-",IF(Peak!H79&gt;Peak!$G79,B$8*$X78,0))</f>
        <v>4.75</v>
      </c>
      <c r="C78" s="432" t="n">
        <f aca="false">IF('Peak Revenue'!$A$1="BL","-",IF(Peak!I79&gt;Peak!$G79,C$8*$X78,0))</f>
        <v>4.75</v>
      </c>
      <c r="D78" s="432" t="n">
        <f aca="false">IF('Peak Revenue'!$A$1="BL","-",IF(Peak!J79&gt;Peak!$G79,D$8*$X78,0))</f>
        <v>9.5</v>
      </c>
      <c r="E78" s="432" t="n">
        <f aca="false">IF('Peak Revenue'!$A$1="BL","-",IF(Peak!K79&gt;Peak!$G79,E$8*$X78,0))</f>
        <v>19</v>
      </c>
      <c r="F78" s="432" t="n">
        <f aca="false">IF('Peak Revenue'!$A$1="BL","-",IF(Peak!L79&gt;Peak!$G79,F$8*$X78,0))</f>
        <v>19</v>
      </c>
      <c r="G78" s="432" t="n">
        <f aca="false">IF('Peak Revenue'!$A$1="BL","-",IF(Peak!M79&gt;Peak!$G79,G$8*$X78,0))</f>
        <v>38</v>
      </c>
      <c r="H78" s="432" t="n">
        <f aca="false">IF('Peak Revenue'!$A$1="BL","-",IF(Peak!N79&gt;Peak!$G79,H$8*$X78,0))</f>
        <v>38</v>
      </c>
      <c r="I78" s="432" t="n">
        <f aca="false">IF('Peak Revenue'!$A$1="BL","-",IF(Peak!O79&gt;Peak!$G79,I$8*$X78,0))</f>
        <v>38</v>
      </c>
      <c r="J78" s="432" t="n">
        <f aca="false">IF('Peak Revenue'!$A$1="BL","-",IF(Peak!P79&gt;Peak!$G79,J$8*$X78,0))</f>
        <v>38</v>
      </c>
      <c r="K78" s="432" t="n">
        <f aca="false">IF('Peak Revenue'!$A$1="BL","-",IF(Peak!Q79&gt;Peak!$G79,K$8*$X78,0))</f>
        <v>0</v>
      </c>
      <c r="L78" s="432" t="n">
        <f aca="false">IF('Peak Revenue'!$A$1="BL","-",IF(Peak!R79&gt;Peak!$G79,L$8*$X78,0))</f>
        <v>0</v>
      </c>
      <c r="M78" s="432" t="n">
        <f aca="false">IF('Peak Revenue'!$A$1="BL","-",IF(Peak!S79&gt;Peak!$G79,M$8*$X78,0))</f>
        <v>0</v>
      </c>
      <c r="N78" s="432" t="n">
        <f aca="false">IF('Peak Revenue'!$A$1="BL","-",IF(Peak!T79&gt;Peak!$G79,N$8*$X78,0))</f>
        <v>0</v>
      </c>
      <c r="O78" s="432" t="n">
        <f aca="false">IF('Peak Revenue'!$A$1="BL","-",IF(Peak!U79&gt;Peak!$G79,O$8*$X78,0))</f>
        <v>0</v>
      </c>
      <c r="P78" s="432" t="n">
        <f aca="false">IF('Peak Revenue'!$A$1="BL","-",IF(Peak!V79&gt;Peak!$G79,P$8*$X78,0))</f>
        <v>0</v>
      </c>
      <c r="Q78" s="432" t="n">
        <f aca="false">IF('Peak Revenue'!$A$1="BL","-",IF(Peak!W79&gt;Peak!$G79,Q$8*$X78,0))</f>
        <v>0</v>
      </c>
      <c r="R78" s="432" t="n">
        <f aca="false">IF('Peak Revenue'!$A$1="BL","-",IF(Peak!X79&gt;Peak!$G79,R$8*$X78,0))</f>
        <v>0</v>
      </c>
      <c r="S78" s="432" t="n">
        <f aca="false">IF('Peak Revenue'!$A$1="BL","-",IF(Peak!Y79&gt;Peak!$G79,S$8*$X78,0))</f>
        <v>0</v>
      </c>
      <c r="T78" s="432" t="n">
        <f aca="false">IF('Peak Revenue'!$A$1="BL","-",IF(Peak!Z79&gt;Peak!$G79,T$8*$X78,0))</f>
        <v>0</v>
      </c>
      <c r="U78" s="432" t="n">
        <f aca="false">IF('Peak Revenue'!$A$1="BL","-",IF(Peak!AA79&gt;Peak!$G79,U$8*$X78,0))</f>
        <v>0</v>
      </c>
      <c r="V78" s="441" t="n">
        <f aca="false">SUM(B78:U78)</f>
        <v>209</v>
      </c>
      <c r="W78" s="442"/>
      <c r="X78" s="439" t="n">
        <f aca="false">CHOOSE(QUOTIENT(MONTH($A78),3)+1,Peak!$AM$11,Peak!$AN$11,Peak!$AL$11,Peak!$AO$11,Peak!$AM$11)</f>
        <v>0.95</v>
      </c>
      <c r="Y78" s="440" t="n">
        <f aca="false">CHOOSE(QUOTIENT(MONTH($A78),3)+1,Peak!$AM$17,Peak!$AN$17,Peak!$AL$17,Peak!$AO$17,Peak!$AM$17)</f>
        <v>705</v>
      </c>
    </row>
    <row r="79" customFormat="false" ht="12.75" hidden="false" customHeight="false" outlineLevel="0" collapsed="false">
      <c r="A79" s="400" t="n">
        <f aca="false">A78+30.417</f>
        <v>38638.773</v>
      </c>
      <c r="B79" s="432" t="n">
        <f aca="false">IF('Peak Revenue'!$A$1="BL","-",IF(Peak!H80&gt;Peak!$G80,B$8*$X79,0))</f>
        <v>4.75</v>
      </c>
      <c r="C79" s="432" t="n">
        <f aca="false">IF('Peak Revenue'!$A$1="BL","-",IF(Peak!I80&gt;Peak!$G80,C$8*$X79,0))</f>
        <v>4.75</v>
      </c>
      <c r="D79" s="432" t="n">
        <f aca="false">IF('Peak Revenue'!$A$1="BL","-",IF(Peak!J80&gt;Peak!$G80,D$8*$X79,0))</f>
        <v>9.5</v>
      </c>
      <c r="E79" s="432" t="n">
        <f aca="false">IF('Peak Revenue'!$A$1="BL","-",IF(Peak!K80&gt;Peak!$G80,E$8*$X79,0))</f>
        <v>19</v>
      </c>
      <c r="F79" s="432" t="n">
        <f aca="false">IF('Peak Revenue'!$A$1="BL","-",IF(Peak!L80&gt;Peak!$G80,F$8*$X79,0))</f>
        <v>19</v>
      </c>
      <c r="G79" s="432" t="n">
        <f aca="false">IF('Peak Revenue'!$A$1="BL","-",IF(Peak!M80&gt;Peak!$G80,G$8*$X79,0))</f>
        <v>38</v>
      </c>
      <c r="H79" s="432" t="n">
        <f aca="false">IF('Peak Revenue'!$A$1="BL","-",IF(Peak!N80&gt;Peak!$G80,H$8*$X79,0))</f>
        <v>38</v>
      </c>
      <c r="I79" s="432" t="n">
        <f aca="false">IF('Peak Revenue'!$A$1="BL","-",IF(Peak!O80&gt;Peak!$G80,I$8*$X79,0))</f>
        <v>38</v>
      </c>
      <c r="J79" s="432" t="n">
        <f aca="false">IF('Peak Revenue'!$A$1="BL","-",IF(Peak!P80&gt;Peak!$G80,J$8*$X79,0))</f>
        <v>38</v>
      </c>
      <c r="K79" s="432" t="n">
        <f aca="false">IF('Peak Revenue'!$A$1="BL","-",IF(Peak!Q80&gt;Peak!$G80,K$8*$X79,0))</f>
        <v>0</v>
      </c>
      <c r="L79" s="432" t="n">
        <f aca="false">IF('Peak Revenue'!$A$1="BL","-",IF(Peak!R80&gt;Peak!$G80,L$8*$X79,0))</f>
        <v>0</v>
      </c>
      <c r="M79" s="432" t="n">
        <f aca="false">IF('Peak Revenue'!$A$1="BL","-",IF(Peak!S80&gt;Peak!$G80,M$8*$X79,0))</f>
        <v>0</v>
      </c>
      <c r="N79" s="432" t="n">
        <f aca="false">IF('Peak Revenue'!$A$1="BL","-",IF(Peak!T80&gt;Peak!$G80,N$8*$X79,0))</f>
        <v>0</v>
      </c>
      <c r="O79" s="432" t="n">
        <f aca="false">IF('Peak Revenue'!$A$1="BL","-",IF(Peak!U80&gt;Peak!$G80,O$8*$X79,0))</f>
        <v>0</v>
      </c>
      <c r="P79" s="432" t="n">
        <f aca="false">IF('Peak Revenue'!$A$1="BL","-",IF(Peak!V80&gt;Peak!$G80,P$8*$X79,0))</f>
        <v>0</v>
      </c>
      <c r="Q79" s="432" t="n">
        <f aca="false">IF('Peak Revenue'!$A$1="BL","-",IF(Peak!W80&gt;Peak!$G80,Q$8*$X79,0))</f>
        <v>0</v>
      </c>
      <c r="R79" s="432" t="n">
        <f aca="false">IF('Peak Revenue'!$A$1="BL","-",IF(Peak!X80&gt;Peak!$G80,R$8*$X79,0))</f>
        <v>0</v>
      </c>
      <c r="S79" s="432" t="n">
        <f aca="false">IF('Peak Revenue'!$A$1="BL","-",IF(Peak!Y80&gt;Peak!$G80,S$8*$X79,0))</f>
        <v>0</v>
      </c>
      <c r="T79" s="432" t="n">
        <f aca="false">IF('Peak Revenue'!$A$1="BL","-",IF(Peak!Z80&gt;Peak!$G80,T$8*$X79,0))</f>
        <v>0</v>
      </c>
      <c r="U79" s="432" t="n">
        <f aca="false">IF('Peak Revenue'!$A$1="BL","-",IF(Peak!AA80&gt;Peak!$G80,U$8*$X79,0))</f>
        <v>0</v>
      </c>
      <c r="V79" s="441" t="n">
        <f aca="false">SUM(B79:U79)</f>
        <v>209</v>
      </c>
      <c r="W79" s="442"/>
      <c r="X79" s="439" t="n">
        <f aca="false">CHOOSE(QUOTIENT(MONTH($A79),3)+1,Peak!$AM$11,Peak!$AN$11,Peak!$AL$11,Peak!$AO$11,Peak!$AM$11)</f>
        <v>0.95</v>
      </c>
      <c r="Y79" s="440" t="n">
        <f aca="false">CHOOSE(QUOTIENT(MONTH($A79),3)+1,Peak!$AM$17,Peak!$AN$17,Peak!$AL$17,Peak!$AO$17,Peak!$AM$17)</f>
        <v>705</v>
      </c>
    </row>
    <row r="80" customFormat="false" ht="12.75" hidden="false" customHeight="false" outlineLevel="0" collapsed="false">
      <c r="A80" s="400" t="n">
        <f aca="false">A79+30.417</f>
        <v>38669.19</v>
      </c>
      <c r="B80" s="432" t="n">
        <f aca="false">IF('Peak Revenue'!$A$1="BL","-",IF(Peak!H81&gt;Peak!$G81,B$8*$X80,0))</f>
        <v>4.75</v>
      </c>
      <c r="C80" s="432" t="n">
        <f aca="false">IF('Peak Revenue'!$A$1="BL","-",IF(Peak!I81&gt;Peak!$G81,C$8*$X80,0))</f>
        <v>4.75</v>
      </c>
      <c r="D80" s="432" t="n">
        <f aca="false">IF('Peak Revenue'!$A$1="BL","-",IF(Peak!J81&gt;Peak!$G81,D$8*$X80,0))</f>
        <v>9.5</v>
      </c>
      <c r="E80" s="432" t="n">
        <f aca="false">IF('Peak Revenue'!$A$1="BL","-",IF(Peak!K81&gt;Peak!$G81,E$8*$X80,0))</f>
        <v>19</v>
      </c>
      <c r="F80" s="432" t="n">
        <f aca="false">IF('Peak Revenue'!$A$1="BL","-",IF(Peak!L81&gt;Peak!$G81,F$8*$X80,0))</f>
        <v>19</v>
      </c>
      <c r="G80" s="432" t="n">
        <f aca="false">IF('Peak Revenue'!$A$1="BL","-",IF(Peak!M81&gt;Peak!$G81,G$8*$X80,0))</f>
        <v>38</v>
      </c>
      <c r="H80" s="432" t="n">
        <f aca="false">IF('Peak Revenue'!$A$1="BL","-",IF(Peak!N81&gt;Peak!$G81,H$8*$X80,0))</f>
        <v>38</v>
      </c>
      <c r="I80" s="432" t="n">
        <f aca="false">IF('Peak Revenue'!$A$1="BL","-",IF(Peak!O81&gt;Peak!$G81,I$8*$X80,0))</f>
        <v>38</v>
      </c>
      <c r="J80" s="432" t="n">
        <f aca="false">IF('Peak Revenue'!$A$1="BL","-",IF(Peak!P81&gt;Peak!$G81,J$8*$X80,0))</f>
        <v>0</v>
      </c>
      <c r="K80" s="432" t="n">
        <f aca="false">IF('Peak Revenue'!$A$1="BL","-",IF(Peak!Q81&gt;Peak!$G81,K$8*$X80,0))</f>
        <v>0</v>
      </c>
      <c r="L80" s="432" t="n">
        <f aca="false">IF('Peak Revenue'!$A$1="BL","-",IF(Peak!R81&gt;Peak!$G81,L$8*$X80,0))</f>
        <v>0</v>
      </c>
      <c r="M80" s="432" t="n">
        <f aca="false">IF('Peak Revenue'!$A$1="BL","-",IF(Peak!S81&gt;Peak!$G81,M$8*$X80,0))</f>
        <v>0</v>
      </c>
      <c r="N80" s="432" t="n">
        <f aca="false">IF('Peak Revenue'!$A$1="BL","-",IF(Peak!T81&gt;Peak!$G81,N$8*$X80,0))</f>
        <v>0</v>
      </c>
      <c r="O80" s="432" t="n">
        <f aca="false">IF('Peak Revenue'!$A$1="BL","-",IF(Peak!U81&gt;Peak!$G81,O$8*$X80,0))</f>
        <v>0</v>
      </c>
      <c r="P80" s="432" t="n">
        <f aca="false">IF('Peak Revenue'!$A$1="BL","-",IF(Peak!V81&gt;Peak!$G81,P$8*$X80,0))</f>
        <v>0</v>
      </c>
      <c r="Q80" s="432" t="n">
        <f aca="false">IF('Peak Revenue'!$A$1="BL","-",IF(Peak!W81&gt;Peak!$G81,Q$8*$X80,0))</f>
        <v>0</v>
      </c>
      <c r="R80" s="432" t="n">
        <f aca="false">IF('Peak Revenue'!$A$1="BL","-",IF(Peak!X81&gt;Peak!$G81,R$8*$X80,0))</f>
        <v>0</v>
      </c>
      <c r="S80" s="432" t="n">
        <f aca="false">IF('Peak Revenue'!$A$1="BL","-",IF(Peak!Y81&gt;Peak!$G81,S$8*$X80,0))</f>
        <v>0</v>
      </c>
      <c r="T80" s="432" t="n">
        <f aca="false">IF('Peak Revenue'!$A$1="BL","-",IF(Peak!Z81&gt;Peak!$G81,T$8*$X80,0))</f>
        <v>0</v>
      </c>
      <c r="U80" s="432" t="n">
        <f aca="false">IF('Peak Revenue'!$A$1="BL","-",IF(Peak!AA81&gt;Peak!$G81,U$8*$X80,0))</f>
        <v>0</v>
      </c>
      <c r="V80" s="441" t="n">
        <f aca="false">SUM(B80:U80)</f>
        <v>171</v>
      </c>
      <c r="W80" s="442"/>
      <c r="X80" s="439" t="n">
        <f aca="false">CHOOSE(QUOTIENT(MONTH($A80),3)+1,Peak!$AM$11,Peak!$AN$11,Peak!$AL$11,Peak!$AO$11,Peak!$AM$11)</f>
        <v>0.95</v>
      </c>
      <c r="Y80" s="440" t="n">
        <f aca="false">CHOOSE(QUOTIENT(MONTH($A80),3)+1,Peak!$AM$17,Peak!$AN$17,Peak!$AL$17,Peak!$AO$17,Peak!$AM$17)</f>
        <v>705</v>
      </c>
    </row>
    <row r="81" customFormat="false" ht="12.75" hidden="false" customHeight="false" outlineLevel="0" collapsed="false">
      <c r="A81" s="400" t="n">
        <f aca="false">A80+30.417</f>
        <v>38699.607</v>
      </c>
      <c r="B81" s="432" t="n">
        <f aca="false">IF('Peak Revenue'!$A$1="BL","-",IF(Peak!H82&gt;Peak!$G82,B$8*$X81,0))</f>
        <v>4.62138309393059</v>
      </c>
      <c r="C81" s="432" t="n">
        <f aca="false">IF('Peak Revenue'!$A$1="BL","-",IF(Peak!I82&gt;Peak!$G82,C$8*$X81,0))</f>
        <v>4.62138309393059</v>
      </c>
      <c r="D81" s="432" t="n">
        <f aca="false">IF('Peak Revenue'!$A$1="BL","-",IF(Peak!J82&gt;Peak!$G82,D$8*$X81,0))</f>
        <v>9.24276618786118</v>
      </c>
      <c r="E81" s="432" t="n">
        <f aca="false">IF('Peak Revenue'!$A$1="BL","-",IF(Peak!K82&gt;Peak!$G82,E$8*$X81,0))</f>
        <v>18.4855323757224</v>
      </c>
      <c r="F81" s="432" t="n">
        <f aca="false">IF('Peak Revenue'!$A$1="BL","-",IF(Peak!L82&gt;Peak!$G82,F$8*$X81,0))</f>
        <v>18.4855323757224</v>
      </c>
      <c r="G81" s="432" t="n">
        <f aca="false">IF('Peak Revenue'!$A$1="BL","-",IF(Peak!M82&gt;Peak!$G82,G$8*$X81,0))</f>
        <v>36.9710647514447</v>
      </c>
      <c r="H81" s="432" t="n">
        <f aca="false">IF('Peak Revenue'!$A$1="BL","-",IF(Peak!N82&gt;Peak!$G82,H$8*$X81,0))</f>
        <v>36.9710647514447</v>
      </c>
      <c r="I81" s="432" t="n">
        <f aca="false">IF('Peak Revenue'!$A$1="BL","-",IF(Peak!O82&gt;Peak!$G82,I$8*$X81,0))</f>
        <v>36.9710647514447</v>
      </c>
      <c r="J81" s="432" t="n">
        <f aca="false">IF('Peak Revenue'!$A$1="BL","-",IF(Peak!P82&gt;Peak!$G82,J$8*$X81,0))</f>
        <v>36.9710647514447</v>
      </c>
      <c r="K81" s="432" t="n">
        <f aca="false">IF('Peak Revenue'!$A$1="BL","-",IF(Peak!Q82&gt;Peak!$G82,K$8*$X81,0))</f>
        <v>0</v>
      </c>
      <c r="L81" s="432" t="n">
        <f aca="false">IF('Peak Revenue'!$A$1="BL","-",IF(Peak!R82&gt;Peak!$G82,L$8*$X81,0))</f>
        <v>0</v>
      </c>
      <c r="M81" s="432" t="n">
        <f aca="false">IF('Peak Revenue'!$A$1="BL","-",IF(Peak!S82&gt;Peak!$G82,M$8*$X81,0))</f>
        <v>0</v>
      </c>
      <c r="N81" s="432" t="n">
        <f aca="false">IF('Peak Revenue'!$A$1="BL","-",IF(Peak!T82&gt;Peak!$G82,N$8*$X81,0))</f>
        <v>0</v>
      </c>
      <c r="O81" s="432" t="n">
        <f aca="false">IF('Peak Revenue'!$A$1="BL","-",IF(Peak!U82&gt;Peak!$G82,O$8*$X81,0))</f>
        <v>0</v>
      </c>
      <c r="P81" s="432" t="n">
        <f aca="false">IF('Peak Revenue'!$A$1="BL","-",IF(Peak!V82&gt;Peak!$G82,P$8*$X81,0))</f>
        <v>0</v>
      </c>
      <c r="Q81" s="432" t="n">
        <f aca="false">IF('Peak Revenue'!$A$1="BL","-",IF(Peak!W82&gt;Peak!$G82,Q$8*$X81,0))</f>
        <v>0</v>
      </c>
      <c r="R81" s="432" t="n">
        <f aca="false">IF('Peak Revenue'!$A$1="BL","-",IF(Peak!X82&gt;Peak!$G82,R$8*$X81,0))</f>
        <v>0</v>
      </c>
      <c r="S81" s="432" t="n">
        <f aca="false">IF('Peak Revenue'!$A$1="BL","-",IF(Peak!Y82&gt;Peak!$G82,S$8*$X81,0))</f>
        <v>0</v>
      </c>
      <c r="T81" s="432" t="n">
        <f aca="false">IF('Peak Revenue'!$A$1="BL","-",IF(Peak!Z82&gt;Peak!$G82,T$8*$X81,0))</f>
        <v>0</v>
      </c>
      <c r="U81" s="432" t="n">
        <f aca="false">IF('Peak Revenue'!$A$1="BL","-",IF(Peak!AA82&gt;Peak!$G82,U$8*$X81,0))</f>
        <v>0</v>
      </c>
      <c r="V81" s="441" t="n">
        <f aca="false">SUM(B81:U81)</f>
        <v>203.340856132946</v>
      </c>
      <c r="W81" s="443" t="n">
        <f aca="false">SUM(V70:V81)</f>
        <v>2202.03917987524</v>
      </c>
      <c r="X81" s="439" t="n">
        <f aca="false">CHOOSE(QUOTIENT(MONTH($A81),3)+1,Peak!$AM$11,Peak!$AN$11,Peak!$AL$11,Peak!$AO$11,Peak!$AM$11)</f>
        <v>0.924276618786118</v>
      </c>
      <c r="Y81" s="440" t="n">
        <f aca="false">CHOOSE(QUOTIENT(MONTH($A81),3)+1,Peak!$AM$17,Peak!$AN$17,Peak!$AL$17,Peak!$AO$17,Peak!$AM$17)</f>
        <v>705</v>
      </c>
    </row>
    <row r="82" customFormat="false" ht="12.75" hidden="false" customHeight="false" outlineLevel="0" collapsed="false">
      <c r="A82" s="400" t="n">
        <f aca="false">A81+30.417</f>
        <v>38730.024</v>
      </c>
      <c r="B82" s="432" t="n">
        <f aca="false">IF('Peak Revenue'!$A$1="BL","-",IF(Peak!H83&gt;Peak!$G83,B$8*$X82,0))</f>
        <v>4.62138309393059</v>
      </c>
      <c r="C82" s="432" t="n">
        <f aca="false">IF('Peak Revenue'!$A$1="BL","-",IF(Peak!I83&gt;Peak!$G83,C$8*$X82,0))</f>
        <v>4.62138309393059</v>
      </c>
      <c r="D82" s="432" t="n">
        <f aca="false">IF('Peak Revenue'!$A$1="BL","-",IF(Peak!J83&gt;Peak!$G83,D$8*$X82,0))</f>
        <v>9.24276618786118</v>
      </c>
      <c r="E82" s="432" t="n">
        <f aca="false">IF('Peak Revenue'!$A$1="BL","-",IF(Peak!K83&gt;Peak!$G83,E$8*$X82,0))</f>
        <v>18.4855323757224</v>
      </c>
      <c r="F82" s="432" t="n">
        <f aca="false">IF('Peak Revenue'!$A$1="BL","-",IF(Peak!L83&gt;Peak!$G83,F$8*$X82,0))</f>
        <v>18.4855323757224</v>
      </c>
      <c r="G82" s="432" t="n">
        <f aca="false">IF('Peak Revenue'!$A$1="BL","-",IF(Peak!M83&gt;Peak!$G83,G$8*$X82,0))</f>
        <v>36.9710647514447</v>
      </c>
      <c r="H82" s="432" t="n">
        <f aca="false">IF('Peak Revenue'!$A$1="BL","-",IF(Peak!N83&gt;Peak!$G83,H$8*$X82,0))</f>
        <v>36.9710647514447</v>
      </c>
      <c r="I82" s="432" t="n">
        <f aca="false">IF('Peak Revenue'!$A$1="BL","-",IF(Peak!O83&gt;Peak!$G83,I$8*$X82,0))</f>
        <v>36.9710647514447</v>
      </c>
      <c r="J82" s="432" t="n">
        <f aca="false">IF('Peak Revenue'!$A$1="BL","-",IF(Peak!P83&gt;Peak!$G83,J$8*$X82,0))</f>
        <v>36.9710647514447</v>
      </c>
      <c r="K82" s="432" t="n">
        <f aca="false">IF('Peak Revenue'!$A$1="BL","-",IF(Peak!Q83&gt;Peak!$G83,K$8*$X82,0))</f>
        <v>0</v>
      </c>
      <c r="L82" s="432" t="n">
        <f aca="false">IF('Peak Revenue'!$A$1="BL","-",IF(Peak!R83&gt;Peak!$G83,L$8*$X82,0))</f>
        <v>0</v>
      </c>
      <c r="M82" s="432" t="n">
        <f aca="false">IF('Peak Revenue'!$A$1="BL","-",IF(Peak!S83&gt;Peak!$G83,M$8*$X82,0))</f>
        <v>0</v>
      </c>
      <c r="N82" s="432" t="n">
        <f aca="false">IF('Peak Revenue'!$A$1="BL","-",IF(Peak!T83&gt;Peak!$G83,N$8*$X82,0))</f>
        <v>0</v>
      </c>
      <c r="O82" s="432" t="n">
        <f aca="false">IF('Peak Revenue'!$A$1="BL","-",IF(Peak!U83&gt;Peak!$G83,O$8*$X82,0))</f>
        <v>0</v>
      </c>
      <c r="P82" s="432" t="n">
        <f aca="false">IF('Peak Revenue'!$A$1="BL","-",IF(Peak!V83&gt;Peak!$G83,P$8*$X82,0))</f>
        <v>0</v>
      </c>
      <c r="Q82" s="432" t="n">
        <f aca="false">IF('Peak Revenue'!$A$1="BL","-",IF(Peak!W83&gt;Peak!$G83,Q$8*$X82,0))</f>
        <v>0</v>
      </c>
      <c r="R82" s="432" t="n">
        <f aca="false">IF('Peak Revenue'!$A$1="BL","-",IF(Peak!X83&gt;Peak!$G83,R$8*$X82,0))</f>
        <v>0</v>
      </c>
      <c r="S82" s="432" t="n">
        <f aca="false">IF('Peak Revenue'!$A$1="BL","-",IF(Peak!Y83&gt;Peak!$G83,S$8*$X82,0))</f>
        <v>0</v>
      </c>
      <c r="T82" s="432" t="n">
        <f aca="false">IF('Peak Revenue'!$A$1="BL","-",IF(Peak!Z83&gt;Peak!$G83,T$8*$X82,0))</f>
        <v>0</v>
      </c>
      <c r="U82" s="432" t="n">
        <f aca="false">IF('Peak Revenue'!$A$1="BL","-",IF(Peak!AA83&gt;Peak!$G83,U$8*$X82,0))</f>
        <v>0</v>
      </c>
      <c r="V82" s="441" t="n">
        <f aca="false">SUM(B82:U82)</f>
        <v>203.340856132946</v>
      </c>
      <c r="W82" s="442"/>
      <c r="X82" s="439" t="n">
        <f aca="false">CHOOSE(QUOTIENT(MONTH($A82),3)+1,Peak!$AM$11,Peak!$AN$11,Peak!$AL$11,Peak!$AO$11,Peak!$AM$11)</f>
        <v>0.924276618786118</v>
      </c>
      <c r="Y82" s="440" t="n">
        <f aca="false">CHOOSE(QUOTIENT(MONTH($A82),3)+1,Peak!$AM$17,Peak!$AN$17,Peak!$AL$17,Peak!$AO$17,Peak!$AM$17)</f>
        <v>705</v>
      </c>
    </row>
    <row r="83" customFormat="false" ht="12.75" hidden="false" customHeight="false" outlineLevel="0" collapsed="false">
      <c r="A83" s="400" t="n">
        <f aca="false">A82+30.417</f>
        <v>38760.441</v>
      </c>
      <c r="B83" s="432" t="n">
        <f aca="false">IF('Peak Revenue'!$A$1="BL","-",IF(Peak!H84&gt;Peak!$G84,B$8*$X83,0))</f>
        <v>4.62138309393059</v>
      </c>
      <c r="C83" s="432" t="n">
        <f aca="false">IF('Peak Revenue'!$A$1="BL","-",IF(Peak!I84&gt;Peak!$G84,C$8*$X83,0))</f>
        <v>4.62138309393059</v>
      </c>
      <c r="D83" s="432" t="n">
        <f aca="false">IF('Peak Revenue'!$A$1="BL","-",IF(Peak!J84&gt;Peak!$G84,D$8*$X83,0))</f>
        <v>9.24276618786118</v>
      </c>
      <c r="E83" s="432" t="n">
        <f aca="false">IF('Peak Revenue'!$A$1="BL","-",IF(Peak!K84&gt;Peak!$G84,E$8*$X83,0))</f>
        <v>18.4855323757224</v>
      </c>
      <c r="F83" s="432" t="n">
        <f aca="false">IF('Peak Revenue'!$A$1="BL","-",IF(Peak!L84&gt;Peak!$G84,F$8*$X83,0))</f>
        <v>18.4855323757224</v>
      </c>
      <c r="G83" s="432" t="n">
        <f aca="false">IF('Peak Revenue'!$A$1="BL","-",IF(Peak!M84&gt;Peak!$G84,G$8*$X83,0))</f>
        <v>36.9710647514447</v>
      </c>
      <c r="H83" s="432" t="n">
        <f aca="false">IF('Peak Revenue'!$A$1="BL","-",IF(Peak!N84&gt;Peak!$G84,H$8*$X83,0))</f>
        <v>36.9710647514447</v>
      </c>
      <c r="I83" s="432" t="n">
        <f aca="false">IF('Peak Revenue'!$A$1="BL","-",IF(Peak!O84&gt;Peak!$G84,I$8*$X83,0))</f>
        <v>36.9710647514447</v>
      </c>
      <c r="J83" s="432" t="n">
        <f aca="false">IF('Peak Revenue'!$A$1="BL","-",IF(Peak!P84&gt;Peak!$G84,J$8*$X83,0))</f>
        <v>0</v>
      </c>
      <c r="K83" s="432" t="n">
        <f aca="false">IF('Peak Revenue'!$A$1="BL","-",IF(Peak!Q84&gt;Peak!$G84,K$8*$X83,0))</f>
        <v>0</v>
      </c>
      <c r="L83" s="432" t="n">
        <f aca="false">IF('Peak Revenue'!$A$1="BL","-",IF(Peak!R84&gt;Peak!$G84,L$8*$X83,0))</f>
        <v>0</v>
      </c>
      <c r="M83" s="432" t="n">
        <f aca="false">IF('Peak Revenue'!$A$1="BL","-",IF(Peak!S84&gt;Peak!$G84,M$8*$X83,0))</f>
        <v>0</v>
      </c>
      <c r="N83" s="432" t="n">
        <f aca="false">IF('Peak Revenue'!$A$1="BL","-",IF(Peak!T84&gt;Peak!$G84,N$8*$X83,0))</f>
        <v>0</v>
      </c>
      <c r="O83" s="432" t="n">
        <f aca="false">IF('Peak Revenue'!$A$1="BL","-",IF(Peak!U84&gt;Peak!$G84,O$8*$X83,0))</f>
        <v>0</v>
      </c>
      <c r="P83" s="432" t="n">
        <f aca="false">IF('Peak Revenue'!$A$1="BL","-",IF(Peak!V84&gt;Peak!$G84,P$8*$X83,0))</f>
        <v>0</v>
      </c>
      <c r="Q83" s="432" t="n">
        <f aca="false">IF('Peak Revenue'!$A$1="BL","-",IF(Peak!W84&gt;Peak!$G84,Q$8*$X83,0))</f>
        <v>0</v>
      </c>
      <c r="R83" s="432" t="n">
        <f aca="false">IF('Peak Revenue'!$A$1="BL","-",IF(Peak!X84&gt;Peak!$G84,R$8*$X83,0))</f>
        <v>0</v>
      </c>
      <c r="S83" s="432" t="n">
        <f aca="false">IF('Peak Revenue'!$A$1="BL","-",IF(Peak!Y84&gt;Peak!$G84,S$8*$X83,0))</f>
        <v>0</v>
      </c>
      <c r="T83" s="432" t="n">
        <f aca="false">IF('Peak Revenue'!$A$1="BL","-",IF(Peak!Z84&gt;Peak!$G84,T$8*$X83,0))</f>
        <v>0</v>
      </c>
      <c r="U83" s="432" t="n">
        <f aca="false">IF('Peak Revenue'!$A$1="BL","-",IF(Peak!AA84&gt;Peak!$G84,U$8*$X83,0))</f>
        <v>0</v>
      </c>
      <c r="V83" s="441" t="n">
        <f aca="false">SUM(B83:U83)</f>
        <v>166.369791381501</v>
      </c>
      <c r="W83" s="442"/>
      <c r="X83" s="439" t="n">
        <f aca="false">CHOOSE(QUOTIENT(MONTH($A83),3)+1,Peak!$AM$11,Peak!$AN$11,Peak!$AL$11,Peak!$AO$11,Peak!$AM$11)</f>
        <v>0.924276618786118</v>
      </c>
      <c r="Y83" s="440" t="n">
        <f aca="false">CHOOSE(QUOTIENT(MONTH($A83),3)+1,Peak!$AM$17,Peak!$AN$17,Peak!$AL$17,Peak!$AO$17,Peak!$AM$17)</f>
        <v>705</v>
      </c>
    </row>
    <row r="84" customFormat="false" ht="12.75" hidden="false" customHeight="false" outlineLevel="0" collapsed="false">
      <c r="A84" s="400" t="n">
        <f aca="false">A83+30.417</f>
        <v>38790.858</v>
      </c>
      <c r="B84" s="432" t="n">
        <f aca="false">IF('Peak Revenue'!$A$1="BL","-",IF(Peak!H85&gt;Peak!$G85,B$8*$X84,0))</f>
        <v>4.75</v>
      </c>
      <c r="C84" s="432" t="n">
        <f aca="false">IF('Peak Revenue'!$A$1="BL","-",IF(Peak!I85&gt;Peak!$G85,C$8*$X84,0))</f>
        <v>4.75</v>
      </c>
      <c r="D84" s="432" t="n">
        <f aca="false">IF('Peak Revenue'!$A$1="BL","-",IF(Peak!J85&gt;Peak!$G85,D$8*$X84,0))</f>
        <v>9.5</v>
      </c>
      <c r="E84" s="432" t="n">
        <f aca="false">IF('Peak Revenue'!$A$1="BL","-",IF(Peak!K85&gt;Peak!$G85,E$8*$X84,0))</f>
        <v>19</v>
      </c>
      <c r="F84" s="432" t="n">
        <f aca="false">IF('Peak Revenue'!$A$1="BL","-",IF(Peak!L85&gt;Peak!$G85,F$8*$X84,0))</f>
        <v>19</v>
      </c>
      <c r="G84" s="432" t="n">
        <f aca="false">IF('Peak Revenue'!$A$1="BL","-",IF(Peak!M85&gt;Peak!$G85,G$8*$X84,0))</f>
        <v>38</v>
      </c>
      <c r="H84" s="432" t="n">
        <f aca="false">IF('Peak Revenue'!$A$1="BL","-",IF(Peak!N85&gt;Peak!$G85,H$8*$X84,0))</f>
        <v>38</v>
      </c>
      <c r="I84" s="432" t="n">
        <f aca="false">IF('Peak Revenue'!$A$1="BL","-",IF(Peak!O85&gt;Peak!$G85,I$8*$X84,0))</f>
        <v>38</v>
      </c>
      <c r="J84" s="432" t="n">
        <f aca="false">IF('Peak Revenue'!$A$1="BL","-",IF(Peak!P85&gt;Peak!$G85,J$8*$X84,0))</f>
        <v>38</v>
      </c>
      <c r="K84" s="432" t="n">
        <f aca="false">IF('Peak Revenue'!$A$1="BL","-",IF(Peak!Q85&gt;Peak!$G85,K$8*$X84,0))</f>
        <v>0</v>
      </c>
      <c r="L84" s="432" t="n">
        <f aca="false">IF('Peak Revenue'!$A$1="BL","-",IF(Peak!R85&gt;Peak!$G85,L$8*$X84,0))</f>
        <v>0</v>
      </c>
      <c r="M84" s="432" t="n">
        <f aca="false">IF('Peak Revenue'!$A$1="BL","-",IF(Peak!S85&gt;Peak!$G85,M$8*$X84,0))</f>
        <v>0</v>
      </c>
      <c r="N84" s="432" t="n">
        <f aca="false">IF('Peak Revenue'!$A$1="BL","-",IF(Peak!T85&gt;Peak!$G85,N$8*$X84,0))</f>
        <v>0</v>
      </c>
      <c r="O84" s="432" t="n">
        <f aca="false">IF('Peak Revenue'!$A$1="BL","-",IF(Peak!U85&gt;Peak!$G85,O$8*$X84,0))</f>
        <v>0</v>
      </c>
      <c r="P84" s="432" t="n">
        <f aca="false">IF('Peak Revenue'!$A$1="BL","-",IF(Peak!V85&gt;Peak!$G85,P$8*$X84,0))</f>
        <v>0</v>
      </c>
      <c r="Q84" s="432" t="n">
        <f aca="false">IF('Peak Revenue'!$A$1="BL","-",IF(Peak!W85&gt;Peak!$G85,Q$8*$X84,0))</f>
        <v>0</v>
      </c>
      <c r="R84" s="432" t="n">
        <f aca="false">IF('Peak Revenue'!$A$1="BL","-",IF(Peak!X85&gt;Peak!$G85,R$8*$X84,0))</f>
        <v>0</v>
      </c>
      <c r="S84" s="432" t="n">
        <f aca="false">IF('Peak Revenue'!$A$1="BL","-",IF(Peak!Y85&gt;Peak!$G85,S$8*$X84,0))</f>
        <v>0</v>
      </c>
      <c r="T84" s="432" t="n">
        <f aca="false">IF('Peak Revenue'!$A$1="BL","-",IF(Peak!Z85&gt;Peak!$G85,T$8*$X84,0))</f>
        <v>0</v>
      </c>
      <c r="U84" s="432" t="n">
        <f aca="false">IF('Peak Revenue'!$A$1="BL","-",IF(Peak!AA85&gt;Peak!$G85,U$8*$X84,0))</f>
        <v>0</v>
      </c>
      <c r="V84" s="441" t="n">
        <f aca="false">SUM(B84:U84)</f>
        <v>209</v>
      </c>
      <c r="W84" s="442"/>
      <c r="X84" s="439" t="n">
        <f aca="false">CHOOSE(QUOTIENT(MONTH($A84),3)+1,Peak!$AM$11,Peak!$AN$11,Peak!$AL$11,Peak!$AO$11,Peak!$AM$11)</f>
        <v>0.95</v>
      </c>
      <c r="Y84" s="440" t="n">
        <f aca="false">CHOOSE(QUOTIENT(MONTH($A84),3)+1,Peak!$AM$17,Peak!$AN$17,Peak!$AL$17,Peak!$AO$17,Peak!$AM$17)</f>
        <v>705</v>
      </c>
    </row>
    <row r="85" customFormat="false" ht="12.75" hidden="false" customHeight="false" outlineLevel="0" collapsed="false">
      <c r="A85" s="400" t="n">
        <f aca="false">A84+30.417</f>
        <v>38821.275</v>
      </c>
      <c r="B85" s="432" t="n">
        <f aca="false">IF('Peak Revenue'!$A$1="BL","-",IF(Peak!H86&gt;Peak!$G86,B$8*$X85,0))</f>
        <v>4.75</v>
      </c>
      <c r="C85" s="432" t="n">
        <f aca="false">IF('Peak Revenue'!$A$1="BL","-",IF(Peak!I86&gt;Peak!$G86,C$8*$X85,0))</f>
        <v>4.75</v>
      </c>
      <c r="D85" s="432" t="n">
        <f aca="false">IF('Peak Revenue'!$A$1="BL","-",IF(Peak!J86&gt;Peak!$G86,D$8*$X85,0))</f>
        <v>9.5</v>
      </c>
      <c r="E85" s="432" t="n">
        <f aca="false">IF('Peak Revenue'!$A$1="BL","-",IF(Peak!K86&gt;Peak!$G86,E$8*$X85,0))</f>
        <v>19</v>
      </c>
      <c r="F85" s="432" t="n">
        <f aca="false">IF('Peak Revenue'!$A$1="BL","-",IF(Peak!L86&gt;Peak!$G86,F$8*$X85,0))</f>
        <v>19</v>
      </c>
      <c r="G85" s="432" t="n">
        <f aca="false">IF('Peak Revenue'!$A$1="BL","-",IF(Peak!M86&gt;Peak!$G86,G$8*$X85,0))</f>
        <v>38</v>
      </c>
      <c r="H85" s="432" t="n">
        <f aca="false">IF('Peak Revenue'!$A$1="BL","-",IF(Peak!N86&gt;Peak!$G86,H$8*$X85,0))</f>
        <v>38</v>
      </c>
      <c r="I85" s="432" t="n">
        <f aca="false">IF('Peak Revenue'!$A$1="BL","-",IF(Peak!O86&gt;Peak!$G86,I$8*$X85,0))</f>
        <v>38</v>
      </c>
      <c r="J85" s="432" t="n">
        <f aca="false">IF('Peak Revenue'!$A$1="BL","-",IF(Peak!P86&gt;Peak!$G86,J$8*$X85,0))</f>
        <v>0</v>
      </c>
      <c r="K85" s="432" t="n">
        <f aca="false">IF('Peak Revenue'!$A$1="BL","-",IF(Peak!Q86&gt;Peak!$G86,K$8*$X85,0))</f>
        <v>0</v>
      </c>
      <c r="L85" s="432" t="n">
        <f aca="false">IF('Peak Revenue'!$A$1="BL","-",IF(Peak!R86&gt;Peak!$G86,L$8*$X85,0))</f>
        <v>0</v>
      </c>
      <c r="M85" s="432" t="n">
        <f aca="false">IF('Peak Revenue'!$A$1="BL","-",IF(Peak!S86&gt;Peak!$G86,M$8*$X85,0))</f>
        <v>0</v>
      </c>
      <c r="N85" s="432" t="n">
        <f aca="false">IF('Peak Revenue'!$A$1="BL","-",IF(Peak!T86&gt;Peak!$G86,N$8*$X85,0))</f>
        <v>0</v>
      </c>
      <c r="O85" s="432" t="n">
        <f aca="false">IF('Peak Revenue'!$A$1="BL","-",IF(Peak!U86&gt;Peak!$G86,O$8*$X85,0))</f>
        <v>0</v>
      </c>
      <c r="P85" s="432" t="n">
        <f aca="false">IF('Peak Revenue'!$A$1="BL","-",IF(Peak!V86&gt;Peak!$G86,P$8*$X85,0))</f>
        <v>0</v>
      </c>
      <c r="Q85" s="432" t="n">
        <f aca="false">IF('Peak Revenue'!$A$1="BL","-",IF(Peak!W86&gt;Peak!$G86,Q$8*$X85,0))</f>
        <v>0</v>
      </c>
      <c r="R85" s="432" t="n">
        <f aca="false">IF('Peak Revenue'!$A$1="BL","-",IF(Peak!X86&gt;Peak!$G86,R$8*$X85,0))</f>
        <v>0</v>
      </c>
      <c r="S85" s="432" t="n">
        <f aca="false">IF('Peak Revenue'!$A$1="BL","-",IF(Peak!Y86&gt;Peak!$G86,S$8*$X85,0))</f>
        <v>0</v>
      </c>
      <c r="T85" s="432" t="n">
        <f aca="false">IF('Peak Revenue'!$A$1="BL","-",IF(Peak!Z86&gt;Peak!$G86,T$8*$X85,0))</f>
        <v>0</v>
      </c>
      <c r="U85" s="432" t="n">
        <f aca="false">IF('Peak Revenue'!$A$1="BL","-",IF(Peak!AA86&gt;Peak!$G86,U$8*$X85,0))</f>
        <v>0</v>
      </c>
      <c r="V85" s="441" t="n">
        <f aca="false">SUM(B85:U85)</f>
        <v>171</v>
      </c>
      <c r="W85" s="442"/>
      <c r="X85" s="439" t="n">
        <f aca="false">CHOOSE(QUOTIENT(MONTH($A85),3)+1,Peak!$AM$11,Peak!$AN$11,Peak!$AL$11,Peak!$AO$11,Peak!$AM$11)</f>
        <v>0.95</v>
      </c>
      <c r="Y85" s="440" t="n">
        <f aca="false">CHOOSE(QUOTIENT(MONTH($A85),3)+1,Peak!$AM$17,Peak!$AN$17,Peak!$AL$17,Peak!$AO$17,Peak!$AM$17)</f>
        <v>705</v>
      </c>
    </row>
    <row r="86" customFormat="false" ht="12.75" hidden="false" customHeight="false" outlineLevel="0" collapsed="false">
      <c r="A86" s="400" t="n">
        <f aca="false">A85+30.417</f>
        <v>38851.692</v>
      </c>
      <c r="B86" s="432" t="n">
        <f aca="false">IF('Peak Revenue'!$A$1="BL","-",IF(Peak!H87&gt;Peak!$G87,B$8*$X86,0))</f>
        <v>4.75</v>
      </c>
      <c r="C86" s="432" t="n">
        <f aca="false">IF('Peak Revenue'!$A$1="BL","-",IF(Peak!I87&gt;Peak!$G87,C$8*$X86,0))</f>
        <v>4.75</v>
      </c>
      <c r="D86" s="432" t="n">
        <f aca="false">IF('Peak Revenue'!$A$1="BL","-",IF(Peak!J87&gt;Peak!$G87,D$8*$X86,0))</f>
        <v>9.5</v>
      </c>
      <c r="E86" s="432" t="n">
        <f aca="false">IF('Peak Revenue'!$A$1="BL","-",IF(Peak!K87&gt;Peak!$G87,E$8*$X86,0))</f>
        <v>19</v>
      </c>
      <c r="F86" s="432" t="n">
        <f aca="false">IF('Peak Revenue'!$A$1="BL","-",IF(Peak!L87&gt;Peak!$G87,F$8*$X86,0))</f>
        <v>19</v>
      </c>
      <c r="G86" s="432" t="n">
        <f aca="false">IF('Peak Revenue'!$A$1="BL","-",IF(Peak!M87&gt;Peak!$G87,G$8*$X86,0))</f>
        <v>38</v>
      </c>
      <c r="H86" s="432" t="n">
        <f aca="false">IF('Peak Revenue'!$A$1="BL","-",IF(Peak!N87&gt;Peak!$G87,H$8*$X86,0))</f>
        <v>38</v>
      </c>
      <c r="I86" s="432" t="n">
        <f aca="false">IF('Peak Revenue'!$A$1="BL","-",IF(Peak!O87&gt;Peak!$G87,I$8*$X86,0))</f>
        <v>38</v>
      </c>
      <c r="J86" s="432" t="n">
        <f aca="false">IF('Peak Revenue'!$A$1="BL","-",IF(Peak!P87&gt;Peak!$G87,J$8*$X86,0))</f>
        <v>0</v>
      </c>
      <c r="K86" s="432" t="n">
        <f aca="false">IF('Peak Revenue'!$A$1="BL","-",IF(Peak!Q87&gt;Peak!$G87,K$8*$X86,0))</f>
        <v>0</v>
      </c>
      <c r="L86" s="432" t="n">
        <f aca="false">IF('Peak Revenue'!$A$1="BL","-",IF(Peak!R87&gt;Peak!$G87,L$8*$X86,0))</f>
        <v>0</v>
      </c>
      <c r="M86" s="432" t="n">
        <f aca="false">IF('Peak Revenue'!$A$1="BL","-",IF(Peak!S87&gt;Peak!$G87,M$8*$X86,0))</f>
        <v>0</v>
      </c>
      <c r="N86" s="432" t="n">
        <f aca="false">IF('Peak Revenue'!$A$1="BL","-",IF(Peak!T87&gt;Peak!$G87,N$8*$X86,0))</f>
        <v>0</v>
      </c>
      <c r="O86" s="432" t="n">
        <f aca="false">IF('Peak Revenue'!$A$1="BL","-",IF(Peak!U87&gt;Peak!$G87,O$8*$X86,0))</f>
        <v>0</v>
      </c>
      <c r="P86" s="432" t="n">
        <f aca="false">IF('Peak Revenue'!$A$1="BL","-",IF(Peak!V87&gt;Peak!$G87,P$8*$X86,0))</f>
        <v>0</v>
      </c>
      <c r="Q86" s="432" t="n">
        <f aca="false">IF('Peak Revenue'!$A$1="BL","-",IF(Peak!W87&gt;Peak!$G87,Q$8*$X86,0))</f>
        <v>0</v>
      </c>
      <c r="R86" s="432" t="n">
        <f aca="false">IF('Peak Revenue'!$A$1="BL","-",IF(Peak!X87&gt;Peak!$G87,R$8*$X86,0))</f>
        <v>0</v>
      </c>
      <c r="S86" s="432" t="n">
        <f aca="false">IF('Peak Revenue'!$A$1="BL","-",IF(Peak!Y87&gt;Peak!$G87,S$8*$X86,0))</f>
        <v>0</v>
      </c>
      <c r="T86" s="432" t="n">
        <f aca="false">IF('Peak Revenue'!$A$1="BL","-",IF(Peak!Z87&gt;Peak!$G87,T$8*$X86,0))</f>
        <v>0</v>
      </c>
      <c r="U86" s="432" t="n">
        <f aca="false">IF('Peak Revenue'!$A$1="BL","-",IF(Peak!AA87&gt;Peak!$G87,U$8*$X86,0))</f>
        <v>0</v>
      </c>
      <c r="V86" s="441" t="n">
        <f aca="false">SUM(B86:U86)</f>
        <v>171</v>
      </c>
      <c r="W86" s="442"/>
      <c r="X86" s="439" t="n">
        <f aca="false">CHOOSE(QUOTIENT(MONTH($A86),3)+1,Peak!$AM$11,Peak!$AN$11,Peak!$AL$11,Peak!$AO$11,Peak!$AM$11)</f>
        <v>0.95</v>
      </c>
      <c r="Y86" s="440" t="n">
        <f aca="false">CHOOSE(QUOTIENT(MONTH($A86),3)+1,Peak!$AM$17,Peak!$AN$17,Peak!$AL$17,Peak!$AO$17,Peak!$AM$17)</f>
        <v>705</v>
      </c>
    </row>
    <row r="87" customFormat="false" ht="12.75" hidden="false" customHeight="false" outlineLevel="0" collapsed="false">
      <c r="A87" s="400" t="n">
        <f aca="false">A86+30.417</f>
        <v>38882.109</v>
      </c>
      <c r="B87" s="432" t="n">
        <f aca="false">IF('Peak Revenue'!$A$1="BL","-",IF(Peak!H88&gt;Peak!$G88,B$8*$X87,0))</f>
        <v>4.83060679547793</v>
      </c>
      <c r="C87" s="432" t="n">
        <f aca="false">IF('Peak Revenue'!$A$1="BL","-",IF(Peak!I88&gt;Peak!$G88,C$8*$X87,0))</f>
        <v>4.83060679547793</v>
      </c>
      <c r="D87" s="432" t="n">
        <f aca="false">IF('Peak Revenue'!$A$1="BL","-",IF(Peak!J88&gt;Peak!$G88,D$8*$X87,0))</f>
        <v>9.66121359095586</v>
      </c>
      <c r="E87" s="432" t="n">
        <f aca="false">IF('Peak Revenue'!$A$1="BL","-",IF(Peak!K88&gt;Peak!$G88,E$8*$X87,0))</f>
        <v>19.3224271819117</v>
      </c>
      <c r="F87" s="432" t="n">
        <f aca="false">IF('Peak Revenue'!$A$1="BL","-",IF(Peak!L88&gt;Peak!$G88,F$8*$X87,0))</f>
        <v>19.3224271819117</v>
      </c>
      <c r="G87" s="432" t="n">
        <f aca="false">IF('Peak Revenue'!$A$1="BL","-",IF(Peak!M88&gt;Peak!$G88,G$8*$X87,0))</f>
        <v>38.6448543638234</v>
      </c>
      <c r="H87" s="432" t="n">
        <f aca="false">IF('Peak Revenue'!$A$1="BL","-",IF(Peak!N88&gt;Peak!$G88,H$8*$X87,0))</f>
        <v>38.6448543638234</v>
      </c>
      <c r="I87" s="432" t="n">
        <f aca="false">IF('Peak Revenue'!$A$1="BL","-",IF(Peak!O88&gt;Peak!$G88,I$8*$X87,0))</f>
        <v>38.6448543638234</v>
      </c>
      <c r="J87" s="432" t="n">
        <f aca="false">IF('Peak Revenue'!$A$1="BL","-",IF(Peak!P88&gt;Peak!$G88,J$8*$X87,0))</f>
        <v>38.6448543638234</v>
      </c>
      <c r="K87" s="432" t="n">
        <f aca="false">IF('Peak Revenue'!$A$1="BL","-",IF(Peak!Q88&gt;Peak!$G88,K$8*$X87,0))</f>
        <v>0</v>
      </c>
      <c r="L87" s="432" t="n">
        <f aca="false">IF('Peak Revenue'!$A$1="BL","-",IF(Peak!R88&gt;Peak!$G88,L$8*$X87,0))</f>
        <v>0</v>
      </c>
      <c r="M87" s="432" t="n">
        <f aca="false">IF('Peak Revenue'!$A$1="BL","-",IF(Peak!S88&gt;Peak!$G88,M$8*$X87,0))</f>
        <v>0</v>
      </c>
      <c r="N87" s="432" t="n">
        <f aca="false">IF('Peak Revenue'!$A$1="BL","-",IF(Peak!T88&gt;Peak!$G88,N$8*$X87,0))</f>
        <v>0</v>
      </c>
      <c r="O87" s="432" t="n">
        <f aca="false">IF('Peak Revenue'!$A$1="BL","-",IF(Peak!U88&gt;Peak!$G88,O$8*$X87,0))</f>
        <v>0</v>
      </c>
      <c r="P87" s="432" t="n">
        <f aca="false">IF('Peak Revenue'!$A$1="BL","-",IF(Peak!V88&gt;Peak!$G88,P$8*$X87,0))</f>
        <v>0</v>
      </c>
      <c r="Q87" s="432" t="n">
        <f aca="false">IF('Peak Revenue'!$A$1="BL","-",IF(Peak!W88&gt;Peak!$G88,Q$8*$X87,0))</f>
        <v>0</v>
      </c>
      <c r="R87" s="432" t="n">
        <f aca="false">IF('Peak Revenue'!$A$1="BL","-",IF(Peak!X88&gt;Peak!$G88,R$8*$X87,0))</f>
        <v>0</v>
      </c>
      <c r="S87" s="432" t="n">
        <f aca="false">IF('Peak Revenue'!$A$1="BL","-",IF(Peak!Y88&gt;Peak!$G88,S$8*$X87,0))</f>
        <v>0</v>
      </c>
      <c r="T87" s="432" t="n">
        <f aca="false">IF('Peak Revenue'!$A$1="BL","-",IF(Peak!Z88&gt;Peak!$G88,T$8*$X87,0))</f>
        <v>0</v>
      </c>
      <c r="U87" s="432" t="n">
        <f aca="false">IF('Peak Revenue'!$A$1="BL","-",IF(Peak!AA88&gt;Peak!$G88,U$8*$X87,0))</f>
        <v>0</v>
      </c>
      <c r="V87" s="441" t="n">
        <f aca="false">SUM(B87:U87)</f>
        <v>212.546699001029</v>
      </c>
      <c r="W87" s="442"/>
      <c r="X87" s="439" t="n">
        <f aca="false">CHOOSE(QUOTIENT(MONTH($A87),3)+1,Peak!$AM$11,Peak!$AN$11,Peak!$AL$11,Peak!$AO$11,Peak!$AM$11)</f>
        <v>0.966121359095586</v>
      </c>
      <c r="Y87" s="440" t="n">
        <f aca="false">CHOOSE(QUOTIENT(MONTH($A87),3)+1,Peak!$AM$17,Peak!$AN$17,Peak!$AL$17,Peak!$AO$17,Peak!$AM$17)</f>
        <v>705</v>
      </c>
    </row>
    <row r="88" customFormat="false" ht="12.75" hidden="false" customHeight="false" outlineLevel="0" collapsed="false">
      <c r="A88" s="400" t="n">
        <f aca="false">A87+30.417</f>
        <v>38912.526</v>
      </c>
      <c r="B88" s="432" t="n">
        <f aca="false">IF('Peak Revenue'!$A$1="BL","-",IF(Peak!H89&gt;Peak!$G89,B$8*$X88,0))</f>
        <v>4.83060679547793</v>
      </c>
      <c r="C88" s="432" t="n">
        <f aca="false">IF('Peak Revenue'!$A$1="BL","-",IF(Peak!I89&gt;Peak!$G89,C$8*$X88,0))</f>
        <v>4.83060679547793</v>
      </c>
      <c r="D88" s="432" t="n">
        <f aca="false">IF('Peak Revenue'!$A$1="BL","-",IF(Peak!J89&gt;Peak!$G89,D$8*$X88,0))</f>
        <v>9.66121359095586</v>
      </c>
      <c r="E88" s="432" t="n">
        <f aca="false">IF('Peak Revenue'!$A$1="BL","-",IF(Peak!K89&gt;Peak!$G89,E$8*$X88,0))</f>
        <v>19.3224271819117</v>
      </c>
      <c r="F88" s="432" t="n">
        <f aca="false">IF('Peak Revenue'!$A$1="BL","-",IF(Peak!L89&gt;Peak!$G89,F$8*$X88,0))</f>
        <v>19.3224271819117</v>
      </c>
      <c r="G88" s="432" t="n">
        <f aca="false">IF('Peak Revenue'!$A$1="BL","-",IF(Peak!M89&gt;Peak!$G89,G$8*$X88,0))</f>
        <v>38.6448543638234</v>
      </c>
      <c r="H88" s="432" t="n">
        <f aca="false">IF('Peak Revenue'!$A$1="BL","-",IF(Peak!N89&gt;Peak!$G89,H$8*$X88,0))</f>
        <v>38.6448543638234</v>
      </c>
      <c r="I88" s="432" t="n">
        <f aca="false">IF('Peak Revenue'!$A$1="BL","-",IF(Peak!O89&gt;Peak!$G89,I$8*$X88,0))</f>
        <v>38.6448543638234</v>
      </c>
      <c r="J88" s="432" t="n">
        <f aca="false">IF('Peak Revenue'!$A$1="BL","-",IF(Peak!P89&gt;Peak!$G89,J$8*$X88,0))</f>
        <v>38.6448543638234</v>
      </c>
      <c r="K88" s="432" t="n">
        <f aca="false">IF('Peak Revenue'!$A$1="BL","-",IF(Peak!Q89&gt;Peak!$G89,K$8*$X88,0))</f>
        <v>38.6448543638234</v>
      </c>
      <c r="L88" s="432" t="n">
        <f aca="false">IF('Peak Revenue'!$A$1="BL","-",IF(Peak!R89&gt;Peak!$G89,L$8*$X88,0))</f>
        <v>38.6448543638234</v>
      </c>
      <c r="M88" s="432" t="n">
        <f aca="false">IF('Peak Revenue'!$A$1="BL","-",IF(Peak!S89&gt;Peak!$G89,M$8*$X88,0))</f>
        <v>38.6448543638234</v>
      </c>
      <c r="N88" s="432" t="n">
        <f aca="false">IF('Peak Revenue'!$A$1="BL","-",IF(Peak!T89&gt;Peak!$G89,N$8*$X88,0))</f>
        <v>38.6448543638234</v>
      </c>
      <c r="O88" s="432" t="n">
        <f aca="false">IF('Peak Revenue'!$A$1="BL","-",IF(Peak!U89&gt;Peak!$G89,O$8*$X88,0))</f>
        <v>38.6448543638234</v>
      </c>
      <c r="P88" s="432" t="n">
        <f aca="false">IF('Peak Revenue'!$A$1="BL","-",IF(Peak!V89&gt;Peak!$G89,P$8*$X88,0))</f>
        <v>0</v>
      </c>
      <c r="Q88" s="432" t="n">
        <f aca="false">IF('Peak Revenue'!$A$1="BL","-",IF(Peak!W89&gt;Peak!$G89,Q$8*$X88,0))</f>
        <v>0</v>
      </c>
      <c r="R88" s="432" t="n">
        <f aca="false">IF('Peak Revenue'!$A$1="BL","-",IF(Peak!X89&gt;Peak!$G89,R$8*$X88,0))</f>
        <v>0</v>
      </c>
      <c r="S88" s="432" t="n">
        <f aca="false">IF('Peak Revenue'!$A$1="BL","-",IF(Peak!Y89&gt;Peak!$G89,S$8*$X88,0))</f>
        <v>0</v>
      </c>
      <c r="T88" s="432" t="n">
        <f aca="false">IF('Peak Revenue'!$A$1="BL","-",IF(Peak!Z89&gt;Peak!$G89,T$8*$X88,0))</f>
        <v>0</v>
      </c>
      <c r="U88" s="432" t="n">
        <f aca="false">IF('Peak Revenue'!$A$1="BL","-",IF(Peak!AA89&gt;Peak!$G89,U$8*$X88,0))</f>
        <v>0</v>
      </c>
      <c r="V88" s="441" t="n">
        <f aca="false">SUM(B88:U88)</f>
        <v>405.770970820146</v>
      </c>
      <c r="W88" s="442"/>
      <c r="X88" s="439" t="n">
        <f aca="false">CHOOSE(QUOTIENT(MONTH($A88),3)+1,Peak!$AM$11,Peak!$AN$11,Peak!$AL$11,Peak!$AO$11,Peak!$AM$11)</f>
        <v>0.966121359095586</v>
      </c>
      <c r="Y88" s="440" t="n">
        <f aca="false">CHOOSE(QUOTIENT(MONTH($A88),3)+1,Peak!$AM$17,Peak!$AN$17,Peak!$AL$17,Peak!$AO$17,Peak!$AM$17)</f>
        <v>705</v>
      </c>
    </row>
    <row r="89" customFormat="false" ht="12.75" hidden="false" customHeight="false" outlineLevel="0" collapsed="false">
      <c r="A89" s="400" t="n">
        <f aca="false">A88+30.417</f>
        <v>38942.943</v>
      </c>
      <c r="B89" s="432" t="n">
        <f aca="false">IF('Peak Revenue'!$A$1="BL","-",IF(Peak!H90&gt;Peak!$G90,B$8*$X89,0))</f>
        <v>4.83060679547793</v>
      </c>
      <c r="C89" s="432" t="n">
        <f aca="false">IF('Peak Revenue'!$A$1="BL","-",IF(Peak!I90&gt;Peak!$G90,C$8*$X89,0))</f>
        <v>4.83060679547793</v>
      </c>
      <c r="D89" s="432" t="n">
        <f aca="false">IF('Peak Revenue'!$A$1="BL","-",IF(Peak!J90&gt;Peak!$G90,D$8*$X89,0))</f>
        <v>9.66121359095586</v>
      </c>
      <c r="E89" s="432" t="n">
        <f aca="false">IF('Peak Revenue'!$A$1="BL","-",IF(Peak!K90&gt;Peak!$G90,E$8*$X89,0))</f>
        <v>19.3224271819117</v>
      </c>
      <c r="F89" s="432" t="n">
        <f aca="false">IF('Peak Revenue'!$A$1="BL","-",IF(Peak!L90&gt;Peak!$G90,F$8*$X89,0))</f>
        <v>19.3224271819117</v>
      </c>
      <c r="G89" s="432" t="n">
        <f aca="false">IF('Peak Revenue'!$A$1="BL","-",IF(Peak!M90&gt;Peak!$G90,G$8*$X89,0))</f>
        <v>38.6448543638234</v>
      </c>
      <c r="H89" s="432" t="n">
        <f aca="false">IF('Peak Revenue'!$A$1="BL","-",IF(Peak!N90&gt;Peak!$G90,H$8*$X89,0))</f>
        <v>38.6448543638234</v>
      </c>
      <c r="I89" s="432" t="n">
        <f aca="false">IF('Peak Revenue'!$A$1="BL","-",IF(Peak!O90&gt;Peak!$G90,I$8*$X89,0))</f>
        <v>38.6448543638234</v>
      </c>
      <c r="J89" s="432" t="n">
        <f aca="false">IF('Peak Revenue'!$A$1="BL","-",IF(Peak!P90&gt;Peak!$G90,J$8*$X89,0))</f>
        <v>38.6448543638234</v>
      </c>
      <c r="K89" s="432" t="n">
        <f aca="false">IF('Peak Revenue'!$A$1="BL","-",IF(Peak!Q90&gt;Peak!$G90,K$8*$X89,0))</f>
        <v>38.6448543638234</v>
      </c>
      <c r="L89" s="432" t="n">
        <f aca="false">IF('Peak Revenue'!$A$1="BL","-",IF(Peak!R90&gt;Peak!$G90,L$8*$X89,0))</f>
        <v>38.6448543638234</v>
      </c>
      <c r="M89" s="432" t="n">
        <f aca="false">IF('Peak Revenue'!$A$1="BL","-",IF(Peak!S90&gt;Peak!$G90,M$8*$X89,0))</f>
        <v>0</v>
      </c>
      <c r="N89" s="432" t="n">
        <f aca="false">IF('Peak Revenue'!$A$1="BL","-",IF(Peak!T90&gt;Peak!$G90,N$8*$X89,0))</f>
        <v>0</v>
      </c>
      <c r="O89" s="432" t="n">
        <f aca="false">IF('Peak Revenue'!$A$1="BL","-",IF(Peak!U90&gt;Peak!$G90,O$8*$X89,0))</f>
        <v>0</v>
      </c>
      <c r="P89" s="432" t="n">
        <f aca="false">IF('Peak Revenue'!$A$1="BL","-",IF(Peak!V90&gt;Peak!$G90,P$8*$X89,0))</f>
        <v>0</v>
      </c>
      <c r="Q89" s="432" t="n">
        <f aca="false">IF('Peak Revenue'!$A$1="BL","-",IF(Peak!W90&gt;Peak!$G90,Q$8*$X89,0))</f>
        <v>0</v>
      </c>
      <c r="R89" s="432" t="n">
        <f aca="false">IF('Peak Revenue'!$A$1="BL","-",IF(Peak!X90&gt;Peak!$G90,R$8*$X89,0))</f>
        <v>0</v>
      </c>
      <c r="S89" s="432" t="n">
        <f aca="false">IF('Peak Revenue'!$A$1="BL","-",IF(Peak!Y90&gt;Peak!$G90,S$8*$X89,0))</f>
        <v>0</v>
      </c>
      <c r="T89" s="432" t="n">
        <f aca="false">IF('Peak Revenue'!$A$1="BL","-",IF(Peak!Z90&gt;Peak!$G90,T$8*$X89,0))</f>
        <v>0</v>
      </c>
      <c r="U89" s="432" t="n">
        <f aca="false">IF('Peak Revenue'!$A$1="BL","-",IF(Peak!AA90&gt;Peak!$G90,U$8*$X89,0))</f>
        <v>0</v>
      </c>
      <c r="V89" s="441" t="n">
        <f aca="false">SUM(B89:U89)</f>
        <v>289.836407728676</v>
      </c>
      <c r="W89" s="442"/>
      <c r="X89" s="439" t="n">
        <f aca="false">CHOOSE(QUOTIENT(MONTH($A89),3)+1,Peak!$AM$11,Peak!$AN$11,Peak!$AL$11,Peak!$AO$11,Peak!$AM$11)</f>
        <v>0.966121359095586</v>
      </c>
      <c r="Y89" s="440" t="n">
        <f aca="false">CHOOSE(QUOTIENT(MONTH($A89),3)+1,Peak!$AM$17,Peak!$AN$17,Peak!$AL$17,Peak!$AO$17,Peak!$AM$17)</f>
        <v>705</v>
      </c>
    </row>
    <row r="90" customFormat="false" ht="12.75" hidden="false" customHeight="false" outlineLevel="0" collapsed="false">
      <c r="A90" s="400" t="n">
        <f aca="false">A89+30.417</f>
        <v>38973.36</v>
      </c>
      <c r="B90" s="432" t="n">
        <f aca="false">IF('Peak Revenue'!$A$1="BL","-",IF(Peak!H91&gt;Peak!$G91,B$8*$X90,0))</f>
        <v>4.75</v>
      </c>
      <c r="C90" s="432" t="n">
        <f aca="false">IF('Peak Revenue'!$A$1="BL","-",IF(Peak!I91&gt;Peak!$G91,C$8*$X90,0))</f>
        <v>4.75</v>
      </c>
      <c r="D90" s="432" t="n">
        <f aca="false">IF('Peak Revenue'!$A$1="BL","-",IF(Peak!J91&gt;Peak!$G91,D$8*$X90,0))</f>
        <v>9.5</v>
      </c>
      <c r="E90" s="432" t="n">
        <f aca="false">IF('Peak Revenue'!$A$1="BL","-",IF(Peak!K91&gt;Peak!$G91,E$8*$X90,0))</f>
        <v>19</v>
      </c>
      <c r="F90" s="432" t="n">
        <f aca="false">IF('Peak Revenue'!$A$1="BL","-",IF(Peak!L91&gt;Peak!$G91,F$8*$X90,0))</f>
        <v>19</v>
      </c>
      <c r="G90" s="432" t="n">
        <f aca="false">IF('Peak Revenue'!$A$1="BL","-",IF(Peak!M91&gt;Peak!$G91,G$8*$X90,0))</f>
        <v>38</v>
      </c>
      <c r="H90" s="432" t="n">
        <f aca="false">IF('Peak Revenue'!$A$1="BL","-",IF(Peak!N91&gt;Peak!$G91,H$8*$X90,0))</f>
        <v>38</v>
      </c>
      <c r="I90" s="432" t="n">
        <f aca="false">IF('Peak Revenue'!$A$1="BL","-",IF(Peak!O91&gt;Peak!$G91,I$8*$X90,0))</f>
        <v>38</v>
      </c>
      <c r="J90" s="432" t="n">
        <f aca="false">IF('Peak Revenue'!$A$1="BL","-",IF(Peak!P91&gt;Peak!$G91,J$8*$X90,0))</f>
        <v>38</v>
      </c>
      <c r="K90" s="432" t="n">
        <f aca="false">IF('Peak Revenue'!$A$1="BL","-",IF(Peak!Q91&gt;Peak!$G91,K$8*$X90,0))</f>
        <v>38</v>
      </c>
      <c r="L90" s="432" t="n">
        <f aca="false">IF('Peak Revenue'!$A$1="BL","-",IF(Peak!R91&gt;Peak!$G91,L$8*$X90,0))</f>
        <v>0</v>
      </c>
      <c r="M90" s="432" t="n">
        <f aca="false">IF('Peak Revenue'!$A$1="BL","-",IF(Peak!S91&gt;Peak!$G91,M$8*$X90,0))</f>
        <v>0</v>
      </c>
      <c r="N90" s="432" t="n">
        <f aca="false">IF('Peak Revenue'!$A$1="BL","-",IF(Peak!T91&gt;Peak!$G91,N$8*$X90,0))</f>
        <v>0</v>
      </c>
      <c r="O90" s="432" t="n">
        <f aca="false">IF('Peak Revenue'!$A$1="BL","-",IF(Peak!U91&gt;Peak!$G91,O$8*$X90,0))</f>
        <v>0</v>
      </c>
      <c r="P90" s="432" t="n">
        <f aca="false">IF('Peak Revenue'!$A$1="BL","-",IF(Peak!V91&gt;Peak!$G91,P$8*$X90,0))</f>
        <v>0</v>
      </c>
      <c r="Q90" s="432" t="n">
        <f aca="false">IF('Peak Revenue'!$A$1="BL","-",IF(Peak!W91&gt;Peak!$G91,Q$8*$X90,0))</f>
        <v>0</v>
      </c>
      <c r="R90" s="432" t="n">
        <f aca="false">IF('Peak Revenue'!$A$1="BL","-",IF(Peak!X91&gt;Peak!$G91,R$8*$X90,0))</f>
        <v>0</v>
      </c>
      <c r="S90" s="432" t="n">
        <f aca="false">IF('Peak Revenue'!$A$1="BL","-",IF(Peak!Y91&gt;Peak!$G91,S$8*$X90,0))</f>
        <v>0</v>
      </c>
      <c r="T90" s="432" t="n">
        <f aca="false">IF('Peak Revenue'!$A$1="BL","-",IF(Peak!Z91&gt;Peak!$G91,T$8*$X90,0))</f>
        <v>0</v>
      </c>
      <c r="U90" s="432" t="n">
        <f aca="false">IF('Peak Revenue'!$A$1="BL","-",IF(Peak!AA91&gt;Peak!$G91,U$8*$X90,0))</f>
        <v>0</v>
      </c>
      <c r="V90" s="441" t="n">
        <f aca="false">SUM(B90:U90)</f>
        <v>247</v>
      </c>
      <c r="W90" s="442"/>
      <c r="X90" s="439" t="n">
        <f aca="false">CHOOSE(QUOTIENT(MONTH($A90),3)+1,Peak!$AM$11,Peak!$AN$11,Peak!$AL$11,Peak!$AO$11,Peak!$AM$11)</f>
        <v>0.95</v>
      </c>
      <c r="Y90" s="440" t="n">
        <f aca="false">CHOOSE(QUOTIENT(MONTH($A90),3)+1,Peak!$AM$17,Peak!$AN$17,Peak!$AL$17,Peak!$AO$17,Peak!$AM$17)</f>
        <v>705</v>
      </c>
    </row>
    <row r="91" customFormat="false" ht="12.75" hidden="false" customHeight="false" outlineLevel="0" collapsed="false">
      <c r="A91" s="400" t="n">
        <f aca="false">A90+30.417</f>
        <v>39003.777</v>
      </c>
      <c r="B91" s="432" t="n">
        <f aca="false">IF('Peak Revenue'!$A$1="BL","-",IF(Peak!H92&gt;Peak!$G92,B$8*$X91,0))</f>
        <v>4.75</v>
      </c>
      <c r="C91" s="432" t="n">
        <f aca="false">IF('Peak Revenue'!$A$1="BL","-",IF(Peak!I92&gt;Peak!$G92,C$8*$X91,0))</f>
        <v>4.75</v>
      </c>
      <c r="D91" s="432" t="n">
        <f aca="false">IF('Peak Revenue'!$A$1="BL","-",IF(Peak!J92&gt;Peak!$G92,D$8*$X91,0))</f>
        <v>9.5</v>
      </c>
      <c r="E91" s="432" t="n">
        <f aca="false">IF('Peak Revenue'!$A$1="BL","-",IF(Peak!K92&gt;Peak!$G92,E$8*$X91,0))</f>
        <v>19</v>
      </c>
      <c r="F91" s="432" t="n">
        <f aca="false">IF('Peak Revenue'!$A$1="BL","-",IF(Peak!L92&gt;Peak!$G92,F$8*$X91,0))</f>
        <v>19</v>
      </c>
      <c r="G91" s="432" t="n">
        <f aca="false">IF('Peak Revenue'!$A$1="BL","-",IF(Peak!M92&gt;Peak!$G92,G$8*$X91,0))</f>
        <v>38</v>
      </c>
      <c r="H91" s="432" t="n">
        <f aca="false">IF('Peak Revenue'!$A$1="BL","-",IF(Peak!N92&gt;Peak!$G92,H$8*$X91,0))</f>
        <v>38</v>
      </c>
      <c r="I91" s="432" t="n">
        <f aca="false">IF('Peak Revenue'!$A$1="BL","-",IF(Peak!O92&gt;Peak!$G92,I$8*$X91,0))</f>
        <v>38</v>
      </c>
      <c r="J91" s="432" t="n">
        <f aca="false">IF('Peak Revenue'!$A$1="BL","-",IF(Peak!P92&gt;Peak!$G92,J$8*$X91,0))</f>
        <v>0</v>
      </c>
      <c r="K91" s="432" t="n">
        <f aca="false">IF('Peak Revenue'!$A$1="BL","-",IF(Peak!Q92&gt;Peak!$G92,K$8*$X91,0))</f>
        <v>0</v>
      </c>
      <c r="L91" s="432" t="n">
        <f aca="false">IF('Peak Revenue'!$A$1="BL","-",IF(Peak!R92&gt;Peak!$G92,L$8*$X91,0))</f>
        <v>0</v>
      </c>
      <c r="M91" s="432" t="n">
        <f aca="false">IF('Peak Revenue'!$A$1="BL","-",IF(Peak!S92&gt;Peak!$G92,M$8*$X91,0))</f>
        <v>0</v>
      </c>
      <c r="N91" s="432" t="n">
        <f aca="false">IF('Peak Revenue'!$A$1="BL","-",IF(Peak!T92&gt;Peak!$G92,N$8*$X91,0))</f>
        <v>0</v>
      </c>
      <c r="O91" s="432" t="n">
        <f aca="false">IF('Peak Revenue'!$A$1="BL","-",IF(Peak!U92&gt;Peak!$G92,O$8*$X91,0))</f>
        <v>0</v>
      </c>
      <c r="P91" s="432" t="n">
        <f aca="false">IF('Peak Revenue'!$A$1="BL","-",IF(Peak!V92&gt;Peak!$G92,P$8*$X91,0))</f>
        <v>0</v>
      </c>
      <c r="Q91" s="432" t="n">
        <f aca="false">IF('Peak Revenue'!$A$1="BL","-",IF(Peak!W92&gt;Peak!$G92,Q$8*$X91,0))</f>
        <v>0</v>
      </c>
      <c r="R91" s="432" t="n">
        <f aca="false">IF('Peak Revenue'!$A$1="BL","-",IF(Peak!X92&gt;Peak!$G92,R$8*$X91,0))</f>
        <v>0</v>
      </c>
      <c r="S91" s="432" t="n">
        <f aca="false">IF('Peak Revenue'!$A$1="BL","-",IF(Peak!Y92&gt;Peak!$G92,S$8*$X91,0))</f>
        <v>0</v>
      </c>
      <c r="T91" s="432" t="n">
        <f aca="false">IF('Peak Revenue'!$A$1="BL","-",IF(Peak!Z92&gt;Peak!$G92,T$8*$X91,0))</f>
        <v>0</v>
      </c>
      <c r="U91" s="432" t="n">
        <f aca="false">IF('Peak Revenue'!$A$1="BL","-",IF(Peak!AA92&gt;Peak!$G92,U$8*$X91,0))</f>
        <v>0</v>
      </c>
      <c r="V91" s="441" t="n">
        <f aca="false">SUM(B91:U91)</f>
        <v>171</v>
      </c>
      <c r="W91" s="442"/>
      <c r="X91" s="439" t="n">
        <f aca="false">CHOOSE(QUOTIENT(MONTH($A91),3)+1,Peak!$AM$11,Peak!$AN$11,Peak!$AL$11,Peak!$AO$11,Peak!$AM$11)</f>
        <v>0.95</v>
      </c>
      <c r="Y91" s="440" t="n">
        <f aca="false">CHOOSE(QUOTIENT(MONTH($A91),3)+1,Peak!$AM$17,Peak!$AN$17,Peak!$AL$17,Peak!$AO$17,Peak!$AM$17)</f>
        <v>705</v>
      </c>
    </row>
    <row r="92" customFormat="false" ht="12.75" hidden="false" customHeight="false" outlineLevel="0" collapsed="false">
      <c r="A92" s="400" t="n">
        <f aca="false">A91+30.417</f>
        <v>39034.194</v>
      </c>
      <c r="B92" s="432" t="n">
        <f aca="false">IF('Peak Revenue'!$A$1="BL","-",IF(Peak!H93&gt;Peak!$G93,B$8*$X92,0))</f>
        <v>4.75</v>
      </c>
      <c r="C92" s="432" t="n">
        <f aca="false">IF('Peak Revenue'!$A$1="BL","-",IF(Peak!I93&gt;Peak!$G93,C$8*$X92,0))</f>
        <v>4.75</v>
      </c>
      <c r="D92" s="432" t="n">
        <f aca="false">IF('Peak Revenue'!$A$1="BL","-",IF(Peak!J93&gt;Peak!$G93,D$8*$X92,0))</f>
        <v>9.5</v>
      </c>
      <c r="E92" s="432" t="n">
        <f aca="false">IF('Peak Revenue'!$A$1="BL","-",IF(Peak!K93&gt;Peak!$G93,E$8*$X92,0))</f>
        <v>19</v>
      </c>
      <c r="F92" s="432" t="n">
        <f aca="false">IF('Peak Revenue'!$A$1="BL","-",IF(Peak!L93&gt;Peak!$G93,F$8*$X92,0))</f>
        <v>19</v>
      </c>
      <c r="G92" s="432" t="n">
        <f aca="false">IF('Peak Revenue'!$A$1="BL","-",IF(Peak!M93&gt;Peak!$G93,G$8*$X92,0))</f>
        <v>38</v>
      </c>
      <c r="H92" s="432" t="n">
        <f aca="false">IF('Peak Revenue'!$A$1="BL","-",IF(Peak!N93&gt;Peak!$G93,H$8*$X92,0))</f>
        <v>38</v>
      </c>
      <c r="I92" s="432" t="n">
        <f aca="false">IF('Peak Revenue'!$A$1="BL","-",IF(Peak!O93&gt;Peak!$G93,I$8*$X92,0))</f>
        <v>38</v>
      </c>
      <c r="J92" s="432" t="n">
        <f aca="false">IF('Peak Revenue'!$A$1="BL","-",IF(Peak!P93&gt;Peak!$G93,J$8*$X92,0))</f>
        <v>38</v>
      </c>
      <c r="K92" s="432" t="n">
        <f aca="false">IF('Peak Revenue'!$A$1="BL","-",IF(Peak!Q93&gt;Peak!$G93,K$8*$X92,0))</f>
        <v>0</v>
      </c>
      <c r="L92" s="432" t="n">
        <f aca="false">IF('Peak Revenue'!$A$1="BL","-",IF(Peak!R93&gt;Peak!$G93,L$8*$X92,0))</f>
        <v>0</v>
      </c>
      <c r="M92" s="432" t="n">
        <f aca="false">IF('Peak Revenue'!$A$1="BL","-",IF(Peak!S93&gt;Peak!$G93,M$8*$X92,0))</f>
        <v>0</v>
      </c>
      <c r="N92" s="432" t="n">
        <f aca="false">IF('Peak Revenue'!$A$1="BL","-",IF(Peak!T93&gt;Peak!$G93,N$8*$X92,0))</f>
        <v>0</v>
      </c>
      <c r="O92" s="432" t="n">
        <f aca="false">IF('Peak Revenue'!$A$1="BL","-",IF(Peak!U93&gt;Peak!$G93,O$8*$X92,0))</f>
        <v>0</v>
      </c>
      <c r="P92" s="432" t="n">
        <f aca="false">IF('Peak Revenue'!$A$1="BL","-",IF(Peak!V93&gt;Peak!$G93,P$8*$X92,0))</f>
        <v>0</v>
      </c>
      <c r="Q92" s="432" t="n">
        <f aca="false">IF('Peak Revenue'!$A$1="BL","-",IF(Peak!W93&gt;Peak!$G93,Q$8*$X92,0))</f>
        <v>0</v>
      </c>
      <c r="R92" s="432" t="n">
        <f aca="false">IF('Peak Revenue'!$A$1="BL","-",IF(Peak!X93&gt;Peak!$G93,R$8*$X92,0))</f>
        <v>0</v>
      </c>
      <c r="S92" s="432" t="n">
        <f aca="false">IF('Peak Revenue'!$A$1="BL","-",IF(Peak!Y93&gt;Peak!$G93,S$8*$X92,0))</f>
        <v>0</v>
      </c>
      <c r="T92" s="432" t="n">
        <f aca="false">IF('Peak Revenue'!$A$1="BL","-",IF(Peak!Z93&gt;Peak!$G93,T$8*$X92,0))</f>
        <v>0</v>
      </c>
      <c r="U92" s="432" t="n">
        <f aca="false">IF('Peak Revenue'!$A$1="BL","-",IF(Peak!AA93&gt;Peak!$G93,U$8*$X92,0))</f>
        <v>0</v>
      </c>
      <c r="V92" s="441" t="n">
        <f aca="false">SUM(B92:U92)</f>
        <v>209</v>
      </c>
      <c r="W92" s="442"/>
      <c r="X92" s="439" t="n">
        <f aca="false">CHOOSE(QUOTIENT(MONTH($A92),3)+1,Peak!$AM$11,Peak!$AN$11,Peak!$AL$11,Peak!$AO$11,Peak!$AM$11)</f>
        <v>0.95</v>
      </c>
      <c r="Y92" s="440" t="n">
        <f aca="false">CHOOSE(QUOTIENT(MONTH($A92),3)+1,Peak!$AM$17,Peak!$AN$17,Peak!$AL$17,Peak!$AO$17,Peak!$AM$17)</f>
        <v>705</v>
      </c>
    </row>
    <row r="93" customFormat="false" ht="12.75" hidden="false" customHeight="false" outlineLevel="0" collapsed="false">
      <c r="A93" s="400" t="n">
        <f aca="false">A92+30.417</f>
        <v>39064.611</v>
      </c>
      <c r="B93" s="432" t="n">
        <f aca="false">IF('Peak Revenue'!$A$1="BL","-",IF(Peak!H94&gt;Peak!$G94,B$8*$X93,0))</f>
        <v>4.62138309393059</v>
      </c>
      <c r="C93" s="432" t="n">
        <f aca="false">IF('Peak Revenue'!$A$1="BL","-",IF(Peak!I94&gt;Peak!$G94,C$8*$X93,0))</f>
        <v>4.62138309393059</v>
      </c>
      <c r="D93" s="432" t="n">
        <f aca="false">IF('Peak Revenue'!$A$1="BL","-",IF(Peak!J94&gt;Peak!$G94,D$8*$X93,0))</f>
        <v>9.24276618786118</v>
      </c>
      <c r="E93" s="432" t="n">
        <f aca="false">IF('Peak Revenue'!$A$1="BL","-",IF(Peak!K94&gt;Peak!$G94,E$8*$X93,0))</f>
        <v>18.4855323757224</v>
      </c>
      <c r="F93" s="432" t="n">
        <f aca="false">IF('Peak Revenue'!$A$1="BL","-",IF(Peak!L94&gt;Peak!$G94,F$8*$X93,0))</f>
        <v>18.4855323757224</v>
      </c>
      <c r="G93" s="432" t="n">
        <f aca="false">IF('Peak Revenue'!$A$1="BL","-",IF(Peak!M94&gt;Peak!$G94,G$8*$X93,0))</f>
        <v>36.9710647514447</v>
      </c>
      <c r="H93" s="432" t="n">
        <f aca="false">IF('Peak Revenue'!$A$1="BL","-",IF(Peak!N94&gt;Peak!$G94,H$8*$X93,0))</f>
        <v>36.9710647514447</v>
      </c>
      <c r="I93" s="432" t="n">
        <f aca="false">IF('Peak Revenue'!$A$1="BL","-",IF(Peak!O94&gt;Peak!$G94,I$8*$X93,0))</f>
        <v>36.9710647514447</v>
      </c>
      <c r="J93" s="432" t="n">
        <f aca="false">IF('Peak Revenue'!$A$1="BL","-",IF(Peak!P94&gt;Peak!$G94,J$8*$X93,0))</f>
        <v>36.9710647514447</v>
      </c>
      <c r="K93" s="432" t="n">
        <f aca="false">IF('Peak Revenue'!$A$1="BL","-",IF(Peak!Q94&gt;Peak!$G94,K$8*$X93,0))</f>
        <v>36.9710647514447</v>
      </c>
      <c r="L93" s="432" t="n">
        <f aca="false">IF('Peak Revenue'!$A$1="BL","-",IF(Peak!R94&gt;Peak!$G94,L$8*$X93,0))</f>
        <v>0</v>
      </c>
      <c r="M93" s="432" t="n">
        <f aca="false">IF('Peak Revenue'!$A$1="BL","-",IF(Peak!S94&gt;Peak!$G94,M$8*$X93,0))</f>
        <v>0</v>
      </c>
      <c r="N93" s="432" t="n">
        <f aca="false">IF('Peak Revenue'!$A$1="BL","-",IF(Peak!T94&gt;Peak!$G94,N$8*$X93,0))</f>
        <v>0</v>
      </c>
      <c r="O93" s="432" t="n">
        <f aca="false">IF('Peak Revenue'!$A$1="BL","-",IF(Peak!U94&gt;Peak!$G94,O$8*$X93,0))</f>
        <v>0</v>
      </c>
      <c r="P93" s="432" t="n">
        <f aca="false">IF('Peak Revenue'!$A$1="BL","-",IF(Peak!V94&gt;Peak!$G94,P$8*$X93,0))</f>
        <v>0</v>
      </c>
      <c r="Q93" s="432" t="n">
        <f aca="false">IF('Peak Revenue'!$A$1="BL","-",IF(Peak!W94&gt;Peak!$G94,Q$8*$X93,0))</f>
        <v>0</v>
      </c>
      <c r="R93" s="432" t="n">
        <f aca="false">IF('Peak Revenue'!$A$1="BL","-",IF(Peak!X94&gt;Peak!$G94,R$8*$X93,0))</f>
        <v>0</v>
      </c>
      <c r="S93" s="432" t="n">
        <f aca="false">IF('Peak Revenue'!$A$1="BL","-",IF(Peak!Y94&gt;Peak!$G94,S$8*$X93,0))</f>
        <v>0</v>
      </c>
      <c r="T93" s="432" t="n">
        <f aca="false">IF('Peak Revenue'!$A$1="BL","-",IF(Peak!Z94&gt;Peak!$G94,T$8*$X93,0))</f>
        <v>0</v>
      </c>
      <c r="U93" s="432" t="n">
        <f aca="false">IF('Peak Revenue'!$A$1="BL","-",IF(Peak!AA94&gt;Peak!$G94,U$8*$X93,0))</f>
        <v>0</v>
      </c>
      <c r="V93" s="441" t="n">
        <f aca="false">SUM(B93:U93)</f>
        <v>240.311920884391</v>
      </c>
      <c r="W93" s="443" t="n">
        <f aca="false">SUM(V82:V93)</f>
        <v>2696.17664594869</v>
      </c>
      <c r="X93" s="439" t="n">
        <f aca="false">CHOOSE(QUOTIENT(MONTH($A93),3)+1,Peak!$AM$11,Peak!$AN$11,Peak!$AL$11,Peak!$AO$11,Peak!$AM$11)</f>
        <v>0.924276618786118</v>
      </c>
      <c r="Y93" s="440" t="n">
        <f aca="false">CHOOSE(QUOTIENT(MONTH($A93),3)+1,Peak!$AM$17,Peak!$AN$17,Peak!$AL$17,Peak!$AO$17,Peak!$AM$17)</f>
        <v>705</v>
      </c>
    </row>
    <row r="94" customFormat="false" ht="12.75" hidden="false" customHeight="false" outlineLevel="0" collapsed="false">
      <c r="A94" s="400" t="n">
        <f aca="false">A93+30.417</f>
        <v>39095.028</v>
      </c>
      <c r="B94" s="432" t="n">
        <f aca="false">IF('Peak Revenue'!$A$1="BL","-",IF(Peak!H95&gt;Peak!$G95,B$8*$X94,0))</f>
        <v>4.62138309393059</v>
      </c>
      <c r="C94" s="432" t="n">
        <f aca="false">IF('Peak Revenue'!$A$1="BL","-",IF(Peak!I95&gt;Peak!$G95,C$8*$X94,0))</f>
        <v>4.62138309393059</v>
      </c>
      <c r="D94" s="432" t="n">
        <f aca="false">IF('Peak Revenue'!$A$1="BL","-",IF(Peak!J95&gt;Peak!$G95,D$8*$X94,0))</f>
        <v>9.24276618786118</v>
      </c>
      <c r="E94" s="432" t="n">
        <f aca="false">IF('Peak Revenue'!$A$1="BL","-",IF(Peak!K95&gt;Peak!$G95,E$8*$X94,0))</f>
        <v>18.4855323757224</v>
      </c>
      <c r="F94" s="432" t="n">
        <f aca="false">IF('Peak Revenue'!$A$1="BL","-",IF(Peak!L95&gt;Peak!$G95,F$8*$X94,0))</f>
        <v>18.4855323757224</v>
      </c>
      <c r="G94" s="432" t="n">
        <f aca="false">IF('Peak Revenue'!$A$1="BL","-",IF(Peak!M95&gt;Peak!$G95,G$8*$X94,0))</f>
        <v>36.9710647514447</v>
      </c>
      <c r="H94" s="432" t="n">
        <f aca="false">IF('Peak Revenue'!$A$1="BL","-",IF(Peak!N95&gt;Peak!$G95,H$8*$X94,0))</f>
        <v>36.9710647514447</v>
      </c>
      <c r="I94" s="432" t="n">
        <f aca="false">IF('Peak Revenue'!$A$1="BL","-",IF(Peak!O95&gt;Peak!$G95,I$8*$X94,0))</f>
        <v>0</v>
      </c>
      <c r="J94" s="432" t="n">
        <f aca="false">IF('Peak Revenue'!$A$1="BL","-",IF(Peak!P95&gt;Peak!$G95,J$8*$X94,0))</f>
        <v>0</v>
      </c>
      <c r="K94" s="432" t="n">
        <f aca="false">IF('Peak Revenue'!$A$1="BL","-",IF(Peak!Q95&gt;Peak!$G95,K$8*$X94,0))</f>
        <v>0</v>
      </c>
      <c r="L94" s="432" t="n">
        <f aca="false">IF('Peak Revenue'!$A$1="BL","-",IF(Peak!R95&gt;Peak!$G95,L$8*$X94,0))</f>
        <v>0</v>
      </c>
      <c r="M94" s="432" t="n">
        <f aca="false">IF('Peak Revenue'!$A$1="BL","-",IF(Peak!S95&gt;Peak!$G95,M$8*$X94,0))</f>
        <v>0</v>
      </c>
      <c r="N94" s="432" t="n">
        <f aca="false">IF('Peak Revenue'!$A$1="BL","-",IF(Peak!T95&gt;Peak!$G95,N$8*$X94,0))</f>
        <v>0</v>
      </c>
      <c r="O94" s="432" t="n">
        <f aca="false">IF('Peak Revenue'!$A$1="BL","-",IF(Peak!U95&gt;Peak!$G95,O$8*$X94,0))</f>
        <v>0</v>
      </c>
      <c r="P94" s="432" t="n">
        <f aca="false">IF('Peak Revenue'!$A$1="BL","-",IF(Peak!V95&gt;Peak!$G95,P$8*$X94,0))</f>
        <v>0</v>
      </c>
      <c r="Q94" s="432" t="n">
        <f aca="false">IF('Peak Revenue'!$A$1="BL","-",IF(Peak!W95&gt;Peak!$G95,Q$8*$X94,0))</f>
        <v>0</v>
      </c>
      <c r="R94" s="432" t="n">
        <f aca="false">IF('Peak Revenue'!$A$1="BL","-",IF(Peak!X95&gt;Peak!$G95,R$8*$X94,0))</f>
        <v>0</v>
      </c>
      <c r="S94" s="432" t="n">
        <f aca="false">IF('Peak Revenue'!$A$1="BL","-",IF(Peak!Y95&gt;Peak!$G95,S$8*$X94,0))</f>
        <v>0</v>
      </c>
      <c r="T94" s="432" t="n">
        <f aca="false">IF('Peak Revenue'!$A$1="BL","-",IF(Peak!Z95&gt;Peak!$G95,T$8*$X94,0))</f>
        <v>0</v>
      </c>
      <c r="U94" s="432" t="n">
        <f aca="false">IF('Peak Revenue'!$A$1="BL","-",IF(Peak!AA95&gt;Peak!$G95,U$8*$X94,0))</f>
        <v>0</v>
      </c>
      <c r="V94" s="441" t="n">
        <f aca="false">SUM(B94:U94)</f>
        <v>129.398726630056</v>
      </c>
      <c r="W94" s="442"/>
      <c r="X94" s="439" t="n">
        <f aca="false">CHOOSE(QUOTIENT(MONTH($A94),3)+1,Peak!$AM$11,Peak!$AN$11,Peak!$AL$11,Peak!$AO$11,Peak!$AM$11)</f>
        <v>0.924276618786118</v>
      </c>
      <c r="Y94" s="440" t="n">
        <f aca="false">CHOOSE(QUOTIENT(MONTH($A94),3)+1,Peak!$AM$17,Peak!$AN$17,Peak!$AL$17,Peak!$AO$17,Peak!$AM$17)</f>
        <v>705</v>
      </c>
    </row>
    <row r="95" customFormat="false" ht="12.75" hidden="false" customHeight="false" outlineLevel="0" collapsed="false">
      <c r="A95" s="400" t="n">
        <f aca="false">A94+30.417</f>
        <v>39125.445</v>
      </c>
      <c r="B95" s="432" t="n">
        <f aca="false">IF('Peak Revenue'!$A$1="BL","-",IF(Peak!H96&gt;Peak!$G96,B$8*$X95,0))</f>
        <v>4.62138309393059</v>
      </c>
      <c r="C95" s="432" t="n">
        <f aca="false">IF('Peak Revenue'!$A$1="BL","-",IF(Peak!I96&gt;Peak!$G96,C$8*$X95,0))</f>
        <v>4.62138309393059</v>
      </c>
      <c r="D95" s="432" t="n">
        <f aca="false">IF('Peak Revenue'!$A$1="BL","-",IF(Peak!J96&gt;Peak!$G96,D$8*$X95,0))</f>
        <v>9.24276618786118</v>
      </c>
      <c r="E95" s="432" t="n">
        <f aca="false">IF('Peak Revenue'!$A$1="BL","-",IF(Peak!K96&gt;Peak!$G96,E$8*$X95,0))</f>
        <v>18.4855323757224</v>
      </c>
      <c r="F95" s="432" t="n">
        <f aca="false">IF('Peak Revenue'!$A$1="BL","-",IF(Peak!L96&gt;Peak!$G96,F$8*$X95,0))</f>
        <v>18.4855323757224</v>
      </c>
      <c r="G95" s="432" t="n">
        <f aca="false">IF('Peak Revenue'!$A$1="BL","-",IF(Peak!M96&gt;Peak!$G96,G$8*$X95,0))</f>
        <v>36.9710647514447</v>
      </c>
      <c r="H95" s="432" t="n">
        <f aca="false">IF('Peak Revenue'!$A$1="BL","-",IF(Peak!N96&gt;Peak!$G96,H$8*$X95,0))</f>
        <v>36.9710647514447</v>
      </c>
      <c r="I95" s="432" t="n">
        <f aca="false">IF('Peak Revenue'!$A$1="BL","-",IF(Peak!O96&gt;Peak!$G96,I$8*$X95,0))</f>
        <v>36.9710647514447</v>
      </c>
      <c r="J95" s="432" t="n">
        <f aca="false">IF('Peak Revenue'!$A$1="BL","-",IF(Peak!P96&gt;Peak!$G96,J$8*$X95,0))</f>
        <v>36.9710647514447</v>
      </c>
      <c r="K95" s="432" t="n">
        <f aca="false">IF('Peak Revenue'!$A$1="BL","-",IF(Peak!Q96&gt;Peak!$G96,K$8*$X95,0))</f>
        <v>36.9710647514447</v>
      </c>
      <c r="L95" s="432" t="n">
        <f aca="false">IF('Peak Revenue'!$A$1="BL","-",IF(Peak!R96&gt;Peak!$G96,L$8*$X95,0))</f>
        <v>36.9710647514447</v>
      </c>
      <c r="M95" s="432" t="n">
        <f aca="false">IF('Peak Revenue'!$A$1="BL","-",IF(Peak!S96&gt;Peak!$G96,M$8*$X95,0))</f>
        <v>0</v>
      </c>
      <c r="N95" s="432" t="n">
        <f aca="false">IF('Peak Revenue'!$A$1="BL","-",IF(Peak!T96&gt;Peak!$G96,N$8*$X95,0))</f>
        <v>0</v>
      </c>
      <c r="O95" s="432" t="n">
        <f aca="false">IF('Peak Revenue'!$A$1="BL","-",IF(Peak!U96&gt;Peak!$G96,O$8*$X95,0))</f>
        <v>0</v>
      </c>
      <c r="P95" s="432" t="n">
        <f aca="false">IF('Peak Revenue'!$A$1="BL","-",IF(Peak!V96&gt;Peak!$G96,P$8*$X95,0))</f>
        <v>0</v>
      </c>
      <c r="Q95" s="432" t="n">
        <f aca="false">IF('Peak Revenue'!$A$1="BL","-",IF(Peak!W96&gt;Peak!$G96,Q$8*$X95,0))</f>
        <v>0</v>
      </c>
      <c r="R95" s="432" t="n">
        <f aca="false">IF('Peak Revenue'!$A$1="BL","-",IF(Peak!X96&gt;Peak!$G96,R$8*$X95,0))</f>
        <v>0</v>
      </c>
      <c r="S95" s="432" t="n">
        <f aca="false">IF('Peak Revenue'!$A$1="BL","-",IF(Peak!Y96&gt;Peak!$G96,S$8*$X95,0))</f>
        <v>0</v>
      </c>
      <c r="T95" s="432" t="n">
        <f aca="false">IF('Peak Revenue'!$A$1="BL","-",IF(Peak!Z96&gt;Peak!$G96,T$8*$X95,0))</f>
        <v>0</v>
      </c>
      <c r="U95" s="432" t="n">
        <f aca="false">IF('Peak Revenue'!$A$1="BL","-",IF(Peak!AA96&gt;Peak!$G96,U$8*$X95,0))</f>
        <v>0</v>
      </c>
      <c r="V95" s="441" t="n">
        <f aca="false">SUM(B95:U95)</f>
        <v>277.282985635835</v>
      </c>
      <c r="W95" s="442"/>
      <c r="X95" s="439" t="n">
        <f aca="false">CHOOSE(QUOTIENT(MONTH($A95),3)+1,Peak!$AM$11,Peak!$AN$11,Peak!$AL$11,Peak!$AO$11,Peak!$AM$11)</f>
        <v>0.924276618786118</v>
      </c>
      <c r="Y95" s="440" t="n">
        <f aca="false">CHOOSE(QUOTIENT(MONTH($A95),3)+1,Peak!$AM$17,Peak!$AN$17,Peak!$AL$17,Peak!$AO$17,Peak!$AM$17)</f>
        <v>705</v>
      </c>
    </row>
    <row r="96" customFormat="false" ht="12.75" hidden="false" customHeight="false" outlineLevel="0" collapsed="false">
      <c r="A96" s="400" t="n">
        <f aca="false">A95+30.417</f>
        <v>39155.862</v>
      </c>
      <c r="B96" s="432" t="n">
        <f aca="false">IF('Peak Revenue'!$A$1="BL","-",IF(Peak!H97&gt;Peak!$G97,B$8*$X96,0))</f>
        <v>4.75</v>
      </c>
      <c r="C96" s="432" t="n">
        <f aca="false">IF('Peak Revenue'!$A$1="BL","-",IF(Peak!I97&gt;Peak!$G97,C$8*$X96,0))</f>
        <v>4.75</v>
      </c>
      <c r="D96" s="432" t="n">
        <f aca="false">IF('Peak Revenue'!$A$1="BL","-",IF(Peak!J97&gt;Peak!$G97,D$8*$X96,0))</f>
        <v>9.5</v>
      </c>
      <c r="E96" s="432" t="n">
        <f aca="false">IF('Peak Revenue'!$A$1="BL","-",IF(Peak!K97&gt;Peak!$G97,E$8*$X96,0))</f>
        <v>19</v>
      </c>
      <c r="F96" s="432" t="n">
        <f aca="false">IF('Peak Revenue'!$A$1="BL","-",IF(Peak!L97&gt;Peak!$G97,F$8*$X96,0))</f>
        <v>19</v>
      </c>
      <c r="G96" s="432" t="n">
        <f aca="false">IF('Peak Revenue'!$A$1="BL","-",IF(Peak!M97&gt;Peak!$G97,G$8*$X96,0))</f>
        <v>38</v>
      </c>
      <c r="H96" s="432" t="n">
        <f aca="false">IF('Peak Revenue'!$A$1="BL","-",IF(Peak!N97&gt;Peak!$G97,H$8*$X96,0))</f>
        <v>38</v>
      </c>
      <c r="I96" s="432" t="n">
        <f aca="false">IF('Peak Revenue'!$A$1="BL","-",IF(Peak!O97&gt;Peak!$G97,I$8*$X96,0))</f>
        <v>38</v>
      </c>
      <c r="J96" s="432" t="n">
        <f aca="false">IF('Peak Revenue'!$A$1="BL","-",IF(Peak!P97&gt;Peak!$G97,J$8*$X96,0))</f>
        <v>38</v>
      </c>
      <c r="K96" s="432" t="n">
        <f aca="false">IF('Peak Revenue'!$A$1="BL","-",IF(Peak!Q97&gt;Peak!$G97,K$8*$X96,0))</f>
        <v>38</v>
      </c>
      <c r="L96" s="432" t="n">
        <f aca="false">IF('Peak Revenue'!$A$1="BL","-",IF(Peak!R97&gt;Peak!$G97,L$8*$X96,0))</f>
        <v>0</v>
      </c>
      <c r="M96" s="432" t="n">
        <f aca="false">IF('Peak Revenue'!$A$1="BL","-",IF(Peak!S97&gt;Peak!$G97,M$8*$X96,0))</f>
        <v>0</v>
      </c>
      <c r="N96" s="432" t="n">
        <f aca="false">IF('Peak Revenue'!$A$1="BL","-",IF(Peak!T97&gt;Peak!$G97,N$8*$X96,0))</f>
        <v>0</v>
      </c>
      <c r="O96" s="432" t="n">
        <f aca="false">IF('Peak Revenue'!$A$1="BL","-",IF(Peak!U97&gt;Peak!$G97,O$8*$X96,0))</f>
        <v>0</v>
      </c>
      <c r="P96" s="432" t="n">
        <f aca="false">IF('Peak Revenue'!$A$1="BL","-",IF(Peak!V97&gt;Peak!$G97,P$8*$X96,0))</f>
        <v>0</v>
      </c>
      <c r="Q96" s="432" t="n">
        <f aca="false">IF('Peak Revenue'!$A$1="BL","-",IF(Peak!W97&gt;Peak!$G97,Q$8*$X96,0))</f>
        <v>0</v>
      </c>
      <c r="R96" s="432" t="n">
        <f aca="false">IF('Peak Revenue'!$A$1="BL","-",IF(Peak!X97&gt;Peak!$G97,R$8*$X96,0))</f>
        <v>0</v>
      </c>
      <c r="S96" s="432" t="n">
        <f aca="false">IF('Peak Revenue'!$A$1="BL","-",IF(Peak!Y97&gt;Peak!$G97,S$8*$X96,0))</f>
        <v>0</v>
      </c>
      <c r="T96" s="432" t="n">
        <f aca="false">IF('Peak Revenue'!$A$1="BL","-",IF(Peak!Z97&gt;Peak!$G97,T$8*$X96,0))</f>
        <v>0</v>
      </c>
      <c r="U96" s="432" t="n">
        <f aca="false">IF('Peak Revenue'!$A$1="BL","-",IF(Peak!AA97&gt;Peak!$G97,U$8*$X96,0))</f>
        <v>0</v>
      </c>
      <c r="V96" s="441" t="n">
        <f aca="false">SUM(B96:U96)</f>
        <v>247</v>
      </c>
      <c r="W96" s="442"/>
      <c r="X96" s="439" t="n">
        <f aca="false">CHOOSE(QUOTIENT(MONTH($A96),3)+1,Peak!$AM$11,Peak!$AN$11,Peak!$AL$11,Peak!$AO$11,Peak!$AM$11)</f>
        <v>0.95</v>
      </c>
      <c r="Y96" s="440" t="n">
        <f aca="false">CHOOSE(QUOTIENT(MONTH($A96),3)+1,Peak!$AM$17,Peak!$AN$17,Peak!$AL$17,Peak!$AO$17,Peak!$AM$17)</f>
        <v>705</v>
      </c>
    </row>
    <row r="97" customFormat="false" ht="12.75" hidden="false" customHeight="false" outlineLevel="0" collapsed="false">
      <c r="A97" s="400" t="n">
        <f aca="false">A96+30.417</f>
        <v>39186.279</v>
      </c>
      <c r="B97" s="432" t="n">
        <f aca="false">IF('Peak Revenue'!$A$1="BL","-",IF(Peak!H98&gt;Peak!$G98,B$8*$X97,0))</f>
        <v>4.75</v>
      </c>
      <c r="C97" s="432" t="n">
        <f aca="false">IF('Peak Revenue'!$A$1="BL","-",IF(Peak!I98&gt;Peak!$G98,C$8*$X97,0))</f>
        <v>4.75</v>
      </c>
      <c r="D97" s="432" t="n">
        <f aca="false">IF('Peak Revenue'!$A$1="BL","-",IF(Peak!J98&gt;Peak!$G98,D$8*$X97,0))</f>
        <v>9.5</v>
      </c>
      <c r="E97" s="432" t="n">
        <f aca="false">IF('Peak Revenue'!$A$1="BL","-",IF(Peak!K98&gt;Peak!$G98,E$8*$X97,0))</f>
        <v>19</v>
      </c>
      <c r="F97" s="432" t="n">
        <f aca="false">IF('Peak Revenue'!$A$1="BL","-",IF(Peak!L98&gt;Peak!$G98,F$8*$X97,0))</f>
        <v>19</v>
      </c>
      <c r="G97" s="432" t="n">
        <f aca="false">IF('Peak Revenue'!$A$1="BL","-",IF(Peak!M98&gt;Peak!$G98,G$8*$X97,0))</f>
        <v>38</v>
      </c>
      <c r="H97" s="432" t="n">
        <f aca="false">IF('Peak Revenue'!$A$1="BL","-",IF(Peak!N98&gt;Peak!$G98,H$8*$X97,0))</f>
        <v>38</v>
      </c>
      <c r="I97" s="432" t="n">
        <f aca="false">IF('Peak Revenue'!$A$1="BL","-",IF(Peak!O98&gt;Peak!$G98,I$8*$X97,0))</f>
        <v>38</v>
      </c>
      <c r="J97" s="432" t="n">
        <f aca="false">IF('Peak Revenue'!$A$1="BL","-",IF(Peak!P98&gt;Peak!$G98,J$8*$X97,0))</f>
        <v>38</v>
      </c>
      <c r="K97" s="432" t="n">
        <f aca="false">IF('Peak Revenue'!$A$1="BL","-",IF(Peak!Q98&gt;Peak!$G98,K$8*$X97,0))</f>
        <v>38</v>
      </c>
      <c r="L97" s="432" t="n">
        <f aca="false">IF('Peak Revenue'!$A$1="BL","-",IF(Peak!R98&gt;Peak!$G98,L$8*$X97,0))</f>
        <v>0</v>
      </c>
      <c r="M97" s="432" t="n">
        <f aca="false">IF('Peak Revenue'!$A$1="BL","-",IF(Peak!S98&gt;Peak!$G98,M$8*$X97,0))</f>
        <v>0</v>
      </c>
      <c r="N97" s="432" t="n">
        <f aca="false">IF('Peak Revenue'!$A$1="BL","-",IF(Peak!T98&gt;Peak!$G98,N$8*$X97,0))</f>
        <v>0</v>
      </c>
      <c r="O97" s="432" t="n">
        <f aca="false">IF('Peak Revenue'!$A$1="BL","-",IF(Peak!U98&gt;Peak!$G98,O$8*$X97,0))</f>
        <v>0</v>
      </c>
      <c r="P97" s="432" t="n">
        <f aca="false">IF('Peak Revenue'!$A$1="BL","-",IF(Peak!V98&gt;Peak!$G98,P$8*$X97,0))</f>
        <v>0</v>
      </c>
      <c r="Q97" s="432" t="n">
        <f aca="false">IF('Peak Revenue'!$A$1="BL","-",IF(Peak!W98&gt;Peak!$G98,Q$8*$X97,0))</f>
        <v>0</v>
      </c>
      <c r="R97" s="432" t="n">
        <f aca="false">IF('Peak Revenue'!$A$1="BL","-",IF(Peak!X98&gt;Peak!$G98,R$8*$X97,0))</f>
        <v>0</v>
      </c>
      <c r="S97" s="432" t="n">
        <f aca="false">IF('Peak Revenue'!$A$1="BL","-",IF(Peak!Y98&gt;Peak!$G98,S$8*$X97,0))</f>
        <v>0</v>
      </c>
      <c r="T97" s="432" t="n">
        <f aca="false">IF('Peak Revenue'!$A$1="BL","-",IF(Peak!Z98&gt;Peak!$G98,T$8*$X97,0))</f>
        <v>0</v>
      </c>
      <c r="U97" s="432" t="n">
        <f aca="false">IF('Peak Revenue'!$A$1="BL","-",IF(Peak!AA98&gt;Peak!$G98,U$8*$X97,0))</f>
        <v>0</v>
      </c>
      <c r="V97" s="441" t="n">
        <f aca="false">SUM(B97:U97)</f>
        <v>247</v>
      </c>
      <c r="W97" s="442"/>
      <c r="X97" s="439" t="n">
        <f aca="false">CHOOSE(QUOTIENT(MONTH($A97),3)+1,Peak!$AM$11,Peak!$AN$11,Peak!$AL$11,Peak!$AO$11,Peak!$AM$11)</f>
        <v>0.95</v>
      </c>
      <c r="Y97" s="440" t="n">
        <f aca="false">CHOOSE(QUOTIENT(MONTH($A97),3)+1,Peak!$AM$17,Peak!$AN$17,Peak!$AL$17,Peak!$AO$17,Peak!$AM$17)</f>
        <v>705</v>
      </c>
    </row>
    <row r="98" customFormat="false" ht="12.75" hidden="false" customHeight="false" outlineLevel="0" collapsed="false">
      <c r="A98" s="400" t="n">
        <f aca="false">A97+30.417</f>
        <v>39216.696</v>
      </c>
      <c r="B98" s="432" t="n">
        <f aca="false">IF('Peak Revenue'!$A$1="BL","-",IF(Peak!H99&gt;Peak!$G99,B$8*$X98,0))</f>
        <v>4.75</v>
      </c>
      <c r="C98" s="432" t="n">
        <f aca="false">IF('Peak Revenue'!$A$1="BL","-",IF(Peak!I99&gt;Peak!$G99,C$8*$X98,0))</f>
        <v>4.75</v>
      </c>
      <c r="D98" s="432" t="n">
        <f aca="false">IF('Peak Revenue'!$A$1="BL","-",IF(Peak!J99&gt;Peak!$G99,D$8*$X98,0))</f>
        <v>9.5</v>
      </c>
      <c r="E98" s="432" t="n">
        <f aca="false">IF('Peak Revenue'!$A$1="BL","-",IF(Peak!K99&gt;Peak!$G99,E$8*$X98,0))</f>
        <v>19</v>
      </c>
      <c r="F98" s="432" t="n">
        <f aca="false">IF('Peak Revenue'!$A$1="BL","-",IF(Peak!L99&gt;Peak!$G99,F$8*$X98,0))</f>
        <v>19</v>
      </c>
      <c r="G98" s="432" t="n">
        <f aca="false">IF('Peak Revenue'!$A$1="BL","-",IF(Peak!M99&gt;Peak!$G99,G$8*$X98,0))</f>
        <v>38</v>
      </c>
      <c r="H98" s="432" t="n">
        <f aca="false">IF('Peak Revenue'!$A$1="BL","-",IF(Peak!N99&gt;Peak!$G99,H$8*$X98,0))</f>
        <v>38</v>
      </c>
      <c r="I98" s="432" t="n">
        <f aca="false">IF('Peak Revenue'!$A$1="BL","-",IF(Peak!O99&gt;Peak!$G99,I$8*$X98,0))</f>
        <v>0</v>
      </c>
      <c r="J98" s="432" t="n">
        <f aca="false">IF('Peak Revenue'!$A$1="BL","-",IF(Peak!P99&gt;Peak!$G99,J$8*$X98,0))</f>
        <v>0</v>
      </c>
      <c r="K98" s="432" t="n">
        <f aca="false">IF('Peak Revenue'!$A$1="BL","-",IF(Peak!Q99&gt;Peak!$G99,K$8*$X98,0))</f>
        <v>0</v>
      </c>
      <c r="L98" s="432" t="n">
        <f aca="false">IF('Peak Revenue'!$A$1="BL","-",IF(Peak!R99&gt;Peak!$G99,L$8*$X98,0))</f>
        <v>0</v>
      </c>
      <c r="M98" s="432" t="n">
        <f aca="false">IF('Peak Revenue'!$A$1="BL","-",IF(Peak!S99&gt;Peak!$G99,M$8*$X98,0))</f>
        <v>0</v>
      </c>
      <c r="N98" s="432" t="n">
        <f aca="false">IF('Peak Revenue'!$A$1="BL","-",IF(Peak!T99&gt;Peak!$G99,N$8*$X98,0))</f>
        <v>0</v>
      </c>
      <c r="O98" s="432" t="n">
        <f aca="false">IF('Peak Revenue'!$A$1="BL","-",IF(Peak!U99&gt;Peak!$G99,O$8*$X98,0))</f>
        <v>0</v>
      </c>
      <c r="P98" s="432" t="n">
        <f aca="false">IF('Peak Revenue'!$A$1="BL","-",IF(Peak!V99&gt;Peak!$G99,P$8*$X98,0))</f>
        <v>0</v>
      </c>
      <c r="Q98" s="432" t="n">
        <f aca="false">IF('Peak Revenue'!$A$1="BL","-",IF(Peak!W99&gt;Peak!$G99,Q$8*$X98,0))</f>
        <v>0</v>
      </c>
      <c r="R98" s="432" t="n">
        <f aca="false">IF('Peak Revenue'!$A$1="BL","-",IF(Peak!X99&gt;Peak!$G99,R$8*$X98,0))</f>
        <v>0</v>
      </c>
      <c r="S98" s="432" t="n">
        <f aca="false">IF('Peak Revenue'!$A$1="BL","-",IF(Peak!Y99&gt;Peak!$G99,S$8*$X98,0))</f>
        <v>0</v>
      </c>
      <c r="T98" s="432" t="n">
        <f aca="false">IF('Peak Revenue'!$A$1="BL","-",IF(Peak!Z99&gt;Peak!$G99,T$8*$X98,0))</f>
        <v>0</v>
      </c>
      <c r="U98" s="432" t="n">
        <f aca="false">IF('Peak Revenue'!$A$1="BL","-",IF(Peak!AA99&gt;Peak!$G99,U$8*$X98,0))</f>
        <v>0</v>
      </c>
      <c r="V98" s="441" t="n">
        <f aca="false">SUM(B98:U98)</f>
        <v>133</v>
      </c>
      <c r="W98" s="442"/>
      <c r="X98" s="439" t="n">
        <f aca="false">CHOOSE(QUOTIENT(MONTH($A98),3)+1,Peak!$AM$11,Peak!$AN$11,Peak!$AL$11,Peak!$AO$11,Peak!$AM$11)</f>
        <v>0.95</v>
      </c>
      <c r="Y98" s="440" t="n">
        <f aca="false">CHOOSE(QUOTIENT(MONTH($A98),3)+1,Peak!$AM$17,Peak!$AN$17,Peak!$AL$17,Peak!$AO$17,Peak!$AM$17)</f>
        <v>705</v>
      </c>
    </row>
    <row r="99" customFormat="false" ht="12.75" hidden="false" customHeight="false" outlineLevel="0" collapsed="false">
      <c r="A99" s="400" t="n">
        <f aca="false">A98+30.417</f>
        <v>39247.113</v>
      </c>
      <c r="B99" s="432" t="n">
        <f aca="false">IF('Peak Revenue'!$A$1="BL","-",IF(Peak!H100&gt;Peak!$G100,B$8*$X99,0))</f>
        <v>4.83060679547793</v>
      </c>
      <c r="C99" s="432" t="n">
        <f aca="false">IF('Peak Revenue'!$A$1="BL","-",IF(Peak!I100&gt;Peak!$G100,C$8*$X99,0))</f>
        <v>4.83060679547793</v>
      </c>
      <c r="D99" s="432" t="n">
        <f aca="false">IF('Peak Revenue'!$A$1="BL","-",IF(Peak!J100&gt;Peak!$G100,D$8*$X99,0))</f>
        <v>9.66121359095586</v>
      </c>
      <c r="E99" s="432" t="n">
        <f aca="false">IF('Peak Revenue'!$A$1="BL","-",IF(Peak!K100&gt;Peak!$G100,E$8*$X99,0))</f>
        <v>19.3224271819117</v>
      </c>
      <c r="F99" s="432" t="n">
        <f aca="false">IF('Peak Revenue'!$A$1="BL","-",IF(Peak!L100&gt;Peak!$G100,F$8*$X99,0))</f>
        <v>19.3224271819117</v>
      </c>
      <c r="G99" s="432" t="n">
        <f aca="false">IF('Peak Revenue'!$A$1="BL","-",IF(Peak!M100&gt;Peak!$G100,G$8*$X99,0))</f>
        <v>38.6448543638234</v>
      </c>
      <c r="H99" s="432" t="n">
        <f aca="false">IF('Peak Revenue'!$A$1="BL","-",IF(Peak!N100&gt;Peak!$G100,H$8*$X99,0))</f>
        <v>38.6448543638234</v>
      </c>
      <c r="I99" s="432" t="n">
        <f aca="false">IF('Peak Revenue'!$A$1="BL","-",IF(Peak!O100&gt;Peak!$G100,I$8*$X99,0))</f>
        <v>38.6448543638234</v>
      </c>
      <c r="J99" s="432" t="n">
        <f aca="false">IF('Peak Revenue'!$A$1="BL","-",IF(Peak!P100&gt;Peak!$G100,J$8*$X99,0))</f>
        <v>38.6448543638234</v>
      </c>
      <c r="K99" s="432" t="n">
        <f aca="false">IF('Peak Revenue'!$A$1="BL","-",IF(Peak!Q100&gt;Peak!$G100,K$8*$X99,0))</f>
        <v>38.6448543638234</v>
      </c>
      <c r="L99" s="432" t="n">
        <f aca="false">IF('Peak Revenue'!$A$1="BL","-",IF(Peak!R100&gt;Peak!$G100,L$8*$X99,0))</f>
        <v>0</v>
      </c>
      <c r="M99" s="432" t="n">
        <f aca="false">IF('Peak Revenue'!$A$1="BL","-",IF(Peak!S100&gt;Peak!$G100,M$8*$X99,0))</f>
        <v>0</v>
      </c>
      <c r="N99" s="432" t="n">
        <f aca="false">IF('Peak Revenue'!$A$1="BL","-",IF(Peak!T100&gt;Peak!$G100,N$8*$X99,0))</f>
        <v>0</v>
      </c>
      <c r="O99" s="432" t="n">
        <f aca="false">IF('Peak Revenue'!$A$1="BL","-",IF(Peak!U100&gt;Peak!$G100,O$8*$X99,0))</f>
        <v>0</v>
      </c>
      <c r="P99" s="432" t="n">
        <f aca="false">IF('Peak Revenue'!$A$1="BL","-",IF(Peak!V100&gt;Peak!$G100,P$8*$X99,0))</f>
        <v>0</v>
      </c>
      <c r="Q99" s="432" t="n">
        <f aca="false">IF('Peak Revenue'!$A$1="BL","-",IF(Peak!W100&gt;Peak!$G100,Q$8*$X99,0))</f>
        <v>0</v>
      </c>
      <c r="R99" s="432" t="n">
        <f aca="false">IF('Peak Revenue'!$A$1="BL","-",IF(Peak!X100&gt;Peak!$G100,R$8*$X99,0))</f>
        <v>0</v>
      </c>
      <c r="S99" s="432" t="n">
        <f aca="false">IF('Peak Revenue'!$A$1="BL","-",IF(Peak!Y100&gt;Peak!$G100,S$8*$X99,0))</f>
        <v>0</v>
      </c>
      <c r="T99" s="432" t="n">
        <f aca="false">IF('Peak Revenue'!$A$1="BL","-",IF(Peak!Z100&gt;Peak!$G100,T$8*$X99,0))</f>
        <v>0</v>
      </c>
      <c r="U99" s="432" t="n">
        <f aca="false">IF('Peak Revenue'!$A$1="BL","-",IF(Peak!AA100&gt;Peak!$G100,U$8*$X99,0))</f>
        <v>0</v>
      </c>
      <c r="V99" s="441" t="n">
        <f aca="false">SUM(B99:U99)</f>
        <v>251.191553364852</v>
      </c>
      <c r="W99" s="442"/>
      <c r="X99" s="439" t="n">
        <f aca="false">CHOOSE(QUOTIENT(MONTH($A99),3)+1,Peak!$AM$11,Peak!$AN$11,Peak!$AL$11,Peak!$AO$11,Peak!$AM$11)</f>
        <v>0.966121359095586</v>
      </c>
      <c r="Y99" s="440" t="n">
        <f aca="false">CHOOSE(QUOTIENT(MONTH($A99),3)+1,Peak!$AM$17,Peak!$AN$17,Peak!$AL$17,Peak!$AO$17,Peak!$AM$17)</f>
        <v>705</v>
      </c>
    </row>
    <row r="100" customFormat="false" ht="12.75" hidden="false" customHeight="false" outlineLevel="0" collapsed="false">
      <c r="A100" s="400" t="n">
        <f aca="false">A99+30.417</f>
        <v>39277.53</v>
      </c>
      <c r="B100" s="432" t="n">
        <f aca="false">IF('Peak Revenue'!$A$1="BL","-",IF(Peak!H101&gt;Peak!$G101,B$8*$X100,0))</f>
        <v>4.83060679547793</v>
      </c>
      <c r="C100" s="432" t="n">
        <f aca="false">IF('Peak Revenue'!$A$1="BL","-",IF(Peak!I101&gt;Peak!$G101,C$8*$X100,0))</f>
        <v>4.83060679547793</v>
      </c>
      <c r="D100" s="432" t="n">
        <f aca="false">IF('Peak Revenue'!$A$1="BL","-",IF(Peak!J101&gt;Peak!$G101,D$8*$X100,0))</f>
        <v>9.66121359095586</v>
      </c>
      <c r="E100" s="432" t="n">
        <f aca="false">IF('Peak Revenue'!$A$1="BL","-",IF(Peak!K101&gt;Peak!$G101,E$8*$X100,0))</f>
        <v>19.3224271819117</v>
      </c>
      <c r="F100" s="432" t="n">
        <f aca="false">IF('Peak Revenue'!$A$1="BL","-",IF(Peak!L101&gt;Peak!$G101,F$8*$X100,0))</f>
        <v>19.3224271819117</v>
      </c>
      <c r="G100" s="432" t="n">
        <f aca="false">IF('Peak Revenue'!$A$1="BL","-",IF(Peak!M101&gt;Peak!$G101,G$8*$X100,0))</f>
        <v>38.6448543638234</v>
      </c>
      <c r="H100" s="432" t="n">
        <f aca="false">IF('Peak Revenue'!$A$1="BL","-",IF(Peak!N101&gt;Peak!$G101,H$8*$X100,0))</f>
        <v>38.6448543638234</v>
      </c>
      <c r="I100" s="432" t="n">
        <f aca="false">IF('Peak Revenue'!$A$1="BL","-",IF(Peak!O101&gt;Peak!$G101,I$8*$X100,0))</f>
        <v>38.6448543638234</v>
      </c>
      <c r="J100" s="432" t="n">
        <f aca="false">IF('Peak Revenue'!$A$1="BL","-",IF(Peak!P101&gt;Peak!$G101,J$8*$X100,0))</f>
        <v>38.6448543638234</v>
      </c>
      <c r="K100" s="432" t="n">
        <f aca="false">IF('Peak Revenue'!$A$1="BL","-",IF(Peak!Q101&gt;Peak!$G101,K$8*$X100,0))</f>
        <v>38.6448543638234</v>
      </c>
      <c r="L100" s="432" t="n">
        <f aca="false">IF('Peak Revenue'!$A$1="BL","-",IF(Peak!R101&gt;Peak!$G101,L$8*$X100,0))</f>
        <v>38.6448543638234</v>
      </c>
      <c r="M100" s="432" t="n">
        <f aca="false">IF('Peak Revenue'!$A$1="BL","-",IF(Peak!S101&gt;Peak!$G101,M$8*$X100,0))</f>
        <v>0</v>
      </c>
      <c r="N100" s="432" t="n">
        <f aca="false">IF('Peak Revenue'!$A$1="BL","-",IF(Peak!T101&gt;Peak!$G101,N$8*$X100,0))</f>
        <v>0</v>
      </c>
      <c r="O100" s="432" t="n">
        <f aca="false">IF('Peak Revenue'!$A$1="BL","-",IF(Peak!U101&gt;Peak!$G101,O$8*$X100,0))</f>
        <v>0</v>
      </c>
      <c r="P100" s="432" t="n">
        <f aca="false">IF('Peak Revenue'!$A$1="BL","-",IF(Peak!V101&gt;Peak!$G101,P$8*$X100,0))</f>
        <v>0</v>
      </c>
      <c r="Q100" s="432" t="n">
        <f aca="false">IF('Peak Revenue'!$A$1="BL","-",IF(Peak!W101&gt;Peak!$G101,Q$8*$X100,0))</f>
        <v>0</v>
      </c>
      <c r="R100" s="432" t="n">
        <f aca="false">IF('Peak Revenue'!$A$1="BL","-",IF(Peak!X101&gt;Peak!$G101,R$8*$X100,0))</f>
        <v>0</v>
      </c>
      <c r="S100" s="432" t="n">
        <f aca="false">IF('Peak Revenue'!$A$1="BL","-",IF(Peak!Y101&gt;Peak!$G101,S$8*$X100,0))</f>
        <v>0</v>
      </c>
      <c r="T100" s="432" t="n">
        <f aca="false">IF('Peak Revenue'!$A$1="BL","-",IF(Peak!Z101&gt;Peak!$G101,T$8*$X100,0))</f>
        <v>0</v>
      </c>
      <c r="U100" s="432" t="n">
        <f aca="false">IF('Peak Revenue'!$A$1="BL","-",IF(Peak!AA101&gt;Peak!$G101,U$8*$X100,0))</f>
        <v>0</v>
      </c>
      <c r="V100" s="441" t="n">
        <f aca="false">SUM(B100:U100)</f>
        <v>289.836407728676</v>
      </c>
      <c r="W100" s="442"/>
      <c r="X100" s="439" t="n">
        <f aca="false">CHOOSE(QUOTIENT(MONTH($A100),3)+1,Peak!$AM$11,Peak!$AN$11,Peak!$AL$11,Peak!$AO$11,Peak!$AM$11)</f>
        <v>0.966121359095586</v>
      </c>
      <c r="Y100" s="440" t="n">
        <f aca="false">CHOOSE(QUOTIENT(MONTH($A100),3)+1,Peak!$AM$17,Peak!$AN$17,Peak!$AL$17,Peak!$AO$17,Peak!$AM$17)</f>
        <v>705</v>
      </c>
    </row>
    <row r="101" customFormat="false" ht="12.75" hidden="false" customHeight="false" outlineLevel="0" collapsed="false">
      <c r="A101" s="400" t="n">
        <f aca="false">A100+30.417</f>
        <v>39307.947</v>
      </c>
      <c r="B101" s="432" t="n">
        <f aca="false">IF('Peak Revenue'!$A$1="BL","-",IF(Peak!H102&gt;Peak!$G102,B$8*$X101,0))</f>
        <v>4.83060679547793</v>
      </c>
      <c r="C101" s="432" t="n">
        <f aca="false">IF('Peak Revenue'!$A$1="BL","-",IF(Peak!I102&gt;Peak!$G102,C$8*$X101,0))</f>
        <v>4.83060679547793</v>
      </c>
      <c r="D101" s="432" t="n">
        <f aca="false">IF('Peak Revenue'!$A$1="BL","-",IF(Peak!J102&gt;Peak!$G102,D$8*$X101,0))</f>
        <v>9.66121359095586</v>
      </c>
      <c r="E101" s="432" t="n">
        <f aca="false">IF('Peak Revenue'!$A$1="BL","-",IF(Peak!K102&gt;Peak!$G102,E$8*$X101,0))</f>
        <v>19.3224271819117</v>
      </c>
      <c r="F101" s="432" t="n">
        <f aca="false">IF('Peak Revenue'!$A$1="BL","-",IF(Peak!L102&gt;Peak!$G102,F$8*$X101,0))</f>
        <v>19.3224271819117</v>
      </c>
      <c r="G101" s="432" t="n">
        <f aca="false">IF('Peak Revenue'!$A$1="BL","-",IF(Peak!M102&gt;Peak!$G102,G$8*$X101,0))</f>
        <v>38.6448543638234</v>
      </c>
      <c r="H101" s="432" t="n">
        <f aca="false">IF('Peak Revenue'!$A$1="BL","-",IF(Peak!N102&gt;Peak!$G102,H$8*$X101,0))</f>
        <v>38.6448543638234</v>
      </c>
      <c r="I101" s="432" t="n">
        <f aca="false">IF('Peak Revenue'!$A$1="BL","-",IF(Peak!O102&gt;Peak!$G102,I$8*$X101,0))</f>
        <v>38.6448543638234</v>
      </c>
      <c r="J101" s="432" t="n">
        <f aca="false">IF('Peak Revenue'!$A$1="BL","-",IF(Peak!P102&gt;Peak!$G102,J$8*$X101,0))</f>
        <v>38.6448543638234</v>
      </c>
      <c r="K101" s="432" t="n">
        <f aca="false">IF('Peak Revenue'!$A$1="BL","-",IF(Peak!Q102&gt;Peak!$G102,K$8*$X101,0))</f>
        <v>38.6448543638234</v>
      </c>
      <c r="L101" s="432" t="n">
        <f aca="false">IF('Peak Revenue'!$A$1="BL","-",IF(Peak!R102&gt;Peak!$G102,L$8*$X101,0))</f>
        <v>38.6448543638234</v>
      </c>
      <c r="M101" s="432" t="n">
        <f aca="false">IF('Peak Revenue'!$A$1="BL","-",IF(Peak!S102&gt;Peak!$G102,M$8*$X101,0))</f>
        <v>38.6448543638234</v>
      </c>
      <c r="N101" s="432" t="n">
        <f aca="false">IF('Peak Revenue'!$A$1="BL","-",IF(Peak!T102&gt;Peak!$G102,N$8*$X101,0))</f>
        <v>38.6448543638234</v>
      </c>
      <c r="O101" s="432" t="n">
        <f aca="false">IF('Peak Revenue'!$A$1="BL","-",IF(Peak!U102&gt;Peak!$G102,O$8*$X101,0))</f>
        <v>0</v>
      </c>
      <c r="P101" s="432" t="n">
        <f aca="false">IF('Peak Revenue'!$A$1="BL","-",IF(Peak!V102&gt;Peak!$G102,P$8*$X101,0))</f>
        <v>0</v>
      </c>
      <c r="Q101" s="432" t="n">
        <f aca="false">IF('Peak Revenue'!$A$1="BL","-",IF(Peak!W102&gt;Peak!$G102,Q$8*$X101,0))</f>
        <v>0</v>
      </c>
      <c r="R101" s="432" t="n">
        <f aca="false">IF('Peak Revenue'!$A$1="BL","-",IF(Peak!X102&gt;Peak!$G102,R$8*$X101,0))</f>
        <v>0</v>
      </c>
      <c r="S101" s="432" t="n">
        <f aca="false">IF('Peak Revenue'!$A$1="BL","-",IF(Peak!Y102&gt;Peak!$G102,S$8*$X101,0))</f>
        <v>0</v>
      </c>
      <c r="T101" s="432" t="n">
        <f aca="false">IF('Peak Revenue'!$A$1="BL","-",IF(Peak!Z102&gt;Peak!$G102,T$8*$X101,0))</f>
        <v>0</v>
      </c>
      <c r="U101" s="432" t="n">
        <f aca="false">IF('Peak Revenue'!$A$1="BL","-",IF(Peak!AA102&gt;Peak!$G102,U$8*$X101,0))</f>
        <v>0</v>
      </c>
      <c r="V101" s="441" t="n">
        <f aca="false">SUM(B101:U101)</f>
        <v>367.126116456323</v>
      </c>
      <c r="W101" s="442"/>
      <c r="X101" s="439" t="n">
        <f aca="false">CHOOSE(QUOTIENT(MONTH($A101),3)+1,Peak!$AM$11,Peak!$AN$11,Peak!$AL$11,Peak!$AO$11,Peak!$AM$11)</f>
        <v>0.966121359095586</v>
      </c>
      <c r="Y101" s="440" t="n">
        <f aca="false">CHOOSE(QUOTIENT(MONTH($A101),3)+1,Peak!$AM$17,Peak!$AN$17,Peak!$AL$17,Peak!$AO$17,Peak!$AM$17)</f>
        <v>705</v>
      </c>
    </row>
    <row r="102" customFormat="false" ht="12.75" hidden="false" customHeight="false" outlineLevel="0" collapsed="false">
      <c r="A102" s="400" t="n">
        <f aca="false">A101+30.417</f>
        <v>39338.364</v>
      </c>
      <c r="B102" s="432" t="n">
        <f aca="false">IF('Peak Revenue'!$A$1="BL","-",IF(Peak!H103&gt;Peak!$G103,B$8*$X102,0))</f>
        <v>4.75</v>
      </c>
      <c r="C102" s="432" t="n">
        <f aca="false">IF('Peak Revenue'!$A$1="BL","-",IF(Peak!I103&gt;Peak!$G103,C$8*$X102,0))</f>
        <v>4.75</v>
      </c>
      <c r="D102" s="432" t="n">
        <f aca="false">IF('Peak Revenue'!$A$1="BL","-",IF(Peak!J103&gt;Peak!$G103,D$8*$X102,0))</f>
        <v>9.5</v>
      </c>
      <c r="E102" s="432" t="n">
        <f aca="false">IF('Peak Revenue'!$A$1="BL","-",IF(Peak!K103&gt;Peak!$G103,E$8*$X102,0))</f>
        <v>19</v>
      </c>
      <c r="F102" s="432" t="n">
        <f aca="false">IF('Peak Revenue'!$A$1="BL","-",IF(Peak!L103&gt;Peak!$G103,F$8*$X102,0))</f>
        <v>19</v>
      </c>
      <c r="G102" s="432" t="n">
        <f aca="false">IF('Peak Revenue'!$A$1="BL","-",IF(Peak!M103&gt;Peak!$G103,G$8*$X102,0))</f>
        <v>38</v>
      </c>
      <c r="H102" s="432" t="n">
        <f aca="false">IF('Peak Revenue'!$A$1="BL","-",IF(Peak!N103&gt;Peak!$G103,H$8*$X102,0))</f>
        <v>38</v>
      </c>
      <c r="I102" s="432" t="n">
        <f aca="false">IF('Peak Revenue'!$A$1="BL","-",IF(Peak!O103&gt;Peak!$G103,I$8*$X102,0))</f>
        <v>38</v>
      </c>
      <c r="J102" s="432" t="n">
        <f aca="false">IF('Peak Revenue'!$A$1="BL","-",IF(Peak!P103&gt;Peak!$G103,J$8*$X102,0))</f>
        <v>38</v>
      </c>
      <c r="K102" s="432" t="n">
        <f aca="false">IF('Peak Revenue'!$A$1="BL","-",IF(Peak!Q103&gt;Peak!$G103,K$8*$X102,0))</f>
        <v>38</v>
      </c>
      <c r="L102" s="432" t="n">
        <f aca="false">IF('Peak Revenue'!$A$1="BL","-",IF(Peak!R103&gt;Peak!$G103,L$8*$X102,0))</f>
        <v>38</v>
      </c>
      <c r="M102" s="432" t="n">
        <f aca="false">IF('Peak Revenue'!$A$1="BL","-",IF(Peak!S103&gt;Peak!$G103,M$8*$X102,0))</f>
        <v>0</v>
      </c>
      <c r="N102" s="432" t="n">
        <f aca="false">IF('Peak Revenue'!$A$1="BL","-",IF(Peak!T103&gt;Peak!$G103,N$8*$X102,0))</f>
        <v>0</v>
      </c>
      <c r="O102" s="432" t="n">
        <f aca="false">IF('Peak Revenue'!$A$1="BL","-",IF(Peak!U103&gt;Peak!$G103,O$8*$X102,0))</f>
        <v>0</v>
      </c>
      <c r="P102" s="432" t="n">
        <f aca="false">IF('Peak Revenue'!$A$1="BL","-",IF(Peak!V103&gt;Peak!$G103,P$8*$X102,0))</f>
        <v>0</v>
      </c>
      <c r="Q102" s="432" t="n">
        <f aca="false">IF('Peak Revenue'!$A$1="BL","-",IF(Peak!W103&gt;Peak!$G103,Q$8*$X102,0))</f>
        <v>0</v>
      </c>
      <c r="R102" s="432" t="n">
        <f aca="false">IF('Peak Revenue'!$A$1="BL","-",IF(Peak!X103&gt;Peak!$G103,R$8*$X102,0))</f>
        <v>0</v>
      </c>
      <c r="S102" s="432" t="n">
        <f aca="false">IF('Peak Revenue'!$A$1="BL","-",IF(Peak!Y103&gt;Peak!$G103,S$8*$X102,0))</f>
        <v>0</v>
      </c>
      <c r="T102" s="432" t="n">
        <f aca="false">IF('Peak Revenue'!$A$1="BL","-",IF(Peak!Z103&gt;Peak!$G103,T$8*$X102,0))</f>
        <v>0</v>
      </c>
      <c r="U102" s="432" t="n">
        <f aca="false">IF('Peak Revenue'!$A$1="BL","-",IF(Peak!AA103&gt;Peak!$G103,U$8*$X102,0))</f>
        <v>0</v>
      </c>
      <c r="V102" s="441" t="n">
        <f aca="false">SUM(B102:U102)</f>
        <v>285</v>
      </c>
      <c r="W102" s="442"/>
      <c r="X102" s="439" t="n">
        <f aca="false">CHOOSE(QUOTIENT(MONTH($A102),3)+1,Peak!$AM$11,Peak!$AN$11,Peak!$AL$11,Peak!$AO$11,Peak!$AM$11)</f>
        <v>0.95</v>
      </c>
      <c r="Y102" s="440" t="n">
        <f aca="false">CHOOSE(QUOTIENT(MONTH($A102),3)+1,Peak!$AM$17,Peak!$AN$17,Peak!$AL$17,Peak!$AO$17,Peak!$AM$17)</f>
        <v>705</v>
      </c>
    </row>
    <row r="103" customFormat="false" ht="12.75" hidden="false" customHeight="false" outlineLevel="0" collapsed="false">
      <c r="A103" s="400" t="n">
        <f aca="false">A102+30.417</f>
        <v>39368.781</v>
      </c>
      <c r="B103" s="432" t="n">
        <f aca="false">IF('Peak Revenue'!$A$1="BL","-",IF(Peak!H104&gt;Peak!$G104,B$8*$X103,0))</f>
        <v>4.75</v>
      </c>
      <c r="C103" s="432" t="n">
        <f aca="false">IF('Peak Revenue'!$A$1="BL","-",IF(Peak!I104&gt;Peak!$G104,C$8*$X103,0))</f>
        <v>4.75</v>
      </c>
      <c r="D103" s="432" t="n">
        <f aca="false">IF('Peak Revenue'!$A$1="BL","-",IF(Peak!J104&gt;Peak!$G104,D$8*$X103,0))</f>
        <v>9.5</v>
      </c>
      <c r="E103" s="432" t="n">
        <f aca="false">IF('Peak Revenue'!$A$1="BL","-",IF(Peak!K104&gt;Peak!$G104,E$8*$X103,0))</f>
        <v>19</v>
      </c>
      <c r="F103" s="432" t="n">
        <f aca="false">IF('Peak Revenue'!$A$1="BL","-",IF(Peak!L104&gt;Peak!$G104,F$8*$X103,0))</f>
        <v>19</v>
      </c>
      <c r="G103" s="432" t="n">
        <f aca="false">IF('Peak Revenue'!$A$1="BL","-",IF(Peak!M104&gt;Peak!$G104,G$8*$X103,0))</f>
        <v>38</v>
      </c>
      <c r="H103" s="432" t="n">
        <f aca="false">IF('Peak Revenue'!$A$1="BL","-",IF(Peak!N104&gt;Peak!$G104,H$8*$X103,0))</f>
        <v>38</v>
      </c>
      <c r="I103" s="432" t="n">
        <f aca="false">IF('Peak Revenue'!$A$1="BL","-",IF(Peak!O104&gt;Peak!$G104,I$8*$X103,0))</f>
        <v>38</v>
      </c>
      <c r="J103" s="432" t="n">
        <f aca="false">IF('Peak Revenue'!$A$1="BL","-",IF(Peak!P104&gt;Peak!$G104,J$8*$X103,0))</f>
        <v>38</v>
      </c>
      <c r="K103" s="432" t="n">
        <f aca="false">IF('Peak Revenue'!$A$1="BL","-",IF(Peak!Q104&gt;Peak!$G104,K$8*$X103,0))</f>
        <v>38</v>
      </c>
      <c r="L103" s="432" t="n">
        <f aca="false">IF('Peak Revenue'!$A$1="BL","-",IF(Peak!R104&gt;Peak!$G104,L$8*$X103,0))</f>
        <v>0</v>
      </c>
      <c r="M103" s="432" t="n">
        <f aca="false">IF('Peak Revenue'!$A$1="BL","-",IF(Peak!S104&gt;Peak!$G104,M$8*$X103,0))</f>
        <v>0</v>
      </c>
      <c r="N103" s="432" t="n">
        <f aca="false">IF('Peak Revenue'!$A$1="BL","-",IF(Peak!T104&gt;Peak!$G104,N$8*$X103,0))</f>
        <v>0</v>
      </c>
      <c r="O103" s="432" t="n">
        <f aca="false">IF('Peak Revenue'!$A$1="BL","-",IF(Peak!U104&gt;Peak!$G104,O$8*$X103,0))</f>
        <v>0</v>
      </c>
      <c r="P103" s="432" t="n">
        <f aca="false">IF('Peak Revenue'!$A$1="BL","-",IF(Peak!V104&gt;Peak!$G104,P$8*$X103,0))</f>
        <v>0</v>
      </c>
      <c r="Q103" s="432" t="n">
        <f aca="false">IF('Peak Revenue'!$A$1="BL","-",IF(Peak!W104&gt;Peak!$G104,Q$8*$X103,0))</f>
        <v>0</v>
      </c>
      <c r="R103" s="432" t="n">
        <f aca="false">IF('Peak Revenue'!$A$1="BL","-",IF(Peak!X104&gt;Peak!$G104,R$8*$X103,0))</f>
        <v>0</v>
      </c>
      <c r="S103" s="432" t="n">
        <f aca="false">IF('Peak Revenue'!$A$1="BL","-",IF(Peak!Y104&gt;Peak!$G104,S$8*$X103,0))</f>
        <v>0</v>
      </c>
      <c r="T103" s="432" t="n">
        <f aca="false">IF('Peak Revenue'!$A$1="BL","-",IF(Peak!Z104&gt;Peak!$G104,T$8*$X103,0))</f>
        <v>0</v>
      </c>
      <c r="U103" s="432" t="n">
        <f aca="false">IF('Peak Revenue'!$A$1="BL","-",IF(Peak!AA104&gt;Peak!$G104,U$8*$X103,0))</f>
        <v>0</v>
      </c>
      <c r="V103" s="441" t="n">
        <f aca="false">SUM(B103:U103)</f>
        <v>247</v>
      </c>
      <c r="W103" s="442"/>
      <c r="X103" s="439" t="n">
        <f aca="false">CHOOSE(QUOTIENT(MONTH($A103),3)+1,Peak!$AM$11,Peak!$AN$11,Peak!$AL$11,Peak!$AO$11,Peak!$AM$11)</f>
        <v>0.95</v>
      </c>
      <c r="Y103" s="440" t="n">
        <f aca="false">CHOOSE(QUOTIENT(MONTH($A103),3)+1,Peak!$AM$17,Peak!$AN$17,Peak!$AL$17,Peak!$AO$17,Peak!$AM$17)</f>
        <v>705</v>
      </c>
    </row>
    <row r="104" customFormat="false" ht="12.75" hidden="false" customHeight="false" outlineLevel="0" collapsed="false">
      <c r="A104" s="400" t="n">
        <f aca="false">A103+30.417</f>
        <v>39399.198</v>
      </c>
      <c r="B104" s="432" t="n">
        <f aca="false">IF('Peak Revenue'!$A$1="BL","-",IF(Peak!H105&gt;Peak!$G105,B$8*$X104,0))</f>
        <v>4.75</v>
      </c>
      <c r="C104" s="432" t="n">
        <f aca="false">IF('Peak Revenue'!$A$1="BL","-",IF(Peak!I105&gt;Peak!$G105,C$8*$X104,0))</f>
        <v>4.75</v>
      </c>
      <c r="D104" s="432" t="n">
        <f aca="false">IF('Peak Revenue'!$A$1="BL","-",IF(Peak!J105&gt;Peak!$G105,D$8*$X104,0))</f>
        <v>9.5</v>
      </c>
      <c r="E104" s="432" t="n">
        <f aca="false">IF('Peak Revenue'!$A$1="BL","-",IF(Peak!K105&gt;Peak!$G105,E$8*$X104,0))</f>
        <v>19</v>
      </c>
      <c r="F104" s="432" t="n">
        <f aca="false">IF('Peak Revenue'!$A$1="BL","-",IF(Peak!L105&gt;Peak!$G105,F$8*$X104,0))</f>
        <v>19</v>
      </c>
      <c r="G104" s="432" t="n">
        <f aca="false">IF('Peak Revenue'!$A$1="BL","-",IF(Peak!M105&gt;Peak!$G105,G$8*$X104,0))</f>
        <v>38</v>
      </c>
      <c r="H104" s="432" t="n">
        <f aca="false">IF('Peak Revenue'!$A$1="BL","-",IF(Peak!N105&gt;Peak!$G105,H$8*$X104,0))</f>
        <v>38</v>
      </c>
      <c r="I104" s="432" t="n">
        <f aca="false">IF('Peak Revenue'!$A$1="BL","-",IF(Peak!O105&gt;Peak!$G105,I$8*$X104,0))</f>
        <v>38</v>
      </c>
      <c r="J104" s="432" t="n">
        <f aca="false">IF('Peak Revenue'!$A$1="BL","-",IF(Peak!P105&gt;Peak!$G105,J$8*$X104,0))</f>
        <v>38</v>
      </c>
      <c r="K104" s="432" t="n">
        <f aca="false">IF('Peak Revenue'!$A$1="BL","-",IF(Peak!Q105&gt;Peak!$G105,K$8*$X104,0))</f>
        <v>0</v>
      </c>
      <c r="L104" s="432" t="n">
        <f aca="false">IF('Peak Revenue'!$A$1="BL","-",IF(Peak!R105&gt;Peak!$G105,L$8*$X104,0))</f>
        <v>0</v>
      </c>
      <c r="M104" s="432" t="n">
        <f aca="false">IF('Peak Revenue'!$A$1="BL","-",IF(Peak!S105&gt;Peak!$G105,M$8*$X104,0))</f>
        <v>0</v>
      </c>
      <c r="N104" s="432" t="n">
        <f aca="false">IF('Peak Revenue'!$A$1="BL","-",IF(Peak!T105&gt;Peak!$G105,N$8*$X104,0))</f>
        <v>0</v>
      </c>
      <c r="O104" s="432" t="n">
        <f aca="false">IF('Peak Revenue'!$A$1="BL","-",IF(Peak!U105&gt;Peak!$G105,O$8*$X104,0))</f>
        <v>0</v>
      </c>
      <c r="P104" s="432" t="n">
        <f aca="false">IF('Peak Revenue'!$A$1="BL","-",IF(Peak!V105&gt;Peak!$G105,P$8*$X104,0))</f>
        <v>0</v>
      </c>
      <c r="Q104" s="432" t="n">
        <f aca="false">IF('Peak Revenue'!$A$1="BL","-",IF(Peak!W105&gt;Peak!$G105,Q$8*$X104,0))</f>
        <v>0</v>
      </c>
      <c r="R104" s="432" t="n">
        <f aca="false">IF('Peak Revenue'!$A$1="BL","-",IF(Peak!X105&gt;Peak!$G105,R$8*$X104,0))</f>
        <v>0</v>
      </c>
      <c r="S104" s="432" t="n">
        <f aca="false">IF('Peak Revenue'!$A$1="BL","-",IF(Peak!Y105&gt;Peak!$G105,S$8*$X104,0))</f>
        <v>0</v>
      </c>
      <c r="T104" s="432" t="n">
        <f aca="false">IF('Peak Revenue'!$A$1="BL","-",IF(Peak!Z105&gt;Peak!$G105,T$8*$X104,0))</f>
        <v>0</v>
      </c>
      <c r="U104" s="432" t="n">
        <f aca="false">IF('Peak Revenue'!$A$1="BL","-",IF(Peak!AA105&gt;Peak!$G105,U$8*$X104,0))</f>
        <v>0</v>
      </c>
      <c r="V104" s="441" t="n">
        <f aca="false">SUM(B104:U104)</f>
        <v>209</v>
      </c>
      <c r="W104" s="442"/>
      <c r="X104" s="439" t="n">
        <f aca="false">CHOOSE(QUOTIENT(MONTH($A104),3)+1,Peak!$AM$11,Peak!$AN$11,Peak!$AL$11,Peak!$AO$11,Peak!$AM$11)</f>
        <v>0.95</v>
      </c>
      <c r="Y104" s="440" t="n">
        <f aca="false">CHOOSE(QUOTIENT(MONTH($A104),3)+1,Peak!$AM$17,Peak!$AN$17,Peak!$AL$17,Peak!$AO$17,Peak!$AM$17)</f>
        <v>705</v>
      </c>
    </row>
    <row r="105" customFormat="false" ht="12.75" hidden="false" customHeight="false" outlineLevel="0" collapsed="false">
      <c r="A105" s="400" t="n">
        <f aca="false">A104+30.417</f>
        <v>39429.615</v>
      </c>
      <c r="B105" s="432" t="n">
        <f aca="false">IF('Peak Revenue'!$A$1="BL","-",IF(Peak!H106&gt;Peak!$G106,B$8*$X105,0))</f>
        <v>4.62138309393059</v>
      </c>
      <c r="C105" s="432" t="n">
        <f aca="false">IF('Peak Revenue'!$A$1="BL","-",IF(Peak!I106&gt;Peak!$G106,C$8*$X105,0))</f>
        <v>4.62138309393059</v>
      </c>
      <c r="D105" s="432" t="n">
        <f aca="false">IF('Peak Revenue'!$A$1="BL","-",IF(Peak!J106&gt;Peak!$G106,D$8*$X105,0))</f>
        <v>9.24276618786118</v>
      </c>
      <c r="E105" s="432" t="n">
        <f aca="false">IF('Peak Revenue'!$A$1="BL","-",IF(Peak!K106&gt;Peak!$G106,E$8*$X105,0))</f>
        <v>18.4855323757224</v>
      </c>
      <c r="F105" s="432" t="n">
        <f aca="false">IF('Peak Revenue'!$A$1="BL","-",IF(Peak!L106&gt;Peak!$G106,F$8*$X105,0))</f>
        <v>18.4855323757224</v>
      </c>
      <c r="G105" s="432" t="n">
        <f aca="false">IF('Peak Revenue'!$A$1="BL","-",IF(Peak!M106&gt;Peak!$G106,G$8*$X105,0))</f>
        <v>36.9710647514447</v>
      </c>
      <c r="H105" s="432" t="n">
        <f aca="false">IF('Peak Revenue'!$A$1="BL","-",IF(Peak!N106&gt;Peak!$G106,H$8*$X105,0))</f>
        <v>36.9710647514447</v>
      </c>
      <c r="I105" s="432" t="n">
        <f aca="false">IF('Peak Revenue'!$A$1="BL","-",IF(Peak!O106&gt;Peak!$G106,I$8*$X105,0))</f>
        <v>36.9710647514447</v>
      </c>
      <c r="J105" s="432" t="n">
        <f aca="false">IF('Peak Revenue'!$A$1="BL","-",IF(Peak!P106&gt;Peak!$G106,J$8*$X105,0))</f>
        <v>36.9710647514447</v>
      </c>
      <c r="K105" s="432" t="n">
        <f aca="false">IF('Peak Revenue'!$A$1="BL","-",IF(Peak!Q106&gt;Peak!$G106,K$8*$X105,0))</f>
        <v>0</v>
      </c>
      <c r="L105" s="432" t="n">
        <f aca="false">IF('Peak Revenue'!$A$1="BL","-",IF(Peak!R106&gt;Peak!$G106,L$8*$X105,0))</f>
        <v>0</v>
      </c>
      <c r="M105" s="432" t="n">
        <f aca="false">IF('Peak Revenue'!$A$1="BL","-",IF(Peak!S106&gt;Peak!$G106,M$8*$X105,0))</f>
        <v>0</v>
      </c>
      <c r="N105" s="432" t="n">
        <f aca="false">IF('Peak Revenue'!$A$1="BL","-",IF(Peak!T106&gt;Peak!$G106,N$8*$X105,0))</f>
        <v>0</v>
      </c>
      <c r="O105" s="432" t="n">
        <f aca="false">IF('Peak Revenue'!$A$1="BL","-",IF(Peak!U106&gt;Peak!$G106,O$8*$X105,0))</f>
        <v>0</v>
      </c>
      <c r="P105" s="432" t="n">
        <f aca="false">IF('Peak Revenue'!$A$1="BL","-",IF(Peak!V106&gt;Peak!$G106,P$8*$X105,0))</f>
        <v>0</v>
      </c>
      <c r="Q105" s="432" t="n">
        <f aca="false">IF('Peak Revenue'!$A$1="BL","-",IF(Peak!W106&gt;Peak!$G106,Q$8*$X105,0))</f>
        <v>0</v>
      </c>
      <c r="R105" s="432" t="n">
        <f aca="false">IF('Peak Revenue'!$A$1="BL","-",IF(Peak!X106&gt;Peak!$G106,R$8*$X105,0))</f>
        <v>0</v>
      </c>
      <c r="S105" s="432" t="n">
        <f aca="false">IF('Peak Revenue'!$A$1="BL","-",IF(Peak!Y106&gt;Peak!$G106,S$8*$X105,0))</f>
        <v>0</v>
      </c>
      <c r="T105" s="432" t="n">
        <f aca="false">IF('Peak Revenue'!$A$1="BL","-",IF(Peak!Z106&gt;Peak!$G106,T$8*$X105,0))</f>
        <v>0</v>
      </c>
      <c r="U105" s="432" t="n">
        <f aca="false">IF('Peak Revenue'!$A$1="BL","-",IF(Peak!AA106&gt;Peak!$G106,U$8*$X105,0))</f>
        <v>0</v>
      </c>
      <c r="V105" s="441" t="n">
        <f aca="false">SUM(B105:U105)</f>
        <v>203.340856132946</v>
      </c>
      <c r="W105" s="443" t="n">
        <f aca="false">SUM(V94:V105)</f>
        <v>2886.17664594869</v>
      </c>
      <c r="X105" s="439" t="n">
        <f aca="false">CHOOSE(QUOTIENT(MONTH($A105),3)+1,Peak!$AM$11,Peak!$AN$11,Peak!$AL$11,Peak!$AO$11,Peak!$AM$11)</f>
        <v>0.924276618786118</v>
      </c>
      <c r="Y105" s="440" t="n">
        <f aca="false">CHOOSE(QUOTIENT(MONTH($A105),3)+1,Peak!$AM$17,Peak!$AN$17,Peak!$AL$17,Peak!$AO$17,Peak!$AM$17)</f>
        <v>705</v>
      </c>
    </row>
    <row r="106" customFormat="false" ht="12.75" hidden="false" customHeight="false" outlineLevel="0" collapsed="false">
      <c r="A106" s="400" t="n">
        <f aca="false">A105+30.417</f>
        <v>39460.032</v>
      </c>
      <c r="B106" s="432" t="n">
        <f aca="false">IF('Peak Revenue'!$A$1="BL","-",IF(Peak!H107&gt;Peak!$G107,B$8*$X106,0))</f>
        <v>4.62138309393059</v>
      </c>
      <c r="C106" s="432" t="n">
        <f aca="false">IF('Peak Revenue'!$A$1="BL","-",IF(Peak!I107&gt;Peak!$G107,C$8*$X106,0))</f>
        <v>4.62138309393059</v>
      </c>
      <c r="D106" s="432" t="n">
        <f aca="false">IF('Peak Revenue'!$A$1="BL","-",IF(Peak!J107&gt;Peak!$G107,D$8*$X106,0))</f>
        <v>9.24276618786118</v>
      </c>
      <c r="E106" s="432" t="n">
        <f aca="false">IF('Peak Revenue'!$A$1="BL","-",IF(Peak!K107&gt;Peak!$G107,E$8*$X106,0))</f>
        <v>18.4855323757224</v>
      </c>
      <c r="F106" s="432" t="n">
        <f aca="false">IF('Peak Revenue'!$A$1="BL","-",IF(Peak!L107&gt;Peak!$G107,F$8*$X106,0))</f>
        <v>18.4855323757224</v>
      </c>
      <c r="G106" s="432" t="n">
        <f aca="false">IF('Peak Revenue'!$A$1="BL","-",IF(Peak!M107&gt;Peak!$G107,G$8*$X106,0))</f>
        <v>36.9710647514447</v>
      </c>
      <c r="H106" s="432" t="n">
        <f aca="false">IF('Peak Revenue'!$A$1="BL","-",IF(Peak!N107&gt;Peak!$G107,H$8*$X106,0))</f>
        <v>36.9710647514447</v>
      </c>
      <c r="I106" s="432" t="n">
        <f aca="false">IF('Peak Revenue'!$A$1="BL","-",IF(Peak!O107&gt;Peak!$G107,I$8*$X106,0))</f>
        <v>36.9710647514447</v>
      </c>
      <c r="J106" s="432" t="n">
        <f aca="false">IF('Peak Revenue'!$A$1="BL","-",IF(Peak!P107&gt;Peak!$G107,J$8*$X106,0))</f>
        <v>36.9710647514447</v>
      </c>
      <c r="K106" s="432" t="n">
        <f aca="false">IF('Peak Revenue'!$A$1="BL","-",IF(Peak!Q107&gt;Peak!$G107,K$8*$X106,0))</f>
        <v>36.9710647514447</v>
      </c>
      <c r="L106" s="432" t="n">
        <f aca="false">IF('Peak Revenue'!$A$1="BL","-",IF(Peak!R107&gt;Peak!$G107,L$8*$X106,0))</f>
        <v>0</v>
      </c>
      <c r="M106" s="432" t="n">
        <f aca="false">IF('Peak Revenue'!$A$1="BL","-",IF(Peak!S107&gt;Peak!$G107,M$8*$X106,0))</f>
        <v>0</v>
      </c>
      <c r="N106" s="432" t="n">
        <f aca="false">IF('Peak Revenue'!$A$1="BL","-",IF(Peak!T107&gt;Peak!$G107,N$8*$X106,0))</f>
        <v>0</v>
      </c>
      <c r="O106" s="432" t="n">
        <f aca="false">IF('Peak Revenue'!$A$1="BL","-",IF(Peak!U107&gt;Peak!$G107,O$8*$X106,0))</f>
        <v>0</v>
      </c>
      <c r="P106" s="432" t="n">
        <f aca="false">IF('Peak Revenue'!$A$1="BL","-",IF(Peak!V107&gt;Peak!$G107,P$8*$X106,0))</f>
        <v>0</v>
      </c>
      <c r="Q106" s="432" t="n">
        <f aca="false">IF('Peak Revenue'!$A$1="BL","-",IF(Peak!W107&gt;Peak!$G107,Q$8*$X106,0))</f>
        <v>0</v>
      </c>
      <c r="R106" s="432" t="n">
        <f aca="false">IF('Peak Revenue'!$A$1="BL","-",IF(Peak!X107&gt;Peak!$G107,R$8*$X106,0))</f>
        <v>0</v>
      </c>
      <c r="S106" s="432" t="n">
        <f aca="false">IF('Peak Revenue'!$A$1="BL","-",IF(Peak!Y107&gt;Peak!$G107,S$8*$X106,0))</f>
        <v>0</v>
      </c>
      <c r="T106" s="432" t="n">
        <f aca="false">IF('Peak Revenue'!$A$1="BL","-",IF(Peak!Z107&gt;Peak!$G107,T$8*$X106,0))</f>
        <v>0</v>
      </c>
      <c r="U106" s="432" t="n">
        <f aca="false">IF('Peak Revenue'!$A$1="BL","-",IF(Peak!AA107&gt;Peak!$G107,U$8*$X106,0))</f>
        <v>0</v>
      </c>
      <c r="V106" s="441" t="n">
        <f aca="false">SUM(B106:U106)</f>
        <v>240.311920884391</v>
      </c>
      <c r="W106" s="442"/>
      <c r="X106" s="439" t="n">
        <f aca="false">CHOOSE(QUOTIENT(MONTH($A106),3)+1,Peak!$AM$11,Peak!$AN$11,Peak!$AL$11,Peak!$AO$11,Peak!$AM$11)</f>
        <v>0.924276618786118</v>
      </c>
      <c r="Y106" s="440" t="n">
        <f aca="false">CHOOSE(QUOTIENT(MONTH($A106),3)+1,Peak!$AM$17,Peak!$AN$17,Peak!$AL$17,Peak!$AO$17,Peak!$AM$17)</f>
        <v>705</v>
      </c>
    </row>
    <row r="107" customFormat="false" ht="12.75" hidden="false" customHeight="false" outlineLevel="0" collapsed="false">
      <c r="A107" s="400" t="n">
        <f aca="false">A106+30.417</f>
        <v>39490.449</v>
      </c>
      <c r="B107" s="432" t="n">
        <f aca="false">IF('Peak Revenue'!$A$1="BL","-",IF(Peak!H108&gt;Peak!$G108,B$8*$X107,0))</f>
        <v>4.62138309393059</v>
      </c>
      <c r="C107" s="432" t="n">
        <f aca="false">IF('Peak Revenue'!$A$1="BL","-",IF(Peak!I108&gt;Peak!$G108,C$8*$X107,0))</f>
        <v>4.62138309393059</v>
      </c>
      <c r="D107" s="432" t="n">
        <f aca="false">IF('Peak Revenue'!$A$1="BL","-",IF(Peak!J108&gt;Peak!$G108,D$8*$X107,0))</f>
        <v>9.24276618786118</v>
      </c>
      <c r="E107" s="432" t="n">
        <f aca="false">IF('Peak Revenue'!$A$1="BL","-",IF(Peak!K108&gt;Peak!$G108,E$8*$X107,0))</f>
        <v>18.4855323757224</v>
      </c>
      <c r="F107" s="432" t="n">
        <f aca="false">IF('Peak Revenue'!$A$1="BL","-",IF(Peak!L108&gt;Peak!$G108,F$8*$X107,0))</f>
        <v>18.4855323757224</v>
      </c>
      <c r="G107" s="432" t="n">
        <f aca="false">IF('Peak Revenue'!$A$1="BL","-",IF(Peak!M108&gt;Peak!$G108,G$8*$X107,0))</f>
        <v>36.9710647514447</v>
      </c>
      <c r="H107" s="432" t="n">
        <f aca="false">IF('Peak Revenue'!$A$1="BL","-",IF(Peak!N108&gt;Peak!$G108,H$8*$X107,0))</f>
        <v>36.9710647514447</v>
      </c>
      <c r="I107" s="432" t="n">
        <f aca="false">IF('Peak Revenue'!$A$1="BL","-",IF(Peak!O108&gt;Peak!$G108,I$8*$X107,0))</f>
        <v>36.9710647514447</v>
      </c>
      <c r="J107" s="432" t="n">
        <f aca="false">IF('Peak Revenue'!$A$1="BL","-",IF(Peak!P108&gt;Peak!$G108,J$8*$X107,0))</f>
        <v>36.9710647514447</v>
      </c>
      <c r="K107" s="432" t="n">
        <f aca="false">IF('Peak Revenue'!$A$1="BL","-",IF(Peak!Q108&gt;Peak!$G108,K$8*$X107,0))</f>
        <v>36.9710647514447</v>
      </c>
      <c r="L107" s="432" t="n">
        <f aca="false">IF('Peak Revenue'!$A$1="BL","-",IF(Peak!R108&gt;Peak!$G108,L$8*$X107,0))</f>
        <v>36.9710647514447</v>
      </c>
      <c r="M107" s="432" t="n">
        <f aca="false">IF('Peak Revenue'!$A$1="BL","-",IF(Peak!S108&gt;Peak!$G108,M$8*$X107,0))</f>
        <v>36.9710647514447</v>
      </c>
      <c r="N107" s="432" t="n">
        <f aca="false">IF('Peak Revenue'!$A$1="BL","-",IF(Peak!T108&gt;Peak!$G108,N$8*$X107,0))</f>
        <v>0</v>
      </c>
      <c r="O107" s="432" t="n">
        <f aca="false">IF('Peak Revenue'!$A$1="BL","-",IF(Peak!U108&gt;Peak!$G108,O$8*$X107,0))</f>
        <v>0</v>
      </c>
      <c r="P107" s="432" t="n">
        <f aca="false">IF('Peak Revenue'!$A$1="BL","-",IF(Peak!V108&gt;Peak!$G108,P$8*$X107,0))</f>
        <v>0</v>
      </c>
      <c r="Q107" s="432" t="n">
        <f aca="false">IF('Peak Revenue'!$A$1="BL","-",IF(Peak!W108&gt;Peak!$G108,Q$8*$X107,0))</f>
        <v>0</v>
      </c>
      <c r="R107" s="432" t="n">
        <f aca="false">IF('Peak Revenue'!$A$1="BL","-",IF(Peak!X108&gt;Peak!$G108,R$8*$X107,0))</f>
        <v>0</v>
      </c>
      <c r="S107" s="432" t="n">
        <f aca="false">IF('Peak Revenue'!$A$1="BL","-",IF(Peak!Y108&gt;Peak!$G108,S$8*$X107,0))</f>
        <v>0</v>
      </c>
      <c r="T107" s="432" t="n">
        <f aca="false">IF('Peak Revenue'!$A$1="BL","-",IF(Peak!Z108&gt;Peak!$G108,T$8*$X107,0))</f>
        <v>0</v>
      </c>
      <c r="U107" s="432" t="n">
        <f aca="false">IF('Peak Revenue'!$A$1="BL","-",IF(Peak!AA108&gt;Peak!$G108,U$8*$X107,0))</f>
        <v>0</v>
      </c>
      <c r="V107" s="441" t="n">
        <f aca="false">SUM(B107:U107)</f>
        <v>314.25405038728</v>
      </c>
      <c r="W107" s="442"/>
      <c r="X107" s="439" t="n">
        <f aca="false">CHOOSE(QUOTIENT(MONTH($A107),3)+1,Peak!$AM$11,Peak!$AN$11,Peak!$AL$11,Peak!$AO$11,Peak!$AM$11)</f>
        <v>0.924276618786118</v>
      </c>
      <c r="Y107" s="440" t="n">
        <f aca="false">CHOOSE(QUOTIENT(MONTH($A107),3)+1,Peak!$AM$17,Peak!$AN$17,Peak!$AL$17,Peak!$AO$17,Peak!$AM$17)</f>
        <v>705</v>
      </c>
    </row>
    <row r="108" customFormat="false" ht="12.75" hidden="false" customHeight="false" outlineLevel="0" collapsed="false">
      <c r="A108" s="400" t="n">
        <f aca="false">A107+30.417</f>
        <v>39520.866</v>
      </c>
      <c r="B108" s="432" t="n">
        <f aca="false">IF('Peak Revenue'!$A$1="BL","-",IF(Peak!H109&gt;Peak!$G109,B$8*$X108,0))</f>
        <v>4.75</v>
      </c>
      <c r="C108" s="432" t="n">
        <f aca="false">IF('Peak Revenue'!$A$1="BL","-",IF(Peak!I109&gt;Peak!$G109,C$8*$X108,0))</f>
        <v>4.75</v>
      </c>
      <c r="D108" s="432" t="n">
        <f aca="false">IF('Peak Revenue'!$A$1="BL","-",IF(Peak!J109&gt;Peak!$G109,D$8*$X108,0))</f>
        <v>9.5</v>
      </c>
      <c r="E108" s="432" t="n">
        <f aca="false">IF('Peak Revenue'!$A$1="BL","-",IF(Peak!K109&gt;Peak!$G109,E$8*$X108,0))</f>
        <v>19</v>
      </c>
      <c r="F108" s="432" t="n">
        <f aca="false">IF('Peak Revenue'!$A$1="BL","-",IF(Peak!L109&gt;Peak!$G109,F$8*$X108,0))</f>
        <v>19</v>
      </c>
      <c r="G108" s="432" t="n">
        <f aca="false">IF('Peak Revenue'!$A$1="BL","-",IF(Peak!M109&gt;Peak!$G109,G$8*$X108,0))</f>
        <v>38</v>
      </c>
      <c r="H108" s="432" t="n">
        <f aca="false">IF('Peak Revenue'!$A$1="BL","-",IF(Peak!N109&gt;Peak!$G109,H$8*$X108,0))</f>
        <v>38</v>
      </c>
      <c r="I108" s="432" t="n">
        <f aca="false">IF('Peak Revenue'!$A$1="BL","-",IF(Peak!O109&gt;Peak!$G109,I$8*$X108,0))</f>
        <v>38</v>
      </c>
      <c r="J108" s="432" t="n">
        <f aca="false">IF('Peak Revenue'!$A$1="BL","-",IF(Peak!P109&gt;Peak!$G109,J$8*$X108,0))</f>
        <v>38</v>
      </c>
      <c r="K108" s="432" t="n">
        <f aca="false">IF('Peak Revenue'!$A$1="BL","-",IF(Peak!Q109&gt;Peak!$G109,K$8*$X108,0))</f>
        <v>38</v>
      </c>
      <c r="L108" s="432" t="n">
        <f aca="false">IF('Peak Revenue'!$A$1="BL","-",IF(Peak!R109&gt;Peak!$G109,L$8*$X108,0))</f>
        <v>38</v>
      </c>
      <c r="M108" s="432" t="n">
        <f aca="false">IF('Peak Revenue'!$A$1="BL","-",IF(Peak!S109&gt;Peak!$G109,M$8*$X108,0))</f>
        <v>38</v>
      </c>
      <c r="N108" s="432" t="n">
        <f aca="false">IF('Peak Revenue'!$A$1="BL","-",IF(Peak!T109&gt;Peak!$G109,N$8*$X108,0))</f>
        <v>38</v>
      </c>
      <c r="O108" s="432" t="n">
        <f aca="false">IF('Peak Revenue'!$A$1="BL","-",IF(Peak!U109&gt;Peak!$G109,O$8*$X108,0))</f>
        <v>38</v>
      </c>
      <c r="P108" s="432" t="n">
        <f aca="false">IF('Peak Revenue'!$A$1="BL","-",IF(Peak!V109&gt;Peak!$G109,P$8*$X108,0))</f>
        <v>38</v>
      </c>
      <c r="Q108" s="432" t="n">
        <f aca="false">IF('Peak Revenue'!$A$1="BL","-",IF(Peak!W109&gt;Peak!$G109,Q$8*$X108,0))</f>
        <v>0</v>
      </c>
      <c r="R108" s="432" t="n">
        <f aca="false">IF('Peak Revenue'!$A$1="BL","-",IF(Peak!X109&gt;Peak!$G109,R$8*$X108,0))</f>
        <v>0</v>
      </c>
      <c r="S108" s="432" t="n">
        <f aca="false">IF('Peak Revenue'!$A$1="BL","-",IF(Peak!Y109&gt;Peak!$G109,S$8*$X108,0))</f>
        <v>0</v>
      </c>
      <c r="T108" s="432" t="n">
        <f aca="false">IF('Peak Revenue'!$A$1="BL","-",IF(Peak!Z109&gt;Peak!$G109,T$8*$X108,0))</f>
        <v>0</v>
      </c>
      <c r="U108" s="432" t="n">
        <f aca="false">IF('Peak Revenue'!$A$1="BL","-",IF(Peak!AA109&gt;Peak!$G109,U$8*$X108,0))</f>
        <v>0</v>
      </c>
      <c r="V108" s="441" t="n">
        <f aca="false">SUM(B108:U108)</f>
        <v>437</v>
      </c>
      <c r="W108" s="442"/>
      <c r="X108" s="439" t="n">
        <f aca="false">CHOOSE(QUOTIENT(MONTH($A108),3)+1,Peak!$AM$11,Peak!$AN$11,Peak!$AL$11,Peak!$AO$11,Peak!$AM$11)</f>
        <v>0.95</v>
      </c>
      <c r="Y108" s="440" t="n">
        <f aca="false">CHOOSE(QUOTIENT(MONTH($A108),3)+1,Peak!$AM$17,Peak!$AN$17,Peak!$AL$17,Peak!$AO$17,Peak!$AM$17)</f>
        <v>705</v>
      </c>
    </row>
    <row r="109" customFormat="false" ht="12.75" hidden="false" customHeight="false" outlineLevel="0" collapsed="false">
      <c r="A109" s="400" t="n">
        <f aca="false">A108+30.417</f>
        <v>39551.283</v>
      </c>
      <c r="B109" s="432" t="n">
        <f aca="false">IF('Peak Revenue'!$A$1="BL","-",IF(Peak!H110&gt;Peak!$G110,B$8*$X109,0))</f>
        <v>4.75</v>
      </c>
      <c r="C109" s="432" t="n">
        <f aca="false">IF('Peak Revenue'!$A$1="BL","-",IF(Peak!I110&gt;Peak!$G110,C$8*$X109,0))</f>
        <v>4.75</v>
      </c>
      <c r="D109" s="432" t="n">
        <f aca="false">IF('Peak Revenue'!$A$1="BL","-",IF(Peak!J110&gt;Peak!$G110,D$8*$X109,0))</f>
        <v>9.5</v>
      </c>
      <c r="E109" s="432" t="n">
        <f aca="false">IF('Peak Revenue'!$A$1="BL","-",IF(Peak!K110&gt;Peak!$G110,E$8*$X109,0))</f>
        <v>19</v>
      </c>
      <c r="F109" s="432" t="n">
        <f aca="false">IF('Peak Revenue'!$A$1="BL","-",IF(Peak!L110&gt;Peak!$G110,F$8*$X109,0))</f>
        <v>19</v>
      </c>
      <c r="G109" s="432" t="n">
        <f aca="false">IF('Peak Revenue'!$A$1="BL","-",IF(Peak!M110&gt;Peak!$G110,G$8*$X109,0))</f>
        <v>38</v>
      </c>
      <c r="H109" s="432" t="n">
        <f aca="false">IF('Peak Revenue'!$A$1="BL","-",IF(Peak!N110&gt;Peak!$G110,H$8*$X109,0))</f>
        <v>38</v>
      </c>
      <c r="I109" s="432" t="n">
        <f aca="false">IF('Peak Revenue'!$A$1="BL","-",IF(Peak!O110&gt;Peak!$G110,I$8*$X109,0))</f>
        <v>38</v>
      </c>
      <c r="J109" s="432" t="n">
        <f aca="false">IF('Peak Revenue'!$A$1="BL","-",IF(Peak!P110&gt;Peak!$G110,J$8*$X109,0))</f>
        <v>38</v>
      </c>
      <c r="K109" s="432" t="n">
        <f aca="false">IF('Peak Revenue'!$A$1="BL","-",IF(Peak!Q110&gt;Peak!$G110,K$8*$X109,0))</f>
        <v>38</v>
      </c>
      <c r="L109" s="432" t="n">
        <f aca="false">IF('Peak Revenue'!$A$1="BL","-",IF(Peak!R110&gt;Peak!$G110,L$8*$X109,0))</f>
        <v>0</v>
      </c>
      <c r="M109" s="432" t="n">
        <f aca="false">IF('Peak Revenue'!$A$1="BL","-",IF(Peak!S110&gt;Peak!$G110,M$8*$X109,0))</f>
        <v>0</v>
      </c>
      <c r="N109" s="432" t="n">
        <f aca="false">IF('Peak Revenue'!$A$1="BL","-",IF(Peak!T110&gt;Peak!$G110,N$8*$X109,0))</f>
        <v>0</v>
      </c>
      <c r="O109" s="432" t="n">
        <f aca="false">IF('Peak Revenue'!$A$1="BL","-",IF(Peak!U110&gt;Peak!$G110,O$8*$X109,0))</f>
        <v>0</v>
      </c>
      <c r="P109" s="432" t="n">
        <f aca="false">IF('Peak Revenue'!$A$1="BL","-",IF(Peak!V110&gt;Peak!$G110,P$8*$X109,0))</f>
        <v>0</v>
      </c>
      <c r="Q109" s="432" t="n">
        <f aca="false">IF('Peak Revenue'!$A$1="BL","-",IF(Peak!W110&gt;Peak!$G110,Q$8*$X109,0))</f>
        <v>0</v>
      </c>
      <c r="R109" s="432" t="n">
        <f aca="false">IF('Peak Revenue'!$A$1="BL","-",IF(Peak!X110&gt;Peak!$G110,R$8*$X109,0))</f>
        <v>0</v>
      </c>
      <c r="S109" s="432" t="n">
        <f aca="false">IF('Peak Revenue'!$A$1="BL","-",IF(Peak!Y110&gt;Peak!$G110,S$8*$X109,0))</f>
        <v>0</v>
      </c>
      <c r="T109" s="432" t="n">
        <f aca="false">IF('Peak Revenue'!$A$1="BL","-",IF(Peak!Z110&gt;Peak!$G110,T$8*$X109,0))</f>
        <v>0</v>
      </c>
      <c r="U109" s="432" t="n">
        <f aca="false">IF('Peak Revenue'!$A$1="BL","-",IF(Peak!AA110&gt;Peak!$G110,U$8*$X109,0))</f>
        <v>0</v>
      </c>
      <c r="V109" s="441" t="n">
        <f aca="false">SUM(B109:U109)</f>
        <v>247</v>
      </c>
      <c r="W109" s="442"/>
      <c r="X109" s="439" t="n">
        <f aca="false">CHOOSE(QUOTIENT(MONTH($A109),3)+1,Peak!$AM$11,Peak!$AN$11,Peak!$AL$11,Peak!$AO$11,Peak!$AM$11)</f>
        <v>0.95</v>
      </c>
      <c r="Y109" s="440" t="n">
        <f aca="false">CHOOSE(QUOTIENT(MONTH($A109),3)+1,Peak!$AM$17,Peak!$AN$17,Peak!$AL$17,Peak!$AO$17,Peak!$AM$17)</f>
        <v>705</v>
      </c>
    </row>
    <row r="110" customFormat="false" ht="12.75" hidden="false" customHeight="false" outlineLevel="0" collapsed="false">
      <c r="A110" s="400" t="n">
        <f aca="false">A109+30.417</f>
        <v>39581.7</v>
      </c>
      <c r="B110" s="432" t="n">
        <f aca="false">IF('Peak Revenue'!$A$1="BL","-",IF(Peak!H111&gt;Peak!$G111,B$8*$X110,0))</f>
        <v>4.75</v>
      </c>
      <c r="C110" s="432" t="n">
        <f aca="false">IF('Peak Revenue'!$A$1="BL","-",IF(Peak!I111&gt;Peak!$G111,C$8*$X110,0))</f>
        <v>4.75</v>
      </c>
      <c r="D110" s="432" t="n">
        <f aca="false">IF('Peak Revenue'!$A$1="BL","-",IF(Peak!J111&gt;Peak!$G111,D$8*$X110,0))</f>
        <v>9.5</v>
      </c>
      <c r="E110" s="432" t="n">
        <f aca="false">IF('Peak Revenue'!$A$1="BL","-",IF(Peak!K111&gt;Peak!$G111,E$8*$X110,0))</f>
        <v>19</v>
      </c>
      <c r="F110" s="432" t="n">
        <f aca="false">IF('Peak Revenue'!$A$1="BL","-",IF(Peak!L111&gt;Peak!$G111,F$8*$X110,0))</f>
        <v>19</v>
      </c>
      <c r="G110" s="432" t="n">
        <f aca="false">IF('Peak Revenue'!$A$1="BL","-",IF(Peak!M111&gt;Peak!$G111,G$8*$X110,0))</f>
        <v>38</v>
      </c>
      <c r="H110" s="432" t="n">
        <f aca="false">IF('Peak Revenue'!$A$1="BL","-",IF(Peak!N111&gt;Peak!$G111,H$8*$X110,0))</f>
        <v>38</v>
      </c>
      <c r="I110" s="432" t="n">
        <f aca="false">IF('Peak Revenue'!$A$1="BL","-",IF(Peak!O111&gt;Peak!$G111,I$8*$X110,0))</f>
        <v>38</v>
      </c>
      <c r="J110" s="432" t="n">
        <f aca="false">IF('Peak Revenue'!$A$1="BL","-",IF(Peak!P111&gt;Peak!$G111,J$8*$X110,0))</f>
        <v>0</v>
      </c>
      <c r="K110" s="432" t="n">
        <f aca="false">IF('Peak Revenue'!$A$1="BL","-",IF(Peak!Q111&gt;Peak!$G111,K$8*$X110,0))</f>
        <v>0</v>
      </c>
      <c r="L110" s="432" t="n">
        <f aca="false">IF('Peak Revenue'!$A$1="BL","-",IF(Peak!R111&gt;Peak!$G111,L$8*$X110,0))</f>
        <v>0</v>
      </c>
      <c r="M110" s="432" t="n">
        <f aca="false">IF('Peak Revenue'!$A$1="BL","-",IF(Peak!S111&gt;Peak!$G111,M$8*$X110,0))</f>
        <v>0</v>
      </c>
      <c r="N110" s="432" t="n">
        <f aca="false">IF('Peak Revenue'!$A$1="BL","-",IF(Peak!T111&gt;Peak!$G111,N$8*$X110,0))</f>
        <v>0</v>
      </c>
      <c r="O110" s="432" t="n">
        <f aca="false">IF('Peak Revenue'!$A$1="BL","-",IF(Peak!U111&gt;Peak!$G111,O$8*$X110,0))</f>
        <v>0</v>
      </c>
      <c r="P110" s="432" t="n">
        <f aca="false">IF('Peak Revenue'!$A$1="BL","-",IF(Peak!V111&gt;Peak!$G111,P$8*$X110,0))</f>
        <v>0</v>
      </c>
      <c r="Q110" s="432" t="n">
        <f aca="false">IF('Peak Revenue'!$A$1="BL","-",IF(Peak!W111&gt;Peak!$G111,Q$8*$X110,0))</f>
        <v>0</v>
      </c>
      <c r="R110" s="432" t="n">
        <f aca="false">IF('Peak Revenue'!$A$1="BL","-",IF(Peak!X111&gt;Peak!$G111,R$8*$X110,0))</f>
        <v>0</v>
      </c>
      <c r="S110" s="432" t="n">
        <f aca="false">IF('Peak Revenue'!$A$1="BL","-",IF(Peak!Y111&gt;Peak!$G111,S$8*$X110,0))</f>
        <v>0</v>
      </c>
      <c r="T110" s="432" t="n">
        <f aca="false">IF('Peak Revenue'!$A$1="BL","-",IF(Peak!Z111&gt;Peak!$G111,T$8*$X110,0))</f>
        <v>0</v>
      </c>
      <c r="U110" s="432" t="n">
        <f aca="false">IF('Peak Revenue'!$A$1="BL","-",IF(Peak!AA111&gt;Peak!$G111,U$8*$X110,0))</f>
        <v>0</v>
      </c>
      <c r="V110" s="441" t="n">
        <f aca="false">SUM(B110:U110)</f>
        <v>171</v>
      </c>
      <c r="W110" s="442"/>
      <c r="X110" s="439" t="n">
        <f aca="false">CHOOSE(QUOTIENT(MONTH($A110),3)+1,Peak!$AM$11,Peak!$AN$11,Peak!$AL$11,Peak!$AO$11,Peak!$AM$11)</f>
        <v>0.95</v>
      </c>
      <c r="Y110" s="440" t="n">
        <f aca="false">CHOOSE(QUOTIENT(MONTH($A110),3)+1,Peak!$AM$17,Peak!$AN$17,Peak!$AL$17,Peak!$AO$17,Peak!$AM$17)</f>
        <v>705</v>
      </c>
    </row>
    <row r="111" customFormat="false" ht="12.75" hidden="false" customHeight="false" outlineLevel="0" collapsed="false">
      <c r="A111" s="400" t="n">
        <f aca="false">A110+30.417</f>
        <v>39612.117</v>
      </c>
      <c r="B111" s="432" t="n">
        <f aca="false">IF('Peak Revenue'!$A$1="BL","-",IF(Peak!H112&gt;Peak!$G112,B$8*$X111,0))</f>
        <v>4.83060679547793</v>
      </c>
      <c r="C111" s="432" t="n">
        <f aca="false">IF('Peak Revenue'!$A$1="BL","-",IF(Peak!I112&gt;Peak!$G112,C$8*$X111,0))</f>
        <v>4.83060679547793</v>
      </c>
      <c r="D111" s="432" t="n">
        <f aca="false">IF('Peak Revenue'!$A$1="BL","-",IF(Peak!J112&gt;Peak!$G112,D$8*$X111,0))</f>
        <v>9.66121359095586</v>
      </c>
      <c r="E111" s="432" t="n">
        <f aca="false">IF('Peak Revenue'!$A$1="BL","-",IF(Peak!K112&gt;Peak!$G112,E$8*$X111,0))</f>
        <v>19.3224271819117</v>
      </c>
      <c r="F111" s="432" t="n">
        <f aca="false">IF('Peak Revenue'!$A$1="BL","-",IF(Peak!L112&gt;Peak!$G112,F$8*$X111,0))</f>
        <v>19.3224271819117</v>
      </c>
      <c r="G111" s="432" t="n">
        <f aca="false">IF('Peak Revenue'!$A$1="BL","-",IF(Peak!M112&gt;Peak!$G112,G$8*$X111,0))</f>
        <v>38.6448543638234</v>
      </c>
      <c r="H111" s="432" t="n">
        <f aca="false">IF('Peak Revenue'!$A$1="BL","-",IF(Peak!N112&gt;Peak!$G112,H$8*$X111,0))</f>
        <v>38.6448543638234</v>
      </c>
      <c r="I111" s="432" t="n">
        <f aca="false">IF('Peak Revenue'!$A$1="BL","-",IF(Peak!O112&gt;Peak!$G112,I$8*$X111,0))</f>
        <v>38.6448543638234</v>
      </c>
      <c r="J111" s="432" t="n">
        <f aca="false">IF('Peak Revenue'!$A$1="BL","-",IF(Peak!P112&gt;Peak!$G112,J$8*$X111,0))</f>
        <v>38.6448543638234</v>
      </c>
      <c r="K111" s="432" t="n">
        <f aca="false">IF('Peak Revenue'!$A$1="BL","-",IF(Peak!Q112&gt;Peak!$G112,K$8*$X111,0))</f>
        <v>38.6448543638234</v>
      </c>
      <c r="L111" s="432" t="n">
        <f aca="false">IF('Peak Revenue'!$A$1="BL","-",IF(Peak!R112&gt;Peak!$G112,L$8*$X111,0))</f>
        <v>38.6448543638234</v>
      </c>
      <c r="M111" s="432" t="n">
        <f aca="false">IF('Peak Revenue'!$A$1="BL","-",IF(Peak!S112&gt;Peak!$G112,M$8*$X111,0))</f>
        <v>0</v>
      </c>
      <c r="N111" s="432" t="n">
        <f aca="false">IF('Peak Revenue'!$A$1="BL","-",IF(Peak!T112&gt;Peak!$G112,N$8*$X111,0))</f>
        <v>0</v>
      </c>
      <c r="O111" s="432" t="n">
        <f aca="false">IF('Peak Revenue'!$A$1="BL","-",IF(Peak!U112&gt;Peak!$G112,O$8*$X111,0))</f>
        <v>0</v>
      </c>
      <c r="P111" s="432" t="n">
        <f aca="false">IF('Peak Revenue'!$A$1="BL","-",IF(Peak!V112&gt;Peak!$G112,P$8*$X111,0))</f>
        <v>0</v>
      </c>
      <c r="Q111" s="432" t="n">
        <f aca="false">IF('Peak Revenue'!$A$1="BL","-",IF(Peak!W112&gt;Peak!$G112,Q$8*$X111,0))</f>
        <v>0</v>
      </c>
      <c r="R111" s="432" t="n">
        <f aca="false">IF('Peak Revenue'!$A$1="BL","-",IF(Peak!X112&gt;Peak!$G112,R$8*$X111,0))</f>
        <v>0</v>
      </c>
      <c r="S111" s="432" t="n">
        <f aca="false">IF('Peak Revenue'!$A$1="BL","-",IF(Peak!Y112&gt;Peak!$G112,S$8*$X111,0))</f>
        <v>0</v>
      </c>
      <c r="T111" s="432" t="n">
        <f aca="false">IF('Peak Revenue'!$A$1="BL","-",IF(Peak!Z112&gt;Peak!$G112,T$8*$X111,0))</f>
        <v>0</v>
      </c>
      <c r="U111" s="432" t="n">
        <f aca="false">IF('Peak Revenue'!$A$1="BL","-",IF(Peak!AA112&gt;Peak!$G112,U$8*$X111,0))</f>
        <v>0</v>
      </c>
      <c r="V111" s="441" t="n">
        <f aca="false">SUM(B111:U111)</f>
        <v>289.836407728676</v>
      </c>
      <c r="W111" s="442"/>
      <c r="X111" s="439" t="n">
        <f aca="false">CHOOSE(QUOTIENT(MONTH($A111),3)+1,Peak!$AM$11,Peak!$AN$11,Peak!$AL$11,Peak!$AO$11,Peak!$AM$11)</f>
        <v>0.966121359095586</v>
      </c>
      <c r="Y111" s="440" t="n">
        <f aca="false">CHOOSE(QUOTIENT(MONTH($A111),3)+1,Peak!$AM$17,Peak!$AN$17,Peak!$AL$17,Peak!$AO$17,Peak!$AM$17)</f>
        <v>705</v>
      </c>
    </row>
    <row r="112" customFormat="false" ht="12.75" hidden="false" customHeight="false" outlineLevel="0" collapsed="false">
      <c r="A112" s="400" t="n">
        <f aca="false">A111+30.417</f>
        <v>39642.534</v>
      </c>
      <c r="B112" s="432" t="n">
        <f aca="false">IF('Peak Revenue'!$A$1="BL","-",IF(Peak!H113&gt;Peak!$G113,B$8*$X112,0))</f>
        <v>4.83060679547793</v>
      </c>
      <c r="C112" s="432" t="n">
        <f aca="false">IF('Peak Revenue'!$A$1="BL","-",IF(Peak!I113&gt;Peak!$G113,C$8*$X112,0))</f>
        <v>4.83060679547793</v>
      </c>
      <c r="D112" s="432" t="n">
        <f aca="false">IF('Peak Revenue'!$A$1="BL","-",IF(Peak!J113&gt;Peak!$G113,D$8*$X112,0))</f>
        <v>9.66121359095586</v>
      </c>
      <c r="E112" s="432" t="n">
        <f aca="false">IF('Peak Revenue'!$A$1="BL","-",IF(Peak!K113&gt;Peak!$G113,E$8*$X112,0))</f>
        <v>19.3224271819117</v>
      </c>
      <c r="F112" s="432" t="n">
        <f aca="false">IF('Peak Revenue'!$A$1="BL","-",IF(Peak!L113&gt;Peak!$G113,F$8*$X112,0))</f>
        <v>19.3224271819117</v>
      </c>
      <c r="G112" s="432" t="n">
        <f aca="false">IF('Peak Revenue'!$A$1="BL","-",IF(Peak!M113&gt;Peak!$G113,G$8*$X112,0))</f>
        <v>38.6448543638234</v>
      </c>
      <c r="H112" s="432" t="n">
        <f aca="false">IF('Peak Revenue'!$A$1="BL","-",IF(Peak!N113&gt;Peak!$G113,H$8*$X112,0))</f>
        <v>38.6448543638234</v>
      </c>
      <c r="I112" s="432" t="n">
        <f aca="false">IF('Peak Revenue'!$A$1="BL","-",IF(Peak!O113&gt;Peak!$G113,I$8*$X112,0))</f>
        <v>38.6448543638234</v>
      </c>
      <c r="J112" s="432" t="n">
        <f aca="false">IF('Peak Revenue'!$A$1="BL","-",IF(Peak!P113&gt;Peak!$G113,J$8*$X112,0))</f>
        <v>38.6448543638234</v>
      </c>
      <c r="K112" s="432" t="n">
        <f aca="false">IF('Peak Revenue'!$A$1="BL","-",IF(Peak!Q113&gt;Peak!$G113,K$8*$X112,0))</f>
        <v>38.6448543638234</v>
      </c>
      <c r="L112" s="432" t="n">
        <f aca="false">IF('Peak Revenue'!$A$1="BL","-",IF(Peak!R113&gt;Peak!$G113,L$8*$X112,0))</f>
        <v>38.6448543638234</v>
      </c>
      <c r="M112" s="432" t="n">
        <f aca="false">IF('Peak Revenue'!$A$1="BL","-",IF(Peak!S113&gt;Peak!$G113,M$8*$X112,0))</f>
        <v>38.6448543638234</v>
      </c>
      <c r="N112" s="432" t="n">
        <f aca="false">IF('Peak Revenue'!$A$1="BL","-",IF(Peak!T113&gt;Peak!$G113,N$8*$X112,0))</f>
        <v>38.6448543638234</v>
      </c>
      <c r="O112" s="432" t="n">
        <f aca="false">IF('Peak Revenue'!$A$1="BL","-",IF(Peak!U113&gt;Peak!$G113,O$8*$X112,0))</f>
        <v>0</v>
      </c>
      <c r="P112" s="432" t="n">
        <f aca="false">IF('Peak Revenue'!$A$1="BL","-",IF(Peak!V113&gt;Peak!$G113,P$8*$X112,0))</f>
        <v>0</v>
      </c>
      <c r="Q112" s="432" t="n">
        <f aca="false">IF('Peak Revenue'!$A$1="BL","-",IF(Peak!W113&gt;Peak!$G113,Q$8*$X112,0))</f>
        <v>0</v>
      </c>
      <c r="R112" s="432" t="n">
        <f aca="false">IF('Peak Revenue'!$A$1="BL","-",IF(Peak!X113&gt;Peak!$G113,R$8*$X112,0))</f>
        <v>0</v>
      </c>
      <c r="S112" s="432" t="n">
        <f aca="false">IF('Peak Revenue'!$A$1="BL","-",IF(Peak!Y113&gt;Peak!$G113,S$8*$X112,0))</f>
        <v>0</v>
      </c>
      <c r="T112" s="432" t="n">
        <f aca="false">IF('Peak Revenue'!$A$1="BL","-",IF(Peak!Z113&gt;Peak!$G113,T$8*$X112,0))</f>
        <v>0</v>
      </c>
      <c r="U112" s="432" t="n">
        <f aca="false">IF('Peak Revenue'!$A$1="BL","-",IF(Peak!AA113&gt;Peak!$G113,U$8*$X112,0))</f>
        <v>0</v>
      </c>
      <c r="V112" s="441" t="n">
        <f aca="false">SUM(B112:U112)</f>
        <v>367.126116456323</v>
      </c>
      <c r="W112" s="442"/>
      <c r="X112" s="439" t="n">
        <f aca="false">CHOOSE(QUOTIENT(MONTH($A112),3)+1,Peak!$AM$11,Peak!$AN$11,Peak!$AL$11,Peak!$AO$11,Peak!$AM$11)</f>
        <v>0.966121359095586</v>
      </c>
      <c r="Y112" s="440" t="n">
        <f aca="false">CHOOSE(QUOTIENT(MONTH($A112),3)+1,Peak!$AM$17,Peak!$AN$17,Peak!$AL$17,Peak!$AO$17,Peak!$AM$17)</f>
        <v>705</v>
      </c>
    </row>
    <row r="113" customFormat="false" ht="12.75" hidden="false" customHeight="false" outlineLevel="0" collapsed="false">
      <c r="A113" s="400" t="n">
        <f aca="false">A112+30.417</f>
        <v>39672.951</v>
      </c>
      <c r="B113" s="432" t="n">
        <f aca="false">IF('Peak Revenue'!$A$1="BL","-",IF(Peak!H114&gt;Peak!$G114,B$8*$X113,0))</f>
        <v>4.83060679547793</v>
      </c>
      <c r="C113" s="432" t="n">
        <f aca="false">IF('Peak Revenue'!$A$1="BL","-",IF(Peak!I114&gt;Peak!$G114,C$8*$X113,0))</f>
        <v>4.83060679547793</v>
      </c>
      <c r="D113" s="432" t="n">
        <f aca="false">IF('Peak Revenue'!$A$1="BL","-",IF(Peak!J114&gt;Peak!$G114,D$8*$X113,0))</f>
        <v>9.66121359095586</v>
      </c>
      <c r="E113" s="432" t="n">
        <f aca="false">IF('Peak Revenue'!$A$1="BL","-",IF(Peak!K114&gt;Peak!$G114,E$8*$X113,0))</f>
        <v>19.3224271819117</v>
      </c>
      <c r="F113" s="432" t="n">
        <f aca="false">IF('Peak Revenue'!$A$1="BL","-",IF(Peak!L114&gt;Peak!$G114,F$8*$X113,0))</f>
        <v>19.3224271819117</v>
      </c>
      <c r="G113" s="432" t="n">
        <f aca="false">IF('Peak Revenue'!$A$1="BL","-",IF(Peak!M114&gt;Peak!$G114,G$8*$X113,0))</f>
        <v>38.6448543638234</v>
      </c>
      <c r="H113" s="432" t="n">
        <f aca="false">IF('Peak Revenue'!$A$1="BL","-",IF(Peak!N114&gt;Peak!$G114,H$8*$X113,0))</f>
        <v>38.6448543638234</v>
      </c>
      <c r="I113" s="432" t="n">
        <f aca="false">IF('Peak Revenue'!$A$1="BL","-",IF(Peak!O114&gt;Peak!$G114,I$8*$X113,0))</f>
        <v>38.6448543638234</v>
      </c>
      <c r="J113" s="432" t="n">
        <f aca="false">IF('Peak Revenue'!$A$1="BL","-",IF(Peak!P114&gt;Peak!$G114,J$8*$X113,0))</f>
        <v>38.6448543638234</v>
      </c>
      <c r="K113" s="432" t="n">
        <f aca="false">IF('Peak Revenue'!$A$1="BL","-",IF(Peak!Q114&gt;Peak!$G114,K$8*$X113,0))</f>
        <v>38.6448543638234</v>
      </c>
      <c r="L113" s="432" t="n">
        <f aca="false">IF('Peak Revenue'!$A$1="BL","-",IF(Peak!R114&gt;Peak!$G114,L$8*$X113,0))</f>
        <v>38.6448543638234</v>
      </c>
      <c r="M113" s="432" t="n">
        <f aca="false">IF('Peak Revenue'!$A$1="BL","-",IF(Peak!S114&gt;Peak!$G114,M$8*$X113,0))</f>
        <v>0</v>
      </c>
      <c r="N113" s="432" t="n">
        <f aca="false">IF('Peak Revenue'!$A$1="BL","-",IF(Peak!T114&gt;Peak!$G114,N$8*$X113,0))</f>
        <v>0</v>
      </c>
      <c r="O113" s="432" t="n">
        <f aca="false">IF('Peak Revenue'!$A$1="BL","-",IF(Peak!U114&gt;Peak!$G114,O$8*$X113,0))</f>
        <v>0</v>
      </c>
      <c r="P113" s="432" t="n">
        <f aca="false">IF('Peak Revenue'!$A$1="BL","-",IF(Peak!V114&gt;Peak!$G114,P$8*$X113,0))</f>
        <v>0</v>
      </c>
      <c r="Q113" s="432" t="n">
        <f aca="false">IF('Peak Revenue'!$A$1="BL","-",IF(Peak!W114&gt;Peak!$G114,Q$8*$X113,0))</f>
        <v>0</v>
      </c>
      <c r="R113" s="432" t="n">
        <f aca="false">IF('Peak Revenue'!$A$1="BL","-",IF(Peak!X114&gt;Peak!$G114,R$8*$X113,0))</f>
        <v>0</v>
      </c>
      <c r="S113" s="432" t="n">
        <f aca="false">IF('Peak Revenue'!$A$1="BL","-",IF(Peak!Y114&gt;Peak!$G114,S$8*$X113,0))</f>
        <v>0</v>
      </c>
      <c r="T113" s="432" t="n">
        <f aca="false">IF('Peak Revenue'!$A$1="BL","-",IF(Peak!Z114&gt;Peak!$G114,T$8*$X113,0))</f>
        <v>0</v>
      </c>
      <c r="U113" s="432" t="n">
        <f aca="false">IF('Peak Revenue'!$A$1="BL","-",IF(Peak!AA114&gt;Peak!$G114,U$8*$X113,0))</f>
        <v>0</v>
      </c>
      <c r="V113" s="441" t="n">
        <f aca="false">SUM(B113:U113)</f>
        <v>289.836407728676</v>
      </c>
      <c r="W113" s="442"/>
      <c r="X113" s="439" t="n">
        <f aca="false">CHOOSE(QUOTIENT(MONTH($A113),3)+1,Peak!$AM$11,Peak!$AN$11,Peak!$AL$11,Peak!$AO$11,Peak!$AM$11)</f>
        <v>0.966121359095586</v>
      </c>
      <c r="Y113" s="440" t="n">
        <f aca="false">CHOOSE(QUOTIENT(MONTH($A113),3)+1,Peak!$AM$17,Peak!$AN$17,Peak!$AL$17,Peak!$AO$17,Peak!$AM$17)</f>
        <v>705</v>
      </c>
    </row>
    <row r="114" customFormat="false" ht="12.75" hidden="false" customHeight="false" outlineLevel="0" collapsed="false">
      <c r="A114" s="400" t="n">
        <f aca="false">A113+30.417</f>
        <v>39703.368</v>
      </c>
      <c r="B114" s="432" t="n">
        <f aca="false">IF('Peak Revenue'!$A$1="BL","-",IF(Peak!H115&gt;Peak!$G115,B$8*$X114,0))</f>
        <v>4.75</v>
      </c>
      <c r="C114" s="432" t="n">
        <f aca="false">IF('Peak Revenue'!$A$1="BL","-",IF(Peak!I115&gt;Peak!$G115,C$8*$X114,0))</f>
        <v>4.75</v>
      </c>
      <c r="D114" s="432" t="n">
        <f aca="false">IF('Peak Revenue'!$A$1="BL","-",IF(Peak!J115&gt;Peak!$G115,D$8*$X114,0))</f>
        <v>9.5</v>
      </c>
      <c r="E114" s="432" t="n">
        <f aca="false">IF('Peak Revenue'!$A$1="BL","-",IF(Peak!K115&gt;Peak!$G115,E$8*$X114,0))</f>
        <v>19</v>
      </c>
      <c r="F114" s="432" t="n">
        <f aca="false">IF('Peak Revenue'!$A$1="BL","-",IF(Peak!L115&gt;Peak!$G115,F$8*$X114,0))</f>
        <v>19</v>
      </c>
      <c r="G114" s="432" t="n">
        <f aca="false">IF('Peak Revenue'!$A$1="BL","-",IF(Peak!M115&gt;Peak!$G115,G$8*$X114,0))</f>
        <v>38</v>
      </c>
      <c r="H114" s="432" t="n">
        <f aca="false">IF('Peak Revenue'!$A$1="BL","-",IF(Peak!N115&gt;Peak!$G115,H$8*$X114,0))</f>
        <v>38</v>
      </c>
      <c r="I114" s="432" t="n">
        <f aca="false">IF('Peak Revenue'!$A$1="BL","-",IF(Peak!O115&gt;Peak!$G115,I$8*$X114,0))</f>
        <v>38</v>
      </c>
      <c r="J114" s="432" t="n">
        <f aca="false">IF('Peak Revenue'!$A$1="BL","-",IF(Peak!P115&gt;Peak!$G115,J$8*$X114,0))</f>
        <v>38</v>
      </c>
      <c r="K114" s="432" t="n">
        <f aca="false">IF('Peak Revenue'!$A$1="BL","-",IF(Peak!Q115&gt;Peak!$G115,K$8*$X114,0))</f>
        <v>38</v>
      </c>
      <c r="L114" s="432" t="n">
        <f aca="false">IF('Peak Revenue'!$A$1="BL","-",IF(Peak!R115&gt;Peak!$G115,L$8*$X114,0))</f>
        <v>38</v>
      </c>
      <c r="M114" s="432" t="n">
        <f aca="false">IF('Peak Revenue'!$A$1="BL","-",IF(Peak!S115&gt;Peak!$G115,M$8*$X114,0))</f>
        <v>0</v>
      </c>
      <c r="N114" s="432" t="n">
        <f aca="false">IF('Peak Revenue'!$A$1="BL","-",IF(Peak!T115&gt;Peak!$G115,N$8*$X114,0))</f>
        <v>0</v>
      </c>
      <c r="O114" s="432" t="n">
        <f aca="false">IF('Peak Revenue'!$A$1="BL","-",IF(Peak!U115&gt;Peak!$G115,O$8*$X114,0))</f>
        <v>0</v>
      </c>
      <c r="P114" s="432" t="n">
        <f aca="false">IF('Peak Revenue'!$A$1="BL","-",IF(Peak!V115&gt;Peak!$G115,P$8*$X114,0))</f>
        <v>0</v>
      </c>
      <c r="Q114" s="432" t="n">
        <f aca="false">IF('Peak Revenue'!$A$1="BL","-",IF(Peak!W115&gt;Peak!$G115,Q$8*$X114,0))</f>
        <v>0</v>
      </c>
      <c r="R114" s="432" t="n">
        <f aca="false">IF('Peak Revenue'!$A$1="BL","-",IF(Peak!X115&gt;Peak!$G115,R$8*$X114,0))</f>
        <v>0</v>
      </c>
      <c r="S114" s="432" t="n">
        <f aca="false">IF('Peak Revenue'!$A$1="BL","-",IF(Peak!Y115&gt;Peak!$G115,S$8*$X114,0))</f>
        <v>0</v>
      </c>
      <c r="T114" s="432" t="n">
        <f aca="false">IF('Peak Revenue'!$A$1="BL","-",IF(Peak!Z115&gt;Peak!$G115,T$8*$X114,0))</f>
        <v>0</v>
      </c>
      <c r="U114" s="432" t="n">
        <f aca="false">IF('Peak Revenue'!$A$1="BL","-",IF(Peak!AA115&gt;Peak!$G115,U$8*$X114,0))</f>
        <v>0</v>
      </c>
      <c r="V114" s="441" t="n">
        <f aca="false">SUM(B114:U114)</f>
        <v>285</v>
      </c>
      <c r="W114" s="442"/>
      <c r="X114" s="439" t="n">
        <f aca="false">CHOOSE(QUOTIENT(MONTH($A114),3)+1,Peak!$AM$11,Peak!$AN$11,Peak!$AL$11,Peak!$AO$11,Peak!$AM$11)</f>
        <v>0.95</v>
      </c>
      <c r="Y114" s="440" t="n">
        <f aca="false">CHOOSE(QUOTIENT(MONTH($A114),3)+1,Peak!$AM$17,Peak!$AN$17,Peak!$AL$17,Peak!$AO$17,Peak!$AM$17)</f>
        <v>705</v>
      </c>
    </row>
    <row r="115" customFormat="false" ht="12.75" hidden="false" customHeight="false" outlineLevel="0" collapsed="false">
      <c r="A115" s="400" t="n">
        <f aca="false">A114+30.417</f>
        <v>39733.785</v>
      </c>
      <c r="B115" s="432" t="n">
        <f aca="false">IF('Peak Revenue'!$A$1="BL","-",IF(Peak!H116&gt;Peak!$G116,B$8*$X115,0))</f>
        <v>4.75</v>
      </c>
      <c r="C115" s="432" t="n">
        <f aca="false">IF('Peak Revenue'!$A$1="BL","-",IF(Peak!I116&gt;Peak!$G116,C$8*$X115,0))</f>
        <v>4.75</v>
      </c>
      <c r="D115" s="432" t="n">
        <f aca="false">IF('Peak Revenue'!$A$1="BL","-",IF(Peak!J116&gt;Peak!$G116,D$8*$X115,0))</f>
        <v>9.5</v>
      </c>
      <c r="E115" s="432" t="n">
        <f aca="false">IF('Peak Revenue'!$A$1="BL","-",IF(Peak!K116&gt;Peak!$G116,E$8*$X115,0))</f>
        <v>19</v>
      </c>
      <c r="F115" s="432" t="n">
        <f aca="false">IF('Peak Revenue'!$A$1="BL","-",IF(Peak!L116&gt;Peak!$G116,F$8*$X115,0))</f>
        <v>19</v>
      </c>
      <c r="G115" s="432" t="n">
        <f aca="false">IF('Peak Revenue'!$A$1="BL","-",IF(Peak!M116&gt;Peak!$G116,G$8*$X115,0))</f>
        <v>38</v>
      </c>
      <c r="H115" s="432" t="n">
        <f aca="false">IF('Peak Revenue'!$A$1="BL","-",IF(Peak!N116&gt;Peak!$G116,H$8*$X115,0))</f>
        <v>38</v>
      </c>
      <c r="I115" s="432" t="n">
        <f aca="false">IF('Peak Revenue'!$A$1="BL","-",IF(Peak!O116&gt;Peak!$G116,I$8*$X115,0))</f>
        <v>38</v>
      </c>
      <c r="J115" s="432" t="n">
        <f aca="false">IF('Peak Revenue'!$A$1="BL","-",IF(Peak!P116&gt;Peak!$G116,J$8*$X115,0))</f>
        <v>38</v>
      </c>
      <c r="K115" s="432" t="n">
        <f aca="false">IF('Peak Revenue'!$A$1="BL","-",IF(Peak!Q116&gt;Peak!$G116,K$8*$X115,0))</f>
        <v>0</v>
      </c>
      <c r="L115" s="432" t="n">
        <f aca="false">IF('Peak Revenue'!$A$1="BL","-",IF(Peak!R116&gt;Peak!$G116,L$8*$X115,0))</f>
        <v>0</v>
      </c>
      <c r="M115" s="432" t="n">
        <f aca="false">IF('Peak Revenue'!$A$1="BL","-",IF(Peak!S116&gt;Peak!$G116,M$8*$X115,0))</f>
        <v>0</v>
      </c>
      <c r="N115" s="432" t="n">
        <f aca="false">IF('Peak Revenue'!$A$1="BL","-",IF(Peak!T116&gt;Peak!$G116,N$8*$X115,0))</f>
        <v>0</v>
      </c>
      <c r="O115" s="432" t="n">
        <f aca="false">IF('Peak Revenue'!$A$1="BL","-",IF(Peak!U116&gt;Peak!$G116,O$8*$X115,0))</f>
        <v>0</v>
      </c>
      <c r="P115" s="432" t="n">
        <f aca="false">IF('Peak Revenue'!$A$1="BL","-",IF(Peak!V116&gt;Peak!$G116,P$8*$X115,0))</f>
        <v>0</v>
      </c>
      <c r="Q115" s="432" t="n">
        <f aca="false">IF('Peak Revenue'!$A$1="BL","-",IF(Peak!W116&gt;Peak!$G116,Q$8*$X115,0))</f>
        <v>0</v>
      </c>
      <c r="R115" s="432" t="n">
        <f aca="false">IF('Peak Revenue'!$A$1="BL","-",IF(Peak!X116&gt;Peak!$G116,R$8*$X115,0))</f>
        <v>0</v>
      </c>
      <c r="S115" s="432" t="n">
        <f aca="false">IF('Peak Revenue'!$A$1="BL","-",IF(Peak!Y116&gt;Peak!$G116,S$8*$X115,0))</f>
        <v>0</v>
      </c>
      <c r="T115" s="432" t="n">
        <f aca="false">IF('Peak Revenue'!$A$1="BL","-",IF(Peak!Z116&gt;Peak!$G116,T$8*$X115,0))</f>
        <v>0</v>
      </c>
      <c r="U115" s="432" t="n">
        <f aca="false">IF('Peak Revenue'!$A$1="BL","-",IF(Peak!AA116&gt;Peak!$G116,U$8*$X115,0))</f>
        <v>0</v>
      </c>
      <c r="V115" s="441" t="n">
        <f aca="false">SUM(B115:U115)</f>
        <v>209</v>
      </c>
      <c r="W115" s="442"/>
      <c r="X115" s="439" t="n">
        <f aca="false">CHOOSE(QUOTIENT(MONTH($A115),3)+1,Peak!$AM$11,Peak!$AN$11,Peak!$AL$11,Peak!$AO$11,Peak!$AM$11)</f>
        <v>0.95</v>
      </c>
      <c r="Y115" s="440" t="n">
        <f aca="false">CHOOSE(QUOTIENT(MONTH($A115),3)+1,Peak!$AM$17,Peak!$AN$17,Peak!$AL$17,Peak!$AO$17,Peak!$AM$17)</f>
        <v>705</v>
      </c>
    </row>
    <row r="116" customFormat="false" ht="12.75" hidden="false" customHeight="false" outlineLevel="0" collapsed="false">
      <c r="A116" s="400" t="n">
        <f aca="false">A115+30.417</f>
        <v>39764.202</v>
      </c>
      <c r="B116" s="432" t="n">
        <f aca="false">IF('Peak Revenue'!$A$1="BL","-",IF(Peak!H117&gt;Peak!$G117,B$8*$X116,0))</f>
        <v>4.75</v>
      </c>
      <c r="C116" s="432" t="n">
        <f aca="false">IF('Peak Revenue'!$A$1="BL","-",IF(Peak!I117&gt;Peak!$G117,C$8*$X116,0))</f>
        <v>4.75</v>
      </c>
      <c r="D116" s="432" t="n">
        <f aca="false">IF('Peak Revenue'!$A$1="BL","-",IF(Peak!J117&gt;Peak!$G117,D$8*$X116,0))</f>
        <v>9.5</v>
      </c>
      <c r="E116" s="432" t="n">
        <f aca="false">IF('Peak Revenue'!$A$1="BL","-",IF(Peak!K117&gt;Peak!$G117,E$8*$X116,0))</f>
        <v>19</v>
      </c>
      <c r="F116" s="432" t="n">
        <f aca="false">IF('Peak Revenue'!$A$1="BL","-",IF(Peak!L117&gt;Peak!$G117,F$8*$X116,0))</f>
        <v>19</v>
      </c>
      <c r="G116" s="432" t="n">
        <f aca="false">IF('Peak Revenue'!$A$1="BL","-",IF(Peak!M117&gt;Peak!$G117,G$8*$X116,0))</f>
        <v>38</v>
      </c>
      <c r="H116" s="432" t="n">
        <f aca="false">IF('Peak Revenue'!$A$1="BL","-",IF(Peak!N117&gt;Peak!$G117,H$8*$X116,0))</f>
        <v>38</v>
      </c>
      <c r="I116" s="432" t="n">
        <f aca="false">IF('Peak Revenue'!$A$1="BL","-",IF(Peak!O117&gt;Peak!$G117,I$8*$X116,0))</f>
        <v>38</v>
      </c>
      <c r="J116" s="432" t="n">
        <f aca="false">IF('Peak Revenue'!$A$1="BL","-",IF(Peak!P117&gt;Peak!$G117,J$8*$X116,0))</f>
        <v>38</v>
      </c>
      <c r="K116" s="432" t="n">
        <f aca="false">IF('Peak Revenue'!$A$1="BL","-",IF(Peak!Q117&gt;Peak!$G117,K$8*$X116,0))</f>
        <v>38</v>
      </c>
      <c r="L116" s="432" t="n">
        <f aca="false">IF('Peak Revenue'!$A$1="BL","-",IF(Peak!R117&gt;Peak!$G117,L$8*$X116,0))</f>
        <v>0</v>
      </c>
      <c r="M116" s="432" t="n">
        <f aca="false">IF('Peak Revenue'!$A$1="BL","-",IF(Peak!S117&gt;Peak!$G117,M$8*$X116,0))</f>
        <v>0</v>
      </c>
      <c r="N116" s="432" t="n">
        <f aca="false">IF('Peak Revenue'!$A$1="BL","-",IF(Peak!T117&gt;Peak!$G117,N$8*$X116,0))</f>
        <v>0</v>
      </c>
      <c r="O116" s="432" t="n">
        <f aca="false">IF('Peak Revenue'!$A$1="BL","-",IF(Peak!U117&gt;Peak!$G117,O$8*$X116,0))</f>
        <v>0</v>
      </c>
      <c r="P116" s="432" t="n">
        <f aca="false">IF('Peak Revenue'!$A$1="BL","-",IF(Peak!V117&gt;Peak!$G117,P$8*$X116,0))</f>
        <v>0</v>
      </c>
      <c r="Q116" s="432" t="n">
        <f aca="false">IF('Peak Revenue'!$A$1="BL","-",IF(Peak!W117&gt;Peak!$G117,Q$8*$X116,0))</f>
        <v>0</v>
      </c>
      <c r="R116" s="432" t="n">
        <f aca="false">IF('Peak Revenue'!$A$1="BL","-",IF(Peak!X117&gt;Peak!$G117,R$8*$X116,0))</f>
        <v>0</v>
      </c>
      <c r="S116" s="432" t="n">
        <f aca="false">IF('Peak Revenue'!$A$1="BL","-",IF(Peak!Y117&gt;Peak!$G117,S$8*$X116,0))</f>
        <v>0</v>
      </c>
      <c r="T116" s="432" t="n">
        <f aca="false">IF('Peak Revenue'!$A$1="BL","-",IF(Peak!Z117&gt;Peak!$G117,T$8*$X116,0))</f>
        <v>0</v>
      </c>
      <c r="U116" s="432" t="n">
        <f aca="false">IF('Peak Revenue'!$A$1="BL","-",IF(Peak!AA117&gt;Peak!$G117,U$8*$X116,0))</f>
        <v>0</v>
      </c>
      <c r="V116" s="441" t="n">
        <f aca="false">SUM(B116:U116)</f>
        <v>247</v>
      </c>
      <c r="W116" s="442"/>
      <c r="X116" s="439" t="n">
        <f aca="false">CHOOSE(QUOTIENT(MONTH($A116),3)+1,Peak!$AM$11,Peak!$AN$11,Peak!$AL$11,Peak!$AO$11,Peak!$AM$11)</f>
        <v>0.95</v>
      </c>
      <c r="Y116" s="440" t="n">
        <f aca="false">CHOOSE(QUOTIENT(MONTH($A116),3)+1,Peak!$AM$17,Peak!$AN$17,Peak!$AL$17,Peak!$AO$17,Peak!$AM$17)</f>
        <v>705</v>
      </c>
    </row>
    <row r="117" customFormat="false" ht="12.75" hidden="false" customHeight="false" outlineLevel="0" collapsed="false">
      <c r="A117" s="400" t="n">
        <f aca="false">A116+30.417</f>
        <v>39794.619</v>
      </c>
      <c r="B117" s="432" t="n">
        <f aca="false">IF('Peak Revenue'!$A$1="BL","-",IF(Peak!H118&gt;Peak!$G118,B$8*$X117,0))</f>
        <v>4.62138309393059</v>
      </c>
      <c r="C117" s="432" t="n">
        <f aca="false">IF('Peak Revenue'!$A$1="BL","-",IF(Peak!I118&gt;Peak!$G118,C$8*$X117,0))</f>
        <v>4.62138309393059</v>
      </c>
      <c r="D117" s="432" t="n">
        <f aca="false">IF('Peak Revenue'!$A$1="BL","-",IF(Peak!J118&gt;Peak!$G118,D$8*$X117,0))</f>
        <v>9.24276618786118</v>
      </c>
      <c r="E117" s="432" t="n">
        <f aca="false">IF('Peak Revenue'!$A$1="BL","-",IF(Peak!K118&gt;Peak!$G118,E$8*$X117,0))</f>
        <v>18.4855323757224</v>
      </c>
      <c r="F117" s="432" t="n">
        <f aca="false">IF('Peak Revenue'!$A$1="BL","-",IF(Peak!L118&gt;Peak!$G118,F$8*$X117,0))</f>
        <v>18.4855323757224</v>
      </c>
      <c r="G117" s="432" t="n">
        <f aca="false">IF('Peak Revenue'!$A$1="BL","-",IF(Peak!M118&gt;Peak!$G118,G$8*$X117,0))</f>
        <v>36.9710647514447</v>
      </c>
      <c r="H117" s="432" t="n">
        <f aca="false">IF('Peak Revenue'!$A$1="BL","-",IF(Peak!N118&gt;Peak!$G118,H$8*$X117,0))</f>
        <v>36.9710647514447</v>
      </c>
      <c r="I117" s="432" t="n">
        <f aca="false">IF('Peak Revenue'!$A$1="BL","-",IF(Peak!O118&gt;Peak!$G118,I$8*$X117,0))</f>
        <v>36.9710647514447</v>
      </c>
      <c r="J117" s="432" t="n">
        <f aca="false">IF('Peak Revenue'!$A$1="BL","-",IF(Peak!P118&gt;Peak!$G118,J$8*$X117,0))</f>
        <v>36.9710647514447</v>
      </c>
      <c r="K117" s="432" t="n">
        <f aca="false">IF('Peak Revenue'!$A$1="BL","-",IF(Peak!Q118&gt;Peak!$G118,K$8*$X117,0))</f>
        <v>36.9710647514447</v>
      </c>
      <c r="L117" s="432" t="n">
        <f aca="false">IF('Peak Revenue'!$A$1="BL","-",IF(Peak!R118&gt;Peak!$G118,L$8*$X117,0))</f>
        <v>36.9710647514447</v>
      </c>
      <c r="M117" s="432" t="n">
        <f aca="false">IF('Peak Revenue'!$A$1="BL","-",IF(Peak!S118&gt;Peak!$G118,M$8*$X117,0))</f>
        <v>36.9710647514447</v>
      </c>
      <c r="N117" s="432" t="n">
        <f aca="false">IF('Peak Revenue'!$A$1="BL","-",IF(Peak!T118&gt;Peak!$G118,N$8*$X117,0))</f>
        <v>0</v>
      </c>
      <c r="O117" s="432" t="n">
        <f aca="false">IF('Peak Revenue'!$A$1="BL","-",IF(Peak!U118&gt;Peak!$G118,O$8*$X117,0))</f>
        <v>0</v>
      </c>
      <c r="P117" s="432" t="n">
        <f aca="false">IF('Peak Revenue'!$A$1="BL","-",IF(Peak!V118&gt;Peak!$G118,P$8*$X117,0))</f>
        <v>0</v>
      </c>
      <c r="Q117" s="432" t="n">
        <f aca="false">IF('Peak Revenue'!$A$1="BL","-",IF(Peak!W118&gt;Peak!$G118,Q$8*$X117,0))</f>
        <v>0</v>
      </c>
      <c r="R117" s="432" t="n">
        <f aca="false">IF('Peak Revenue'!$A$1="BL","-",IF(Peak!X118&gt;Peak!$G118,R$8*$X117,0))</f>
        <v>0</v>
      </c>
      <c r="S117" s="432" t="n">
        <f aca="false">IF('Peak Revenue'!$A$1="BL","-",IF(Peak!Y118&gt;Peak!$G118,S$8*$X117,0))</f>
        <v>0</v>
      </c>
      <c r="T117" s="432" t="n">
        <f aca="false">IF('Peak Revenue'!$A$1="BL","-",IF(Peak!Z118&gt;Peak!$G118,T$8*$X117,0))</f>
        <v>0</v>
      </c>
      <c r="U117" s="432" t="n">
        <f aca="false">IF('Peak Revenue'!$A$1="BL","-",IF(Peak!AA118&gt;Peak!$G118,U$8*$X117,0))</f>
        <v>0</v>
      </c>
      <c r="V117" s="441" t="n">
        <f aca="false">SUM(B117:U117)</f>
        <v>314.25405038728</v>
      </c>
      <c r="W117" s="443" t="n">
        <f aca="false">SUM(V106:V117)</f>
        <v>3411.61895357262</v>
      </c>
      <c r="X117" s="439" t="n">
        <f aca="false">CHOOSE(QUOTIENT(MONTH($A117),3)+1,Peak!$AM$11,Peak!$AN$11,Peak!$AL$11,Peak!$AO$11,Peak!$AM$11)</f>
        <v>0.924276618786118</v>
      </c>
      <c r="Y117" s="440" t="n">
        <f aca="false">CHOOSE(QUOTIENT(MONTH($A117),3)+1,Peak!$AM$17,Peak!$AN$17,Peak!$AL$17,Peak!$AO$17,Peak!$AM$17)</f>
        <v>705</v>
      </c>
    </row>
    <row r="118" customFormat="false" ht="12.75" hidden="false" customHeight="false" outlineLevel="0" collapsed="false">
      <c r="A118" s="400" t="n">
        <f aca="false">A117+30.417</f>
        <v>39825.036</v>
      </c>
      <c r="B118" s="432" t="n">
        <f aca="false">IF('Peak Revenue'!$A$1="BL","-",IF(Peak!H119&gt;Peak!$G119,B$8*$X118,0))</f>
        <v>4.62138309393059</v>
      </c>
      <c r="C118" s="432" t="n">
        <f aca="false">IF('Peak Revenue'!$A$1="BL","-",IF(Peak!I119&gt;Peak!$G119,C$8*$X118,0))</f>
        <v>4.62138309393059</v>
      </c>
      <c r="D118" s="432" t="n">
        <f aca="false">IF('Peak Revenue'!$A$1="BL","-",IF(Peak!J119&gt;Peak!$G119,D$8*$X118,0))</f>
        <v>9.24276618786118</v>
      </c>
      <c r="E118" s="432" t="n">
        <f aca="false">IF('Peak Revenue'!$A$1="BL","-",IF(Peak!K119&gt;Peak!$G119,E$8*$X118,0))</f>
        <v>18.4855323757224</v>
      </c>
      <c r="F118" s="432" t="n">
        <f aca="false">IF('Peak Revenue'!$A$1="BL","-",IF(Peak!L119&gt;Peak!$G119,F$8*$X118,0))</f>
        <v>18.4855323757224</v>
      </c>
      <c r="G118" s="432" t="n">
        <f aca="false">IF('Peak Revenue'!$A$1="BL","-",IF(Peak!M119&gt;Peak!$G119,G$8*$X118,0))</f>
        <v>36.9710647514447</v>
      </c>
      <c r="H118" s="432" t="n">
        <f aca="false">IF('Peak Revenue'!$A$1="BL","-",IF(Peak!N119&gt;Peak!$G119,H$8*$X118,0))</f>
        <v>36.9710647514447</v>
      </c>
      <c r="I118" s="432" t="n">
        <f aca="false">IF('Peak Revenue'!$A$1="BL","-",IF(Peak!O119&gt;Peak!$G119,I$8*$X118,0))</f>
        <v>36.9710647514447</v>
      </c>
      <c r="J118" s="432" t="n">
        <f aca="false">IF('Peak Revenue'!$A$1="BL","-",IF(Peak!P119&gt;Peak!$G119,J$8*$X118,0))</f>
        <v>36.9710647514447</v>
      </c>
      <c r="K118" s="432" t="n">
        <f aca="false">IF('Peak Revenue'!$A$1="BL","-",IF(Peak!Q119&gt;Peak!$G119,K$8*$X118,0))</f>
        <v>36.9710647514447</v>
      </c>
      <c r="L118" s="432" t="n">
        <f aca="false">IF('Peak Revenue'!$A$1="BL","-",IF(Peak!R119&gt;Peak!$G119,L$8*$X118,0))</f>
        <v>0</v>
      </c>
      <c r="M118" s="432" t="n">
        <f aca="false">IF('Peak Revenue'!$A$1="BL","-",IF(Peak!S119&gt;Peak!$G119,M$8*$X118,0))</f>
        <v>0</v>
      </c>
      <c r="N118" s="432" t="n">
        <f aca="false">IF('Peak Revenue'!$A$1="BL","-",IF(Peak!T119&gt;Peak!$G119,N$8*$X118,0))</f>
        <v>0</v>
      </c>
      <c r="O118" s="432" t="n">
        <f aca="false">IF('Peak Revenue'!$A$1="BL","-",IF(Peak!U119&gt;Peak!$G119,O$8*$X118,0))</f>
        <v>0</v>
      </c>
      <c r="P118" s="432" t="n">
        <f aca="false">IF('Peak Revenue'!$A$1="BL","-",IF(Peak!V119&gt;Peak!$G119,P$8*$X118,0))</f>
        <v>0</v>
      </c>
      <c r="Q118" s="432" t="n">
        <f aca="false">IF('Peak Revenue'!$A$1="BL","-",IF(Peak!W119&gt;Peak!$G119,Q$8*$X118,0))</f>
        <v>0</v>
      </c>
      <c r="R118" s="432" t="n">
        <f aca="false">IF('Peak Revenue'!$A$1="BL","-",IF(Peak!X119&gt;Peak!$G119,R$8*$X118,0))</f>
        <v>0</v>
      </c>
      <c r="S118" s="432" t="n">
        <f aca="false">IF('Peak Revenue'!$A$1="BL","-",IF(Peak!Y119&gt;Peak!$G119,S$8*$X118,0))</f>
        <v>0</v>
      </c>
      <c r="T118" s="432" t="n">
        <f aca="false">IF('Peak Revenue'!$A$1="BL","-",IF(Peak!Z119&gt;Peak!$G119,T$8*$X118,0))</f>
        <v>0</v>
      </c>
      <c r="U118" s="432" t="n">
        <f aca="false">IF('Peak Revenue'!$A$1="BL","-",IF(Peak!AA119&gt;Peak!$G119,U$8*$X118,0))</f>
        <v>0</v>
      </c>
      <c r="V118" s="441" t="n">
        <f aca="false">SUM(B118:U118)</f>
        <v>240.311920884391</v>
      </c>
      <c r="W118" s="442"/>
      <c r="X118" s="439" t="n">
        <f aca="false">CHOOSE(QUOTIENT(MONTH($A118),3)+1,Peak!$AM$11,Peak!$AN$11,Peak!$AL$11,Peak!$AO$11,Peak!$AM$11)</f>
        <v>0.924276618786118</v>
      </c>
      <c r="Y118" s="440" t="n">
        <f aca="false">CHOOSE(QUOTIENT(MONTH($A118),3)+1,Peak!$AM$17,Peak!$AN$17,Peak!$AL$17,Peak!$AO$17,Peak!$AM$17)</f>
        <v>705</v>
      </c>
    </row>
    <row r="119" customFormat="false" ht="12.75" hidden="false" customHeight="false" outlineLevel="0" collapsed="false">
      <c r="A119" s="400" t="n">
        <f aca="false">A118+30.417</f>
        <v>39855.453</v>
      </c>
      <c r="B119" s="432" t="n">
        <f aca="false">IF('Peak Revenue'!$A$1="BL","-",IF(Peak!H120&gt;Peak!$G120,B$8*$X119,0))</f>
        <v>4.62138309393059</v>
      </c>
      <c r="C119" s="432" t="n">
        <f aca="false">IF('Peak Revenue'!$A$1="BL","-",IF(Peak!I120&gt;Peak!$G120,C$8*$X119,0))</f>
        <v>4.62138309393059</v>
      </c>
      <c r="D119" s="432" t="n">
        <f aca="false">IF('Peak Revenue'!$A$1="BL","-",IF(Peak!J120&gt;Peak!$G120,D$8*$X119,0))</f>
        <v>9.24276618786118</v>
      </c>
      <c r="E119" s="432" t="n">
        <f aca="false">IF('Peak Revenue'!$A$1="BL","-",IF(Peak!K120&gt;Peak!$G120,E$8*$X119,0))</f>
        <v>18.4855323757224</v>
      </c>
      <c r="F119" s="432" t="n">
        <f aca="false">IF('Peak Revenue'!$A$1="BL","-",IF(Peak!L120&gt;Peak!$G120,F$8*$X119,0))</f>
        <v>18.4855323757224</v>
      </c>
      <c r="G119" s="432" t="n">
        <f aca="false">IF('Peak Revenue'!$A$1="BL","-",IF(Peak!M120&gt;Peak!$G120,G$8*$X119,0))</f>
        <v>36.9710647514447</v>
      </c>
      <c r="H119" s="432" t="n">
        <f aca="false">IF('Peak Revenue'!$A$1="BL","-",IF(Peak!N120&gt;Peak!$G120,H$8*$X119,0))</f>
        <v>36.9710647514447</v>
      </c>
      <c r="I119" s="432" t="n">
        <f aca="false">IF('Peak Revenue'!$A$1="BL","-",IF(Peak!O120&gt;Peak!$G120,I$8*$X119,0))</f>
        <v>36.9710647514447</v>
      </c>
      <c r="J119" s="432" t="n">
        <f aca="false">IF('Peak Revenue'!$A$1="BL","-",IF(Peak!P120&gt;Peak!$G120,J$8*$X119,0))</f>
        <v>36.9710647514447</v>
      </c>
      <c r="K119" s="432" t="n">
        <f aca="false">IF('Peak Revenue'!$A$1="BL","-",IF(Peak!Q120&gt;Peak!$G120,K$8*$X119,0))</f>
        <v>36.9710647514447</v>
      </c>
      <c r="L119" s="432" t="n">
        <f aca="false">IF('Peak Revenue'!$A$1="BL","-",IF(Peak!R120&gt;Peak!$G120,L$8*$X119,0))</f>
        <v>36.9710647514447</v>
      </c>
      <c r="M119" s="432" t="n">
        <f aca="false">IF('Peak Revenue'!$A$1="BL","-",IF(Peak!S120&gt;Peak!$G120,M$8*$X119,0))</f>
        <v>0</v>
      </c>
      <c r="N119" s="432" t="n">
        <f aca="false">IF('Peak Revenue'!$A$1="BL","-",IF(Peak!T120&gt;Peak!$G120,N$8*$X119,0))</f>
        <v>0</v>
      </c>
      <c r="O119" s="432" t="n">
        <f aca="false">IF('Peak Revenue'!$A$1="BL","-",IF(Peak!U120&gt;Peak!$G120,O$8*$X119,0))</f>
        <v>0</v>
      </c>
      <c r="P119" s="432" t="n">
        <f aca="false">IF('Peak Revenue'!$A$1="BL","-",IF(Peak!V120&gt;Peak!$G120,P$8*$X119,0))</f>
        <v>0</v>
      </c>
      <c r="Q119" s="432" t="n">
        <f aca="false">IF('Peak Revenue'!$A$1="BL","-",IF(Peak!W120&gt;Peak!$G120,Q$8*$X119,0))</f>
        <v>0</v>
      </c>
      <c r="R119" s="432" t="n">
        <f aca="false">IF('Peak Revenue'!$A$1="BL","-",IF(Peak!X120&gt;Peak!$G120,R$8*$X119,0))</f>
        <v>0</v>
      </c>
      <c r="S119" s="432" t="n">
        <f aca="false">IF('Peak Revenue'!$A$1="BL","-",IF(Peak!Y120&gt;Peak!$G120,S$8*$X119,0))</f>
        <v>0</v>
      </c>
      <c r="T119" s="432" t="n">
        <f aca="false">IF('Peak Revenue'!$A$1="BL","-",IF(Peak!Z120&gt;Peak!$G120,T$8*$X119,0))</f>
        <v>0</v>
      </c>
      <c r="U119" s="432" t="n">
        <f aca="false">IF('Peak Revenue'!$A$1="BL","-",IF(Peak!AA120&gt;Peak!$G120,U$8*$X119,0))</f>
        <v>0</v>
      </c>
      <c r="V119" s="441" t="n">
        <f aca="false">SUM(B119:U119)</f>
        <v>277.282985635835</v>
      </c>
      <c r="W119" s="442"/>
      <c r="X119" s="439" t="n">
        <f aca="false">CHOOSE(QUOTIENT(MONTH($A119),3)+1,Peak!$AM$11,Peak!$AN$11,Peak!$AL$11,Peak!$AO$11,Peak!$AM$11)</f>
        <v>0.924276618786118</v>
      </c>
      <c r="Y119" s="440" t="n">
        <f aca="false">CHOOSE(QUOTIENT(MONTH($A119),3)+1,Peak!$AM$17,Peak!$AN$17,Peak!$AL$17,Peak!$AO$17,Peak!$AM$17)</f>
        <v>705</v>
      </c>
    </row>
    <row r="120" customFormat="false" ht="12.75" hidden="false" customHeight="false" outlineLevel="0" collapsed="false">
      <c r="A120" s="400" t="n">
        <f aca="false">A119+30.417</f>
        <v>39885.87</v>
      </c>
      <c r="B120" s="432" t="n">
        <f aca="false">IF('Peak Revenue'!$A$1="BL","-",IF(Peak!H121&gt;Peak!$G121,B$8*$X120,0))</f>
        <v>4.75</v>
      </c>
      <c r="C120" s="432" t="n">
        <f aca="false">IF('Peak Revenue'!$A$1="BL","-",IF(Peak!I121&gt;Peak!$G121,C$8*$X120,0))</f>
        <v>4.75</v>
      </c>
      <c r="D120" s="432" t="n">
        <f aca="false">IF('Peak Revenue'!$A$1="BL","-",IF(Peak!J121&gt;Peak!$G121,D$8*$X120,0))</f>
        <v>9.5</v>
      </c>
      <c r="E120" s="432" t="n">
        <f aca="false">IF('Peak Revenue'!$A$1="BL","-",IF(Peak!K121&gt;Peak!$G121,E$8*$X120,0))</f>
        <v>19</v>
      </c>
      <c r="F120" s="432" t="n">
        <f aca="false">IF('Peak Revenue'!$A$1="BL","-",IF(Peak!L121&gt;Peak!$G121,F$8*$X120,0))</f>
        <v>19</v>
      </c>
      <c r="G120" s="432" t="n">
        <f aca="false">IF('Peak Revenue'!$A$1="BL","-",IF(Peak!M121&gt;Peak!$G121,G$8*$X120,0))</f>
        <v>38</v>
      </c>
      <c r="H120" s="432" t="n">
        <f aca="false">IF('Peak Revenue'!$A$1="BL","-",IF(Peak!N121&gt;Peak!$G121,H$8*$X120,0))</f>
        <v>38</v>
      </c>
      <c r="I120" s="432" t="n">
        <f aca="false">IF('Peak Revenue'!$A$1="BL","-",IF(Peak!O121&gt;Peak!$G121,I$8*$X120,0))</f>
        <v>38</v>
      </c>
      <c r="J120" s="432" t="n">
        <f aca="false">IF('Peak Revenue'!$A$1="BL","-",IF(Peak!P121&gt;Peak!$G121,J$8*$X120,0))</f>
        <v>38</v>
      </c>
      <c r="K120" s="432" t="n">
        <f aca="false">IF('Peak Revenue'!$A$1="BL","-",IF(Peak!Q121&gt;Peak!$G121,K$8*$X120,0))</f>
        <v>38</v>
      </c>
      <c r="L120" s="432" t="n">
        <f aca="false">IF('Peak Revenue'!$A$1="BL","-",IF(Peak!R121&gt;Peak!$G121,L$8*$X120,0))</f>
        <v>38</v>
      </c>
      <c r="M120" s="432" t="n">
        <f aca="false">IF('Peak Revenue'!$A$1="BL","-",IF(Peak!S121&gt;Peak!$G121,M$8*$X120,0))</f>
        <v>38</v>
      </c>
      <c r="N120" s="432" t="n">
        <f aca="false">IF('Peak Revenue'!$A$1="BL","-",IF(Peak!T121&gt;Peak!$G121,N$8*$X120,0))</f>
        <v>0</v>
      </c>
      <c r="O120" s="432" t="n">
        <f aca="false">IF('Peak Revenue'!$A$1="BL","-",IF(Peak!U121&gt;Peak!$G121,O$8*$X120,0))</f>
        <v>0</v>
      </c>
      <c r="P120" s="432" t="n">
        <f aca="false">IF('Peak Revenue'!$A$1="BL","-",IF(Peak!V121&gt;Peak!$G121,P$8*$X120,0))</f>
        <v>0</v>
      </c>
      <c r="Q120" s="432" t="n">
        <f aca="false">IF('Peak Revenue'!$A$1="BL","-",IF(Peak!W121&gt;Peak!$G121,Q$8*$X120,0))</f>
        <v>0</v>
      </c>
      <c r="R120" s="432" t="n">
        <f aca="false">IF('Peak Revenue'!$A$1="BL","-",IF(Peak!X121&gt;Peak!$G121,R$8*$X120,0))</f>
        <v>0</v>
      </c>
      <c r="S120" s="432" t="n">
        <f aca="false">IF('Peak Revenue'!$A$1="BL","-",IF(Peak!Y121&gt;Peak!$G121,S$8*$X120,0))</f>
        <v>0</v>
      </c>
      <c r="T120" s="432" t="n">
        <f aca="false">IF('Peak Revenue'!$A$1="BL","-",IF(Peak!Z121&gt;Peak!$G121,T$8*$X120,0))</f>
        <v>0</v>
      </c>
      <c r="U120" s="432" t="n">
        <f aca="false">IF('Peak Revenue'!$A$1="BL","-",IF(Peak!AA121&gt;Peak!$G121,U$8*$X120,0))</f>
        <v>0</v>
      </c>
      <c r="V120" s="441" t="n">
        <f aca="false">SUM(B120:U120)</f>
        <v>323</v>
      </c>
      <c r="W120" s="442"/>
      <c r="X120" s="439" t="n">
        <f aca="false">CHOOSE(QUOTIENT(MONTH($A120),3)+1,Peak!$AM$11,Peak!$AN$11,Peak!$AL$11,Peak!$AO$11,Peak!$AM$11)</f>
        <v>0.95</v>
      </c>
      <c r="Y120" s="440" t="n">
        <f aca="false">CHOOSE(QUOTIENT(MONTH($A120),3)+1,Peak!$AM$17,Peak!$AN$17,Peak!$AL$17,Peak!$AO$17,Peak!$AM$17)</f>
        <v>705</v>
      </c>
    </row>
    <row r="121" customFormat="false" ht="12.75" hidden="false" customHeight="false" outlineLevel="0" collapsed="false">
      <c r="A121" s="400" t="n">
        <f aca="false">A120+30.417</f>
        <v>39916.287</v>
      </c>
      <c r="B121" s="432" t="n">
        <f aca="false">IF('Peak Revenue'!$A$1="BL","-",IF(Peak!H122&gt;Peak!$G122,B$8*$X121,0))</f>
        <v>4.75</v>
      </c>
      <c r="C121" s="432" t="n">
        <f aca="false">IF('Peak Revenue'!$A$1="BL","-",IF(Peak!I122&gt;Peak!$G122,C$8*$X121,0))</f>
        <v>4.75</v>
      </c>
      <c r="D121" s="432" t="n">
        <f aca="false">IF('Peak Revenue'!$A$1="BL","-",IF(Peak!J122&gt;Peak!$G122,D$8*$X121,0))</f>
        <v>9.5</v>
      </c>
      <c r="E121" s="432" t="n">
        <f aca="false">IF('Peak Revenue'!$A$1="BL","-",IF(Peak!K122&gt;Peak!$G122,E$8*$X121,0))</f>
        <v>19</v>
      </c>
      <c r="F121" s="432" t="n">
        <f aca="false">IF('Peak Revenue'!$A$1="BL","-",IF(Peak!L122&gt;Peak!$G122,F$8*$X121,0))</f>
        <v>19</v>
      </c>
      <c r="G121" s="432" t="n">
        <f aca="false">IF('Peak Revenue'!$A$1="BL","-",IF(Peak!M122&gt;Peak!$G122,G$8*$X121,0))</f>
        <v>38</v>
      </c>
      <c r="H121" s="432" t="n">
        <f aca="false">IF('Peak Revenue'!$A$1="BL","-",IF(Peak!N122&gt;Peak!$G122,H$8*$X121,0))</f>
        <v>38</v>
      </c>
      <c r="I121" s="432" t="n">
        <f aca="false">IF('Peak Revenue'!$A$1="BL","-",IF(Peak!O122&gt;Peak!$G122,I$8*$X121,0))</f>
        <v>38</v>
      </c>
      <c r="J121" s="432" t="n">
        <f aca="false">IF('Peak Revenue'!$A$1="BL","-",IF(Peak!P122&gt;Peak!$G122,J$8*$X121,0))</f>
        <v>38</v>
      </c>
      <c r="K121" s="432" t="n">
        <f aca="false">IF('Peak Revenue'!$A$1="BL","-",IF(Peak!Q122&gt;Peak!$G122,K$8*$X121,0))</f>
        <v>38</v>
      </c>
      <c r="L121" s="432" t="n">
        <f aca="false">IF('Peak Revenue'!$A$1="BL","-",IF(Peak!R122&gt;Peak!$G122,L$8*$X121,0))</f>
        <v>38</v>
      </c>
      <c r="M121" s="432" t="n">
        <f aca="false">IF('Peak Revenue'!$A$1="BL","-",IF(Peak!S122&gt;Peak!$G122,M$8*$X121,0))</f>
        <v>0</v>
      </c>
      <c r="N121" s="432" t="n">
        <f aca="false">IF('Peak Revenue'!$A$1="BL","-",IF(Peak!T122&gt;Peak!$G122,N$8*$X121,0))</f>
        <v>0</v>
      </c>
      <c r="O121" s="432" t="n">
        <f aca="false">IF('Peak Revenue'!$A$1="BL","-",IF(Peak!U122&gt;Peak!$G122,O$8*$X121,0))</f>
        <v>0</v>
      </c>
      <c r="P121" s="432" t="n">
        <f aca="false">IF('Peak Revenue'!$A$1="BL","-",IF(Peak!V122&gt;Peak!$G122,P$8*$X121,0))</f>
        <v>0</v>
      </c>
      <c r="Q121" s="432" t="n">
        <f aca="false">IF('Peak Revenue'!$A$1="BL","-",IF(Peak!W122&gt;Peak!$G122,Q$8*$X121,0))</f>
        <v>0</v>
      </c>
      <c r="R121" s="432" t="n">
        <f aca="false">IF('Peak Revenue'!$A$1="BL","-",IF(Peak!X122&gt;Peak!$G122,R$8*$X121,0))</f>
        <v>0</v>
      </c>
      <c r="S121" s="432" t="n">
        <f aca="false">IF('Peak Revenue'!$A$1="BL","-",IF(Peak!Y122&gt;Peak!$G122,S$8*$X121,0))</f>
        <v>0</v>
      </c>
      <c r="T121" s="432" t="n">
        <f aca="false">IF('Peak Revenue'!$A$1="BL","-",IF(Peak!Z122&gt;Peak!$G122,T$8*$X121,0))</f>
        <v>0</v>
      </c>
      <c r="U121" s="432" t="n">
        <f aca="false">IF('Peak Revenue'!$A$1="BL","-",IF(Peak!AA122&gt;Peak!$G122,U$8*$X121,0))</f>
        <v>0</v>
      </c>
      <c r="V121" s="441" t="n">
        <f aca="false">SUM(B121:U121)</f>
        <v>285</v>
      </c>
      <c r="W121" s="442"/>
      <c r="X121" s="439" t="n">
        <f aca="false">CHOOSE(QUOTIENT(MONTH($A121),3)+1,Peak!$AM$11,Peak!$AN$11,Peak!$AL$11,Peak!$AO$11,Peak!$AM$11)</f>
        <v>0.95</v>
      </c>
      <c r="Y121" s="440" t="n">
        <f aca="false">CHOOSE(QUOTIENT(MONTH($A121),3)+1,Peak!$AM$17,Peak!$AN$17,Peak!$AL$17,Peak!$AO$17,Peak!$AM$17)</f>
        <v>705</v>
      </c>
    </row>
    <row r="122" customFormat="false" ht="12.75" hidden="false" customHeight="false" outlineLevel="0" collapsed="false">
      <c r="A122" s="400" t="n">
        <f aca="false">A121+30.417</f>
        <v>39946.704</v>
      </c>
      <c r="B122" s="432" t="n">
        <f aca="false">IF('Peak Revenue'!$A$1="BL","-",IF(Peak!H123&gt;Peak!$G123,B$8*$X122,0))</f>
        <v>4.75</v>
      </c>
      <c r="C122" s="432" t="n">
        <f aca="false">IF('Peak Revenue'!$A$1="BL","-",IF(Peak!I123&gt;Peak!$G123,C$8*$X122,0))</f>
        <v>4.75</v>
      </c>
      <c r="D122" s="432" t="n">
        <f aca="false">IF('Peak Revenue'!$A$1="BL","-",IF(Peak!J123&gt;Peak!$G123,D$8*$X122,0))</f>
        <v>9.5</v>
      </c>
      <c r="E122" s="432" t="n">
        <f aca="false">IF('Peak Revenue'!$A$1="BL","-",IF(Peak!K123&gt;Peak!$G123,E$8*$X122,0))</f>
        <v>19</v>
      </c>
      <c r="F122" s="432" t="n">
        <f aca="false">IF('Peak Revenue'!$A$1="BL","-",IF(Peak!L123&gt;Peak!$G123,F$8*$X122,0))</f>
        <v>19</v>
      </c>
      <c r="G122" s="432" t="n">
        <f aca="false">IF('Peak Revenue'!$A$1="BL","-",IF(Peak!M123&gt;Peak!$G123,G$8*$X122,0))</f>
        <v>38</v>
      </c>
      <c r="H122" s="432" t="n">
        <f aca="false">IF('Peak Revenue'!$A$1="BL","-",IF(Peak!N123&gt;Peak!$G123,H$8*$X122,0))</f>
        <v>38</v>
      </c>
      <c r="I122" s="432" t="n">
        <f aca="false">IF('Peak Revenue'!$A$1="BL","-",IF(Peak!O123&gt;Peak!$G123,I$8*$X122,0))</f>
        <v>38</v>
      </c>
      <c r="J122" s="432" t="n">
        <f aca="false">IF('Peak Revenue'!$A$1="BL","-",IF(Peak!P123&gt;Peak!$G123,J$8*$X122,0))</f>
        <v>38</v>
      </c>
      <c r="K122" s="432" t="n">
        <f aca="false">IF('Peak Revenue'!$A$1="BL","-",IF(Peak!Q123&gt;Peak!$G123,K$8*$X122,0))</f>
        <v>0</v>
      </c>
      <c r="L122" s="432" t="n">
        <f aca="false">IF('Peak Revenue'!$A$1="BL","-",IF(Peak!R123&gt;Peak!$G123,L$8*$X122,0))</f>
        <v>0</v>
      </c>
      <c r="M122" s="432" t="n">
        <f aca="false">IF('Peak Revenue'!$A$1="BL","-",IF(Peak!S123&gt;Peak!$G123,M$8*$X122,0))</f>
        <v>0</v>
      </c>
      <c r="N122" s="432" t="n">
        <f aca="false">IF('Peak Revenue'!$A$1="BL","-",IF(Peak!T123&gt;Peak!$G123,N$8*$X122,0))</f>
        <v>0</v>
      </c>
      <c r="O122" s="432" t="n">
        <f aca="false">IF('Peak Revenue'!$A$1="BL","-",IF(Peak!U123&gt;Peak!$G123,O$8*$X122,0))</f>
        <v>0</v>
      </c>
      <c r="P122" s="432" t="n">
        <f aca="false">IF('Peak Revenue'!$A$1="BL","-",IF(Peak!V123&gt;Peak!$G123,P$8*$X122,0))</f>
        <v>0</v>
      </c>
      <c r="Q122" s="432" t="n">
        <f aca="false">IF('Peak Revenue'!$A$1="BL","-",IF(Peak!W123&gt;Peak!$G123,Q$8*$X122,0))</f>
        <v>0</v>
      </c>
      <c r="R122" s="432" t="n">
        <f aca="false">IF('Peak Revenue'!$A$1="BL","-",IF(Peak!X123&gt;Peak!$G123,R$8*$X122,0))</f>
        <v>0</v>
      </c>
      <c r="S122" s="432" t="n">
        <f aca="false">IF('Peak Revenue'!$A$1="BL","-",IF(Peak!Y123&gt;Peak!$G123,S$8*$X122,0))</f>
        <v>0</v>
      </c>
      <c r="T122" s="432" t="n">
        <f aca="false">IF('Peak Revenue'!$A$1="BL","-",IF(Peak!Z123&gt;Peak!$G123,T$8*$X122,0))</f>
        <v>0</v>
      </c>
      <c r="U122" s="432" t="n">
        <f aca="false">IF('Peak Revenue'!$A$1="BL","-",IF(Peak!AA123&gt;Peak!$G123,U$8*$X122,0))</f>
        <v>0</v>
      </c>
      <c r="V122" s="441" t="n">
        <f aca="false">SUM(B122:U122)</f>
        <v>209</v>
      </c>
      <c r="W122" s="442"/>
      <c r="X122" s="439" t="n">
        <f aca="false">CHOOSE(QUOTIENT(MONTH($A122),3)+1,Peak!$AM$11,Peak!$AN$11,Peak!$AL$11,Peak!$AO$11,Peak!$AM$11)</f>
        <v>0.95</v>
      </c>
      <c r="Y122" s="440" t="n">
        <f aca="false">CHOOSE(QUOTIENT(MONTH($A122),3)+1,Peak!$AM$17,Peak!$AN$17,Peak!$AL$17,Peak!$AO$17,Peak!$AM$17)</f>
        <v>705</v>
      </c>
    </row>
    <row r="123" customFormat="false" ht="12.75" hidden="false" customHeight="false" outlineLevel="0" collapsed="false">
      <c r="A123" s="400" t="n">
        <f aca="false">A122+30.417</f>
        <v>39977.121</v>
      </c>
      <c r="B123" s="432" t="n">
        <f aca="false">IF('Peak Revenue'!$A$1="BL","-",IF(Peak!H124&gt;Peak!$G124,B$8*$X123,0))</f>
        <v>4.83060679547793</v>
      </c>
      <c r="C123" s="432" t="n">
        <f aca="false">IF('Peak Revenue'!$A$1="BL","-",IF(Peak!I124&gt;Peak!$G124,C$8*$X123,0))</f>
        <v>4.83060679547793</v>
      </c>
      <c r="D123" s="432" t="n">
        <f aca="false">IF('Peak Revenue'!$A$1="BL","-",IF(Peak!J124&gt;Peak!$G124,D$8*$X123,0))</f>
        <v>9.66121359095586</v>
      </c>
      <c r="E123" s="432" t="n">
        <f aca="false">IF('Peak Revenue'!$A$1="BL","-",IF(Peak!K124&gt;Peak!$G124,E$8*$X123,0))</f>
        <v>19.3224271819117</v>
      </c>
      <c r="F123" s="432" t="n">
        <f aca="false">IF('Peak Revenue'!$A$1="BL","-",IF(Peak!L124&gt;Peak!$G124,F$8*$X123,0))</f>
        <v>19.3224271819117</v>
      </c>
      <c r="G123" s="432" t="n">
        <f aca="false">IF('Peak Revenue'!$A$1="BL","-",IF(Peak!M124&gt;Peak!$G124,G$8*$X123,0))</f>
        <v>38.6448543638234</v>
      </c>
      <c r="H123" s="432" t="n">
        <f aca="false">IF('Peak Revenue'!$A$1="BL","-",IF(Peak!N124&gt;Peak!$G124,H$8*$X123,0))</f>
        <v>38.6448543638234</v>
      </c>
      <c r="I123" s="432" t="n">
        <f aca="false">IF('Peak Revenue'!$A$1="BL","-",IF(Peak!O124&gt;Peak!$G124,I$8*$X123,0))</f>
        <v>38.6448543638234</v>
      </c>
      <c r="J123" s="432" t="n">
        <f aca="false">IF('Peak Revenue'!$A$1="BL","-",IF(Peak!P124&gt;Peak!$G124,J$8*$X123,0))</f>
        <v>38.6448543638234</v>
      </c>
      <c r="K123" s="432" t="n">
        <f aca="false">IF('Peak Revenue'!$A$1="BL","-",IF(Peak!Q124&gt;Peak!$G124,K$8*$X123,0))</f>
        <v>38.6448543638234</v>
      </c>
      <c r="L123" s="432" t="n">
        <f aca="false">IF('Peak Revenue'!$A$1="BL","-",IF(Peak!R124&gt;Peak!$G124,L$8*$X123,0))</f>
        <v>0</v>
      </c>
      <c r="M123" s="432" t="n">
        <f aca="false">IF('Peak Revenue'!$A$1="BL","-",IF(Peak!S124&gt;Peak!$G124,M$8*$X123,0))</f>
        <v>0</v>
      </c>
      <c r="N123" s="432" t="n">
        <f aca="false">IF('Peak Revenue'!$A$1="BL","-",IF(Peak!T124&gt;Peak!$G124,N$8*$X123,0))</f>
        <v>0</v>
      </c>
      <c r="O123" s="432" t="n">
        <f aca="false">IF('Peak Revenue'!$A$1="BL","-",IF(Peak!U124&gt;Peak!$G124,O$8*$X123,0))</f>
        <v>0</v>
      </c>
      <c r="P123" s="432" t="n">
        <f aca="false">IF('Peak Revenue'!$A$1="BL","-",IF(Peak!V124&gt;Peak!$G124,P$8*$X123,0))</f>
        <v>0</v>
      </c>
      <c r="Q123" s="432" t="n">
        <f aca="false">IF('Peak Revenue'!$A$1="BL","-",IF(Peak!W124&gt;Peak!$G124,Q$8*$X123,0))</f>
        <v>0</v>
      </c>
      <c r="R123" s="432" t="n">
        <f aca="false">IF('Peak Revenue'!$A$1="BL","-",IF(Peak!X124&gt;Peak!$G124,R$8*$X123,0))</f>
        <v>0</v>
      </c>
      <c r="S123" s="432" t="n">
        <f aca="false">IF('Peak Revenue'!$A$1="BL","-",IF(Peak!Y124&gt;Peak!$G124,S$8*$X123,0))</f>
        <v>0</v>
      </c>
      <c r="T123" s="432" t="n">
        <f aca="false">IF('Peak Revenue'!$A$1="BL","-",IF(Peak!Z124&gt;Peak!$G124,T$8*$X123,0))</f>
        <v>0</v>
      </c>
      <c r="U123" s="432" t="n">
        <f aca="false">IF('Peak Revenue'!$A$1="BL","-",IF(Peak!AA124&gt;Peak!$G124,U$8*$X123,0))</f>
        <v>0</v>
      </c>
      <c r="V123" s="441" t="n">
        <f aca="false">SUM(B123:U123)</f>
        <v>251.191553364852</v>
      </c>
      <c r="W123" s="442"/>
      <c r="X123" s="439" t="n">
        <f aca="false">CHOOSE(QUOTIENT(MONTH($A123),3)+1,Peak!$AM$11,Peak!$AN$11,Peak!$AL$11,Peak!$AO$11,Peak!$AM$11)</f>
        <v>0.966121359095586</v>
      </c>
      <c r="Y123" s="440" t="n">
        <f aca="false">CHOOSE(QUOTIENT(MONTH($A123),3)+1,Peak!$AM$17,Peak!$AN$17,Peak!$AL$17,Peak!$AO$17,Peak!$AM$17)</f>
        <v>705</v>
      </c>
    </row>
    <row r="124" customFormat="false" ht="12.75" hidden="false" customHeight="false" outlineLevel="0" collapsed="false">
      <c r="A124" s="400" t="n">
        <f aca="false">A123+30.417</f>
        <v>40007.538</v>
      </c>
      <c r="B124" s="432" t="n">
        <f aca="false">IF('Peak Revenue'!$A$1="BL","-",IF(Peak!H125&gt;Peak!$G125,B$8*$X124,0))</f>
        <v>4.83060679547793</v>
      </c>
      <c r="C124" s="432" t="n">
        <f aca="false">IF('Peak Revenue'!$A$1="BL","-",IF(Peak!I125&gt;Peak!$G125,C$8*$X124,0))</f>
        <v>4.83060679547793</v>
      </c>
      <c r="D124" s="432" t="n">
        <f aca="false">IF('Peak Revenue'!$A$1="BL","-",IF(Peak!J125&gt;Peak!$G125,D$8*$X124,0))</f>
        <v>9.66121359095586</v>
      </c>
      <c r="E124" s="432" t="n">
        <f aca="false">IF('Peak Revenue'!$A$1="BL","-",IF(Peak!K125&gt;Peak!$G125,E$8*$X124,0))</f>
        <v>19.3224271819117</v>
      </c>
      <c r="F124" s="432" t="n">
        <f aca="false">IF('Peak Revenue'!$A$1="BL","-",IF(Peak!L125&gt;Peak!$G125,F$8*$X124,0))</f>
        <v>19.3224271819117</v>
      </c>
      <c r="G124" s="432" t="n">
        <f aca="false">IF('Peak Revenue'!$A$1="BL","-",IF(Peak!M125&gt;Peak!$G125,G$8*$X124,0))</f>
        <v>38.6448543638234</v>
      </c>
      <c r="H124" s="432" t="n">
        <f aca="false">IF('Peak Revenue'!$A$1="BL","-",IF(Peak!N125&gt;Peak!$G125,H$8*$X124,0))</f>
        <v>38.6448543638234</v>
      </c>
      <c r="I124" s="432" t="n">
        <f aca="false">IF('Peak Revenue'!$A$1="BL","-",IF(Peak!O125&gt;Peak!$G125,I$8*$X124,0))</f>
        <v>38.6448543638234</v>
      </c>
      <c r="J124" s="432" t="n">
        <f aca="false">IF('Peak Revenue'!$A$1="BL","-",IF(Peak!P125&gt;Peak!$G125,J$8*$X124,0))</f>
        <v>38.6448543638234</v>
      </c>
      <c r="K124" s="432" t="n">
        <f aca="false">IF('Peak Revenue'!$A$1="BL","-",IF(Peak!Q125&gt;Peak!$G125,K$8*$X124,0))</f>
        <v>38.6448543638234</v>
      </c>
      <c r="L124" s="432" t="n">
        <f aca="false">IF('Peak Revenue'!$A$1="BL","-",IF(Peak!R125&gt;Peak!$G125,L$8*$X124,0))</f>
        <v>38.6448543638234</v>
      </c>
      <c r="M124" s="432" t="n">
        <f aca="false">IF('Peak Revenue'!$A$1="BL","-",IF(Peak!S125&gt;Peak!$G125,M$8*$X124,0))</f>
        <v>0</v>
      </c>
      <c r="N124" s="432" t="n">
        <f aca="false">IF('Peak Revenue'!$A$1="BL","-",IF(Peak!T125&gt;Peak!$G125,N$8*$X124,0))</f>
        <v>0</v>
      </c>
      <c r="O124" s="432" t="n">
        <f aca="false">IF('Peak Revenue'!$A$1="BL","-",IF(Peak!U125&gt;Peak!$G125,O$8*$X124,0))</f>
        <v>0</v>
      </c>
      <c r="P124" s="432" t="n">
        <f aca="false">IF('Peak Revenue'!$A$1="BL","-",IF(Peak!V125&gt;Peak!$G125,P$8*$X124,0))</f>
        <v>0</v>
      </c>
      <c r="Q124" s="432" t="n">
        <f aca="false">IF('Peak Revenue'!$A$1="BL","-",IF(Peak!W125&gt;Peak!$G125,Q$8*$X124,0))</f>
        <v>0</v>
      </c>
      <c r="R124" s="432" t="n">
        <f aca="false">IF('Peak Revenue'!$A$1="BL","-",IF(Peak!X125&gt;Peak!$G125,R$8*$X124,0))</f>
        <v>0</v>
      </c>
      <c r="S124" s="432" t="n">
        <f aca="false">IF('Peak Revenue'!$A$1="BL","-",IF(Peak!Y125&gt;Peak!$G125,S$8*$X124,0))</f>
        <v>0</v>
      </c>
      <c r="T124" s="432" t="n">
        <f aca="false">IF('Peak Revenue'!$A$1="BL","-",IF(Peak!Z125&gt;Peak!$G125,T$8*$X124,0))</f>
        <v>0</v>
      </c>
      <c r="U124" s="432" t="n">
        <f aca="false">IF('Peak Revenue'!$A$1="BL","-",IF(Peak!AA125&gt;Peak!$G125,U$8*$X124,0))</f>
        <v>0</v>
      </c>
      <c r="V124" s="441" t="n">
        <f aca="false">SUM(B124:U124)</f>
        <v>289.836407728676</v>
      </c>
      <c r="W124" s="442"/>
      <c r="X124" s="439" t="n">
        <f aca="false">CHOOSE(QUOTIENT(MONTH($A124),3)+1,Peak!$AM$11,Peak!$AN$11,Peak!$AL$11,Peak!$AO$11,Peak!$AM$11)</f>
        <v>0.966121359095586</v>
      </c>
      <c r="Y124" s="440" t="n">
        <f aca="false">CHOOSE(QUOTIENT(MONTH($A124),3)+1,Peak!$AM$17,Peak!$AN$17,Peak!$AL$17,Peak!$AO$17,Peak!$AM$17)</f>
        <v>705</v>
      </c>
    </row>
    <row r="125" customFormat="false" ht="12.75" hidden="false" customHeight="false" outlineLevel="0" collapsed="false">
      <c r="A125" s="400" t="n">
        <f aca="false">A124+30.417</f>
        <v>40037.955</v>
      </c>
      <c r="B125" s="432" t="n">
        <f aca="false">IF('Peak Revenue'!$A$1="BL","-",IF(Peak!H126&gt;Peak!$G126,B$8*$X125,0))</f>
        <v>4.83060679547793</v>
      </c>
      <c r="C125" s="432" t="n">
        <f aca="false">IF('Peak Revenue'!$A$1="BL","-",IF(Peak!I126&gt;Peak!$G126,C$8*$X125,0))</f>
        <v>4.83060679547793</v>
      </c>
      <c r="D125" s="432" t="n">
        <f aca="false">IF('Peak Revenue'!$A$1="BL","-",IF(Peak!J126&gt;Peak!$G126,D$8*$X125,0))</f>
        <v>9.66121359095586</v>
      </c>
      <c r="E125" s="432" t="n">
        <f aca="false">IF('Peak Revenue'!$A$1="BL","-",IF(Peak!K126&gt;Peak!$G126,E$8*$X125,0))</f>
        <v>19.3224271819117</v>
      </c>
      <c r="F125" s="432" t="n">
        <f aca="false">IF('Peak Revenue'!$A$1="BL","-",IF(Peak!L126&gt;Peak!$G126,F$8*$X125,0))</f>
        <v>19.3224271819117</v>
      </c>
      <c r="G125" s="432" t="n">
        <f aca="false">IF('Peak Revenue'!$A$1="BL","-",IF(Peak!M126&gt;Peak!$G126,G$8*$X125,0))</f>
        <v>38.6448543638234</v>
      </c>
      <c r="H125" s="432" t="n">
        <f aca="false">IF('Peak Revenue'!$A$1="BL","-",IF(Peak!N126&gt;Peak!$G126,H$8*$X125,0))</f>
        <v>38.6448543638234</v>
      </c>
      <c r="I125" s="432" t="n">
        <f aca="false">IF('Peak Revenue'!$A$1="BL","-",IF(Peak!O126&gt;Peak!$G126,I$8*$X125,0))</f>
        <v>38.6448543638234</v>
      </c>
      <c r="J125" s="432" t="n">
        <f aca="false">IF('Peak Revenue'!$A$1="BL","-",IF(Peak!P126&gt;Peak!$G126,J$8*$X125,0))</f>
        <v>38.6448543638234</v>
      </c>
      <c r="K125" s="432" t="n">
        <f aca="false">IF('Peak Revenue'!$A$1="BL","-",IF(Peak!Q126&gt;Peak!$G126,K$8*$X125,0))</f>
        <v>38.6448543638234</v>
      </c>
      <c r="L125" s="432" t="n">
        <f aca="false">IF('Peak Revenue'!$A$1="BL","-",IF(Peak!R126&gt;Peak!$G126,L$8*$X125,0))</f>
        <v>38.6448543638234</v>
      </c>
      <c r="M125" s="432" t="n">
        <f aca="false">IF('Peak Revenue'!$A$1="BL","-",IF(Peak!S126&gt;Peak!$G126,M$8*$X125,0))</f>
        <v>38.6448543638234</v>
      </c>
      <c r="N125" s="432" t="n">
        <f aca="false">IF('Peak Revenue'!$A$1="BL","-",IF(Peak!T126&gt;Peak!$G126,N$8*$X125,0))</f>
        <v>38.6448543638234</v>
      </c>
      <c r="O125" s="432" t="n">
        <f aca="false">IF('Peak Revenue'!$A$1="BL","-",IF(Peak!U126&gt;Peak!$G126,O$8*$X125,0))</f>
        <v>38.6448543638234</v>
      </c>
      <c r="P125" s="432" t="n">
        <f aca="false">IF('Peak Revenue'!$A$1="BL","-",IF(Peak!V126&gt;Peak!$G126,P$8*$X125,0))</f>
        <v>38.6448543638234</v>
      </c>
      <c r="Q125" s="432" t="n">
        <f aca="false">IF('Peak Revenue'!$A$1="BL","-",IF(Peak!W126&gt;Peak!$G126,Q$8*$X125,0))</f>
        <v>38.6448543638234</v>
      </c>
      <c r="R125" s="432" t="n">
        <f aca="false">IF('Peak Revenue'!$A$1="BL","-",IF(Peak!X126&gt;Peak!$G126,R$8*$X125,0))</f>
        <v>38.6448543638234</v>
      </c>
      <c r="S125" s="432" t="n">
        <f aca="false">IF('Peak Revenue'!$A$1="BL","-",IF(Peak!Y126&gt;Peak!$G126,S$8*$X125,0))</f>
        <v>0</v>
      </c>
      <c r="T125" s="432" t="n">
        <f aca="false">IF('Peak Revenue'!$A$1="BL","-",IF(Peak!Z126&gt;Peak!$G126,T$8*$X125,0))</f>
        <v>0</v>
      </c>
      <c r="U125" s="432" t="n">
        <f aca="false">IF('Peak Revenue'!$A$1="BL","-",IF(Peak!AA126&gt;Peak!$G126,U$8*$X125,0))</f>
        <v>0</v>
      </c>
      <c r="V125" s="441" t="n">
        <f aca="false">SUM(B125:U125)</f>
        <v>521.705533911616</v>
      </c>
      <c r="W125" s="442"/>
      <c r="X125" s="439" t="n">
        <f aca="false">CHOOSE(QUOTIENT(MONTH($A125),3)+1,Peak!$AM$11,Peak!$AN$11,Peak!$AL$11,Peak!$AO$11,Peak!$AM$11)</f>
        <v>0.966121359095586</v>
      </c>
      <c r="Y125" s="440" t="n">
        <f aca="false">CHOOSE(QUOTIENT(MONTH($A125),3)+1,Peak!$AM$17,Peak!$AN$17,Peak!$AL$17,Peak!$AO$17,Peak!$AM$17)</f>
        <v>705</v>
      </c>
    </row>
    <row r="126" customFormat="false" ht="12.75" hidden="false" customHeight="false" outlineLevel="0" collapsed="false">
      <c r="A126" s="400" t="n">
        <f aca="false">A125+30.417</f>
        <v>40068.372</v>
      </c>
      <c r="B126" s="432" t="n">
        <f aca="false">IF('Peak Revenue'!$A$1="BL","-",IF(Peak!H127&gt;Peak!$G127,B$8*$X126,0))</f>
        <v>4.75</v>
      </c>
      <c r="C126" s="432" t="n">
        <f aca="false">IF('Peak Revenue'!$A$1="BL","-",IF(Peak!I127&gt;Peak!$G127,C$8*$X126,0))</f>
        <v>4.75</v>
      </c>
      <c r="D126" s="432" t="n">
        <f aca="false">IF('Peak Revenue'!$A$1="BL","-",IF(Peak!J127&gt;Peak!$G127,D$8*$X126,0))</f>
        <v>9.5</v>
      </c>
      <c r="E126" s="432" t="n">
        <f aca="false">IF('Peak Revenue'!$A$1="BL","-",IF(Peak!K127&gt;Peak!$G127,E$8*$X126,0))</f>
        <v>19</v>
      </c>
      <c r="F126" s="432" t="n">
        <f aca="false">IF('Peak Revenue'!$A$1="BL","-",IF(Peak!L127&gt;Peak!$G127,F$8*$X126,0))</f>
        <v>19</v>
      </c>
      <c r="G126" s="432" t="n">
        <f aca="false">IF('Peak Revenue'!$A$1="BL","-",IF(Peak!M127&gt;Peak!$G127,G$8*$X126,0))</f>
        <v>38</v>
      </c>
      <c r="H126" s="432" t="n">
        <f aca="false">IF('Peak Revenue'!$A$1="BL","-",IF(Peak!N127&gt;Peak!$G127,H$8*$X126,0))</f>
        <v>38</v>
      </c>
      <c r="I126" s="432" t="n">
        <f aca="false">IF('Peak Revenue'!$A$1="BL","-",IF(Peak!O127&gt;Peak!$G127,I$8*$X126,0))</f>
        <v>38</v>
      </c>
      <c r="J126" s="432" t="n">
        <f aca="false">IF('Peak Revenue'!$A$1="BL","-",IF(Peak!P127&gt;Peak!$G127,J$8*$X126,0))</f>
        <v>38</v>
      </c>
      <c r="K126" s="432" t="n">
        <f aca="false">IF('Peak Revenue'!$A$1="BL","-",IF(Peak!Q127&gt;Peak!$G127,K$8*$X126,0))</f>
        <v>0</v>
      </c>
      <c r="L126" s="432" t="n">
        <f aca="false">IF('Peak Revenue'!$A$1="BL","-",IF(Peak!R127&gt;Peak!$G127,L$8*$X126,0))</f>
        <v>0</v>
      </c>
      <c r="M126" s="432" t="n">
        <f aca="false">IF('Peak Revenue'!$A$1="BL","-",IF(Peak!S127&gt;Peak!$G127,M$8*$X126,0))</f>
        <v>0</v>
      </c>
      <c r="N126" s="432" t="n">
        <f aca="false">IF('Peak Revenue'!$A$1="BL","-",IF(Peak!T127&gt;Peak!$G127,N$8*$X126,0))</f>
        <v>0</v>
      </c>
      <c r="O126" s="432" t="n">
        <f aca="false">IF('Peak Revenue'!$A$1="BL","-",IF(Peak!U127&gt;Peak!$G127,O$8*$X126,0))</f>
        <v>0</v>
      </c>
      <c r="P126" s="432" t="n">
        <f aca="false">IF('Peak Revenue'!$A$1="BL","-",IF(Peak!V127&gt;Peak!$G127,P$8*$X126,0))</f>
        <v>0</v>
      </c>
      <c r="Q126" s="432" t="n">
        <f aca="false">IF('Peak Revenue'!$A$1="BL","-",IF(Peak!W127&gt;Peak!$G127,Q$8*$X126,0))</f>
        <v>0</v>
      </c>
      <c r="R126" s="432" t="n">
        <f aca="false">IF('Peak Revenue'!$A$1="BL","-",IF(Peak!X127&gt;Peak!$G127,R$8*$X126,0))</f>
        <v>0</v>
      </c>
      <c r="S126" s="432" t="n">
        <f aca="false">IF('Peak Revenue'!$A$1="BL","-",IF(Peak!Y127&gt;Peak!$G127,S$8*$X126,0))</f>
        <v>0</v>
      </c>
      <c r="T126" s="432" t="n">
        <f aca="false">IF('Peak Revenue'!$A$1="BL","-",IF(Peak!Z127&gt;Peak!$G127,T$8*$X126,0))</f>
        <v>0</v>
      </c>
      <c r="U126" s="432" t="n">
        <f aca="false">IF('Peak Revenue'!$A$1="BL","-",IF(Peak!AA127&gt;Peak!$G127,U$8*$X126,0))</f>
        <v>0</v>
      </c>
      <c r="V126" s="441" t="n">
        <f aca="false">SUM(B126:U126)</f>
        <v>209</v>
      </c>
      <c r="W126" s="442"/>
      <c r="X126" s="439" t="n">
        <f aca="false">CHOOSE(QUOTIENT(MONTH($A126),3)+1,Peak!$AM$11,Peak!$AN$11,Peak!$AL$11,Peak!$AO$11,Peak!$AM$11)</f>
        <v>0.95</v>
      </c>
      <c r="Y126" s="440" t="n">
        <f aca="false">CHOOSE(QUOTIENT(MONTH($A126),3)+1,Peak!$AM$17,Peak!$AN$17,Peak!$AL$17,Peak!$AO$17,Peak!$AM$17)</f>
        <v>705</v>
      </c>
    </row>
    <row r="127" customFormat="false" ht="12.75" hidden="false" customHeight="false" outlineLevel="0" collapsed="false">
      <c r="A127" s="400" t="n">
        <f aca="false">A126+30.417</f>
        <v>40098.789</v>
      </c>
      <c r="B127" s="432" t="n">
        <f aca="false">IF('Peak Revenue'!$A$1="BL","-",IF(Peak!H128&gt;Peak!$G128,B$8*$X127,0))</f>
        <v>4.75</v>
      </c>
      <c r="C127" s="432" t="n">
        <f aca="false">IF('Peak Revenue'!$A$1="BL","-",IF(Peak!I128&gt;Peak!$G128,C$8*$X127,0))</f>
        <v>4.75</v>
      </c>
      <c r="D127" s="432" t="n">
        <f aca="false">IF('Peak Revenue'!$A$1="BL","-",IF(Peak!J128&gt;Peak!$G128,D$8*$X127,0))</f>
        <v>9.5</v>
      </c>
      <c r="E127" s="432" t="n">
        <f aca="false">IF('Peak Revenue'!$A$1="BL","-",IF(Peak!K128&gt;Peak!$G128,E$8*$X127,0))</f>
        <v>19</v>
      </c>
      <c r="F127" s="432" t="n">
        <f aca="false">IF('Peak Revenue'!$A$1="BL","-",IF(Peak!L128&gt;Peak!$G128,F$8*$X127,0))</f>
        <v>19</v>
      </c>
      <c r="G127" s="432" t="n">
        <f aca="false">IF('Peak Revenue'!$A$1="BL","-",IF(Peak!M128&gt;Peak!$G128,G$8*$X127,0))</f>
        <v>38</v>
      </c>
      <c r="H127" s="432" t="n">
        <f aca="false">IF('Peak Revenue'!$A$1="BL","-",IF(Peak!N128&gt;Peak!$G128,H$8*$X127,0))</f>
        <v>38</v>
      </c>
      <c r="I127" s="432" t="n">
        <f aca="false">IF('Peak Revenue'!$A$1="BL","-",IF(Peak!O128&gt;Peak!$G128,I$8*$X127,0))</f>
        <v>38</v>
      </c>
      <c r="J127" s="432" t="n">
        <f aca="false">IF('Peak Revenue'!$A$1="BL","-",IF(Peak!P128&gt;Peak!$G128,J$8*$X127,0))</f>
        <v>38</v>
      </c>
      <c r="K127" s="432" t="n">
        <f aca="false">IF('Peak Revenue'!$A$1="BL","-",IF(Peak!Q128&gt;Peak!$G128,K$8*$X127,0))</f>
        <v>0</v>
      </c>
      <c r="L127" s="432" t="n">
        <f aca="false">IF('Peak Revenue'!$A$1="BL","-",IF(Peak!R128&gt;Peak!$G128,L$8*$X127,0))</f>
        <v>0</v>
      </c>
      <c r="M127" s="432" t="n">
        <f aca="false">IF('Peak Revenue'!$A$1="BL","-",IF(Peak!S128&gt;Peak!$G128,M$8*$X127,0))</f>
        <v>0</v>
      </c>
      <c r="N127" s="432" t="n">
        <f aca="false">IF('Peak Revenue'!$A$1="BL","-",IF(Peak!T128&gt;Peak!$G128,N$8*$X127,0))</f>
        <v>0</v>
      </c>
      <c r="O127" s="432" t="n">
        <f aca="false">IF('Peak Revenue'!$A$1="BL","-",IF(Peak!U128&gt;Peak!$G128,O$8*$X127,0))</f>
        <v>0</v>
      </c>
      <c r="P127" s="432" t="n">
        <f aca="false">IF('Peak Revenue'!$A$1="BL","-",IF(Peak!V128&gt;Peak!$G128,P$8*$X127,0))</f>
        <v>0</v>
      </c>
      <c r="Q127" s="432" t="n">
        <f aca="false">IF('Peak Revenue'!$A$1="BL","-",IF(Peak!W128&gt;Peak!$G128,Q$8*$X127,0))</f>
        <v>0</v>
      </c>
      <c r="R127" s="432" t="n">
        <f aca="false">IF('Peak Revenue'!$A$1="BL","-",IF(Peak!X128&gt;Peak!$G128,R$8*$X127,0))</f>
        <v>0</v>
      </c>
      <c r="S127" s="432" t="n">
        <f aca="false">IF('Peak Revenue'!$A$1="BL","-",IF(Peak!Y128&gt;Peak!$G128,S$8*$X127,0))</f>
        <v>0</v>
      </c>
      <c r="T127" s="432" t="n">
        <f aca="false">IF('Peak Revenue'!$A$1="BL","-",IF(Peak!Z128&gt;Peak!$G128,T$8*$X127,0))</f>
        <v>0</v>
      </c>
      <c r="U127" s="432" t="n">
        <f aca="false">IF('Peak Revenue'!$A$1="BL","-",IF(Peak!AA128&gt;Peak!$G128,U$8*$X127,0))</f>
        <v>0</v>
      </c>
      <c r="V127" s="441" t="n">
        <f aca="false">SUM(B127:U127)</f>
        <v>209</v>
      </c>
      <c r="W127" s="442"/>
      <c r="X127" s="439" t="n">
        <f aca="false">CHOOSE(QUOTIENT(MONTH($A127),3)+1,Peak!$AM$11,Peak!$AN$11,Peak!$AL$11,Peak!$AO$11,Peak!$AM$11)</f>
        <v>0.95</v>
      </c>
      <c r="Y127" s="440" t="n">
        <f aca="false">CHOOSE(QUOTIENT(MONTH($A127),3)+1,Peak!$AM$17,Peak!$AN$17,Peak!$AL$17,Peak!$AO$17,Peak!$AM$17)</f>
        <v>705</v>
      </c>
    </row>
    <row r="128" customFormat="false" ht="12.75" hidden="false" customHeight="false" outlineLevel="0" collapsed="false">
      <c r="A128" s="400" t="n">
        <f aca="false">A127+30.417</f>
        <v>40129.206</v>
      </c>
      <c r="B128" s="432" t="n">
        <f aca="false">IF('Peak Revenue'!$A$1="BL","-",IF(Peak!H129&gt;Peak!$G129,B$8*$X128,0))</f>
        <v>4.75</v>
      </c>
      <c r="C128" s="432" t="n">
        <f aca="false">IF('Peak Revenue'!$A$1="BL","-",IF(Peak!I129&gt;Peak!$G129,C$8*$X128,0))</f>
        <v>4.75</v>
      </c>
      <c r="D128" s="432" t="n">
        <f aca="false">IF('Peak Revenue'!$A$1="BL","-",IF(Peak!J129&gt;Peak!$G129,D$8*$X128,0))</f>
        <v>9.5</v>
      </c>
      <c r="E128" s="432" t="n">
        <f aca="false">IF('Peak Revenue'!$A$1="BL","-",IF(Peak!K129&gt;Peak!$G129,E$8*$X128,0))</f>
        <v>19</v>
      </c>
      <c r="F128" s="432" t="n">
        <f aca="false">IF('Peak Revenue'!$A$1="BL","-",IF(Peak!L129&gt;Peak!$G129,F$8*$X128,0))</f>
        <v>19</v>
      </c>
      <c r="G128" s="432" t="n">
        <f aca="false">IF('Peak Revenue'!$A$1="BL","-",IF(Peak!M129&gt;Peak!$G129,G$8*$X128,0))</f>
        <v>38</v>
      </c>
      <c r="H128" s="432" t="n">
        <f aca="false">IF('Peak Revenue'!$A$1="BL","-",IF(Peak!N129&gt;Peak!$G129,H$8*$X128,0))</f>
        <v>38</v>
      </c>
      <c r="I128" s="432" t="n">
        <f aca="false">IF('Peak Revenue'!$A$1="BL","-",IF(Peak!O129&gt;Peak!$G129,I$8*$X128,0))</f>
        <v>38</v>
      </c>
      <c r="J128" s="432" t="n">
        <f aca="false">IF('Peak Revenue'!$A$1="BL","-",IF(Peak!P129&gt;Peak!$G129,J$8*$X128,0))</f>
        <v>38</v>
      </c>
      <c r="K128" s="432" t="n">
        <f aca="false">IF('Peak Revenue'!$A$1="BL","-",IF(Peak!Q129&gt;Peak!$G129,K$8*$X128,0))</f>
        <v>38</v>
      </c>
      <c r="L128" s="432" t="n">
        <f aca="false">IF('Peak Revenue'!$A$1="BL","-",IF(Peak!R129&gt;Peak!$G129,L$8*$X128,0))</f>
        <v>0</v>
      </c>
      <c r="M128" s="432" t="n">
        <f aca="false">IF('Peak Revenue'!$A$1="BL","-",IF(Peak!S129&gt;Peak!$G129,M$8*$X128,0))</f>
        <v>0</v>
      </c>
      <c r="N128" s="432" t="n">
        <f aca="false">IF('Peak Revenue'!$A$1="BL","-",IF(Peak!T129&gt;Peak!$G129,N$8*$X128,0))</f>
        <v>0</v>
      </c>
      <c r="O128" s="432" t="n">
        <f aca="false">IF('Peak Revenue'!$A$1="BL","-",IF(Peak!U129&gt;Peak!$G129,O$8*$X128,0))</f>
        <v>0</v>
      </c>
      <c r="P128" s="432" t="n">
        <f aca="false">IF('Peak Revenue'!$A$1="BL","-",IF(Peak!V129&gt;Peak!$G129,P$8*$X128,0))</f>
        <v>0</v>
      </c>
      <c r="Q128" s="432" t="n">
        <f aca="false">IF('Peak Revenue'!$A$1="BL","-",IF(Peak!W129&gt;Peak!$G129,Q$8*$X128,0))</f>
        <v>0</v>
      </c>
      <c r="R128" s="432" t="n">
        <f aca="false">IF('Peak Revenue'!$A$1="BL","-",IF(Peak!X129&gt;Peak!$G129,R$8*$X128,0))</f>
        <v>0</v>
      </c>
      <c r="S128" s="432" t="n">
        <f aca="false">IF('Peak Revenue'!$A$1="BL","-",IF(Peak!Y129&gt;Peak!$G129,S$8*$X128,0))</f>
        <v>0</v>
      </c>
      <c r="T128" s="432" t="n">
        <f aca="false">IF('Peak Revenue'!$A$1="BL","-",IF(Peak!Z129&gt;Peak!$G129,T$8*$X128,0))</f>
        <v>0</v>
      </c>
      <c r="U128" s="432" t="n">
        <f aca="false">IF('Peak Revenue'!$A$1="BL","-",IF(Peak!AA129&gt;Peak!$G129,U$8*$X128,0))</f>
        <v>0</v>
      </c>
      <c r="V128" s="441" t="n">
        <f aca="false">SUM(B128:U128)</f>
        <v>247</v>
      </c>
      <c r="W128" s="442"/>
      <c r="X128" s="439" t="n">
        <f aca="false">CHOOSE(QUOTIENT(MONTH($A128),3)+1,Peak!$AM$11,Peak!$AN$11,Peak!$AL$11,Peak!$AO$11,Peak!$AM$11)</f>
        <v>0.95</v>
      </c>
      <c r="Y128" s="440" t="n">
        <f aca="false">CHOOSE(QUOTIENT(MONTH($A128),3)+1,Peak!$AM$17,Peak!$AN$17,Peak!$AL$17,Peak!$AO$17,Peak!$AM$17)</f>
        <v>705</v>
      </c>
    </row>
    <row r="129" customFormat="false" ht="12.75" hidden="false" customHeight="false" outlineLevel="0" collapsed="false">
      <c r="A129" s="400" t="n">
        <f aca="false">A128+30.417</f>
        <v>40159.623</v>
      </c>
      <c r="B129" s="432" t="n">
        <f aca="false">IF('Peak Revenue'!$A$1="BL","-",IF(Peak!H130&gt;Peak!$G130,B$8*$X129,0))</f>
        <v>4.62138309393059</v>
      </c>
      <c r="C129" s="432" t="n">
        <f aca="false">IF('Peak Revenue'!$A$1="BL","-",IF(Peak!I130&gt;Peak!$G130,C$8*$X129,0))</f>
        <v>4.62138309393059</v>
      </c>
      <c r="D129" s="432" t="n">
        <f aca="false">IF('Peak Revenue'!$A$1="BL","-",IF(Peak!J130&gt;Peak!$G130,D$8*$X129,0))</f>
        <v>9.24276618786118</v>
      </c>
      <c r="E129" s="432" t="n">
        <f aca="false">IF('Peak Revenue'!$A$1="BL","-",IF(Peak!K130&gt;Peak!$G130,E$8*$X129,0))</f>
        <v>18.4855323757224</v>
      </c>
      <c r="F129" s="432" t="n">
        <f aca="false">IF('Peak Revenue'!$A$1="BL","-",IF(Peak!L130&gt;Peak!$G130,F$8*$X129,0))</f>
        <v>18.4855323757224</v>
      </c>
      <c r="G129" s="432" t="n">
        <f aca="false">IF('Peak Revenue'!$A$1="BL","-",IF(Peak!M130&gt;Peak!$G130,G$8*$X129,0))</f>
        <v>36.9710647514447</v>
      </c>
      <c r="H129" s="432" t="n">
        <f aca="false">IF('Peak Revenue'!$A$1="BL","-",IF(Peak!N130&gt;Peak!$G130,H$8*$X129,0))</f>
        <v>36.9710647514447</v>
      </c>
      <c r="I129" s="432" t="n">
        <f aca="false">IF('Peak Revenue'!$A$1="BL","-",IF(Peak!O130&gt;Peak!$G130,I$8*$X129,0))</f>
        <v>36.9710647514447</v>
      </c>
      <c r="J129" s="432" t="n">
        <f aca="false">IF('Peak Revenue'!$A$1="BL","-",IF(Peak!P130&gt;Peak!$G130,J$8*$X129,0))</f>
        <v>36.9710647514447</v>
      </c>
      <c r="K129" s="432" t="n">
        <f aca="false">IF('Peak Revenue'!$A$1="BL","-",IF(Peak!Q130&gt;Peak!$G130,K$8*$X129,0))</f>
        <v>36.9710647514447</v>
      </c>
      <c r="L129" s="432" t="n">
        <f aca="false">IF('Peak Revenue'!$A$1="BL","-",IF(Peak!R130&gt;Peak!$G130,L$8*$X129,0))</f>
        <v>0</v>
      </c>
      <c r="M129" s="432" t="n">
        <f aca="false">IF('Peak Revenue'!$A$1="BL","-",IF(Peak!S130&gt;Peak!$G130,M$8*$X129,0))</f>
        <v>0</v>
      </c>
      <c r="N129" s="432" t="n">
        <f aca="false">IF('Peak Revenue'!$A$1="BL","-",IF(Peak!T130&gt;Peak!$G130,N$8*$X129,0))</f>
        <v>0</v>
      </c>
      <c r="O129" s="432" t="n">
        <f aca="false">IF('Peak Revenue'!$A$1="BL","-",IF(Peak!U130&gt;Peak!$G130,O$8*$X129,0))</f>
        <v>0</v>
      </c>
      <c r="P129" s="432" t="n">
        <f aca="false">IF('Peak Revenue'!$A$1="BL","-",IF(Peak!V130&gt;Peak!$G130,P$8*$X129,0))</f>
        <v>0</v>
      </c>
      <c r="Q129" s="432" t="n">
        <f aca="false">IF('Peak Revenue'!$A$1="BL","-",IF(Peak!W130&gt;Peak!$G130,Q$8*$X129,0))</f>
        <v>0</v>
      </c>
      <c r="R129" s="432" t="n">
        <f aca="false">IF('Peak Revenue'!$A$1="BL","-",IF(Peak!X130&gt;Peak!$G130,R$8*$X129,0))</f>
        <v>0</v>
      </c>
      <c r="S129" s="432" t="n">
        <f aca="false">IF('Peak Revenue'!$A$1="BL","-",IF(Peak!Y130&gt;Peak!$G130,S$8*$X129,0))</f>
        <v>0</v>
      </c>
      <c r="T129" s="432" t="n">
        <f aca="false">IF('Peak Revenue'!$A$1="BL","-",IF(Peak!Z130&gt;Peak!$G130,T$8*$X129,0))</f>
        <v>0</v>
      </c>
      <c r="U129" s="432" t="n">
        <f aca="false">IF('Peak Revenue'!$A$1="BL","-",IF(Peak!AA130&gt;Peak!$G130,U$8*$X129,0))</f>
        <v>0</v>
      </c>
      <c r="V129" s="441" t="n">
        <f aca="false">SUM(B129:U129)</f>
        <v>240.311920884391</v>
      </c>
      <c r="W129" s="443" t="n">
        <f aca="false">SUM(V118:V129)</f>
        <v>3302.64032240976</v>
      </c>
      <c r="X129" s="439" t="n">
        <f aca="false">CHOOSE(QUOTIENT(MONTH($A129),3)+1,Peak!$AM$11,Peak!$AN$11,Peak!$AL$11,Peak!$AO$11,Peak!$AM$11)</f>
        <v>0.924276618786118</v>
      </c>
      <c r="Y129" s="440" t="n">
        <f aca="false">CHOOSE(QUOTIENT(MONTH($A129),3)+1,Peak!$AM$17,Peak!$AN$17,Peak!$AL$17,Peak!$AO$17,Peak!$AM$17)</f>
        <v>705</v>
      </c>
    </row>
    <row r="130" customFormat="false" ht="12.75" hidden="false" customHeight="false" outlineLevel="0" collapsed="false">
      <c r="A130" s="400" t="n">
        <f aca="false">A129+30.417</f>
        <v>40190.04</v>
      </c>
      <c r="B130" s="432" t="n">
        <f aca="false">IF('Peak Revenue'!$A$1="BL","-",IF(Peak!H131&gt;Peak!$G131,B$8*$X130,0))</f>
        <v>4.62138309393059</v>
      </c>
      <c r="C130" s="432" t="n">
        <f aca="false">IF('Peak Revenue'!$A$1="BL","-",IF(Peak!I131&gt;Peak!$G131,C$8*$X130,0))</f>
        <v>4.62138309393059</v>
      </c>
      <c r="D130" s="432" t="n">
        <f aca="false">IF('Peak Revenue'!$A$1="BL","-",IF(Peak!J131&gt;Peak!$G131,D$8*$X130,0))</f>
        <v>9.24276618786118</v>
      </c>
      <c r="E130" s="432" t="n">
        <f aca="false">IF('Peak Revenue'!$A$1="BL","-",IF(Peak!K131&gt;Peak!$G131,E$8*$X130,0))</f>
        <v>18.4855323757224</v>
      </c>
      <c r="F130" s="432" t="n">
        <f aca="false">IF('Peak Revenue'!$A$1="BL","-",IF(Peak!L131&gt;Peak!$G131,F$8*$X130,0))</f>
        <v>18.4855323757224</v>
      </c>
      <c r="G130" s="432" t="n">
        <f aca="false">IF('Peak Revenue'!$A$1="BL","-",IF(Peak!M131&gt;Peak!$G131,G$8*$X130,0))</f>
        <v>36.9710647514447</v>
      </c>
      <c r="H130" s="432" t="n">
        <f aca="false">IF('Peak Revenue'!$A$1="BL","-",IF(Peak!N131&gt;Peak!$G131,H$8*$X130,0))</f>
        <v>36.9710647514447</v>
      </c>
      <c r="I130" s="432" t="n">
        <f aca="false">IF('Peak Revenue'!$A$1="BL","-",IF(Peak!O131&gt;Peak!$G131,I$8*$X130,0))</f>
        <v>36.9710647514447</v>
      </c>
      <c r="J130" s="432" t="n">
        <f aca="false">IF('Peak Revenue'!$A$1="BL","-",IF(Peak!P131&gt;Peak!$G131,J$8*$X130,0))</f>
        <v>0</v>
      </c>
      <c r="K130" s="432" t="n">
        <f aca="false">IF('Peak Revenue'!$A$1="BL","-",IF(Peak!Q131&gt;Peak!$G131,K$8*$X130,0))</f>
        <v>0</v>
      </c>
      <c r="L130" s="432" t="n">
        <f aca="false">IF('Peak Revenue'!$A$1="BL","-",IF(Peak!R131&gt;Peak!$G131,L$8*$X130,0))</f>
        <v>0</v>
      </c>
      <c r="M130" s="432" t="n">
        <f aca="false">IF('Peak Revenue'!$A$1="BL","-",IF(Peak!S131&gt;Peak!$G131,M$8*$X130,0))</f>
        <v>0</v>
      </c>
      <c r="N130" s="432" t="n">
        <f aca="false">IF('Peak Revenue'!$A$1="BL","-",IF(Peak!T131&gt;Peak!$G131,N$8*$X130,0))</f>
        <v>0</v>
      </c>
      <c r="O130" s="432" t="n">
        <f aca="false">IF('Peak Revenue'!$A$1="BL","-",IF(Peak!U131&gt;Peak!$G131,O$8*$X130,0))</f>
        <v>0</v>
      </c>
      <c r="P130" s="432" t="n">
        <f aca="false">IF('Peak Revenue'!$A$1="BL","-",IF(Peak!V131&gt;Peak!$G131,P$8*$X130,0))</f>
        <v>0</v>
      </c>
      <c r="Q130" s="432" t="n">
        <f aca="false">IF('Peak Revenue'!$A$1="BL","-",IF(Peak!W131&gt;Peak!$G131,Q$8*$X130,0))</f>
        <v>0</v>
      </c>
      <c r="R130" s="432" t="n">
        <f aca="false">IF('Peak Revenue'!$A$1="BL","-",IF(Peak!X131&gt;Peak!$G131,R$8*$X130,0))</f>
        <v>0</v>
      </c>
      <c r="S130" s="432" t="n">
        <f aca="false">IF('Peak Revenue'!$A$1="BL","-",IF(Peak!Y131&gt;Peak!$G131,S$8*$X130,0))</f>
        <v>0</v>
      </c>
      <c r="T130" s="432" t="n">
        <f aca="false">IF('Peak Revenue'!$A$1="BL","-",IF(Peak!Z131&gt;Peak!$G131,T$8*$X130,0))</f>
        <v>0</v>
      </c>
      <c r="U130" s="432" t="n">
        <f aca="false">IF('Peak Revenue'!$A$1="BL","-",IF(Peak!AA131&gt;Peak!$G131,U$8*$X130,0))</f>
        <v>0</v>
      </c>
      <c r="V130" s="441" t="n">
        <f aca="false">SUM(B130:U130)</f>
        <v>166.369791381501</v>
      </c>
      <c r="W130" s="442"/>
      <c r="X130" s="439" t="n">
        <f aca="false">CHOOSE(QUOTIENT(MONTH($A130),3)+1,Peak!$AM$11,Peak!$AN$11,Peak!$AL$11,Peak!$AO$11,Peak!$AM$11)</f>
        <v>0.924276618786118</v>
      </c>
      <c r="Y130" s="440" t="n">
        <f aca="false">CHOOSE(QUOTIENT(MONTH($A130),3)+1,Peak!$AM$17,Peak!$AN$17,Peak!$AL$17,Peak!$AO$17,Peak!$AM$17)</f>
        <v>705</v>
      </c>
    </row>
    <row r="131" customFormat="false" ht="12.75" hidden="false" customHeight="false" outlineLevel="0" collapsed="false">
      <c r="A131" s="400" t="n">
        <f aca="false">A130+30.417</f>
        <v>40220.457</v>
      </c>
      <c r="B131" s="432" t="n">
        <f aca="false">IF('Peak Revenue'!$A$1="BL","-",IF(Peak!H132&gt;Peak!$G132,B$8*$X131,0))</f>
        <v>4.62138309393059</v>
      </c>
      <c r="C131" s="432" t="n">
        <f aca="false">IF('Peak Revenue'!$A$1="BL","-",IF(Peak!I132&gt;Peak!$G132,C$8*$X131,0))</f>
        <v>4.62138309393059</v>
      </c>
      <c r="D131" s="432" t="n">
        <f aca="false">IF('Peak Revenue'!$A$1="BL","-",IF(Peak!J132&gt;Peak!$G132,D$8*$X131,0))</f>
        <v>9.24276618786118</v>
      </c>
      <c r="E131" s="432" t="n">
        <f aca="false">IF('Peak Revenue'!$A$1="BL","-",IF(Peak!K132&gt;Peak!$G132,E$8*$X131,0))</f>
        <v>18.4855323757224</v>
      </c>
      <c r="F131" s="432" t="n">
        <f aca="false">IF('Peak Revenue'!$A$1="BL","-",IF(Peak!L132&gt;Peak!$G132,F$8*$X131,0))</f>
        <v>18.4855323757224</v>
      </c>
      <c r="G131" s="432" t="n">
        <f aca="false">IF('Peak Revenue'!$A$1="BL","-",IF(Peak!M132&gt;Peak!$G132,G$8*$X131,0))</f>
        <v>36.9710647514447</v>
      </c>
      <c r="H131" s="432" t="n">
        <f aca="false">IF('Peak Revenue'!$A$1="BL","-",IF(Peak!N132&gt;Peak!$G132,H$8*$X131,0))</f>
        <v>36.9710647514447</v>
      </c>
      <c r="I131" s="432" t="n">
        <f aca="false">IF('Peak Revenue'!$A$1="BL","-",IF(Peak!O132&gt;Peak!$G132,I$8*$X131,0))</f>
        <v>36.9710647514447</v>
      </c>
      <c r="J131" s="432" t="n">
        <f aca="false">IF('Peak Revenue'!$A$1="BL","-",IF(Peak!P132&gt;Peak!$G132,J$8*$X131,0))</f>
        <v>36.9710647514447</v>
      </c>
      <c r="K131" s="432" t="n">
        <f aca="false">IF('Peak Revenue'!$A$1="BL","-",IF(Peak!Q132&gt;Peak!$G132,K$8*$X131,0))</f>
        <v>36.9710647514447</v>
      </c>
      <c r="L131" s="432" t="n">
        <f aca="false">IF('Peak Revenue'!$A$1="BL","-",IF(Peak!R132&gt;Peak!$G132,L$8*$X131,0))</f>
        <v>0</v>
      </c>
      <c r="M131" s="432" t="n">
        <f aca="false">IF('Peak Revenue'!$A$1="BL","-",IF(Peak!S132&gt;Peak!$G132,M$8*$X131,0))</f>
        <v>0</v>
      </c>
      <c r="N131" s="432" t="n">
        <f aca="false">IF('Peak Revenue'!$A$1="BL","-",IF(Peak!T132&gt;Peak!$G132,N$8*$X131,0))</f>
        <v>0</v>
      </c>
      <c r="O131" s="432" t="n">
        <f aca="false">IF('Peak Revenue'!$A$1="BL","-",IF(Peak!U132&gt;Peak!$G132,O$8*$X131,0))</f>
        <v>0</v>
      </c>
      <c r="P131" s="432" t="n">
        <f aca="false">IF('Peak Revenue'!$A$1="BL","-",IF(Peak!V132&gt;Peak!$G132,P$8*$X131,0))</f>
        <v>0</v>
      </c>
      <c r="Q131" s="432" t="n">
        <f aca="false">IF('Peak Revenue'!$A$1="BL","-",IF(Peak!W132&gt;Peak!$G132,Q$8*$X131,0))</f>
        <v>0</v>
      </c>
      <c r="R131" s="432" t="n">
        <f aca="false">IF('Peak Revenue'!$A$1="BL","-",IF(Peak!X132&gt;Peak!$G132,R$8*$X131,0))</f>
        <v>0</v>
      </c>
      <c r="S131" s="432" t="n">
        <f aca="false">IF('Peak Revenue'!$A$1="BL","-",IF(Peak!Y132&gt;Peak!$G132,S$8*$X131,0))</f>
        <v>0</v>
      </c>
      <c r="T131" s="432" t="n">
        <f aca="false">IF('Peak Revenue'!$A$1="BL","-",IF(Peak!Z132&gt;Peak!$G132,T$8*$X131,0))</f>
        <v>0</v>
      </c>
      <c r="U131" s="432" t="n">
        <f aca="false">IF('Peak Revenue'!$A$1="BL","-",IF(Peak!AA132&gt;Peak!$G132,U$8*$X131,0))</f>
        <v>0</v>
      </c>
      <c r="V131" s="441" t="n">
        <f aca="false">SUM(B131:U131)</f>
        <v>240.311920884391</v>
      </c>
      <c r="W131" s="442"/>
      <c r="X131" s="439" t="n">
        <f aca="false">CHOOSE(QUOTIENT(MONTH($A131),3)+1,Peak!$AM$11,Peak!$AN$11,Peak!$AL$11,Peak!$AO$11,Peak!$AM$11)</f>
        <v>0.924276618786118</v>
      </c>
      <c r="Y131" s="440" t="n">
        <f aca="false">CHOOSE(QUOTIENT(MONTH($A131),3)+1,Peak!$AM$17,Peak!$AN$17,Peak!$AL$17,Peak!$AO$17,Peak!$AM$17)</f>
        <v>705</v>
      </c>
    </row>
    <row r="132" customFormat="false" ht="12.75" hidden="false" customHeight="false" outlineLevel="0" collapsed="false">
      <c r="A132" s="400" t="n">
        <f aca="false">A131+30.417</f>
        <v>40250.874</v>
      </c>
      <c r="B132" s="432" t="n">
        <f aca="false">IF('Peak Revenue'!$A$1="BL","-",IF(Peak!H133&gt;Peak!$G133,B$8*$X132,0))</f>
        <v>4.75</v>
      </c>
      <c r="C132" s="432" t="n">
        <f aca="false">IF('Peak Revenue'!$A$1="BL","-",IF(Peak!I133&gt;Peak!$G133,C$8*$X132,0))</f>
        <v>4.75</v>
      </c>
      <c r="D132" s="432" t="n">
        <f aca="false">IF('Peak Revenue'!$A$1="BL","-",IF(Peak!J133&gt;Peak!$G133,D$8*$X132,0))</f>
        <v>9.5</v>
      </c>
      <c r="E132" s="432" t="n">
        <f aca="false">IF('Peak Revenue'!$A$1="BL","-",IF(Peak!K133&gt;Peak!$G133,E$8*$X132,0))</f>
        <v>19</v>
      </c>
      <c r="F132" s="432" t="n">
        <f aca="false">IF('Peak Revenue'!$A$1="BL","-",IF(Peak!L133&gt;Peak!$G133,F$8*$X132,0))</f>
        <v>19</v>
      </c>
      <c r="G132" s="432" t="n">
        <f aca="false">IF('Peak Revenue'!$A$1="BL","-",IF(Peak!M133&gt;Peak!$G133,G$8*$X132,0))</f>
        <v>38</v>
      </c>
      <c r="H132" s="432" t="n">
        <f aca="false">IF('Peak Revenue'!$A$1="BL","-",IF(Peak!N133&gt;Peak!$G133,H$8*$X132,0))</f>
        <v>38</v>
      </c>
      <c r="I132" s="432" t="n">
        <f aca="false">IF('Peak Revenue'!$A$1="BL","-",IF(Peak!O133&gt;Peak!$G133,I$8*$X132,0))</f>
        <v>38</v>
      </c>
      <c r="J132" s="432" t="n">
        <f aca="false">IF('Peak Revenue'!$A$1="BL","-",IF(Peak!P133&gt;Peak!$G133,J$8*$X132,0))</f>
        <v>38</v>
      </c>
      <c r="K132" s="432" t="n">
        <f aca="false">IF('Peak Revenue'!$A$1="BL","-",IF(Peak!Q133&gt;Peak!$G133,K$8*$X132,0))</f>
        <v>0</v>
      </c>
      <c r="L132" s="432" t="n">
        <f aca="false">IF('Peak Revenue'!$A$1="BL","-",IF(Peak!R133&gt;Peak!$G133,L$8*$X132,0))</f>
        <v>0</v>
      </c>
      <c r="M132" s="432" t="n">
        <f aca="false">IF('Peak Revenue'!$A$1="BL","-",IF(Peak!S133&gt;Peak!$G133,M$8*$X132,0))</f>
        <v>0</v>
      </c>
      <c r="N132" s="432" t="n">
        <f aca="false">IF('Peak Revenue'!$A$1="BL","-",IF(Peak!T133&gt;Peak!$G133,N$8*$X132,0))</f>
        <v>0</v>
      </c>
      <c r="O132" s="432" t="n">
        <f aca="false">IF('Peak Revenue'!$A$1="BL","-",IF(Peak!U133&gt;Peak!$G133,O$8*$X132,0))</f>
        <v>0</v>
      </c>
      <c r="P132" s="432" t="n">
        <f aca="false">IF('Peak Revenue'!$A$1="BL","-",IF(Peak!V133&gt;Peak!$G133,P$8*$X132,0))</f>
        <v>0</v>
      </c>
      <c r="Q132" s="432" t="n">
        <f aca="false">IF('Peak Revenue'!$A$1="BL","-",IF(Peak!W133&gt;Peak!$G133,Q$8*$X132,0))</f>
        <v>0</v>
      </c>
      <c r="R132" s="432" t="n">
        <f aca="false">IF('Peak Revenue'!$A$1="BL","-",IF(Peak!X133&gt;Peak!$G133,R$8*$X132,0))</f>
        <v>0</v>
      </c>
      <c r="S132" s="432" t="n">
        <f aca="false">IF('Peak Revenue'!$A$1="BL","-",IF(Peak!Y133&gt;Peak!$G133,S$8*$X132,0))</f>
        <v>0</v>
      </c>
      <c r="T132" s="432" t="n">
        <f aca="false">IF('Peak Revenue'!$A$1="BL","-",IF(Peak!Z133&gt;Peak!$G133,T$8*$X132,0))</f>
        <v>0</v>
      </c>
      <c r="U132" s="432" t="n">
        <f aca="false">IF('Peak Revenue'!$A$1="BL","-",IF(Peak!AA133&gt;Peak!$G133,U$8*$X132,0))</f>
        <v>0</v>
      </c>
      <c r="V132" s="441" t="n">
        <f aca="false">SUM(B132:U132)</f>
        <v>209</v>
      </c>
      <c r="W132" s="442"/>
      <c r="X132" s="439" t="n">
        <f aca="false">CHOOSE(QUOTIENT(MONTH($A132),3)+1,Peak!$AM$11,Peak!$AN$11,Peak!$AL$11,Peak!$AO$11,Peak!$AM$11)</f>
        <v>0.95</v>
      </c>
      <c r="Y132" s="440" t="n">
        <f aca="false">CHOOSE(QUOTIENT(MONTH($A132),3)+1,Peak!$AM$17,Peak!$AN$17,Peak!$AL$17,Peak!$AO$17,Peak!$AM$17)</f>
        <v>705</v>
      </c>
    </row>
    <row r="133" customFormat="false" ht="12.75" hidden="false" customHeight="false" outlineLevel="0" collapsed="false">
      <c r="A133" s="400" t="n">
        <f aca="false">A132+30.417</f>
        <v>40281.291</v>
      </c>
      <c r="B133" s="432" t="n">
        <f aca="false">IF('Peak Revenue'!$A$1="BL","-",IF(Peak!H134&gt;Peak!$G134,B$8*$X133,0))</f>
        <v>4.75</v>
      </c>
      <c r="C133" s="432" t="n">
        <f aca="false">IF('Peak Revenue'!$A$1="BL","-",IF(Peak!I134&gt;Peak!$G134,C$8*$X133,0))</f>
        <v>4.75</v>
      </c>
      <c r="D133" s="432" t="n">
        <f aca="false">IF('Peak Revenue'!$A$1="BL","-",IF(Peak!J134&gt;Peak!$G134,D$8*$X133,0))</f>
        <v>9.5</v>
      </c>
      <c r="E133" s="432" t="n">
        <f aca="false">IF('Peak Revenue'!$A$1="BL","-",IF(Peak!K134&gt;Peak!$G134,E$8*$X133,0))</f>
        <v>19</v>
      </c>
      <c r="F133" s="432" t="n">
        <f aca="false">IF('Peak Revenue'!$A$1="BL","-",IF(Peak!L134&gt;Peak!$G134,F$8*$X133,0))</f>
        <v>19</v>
      </c>
      <c r="G133" s="432" t="n">
        <f aca="false">IF('Peak Revenue'!$A$1="BL","-",IF(Peak!M134&gt;Peak!$G134,G$8*$X133,0))</f>
        <v>38</v>
      </c>
      <c r="H133" s="432" t="n">
        <f aca="false">IF('Peak Revenue'!$A$1="BL","-",IF(Peak!N134&gt;Peak!$G134,H$8*$X133,0))</f>
        <v>38</v>
      </c>
      <c r="I133" s="432" t="n">
        <f aca="false">IF('Peak Revenue'!$A$1="BL","-",IF(Peak!O134&gt;Peak!$G134,I$8*$X133,0))</f>
        <v>0</v>
      </c>
      <c r="J133" s="432" t="n">
        <f aca="false">IF('Peak Revenue'!$A$1="BL","-",IF(Peak!P134&gt;Peak!$G134,J$8*$X133,0))</f>
        <v>0</v>
      </c>
      <c r="K133" s="432" t="n">
        <f aca="false">IF('Peak Revenue'!$A$1="BL","-",IF(Peak!Q134&gt;Peak!$G134,K$8*$X133,0))</f>
        <v>0</v>
      </c>
      <c r="L133" s="432" t="n">
        <f aca="false">IF('Peak Revenue'!$A$1="BL","-",IF(Peak!R134&gt;Peak!$G134,L$8*$X133,0))</f>
        <v>0</v>
      </c>
      <c r="M133" s="432" t="n">
        <f aca="false">IF('Peak Revenue'!$A$1="BL","-",IF(Peak!S134&gt;Peak!$G134,M$8*$X133,0))</f>
        <v>0</v>
      </c>
      <c r="N133" s="432" t="n">
        <f aca="false">IF('Peak Revenue'!$A$1="BL","-",IF(Peak!T134&gt;Peak!$G134,N$8*$X133,0))</f>
        <v>0</v>
      </c>
      <c r="O133" s="432" t="n">
        <f aca="false">IF('Peak Revenue'!$A$1="BL","-",IF(Peak!U134&gt;Peak!$G134,O$8*$X133,0))</f>
        <v>0</v>
      </c>
      <c r="P133" s="432" t="n">
        <f aca="false">IF('Peak Revenue'!$A$1="BL","-",IF(Peak!V134&gt;Peak!$G134,P$8*$X133,0))</f>
        <v>0</v>
      </c>
      <c r="Q133" s="432" t="n">
        <f aca="false">IF('Peak Revenue'!$A$1="BL","-",IF(Peak!W134&gt;Peak!$G134,Q$8*$X133,0))</f>
        <v>0</v>
      </c>
      <c r="R133" s="432" t="n">
        <f aca="false">IF('Peak Revenue'!$A$1="BL","-",IF(Peak!X134&gt;Peak!$G134,R$8*$X133,0))</f>
        <v>0</v>
      </c>
      <c r="S133" s="432" t="n">
        <f aca="false">IF('Peak Revenue'!$A$1="BL","-",IF(Peak!Y134&gt;Peak!$G134,S$8*$X133,0))</f>
        <v>0</v>
      </c>
      <c r="T133" s="432" t="n">
        <f aca="false">IF('Peak Revenue'!$A$1="BL","-",IF(Peak!Z134&gt;Peak!$G134,T$8*$X133,0))</f>
        <v>0</v>
      </c>
      <c r="U133" s="432" t="n">
        <f aca="false">IF('Peak Revenue'!$A$1="BL","-",IF(Peak!AA134&gt;Peak!$G134,U$8*$X133,0))</f>
        <v>0</v>
      </c>
      <c r="V133" s="441" t="n">
        <f aca="false">SUM(B133:U133)</f>
        <v>133</v>
      </c>
      <c r="W133" s="442"/>
      <c r="X133" s="439" t="n">
        <f aca="false">CHOOSE(QUOTIENT(MONTH($A133),3)+1,Peak!$AM$11,Peak!$AN$11,Peak!$AL$11,Peak!$AO$11,Peak!$AM$11)</f>
        <v>0.95</v>
      </c>
      <c r="Y133" s="440" t="n">
        <f aca="false">CHOOSE(QUOTIENT(MONTH($A133),3)+1,Peak!$AM$17,Peak!$AN$17,Peak!$AL$17,Peak!$AO$17,Peak!$AM$17)</f>
        <v>705</v>
      </c>
    </row>
    <row r="134" customFormat="false" ht="12.75" hidden="false" customHeight="false" outlineLevel="0" collapsed="false">
      <c r="A134" s="400" t="n">
        <f aca="false">A133+30.417</f>
        <v>40311.708</v>
      </c>
      <c r="B134" s="432" t="n">
        <f aca="false">IF('Peak Revenue'!$A$1="BL","-",IF(Peak!H135&gt;Peak!$G135,B$8*$X134,0))</f>
        <v>4.75</v>
      </c>
      <c r="C134" s="432" t="n">
        <f aca="false">IF('Peak Revenue'!$A$1="BL","-",IF(Peak!I135&gt;Peak!$G135,C$8*$X134,0))</f>
        <v>4.75</v>
      </c>
      <c r="D134" s="432" t="n">
        <f aca="false">IF('Peak Revenue'!$A$1="BL","-",IF(Peak!J135&gt;Peak!$G135,D$8*$X134,0))</f>
        <v>9.5</v>
      </c>
      <c r="E134" s="432" t="n">
        <f aca="false">IF('Peak Revenue'!$A$1="BL","-",IF(Peak!K135&gt;Peak!$G135,E$8*$X134,0))</f>
        <v>19</v>
      </c>
      <c r="F134" s="432" t="n">
        <f aca="false">IF('Peak Revenue'!$A$1="BL","-",IF(Peak!L135&gt;Peak!$G135,F$8*$X134,0))</f>
        <v>19</v>
      </c>
      <c r="G134" s="432" t="n">
        <f aca="false">IF('Peak Revenue'!$A$1="BL","-",IF(Peak!M135&gt;Peak!$G135,G$8*$X134,0))</f>
        <v>38</v>
      </c>
      <c r="H134" s="432" t="n">
        <f aca="false">IF('Peak Revenue'!$A$1="BL","-",IF(Peak!N135&gt;Peak!$G135,H$8*$X134,0))</f>
        <v>38</v>
      </c>
      <c r="I134" s="432" t="n">
        <f aca="false">IF('Peak Revenue'!$A$1="BL","-",IF(Peak!O135&gt;Peak!$G135,I$8*$X134,0))</f>
        <v>0</v>
      </c>
      <c r="J134" s="432" t="n">
        <f aca="false">IF('Peak Revenue'!$A$1="BL","-",IF(Peak!P135&gt;Peak!$G135,J$8*$X134,0))</f>
        <v>0</v>
      </c>
      <c r="K134" s="432" t="n">
        <f aca="false">IF('Peak Revenue'!$A$1="BL","-",IF(Peak!Q135&gt;Peak!$G135,K$8*$X134,0))</f>
        <v>0</v>
      </c>
      <c r="L134" s="432" t="n">
        <f aca="false">IF('Peak Revenue'!$A$1="BL","-",IF(Peak!R135&gt;Peak!$G135,L$8*$X134,0))</f>
        <v>0</v>
      </c>
      <c r="M134" s="432" t="n">
        <f aca="false">IF('Peak Revenue'!$A$1="BL","-",IF(Peak!S135&gt;Peak!$G135,M$8*$X134,0))</f>
        <v>0</v>
      </c>
      <c r="N134" s="432" t="n">
        <f aca="false">IF('Peak Revenue'!$A$1="BL","-",IF(Peak!T135&gt;Peak!$G135,N$8*$X134,0))</f>
        <v>0</v>
      </c>
      <c r="O134" s="432" t="n">
        <f aca="false">IF('Peak Revenue'!$A$1="BL","-",IF(Peak!U135&gt;Peak!$G135,O$8*$X134,0))</f>
        <v>0</v>
      </c>
      <c r="P134" s="432" t="n">
        <f aca="false">IF('Peak Revenue'!$A$1="BL","-",IF(Peak!V135&gt;Peak!$G135,P$8*$X134,0))</f>
        <v>0</v>
      </c>
      <c r="Q134" s="432" t="n">
        <f aca="false">IF('Peak Revenue'!$A$1="BL","-",IF(Peak!W135&gt;Peak!$G135,Q$8*$X134,0))</f>
        <v>0</v>
      </c>
      <c r="R134" s="432" t="n">
        <f aca="false">IF('Peak Revenue'!$A$1="BL","-",IF(Peak!X135&gt;Peak!$G135,R$8*$X134,0))</f>
        <v>0</v>
      </c>
      <c r="S134" s="432" t="n">
        <f aca="false">IF('Peak Revenue'!$A$1="BL","-",IF(Peak!Y135&gt;Peak!$G135,S$8*$X134,0))</f>
        <v>0</v>
      </c>
      <c r="T134" s="432" t="n">
        <f aca="false">IF('Peak Revenue'!$A$1="BL","-",IF(Peak!Z135&gt;Peak!$G135,T$8*$X134,0))</f>
        <v>0</v>
      </c>
      <c r="U134" s="432" t="n">
        <f aca="false">IF('Peak Revenue'!$A$1="BL","-",IF(Peak!AA135&gt;Peak!$G135,U$8*$X134,0))</f>
        <v>0</v>
      </c>
      <c r="V134" s="441" t="n">
        <f aca="false">SUM(B134:U134)</f>
        <v>133</v>
      </c>
      <c r="W134" s="442"/>
      <c r="X134" s="439" t="n">
        <f aca="false">CHOOSE(QUOTIENT(MONTH($A134),3)+1,Peak!$AM$11,Peak!$AN$11,Peak!$AL$11,Peak!$AO$11,Peak!$AM$11)</f>
        <v>0.95</v>
      </c>
      <c r="Y134" s="440" t="n">
        <f aca="false">CHOOSE(QUOTIENT(MONTH($A134),3)+1,Peak!$AM$17,Peak!$AN$17,Peak!$AL$17,Peak!$AO$17,Peak!$AM$17)</f>
        <v>705</v>
      </c>
    </row>
    <row r="135" customFormat="false" ht="12.75" hidden="false" customHeight="false" outlineLevel="0" collapsed="false">
      <c r="A135" s="400" t="n">
        <f aca="false">A134+30.417</f>
        <v>40342.125</v>
      </c>
      <c r="B135" s="432" t="n">
        <f aca="false">IF('Peak Revenue'!$A$1="BL","-",IF(Peak!H136&gt;Peak!$G136,B$8*$X135,0))</f>
        <v>4.83060679547793</v>
      </c>
      <c r="C135" s="432" t="n">
        <f aca="false">IF('Peak Revenue'!$A$1="BL","-",IF(Peak!I136&gt;Peak!$G136,C$8*$X135,0))</f>
        <v>4.83060679547793</v>
      </c>
      <c r="D135" s="432" t="n">
        <f aca="false">IF('Peak Revenue'!$A$1="BL","-",IF(Peak!J136&gt;Peak!$G136,D$8*$X135,0))</f>
        <v>9.66121359095586</v>
      </c>
      <c r="E135" s="432" t="n">
        <f aca="false">IF('Peak Revenue'!$A$1="BL","-",IF(Peak!K136&gt;Peak!$G136,E$8*$X135,0))</f>
        <v>19.3224271819117</v>
      </c>
      <c r="F135" s="432" t="n">
        <f aca="false">IF('Peak Revenue'!$A$1="BL","-",IF(Peak!L136&gt;Peak!$G136,F$8*$X135,0))</f>
        <v>19.3224271819117</v>
      </c>
      <c r="G135" s="432" t="n">
        <f aca="false">IF('Peak Revenue'!$A$1="BL","-",IF(Peak!M136&gt;Peak!$G136,G$8*$X135,0))</f>
        <v>38.6448543638234</v>
      </c>
      <c r="H135" s="432" t="n">
        <f aca="false">IF('Peak Revenue'!$A$1="BL","-",IF(Peak!N136&gt;Peak!$G136,H$8*$X135,0))</f>
        <v>38.6448543638234</v>
      </c>
      <c r="I135" s="432" t="n">
        <f aca="false">IF('Peak Revenue'!$A$1="BL","-",IF(Peak!O136&gt;Peak!$G136,I$8*$X135,0))</f>
        <v>38.6448543638234</v>
      </c>
      <c r="J135" s="432" t="n">
        <f aca="false">IF('Peak Revenue'!$A$1="BL","-",IF(Peak!P136&gt;Peak!$G136,J$8*$X135,0))</f>
        <v>38.6448543638234</v>
      </c>
      <c r="K135" s="432" t="n">
        <f aca="false">IF('Peak Revenue'!$A$1="BL","-",IF(Peak!Q136&gt;Peak!$G136,K$8*$X135,0))</f>
        <v>38.6448543638234</v>
      </c>
      <c r="L135" s="432" t="n">
        <f aca="false">IF('Peak Revenue'!$A$1="BL","-",IF(Peak!R136&gt;Peak!$G136,L$8*$X135,0))</f>
        <v>38.6448543638234</v>
      </c>
      <c r="M135" s="432" t="n">
        <f aca="false">IF('Peak Revenue'!$A$1="BL","-",IF(Peak!S136&gt;Peak!$G136,M$8*$X135,0))</f>
        <v>38.6448543638234</v>
      </c>
      <c r="N135" s="432" t="n">
        <f aca="false">IF('Peak Revenue'!$A$1="BL","-",IF(Peak!T136&gt;Peak!$G136,N$8*$X135,0))</f>
        <v>38.6448543638234</v>
      </c>
      <c r="O135" s="432" t="n">
        <f aca="false">IF('Peak Revenue'!$A$1="BL","-",IF(Peak!U136&gt;Peak!$G136,O$8*$X135,0))</f>
        <v>38.6448543638234</v>
      </c>
      <c r="P135" s="432" t="n">
        <f aca="false">IF('Peak Revenue'!$A$1="BL","-",IF(Peak!V136&gt;Peak!$G136,P$8*$X135,0))</f>
        <v>0</v>
      </c>
      <c r="Q135" s="432" t="n">
        <f aca="false">IF('Peak Revenue'!$A$1="BL","-",IF(Peak!W136&gt;Peak!$G136,Q$8*$X135,0))</f>
        <v>0</v>
      </c>
      <c r="R135" s="432" t="n">
        <f aca="false">IF('Peak Revenue'!$A$1="BL","-",IF(Peak!X136&gt;Peak!$G136,R$8*$X135,0))</f>
        <v>0</v>
      </c>
      <c r="S135" s="432" t="n">
        <f aca="false">IF('Peak Revenue'!$A$1="BL","-",IF(Peak!Y136&gt;Peak!$G136,S$8*$X135,0))</f>
        <v>0</v>
      </c>
      <c r="T135" s="432" t="n">
        <f aca="false">IF('Peak Revenue'!$A$1="BL","-",IF(Peak!Z136&gt;Peak!$G136,T$8*$X135,0))</f>
        <v>0</v>
      </c>
      <c r="U135" s="432" t="n">
        <f aca="false">IF('Peak Revenue'!$A$1="BL","-",IF(Peak!AA136&gt;Peak!$G136,U$8*$X135,0))</f>
        <v>0</v>
      </c>
      <c r="V135" s="441" t="n">
        <f aca="false">SUM(B135:U135)</f>
        <v>405.770970820146</v>
      </c>
      <c r="W135" s="442"/>
      <c r="X135" s="439" t="n">
        <f aca="false">CHOOSE(QUOTIENT(MONTH($A135),3)+1,Peak!$AM$11,Peak!$AN$11,Peak!$AL$11,Peak!$AO$11,Peak!$AM$11)</f>
        <v>0.966121359095586</v>
      </c>
      <c r="Y135" s="440" t="n">
        <f aca="false">CHOOSE(QUOTIENT(MONTH($A135),3)+1,Peak!$AM$17,Peak!$AN$17,Peak!$AL$17,Peak!$AO$17,Peak!$AM$17)</f>
        <v>705</v>
      </c>
    </row>
    <row r="136" customFormat="false" ht="12.75" hidden="false" customHeight="false" outlineLevel="0" collapsed="false">
      <c r="A136" s="400" t="n">
        <f aca="false">A135+30.417</f>
        <v>40372.542</v>
      </c>
      <c r="B136" s="432" t="n">
        <f aca="false">IF('Peak Revenue'!$A$1="BL","-",IF(Peak!H137&gt;Peak!$G137,B$8*$X136,0))</f>
        <v>4.83060679547793</v>
      </c>
      <c r="C136" s="432" t="n">
        <f aca="false">IF('Peak Revenue'!$A$1="BL","-",IF(Peak!I137&gt;Peak!$G137,C$8*$X136,0))</f>
        <v>4.83060679547793</v>
      </c>
      <c r="D136" s="432" t="n">
        <f aca="false">IF('Peak Revenue'!$A$1="BL","-",IF(Peak!J137&gt;Peak!$G137,D$8*$X136,0))</f>
        <v>9.66121359095586</v>
      </c>
      <c r="E136" s="432" t="n">
        <f aca="false">IF('Peak Revenue'!$A$1="BL","-",IF(Peak!K137&gt;Peak!$G137,E$8*$X136,0))</f>
        <v>19.3224271819117</v>
      </c>
      <c r="F136" s="432" t="n">
        <f aca="false">IF('Peak Revenue'!$A$1="BL","-",IF(Peak!L137&gt;Peak!$G137,F$8*$X136,0))</f>
        <v>19.3224271819117</v>
      </c>
      <c r="G136" s="432" t="n">
        <f aca="false">IF('Peak Revenue'!$A$1="BL","-",IF(Peak!M137&gt;Peak!$G137,G$8*$X136,0))</f>
        <v>38.6448543638234</v>
      </c>
      <c r="H136" s="432" t="n">
        <f aca="false">IF('Peak Revenue'!$A$1="BL","-",IF(Peak!N137&gt;Peak!$G137,H$8*$X136,0))</f>
        <v>38.6448543638234</v>
      </c>
      <c r="I136" s="432" t="n">
        <f aca="false">IF('Peak Revenue'!$A$1="BL","-",IF(Peak!O137&gt;Peak!$G137,I$8*$X136,0))</f>
        <v>38.6448543638234</v>
      </c>
      <c r="J136" s="432" t="n">
        <f aca="false">IF('Peak Revenue'!$A$1="BL","-",IF(Peak!P137&gt;Peak!$G137,J$8*$X136,0))</f>
        <v>38.6448543638234</v>
      </c>
      <c r="K136" s="432" t="n">
        <f aca="false">IF('Peak Revenue'!$A$1="BL","-",IF(Peak!Q137&gt;Peak!$G137,K$8*$X136,0))</f>
        <v>38.6448543638234</v>
      </c>
      <c r="L136" s="432" t="n">
        <f aca="false">IF('Peak Revenue'!$A$1="BL","-",IF(Peak!R137&gt;Peak!$G137,L$8*$X136,0))</f>
        <v>38.6448543638234</v>
      </c>
      <c r="M136" s="432" t="n">
        <f aca="false">IF('Peak Revenue'!$A$1="BL","-",IF(Peak!S137&gt;Peak!$G137,M$8*$X136,0))</f>
        <v>0</v>
      </c>
      <c r="N136" s="432" t="n">
        <f aca="false">IF('Peak Revenue'!$A$1="BL","-",IF(Peak!T137&gt;Peak!$G137,N$8*$X136,0))</f>
        <v>0</v>
      </c>
      <c r="O136" s="432" t="n">
        <f aca="false">IF('Peak Revenue'!$A$1="BL","-",IF(Peak!U137&gt;Peak!$G137,O$8*$X136,0))</f>
        <v>0</v>
      </c>
      <c r="P136" s="432" t="n">
        <f aca="false">IF('Peak Revenue'!$A$1="BL","-",IF(Peak!V137&gt;Peak!$G137,P$8*$X136,0))</f>
        <v>0</v>
      </c>
      <c r="Q136" s="432" t="n">
        <f aca="false">IF('Peak Revenue'!$A$1="BL","-",IF(Peak!W137&gt;Peak!$G137,Q$8*$X136,0))</f>
        <v>0</v>
      </c>
      <c r="R136" s="432" t="n">
        <f aca="false">IF('Peak Revenue'!$A$1="BL","-",IF(Peak!X137&gt;Peak!$G137,R$8*$X136,0))</f>
        <v>0</v>
      </c>
      <c r="S136" s="432" t="n">
        <f aca="false">IF('Peak Revenue'!$A$1="BL","-",IF(Peak!Y137&gt;Peak!$G137,S$8*$X136,0))</f>
        <v>0</v>
      </c>
      <c r="T136" s="432" t="n">
        <f aca="false">IF('Peak Revenue'!$A$1="BL","-",IF(Peak!Z137&gt;Peak!$G137,T$8*$X136,0))</f>
        <v>0</v>
      </c>
      <c r="U136" s="432" t="n">
        <f aca="false">IF('Peak Revenue'!$A$1="BL","-",IF(Peak!AA137&gt;Peak!$G137,U$8*$X136,0))</f>
        <v>0</v>
      </c>
      <c r="V136" s="441" t="n">
        <f aca="false">SUM(B136:U136)</f>
        <v>289.836407728676</v>
      </c>
      <c r="W136" s="442"/>
      <c r="X136" s="439" t="n">
        <f aca="false">CHOOSE(QUOTIENT(MONTH($A136),3)+1,Peak!$AM$11,Peak!$AN$11,Peak!$AL$11,Peak!$AO$11,Peak!$AM$11)</f>
        <v>0.966121359095586</v>
      </c>
      <c r="Y136" s="440" t="n">
        <f aca="false">CHOOSE(QUOTIENT(MONTH($A136),3)+1,Peak!$AM$17,Peak!$AN$17,Peak!$AL$17,Peak!$AO$17,Peak!$AM$17)</f>
        <v>705</v>
      </c>
    </row>
    <row r="137" customFormat="false" ht="12.75" hidden="false" customHeight="false" outlineLevel="0" collapsed="false">
      <c r="A137" s="400" t="n">
        <f aca="false">A136+30.417</f>
        <v>40402.959</v>
      </c>
      <c r="B137" s="432" t="n">
        <f aca="false">IF('Peak Revenue'!$A$1="BL","-",IF(Peak!H138&gt;Peak!$G138,B$8*$X137,0))</f>
        <v>4.83060679547793</v>
      </c>
      <c r="C137" s="432" t="n">
        <f aca="false">IF('Peak Revenue'!$A$1="BL","-",IF(Peak!I138&gt;Peak!$G138,C$8*$X137,0))</f>
        <v>4.83060679547793</v>
      </c>
      <c r="D137" s="432" t="n">
        <f aca="false">IF('Peak Revenue'!$A$1="BL","-",IF(Peak!J138&gt;Peak!$G138,D$8*$X137,0))</f>
        <v>9.66121359095586</v>
      </c>
      <c r="E137" s="432" t="n">
        <f aca="false">IF('Peak Revenue'!$A$1="BL","-",IF(Peak!K138&gt;Peak!$G138,E$8*$X137,0))</f>
        <v>19.3224271819117</v>
      </c>
      <c r="F137" s="432" t="n">
        <f aca="false">IF('Peak Revenue'!$A$1="BL","-",IF(Peak!L138&gt;Peak!$G138,F$8*$X137,0))</f>
        <v>19.3224271819117</v>
      </c>
      <c r="G137" s="432" t="n">
        <f aca="false">IF('Peak Revenue'!$A$1="BL","-",IF(Peak!M138&gt;Peak!$G138,G$8*$X137,0))</f>
        <v>38.6448543638234</v>
      </c>
      <c r="H137" s="432" t="n">
        <f aca="false">IF('Peak Revenue'!$A$1="BL","-",IF(Peak!N138&gt;Peak!$G138,H$8*$X137,0))</f>
        <v>38.6448543638234</v>
      </c>
      <c r="I137" s="432" t="n">
        <f aca="false">IF('Peak Revenue'!$A$1="BL","-",IF(Peak!O138&gt;Peak!$G138,I$8*$X137,0))</f>
        <v>0</v>
      </c>
      <c r="J137" s="432" t="n">
        <f aca="false">IF('Peak Revenue'!$A$1="BL","-",IF(Peak!P138&gt;Peak!$G138,J$8*$X137,0))</f>
        <v>0</v>
      </c>
      <c r="K137" s="432" t="n">
        <f aca="false">IF('Peak Revenue'!$A$1="BL","-",IF(Peak!Q138&gt;Peak!$G138,K$8*$X137,0))</f>
        <v>0</v>
      </c>
      <c r="L137" s="432" t="n">
        <f aca="false">IF('Peak Revenue'!$A$1="BL","-",IF(Peak!R138&gt;Peak!$G138,L$8*$X137,0))</f>
        <v>0</v>
      </c>
      <c r="M137" s="432" t="n">
        <f aca="false">IF('Peak Revenue'!$A$1="BL","-",IF(Peak!S138&gt;Peak!$G138,M$8*$X137,0))</f>
        <v>0</v>
      </c>
      <c r="N137" s="432" t="n">
        <f aca="false">IF('Peak Revenue'!$A$1="BL","-",IF(Peak!T138&gt;Peak!$G138,N$8*$X137,0))</f>
        <v>0</v>
      </c>
      <c r="O137" s="432" t="n">
        <f aca="false">IF('Peak Revenue'!$A$1="BL","-",IF(Peak!U138&gt;Peak!$G138,O$8*$X137,0))</f>
        <v>0</v>
      </c>
      <c r="P137" s="432" t="n">
        <f aca="false">IF('Peak Revenue'!$A$1="BL","-",IF(Peak!V138&gt;Peak!$G138,P$8*$X137,0))</f>
        <v>0</v>
      </c>
      <c r="Q137" s="432" t="n">
        <f aca="false">IF('Peak Revenue'!$A$1="BL","-",IF(Peak!W138&gt;Peak!$G138,Q$8*$X137,0))</f>
        <v>0</v>
      </c>
      <c r="R137" s="432" t="n">
        <f aca="false">IF('Peak Revenue'!$A$1="BL","-",IF(Peak!X138&gt;Peak!$G138,R$8*$X137,0))</f>
        <v>0</v>
      </c>
      <c r="S137" s="432" t="n">
        <f aca="false">IF('Peak Revenue'!$A$1="BL","-",IF(Peak!Y138&gt;Peak!$G138,S$8*$X137,0))</f>
        <v>0</v>
      </c>
      <c r="T137" s="432" t="n">
        <f aca="false">IF('Peak Revenue'!$A$1="BL","-",IF(Peak!Z138&gt;Peak!$G138,T$8*$X137,0))</f>
        <v>0</v>
      </c>
      <c r="U137" s="432" t="n">
        <f aca="false">IF('Peak Revenue'!$A$1="BL","-",IF(Peak!AA138&gt;Peak!$G138,U$8*$X137,0))</f>
        <v>0</v>
      </c>
      <c r="V137" s="441" t="n">
        <f aca="false">SUM(B137:U137)</f>
        <v>135.256990273382</v>
      </c>
      <c r="W137" s="442"/>
      <c r="X137" s="439" t="n">
        <f aca="false">CHOOSE(QUOTIENT(MONTH($A137),3)+1,Peak!$AM$11,Peak!$AN$11,Peak!$AL$11,Peak!$AO$11,Peak!$AM$11)</f>
        <v>0.966121359095586</v>
      </c>
      <c r="Y137" s="440" t="n">
        <f aca="false">CHOOSE(QUOTIENT(MONTH($A137),3)+1,Peak!$AM$17,Peak!$AN$17,Peak!$AL$17,Peak!$AO$17,Peak!$AM$17)</f>
        <v>705</v>
      </c>
    </row>
    <row r="138" customFormat="false" ht="12.75" hidden="false" customHeight="false" outlineLevel="0" collapsed="false">
      <c r="A138" s="400" t="n">
        <f aca="false">A137+30.417</f>
        <v>40433.376</v>
      </c>
      <c r="B138" s="432" t="n">
        <f aca="false">IF('Peak Revenue'!$A$1="BL","-",IF(Peak!H139&gt;Peak!$G139,B$8*$X138,0))</f>
        <v>4.75</v>
      </c>
      <c r="C138" s="432" t="n">
        <f aca="false">IF('Peak Revenue'!$A$1="BL","-",IF(Peak!I139&gt;Peak!$G139,C$8*$X138,0))</f>
        <v>4.75</v>
      </c>
      <c r="D138" s="432" t="n">
        <f aca="false">IF('Peak Revenue'!$A$1="BL","-",IF(Peak!J139&gt;Peak!$G139,D$8*$X138,0))</f>
        <v>9.5</v>
      </c>
      <c r="E138" s="432" t="n">
        <f aca="false">IF('Peak Revenue'!$A$1="BL","-",IF(Peak!K139&gt;Peak!$G139,E$8*$X138,0))</f>
        <v>19</v>
      </c>
      <c r="F138" s="432" t="n">
        <f aca="false">IF('Peak Revenue'!$A$1="BL","-",IF(Peak!L139&gt;Peak!$G139,F$8*$X138,0))</f>
        <v>19</v>
      </c>
      <c r="G138" s="432" t="n">
        <f aca="false">IF('Peak Revenue'!$A$1="BL","-",IF(Peak!M139&gt;Peak!$G139,G$8*$X138,0))</f>
        <v>38</v>
      </c>
      <c r="H138" s="432" t="n">
        <f aca="false">IF('Peak Revenue'!$A$1="BL","-",IF(Peak!N139&gt;Peak!$G139,H$8*$X138,0))</f>
        <v>38</v>
      </c>
      <c r="I138" s="432" t="n">
        <f aca="false">IF('Peak Revenue'!$A$1="BL","-",IF(Peak!O139&gt;Peak!$G139,I$8*$X138,0))</f>
        <v>38</v>
      </c>
      <c r="J138" s="432" t="n">
        <f aca="false">IF('Peak Revenue'!$A$1="BL","-",IF(Peak!P139&gt;Peak!$G139,J$8*$X138,0))</f>
        <v>38</v>
      </c>
      <c r="K138" s="432" t="n">
        <f aca="false">IF('Peak Revenue'!$A$1="BL","-",IF(Peak!Q139&gt;Peak!$G139,K$8*$X138,0))</f>
        <v>38</v>
      </c>
      <c r="L138" s="432" t="n">
        <f aca="false">IF('Peak Revenue'!$A$1="BL","-",IF(Peak!R139&gt;Peak!$G139,L$8*$X138,0))</f>
        <v>38</v>
      </c>
      <c r="M138" s="432" t="n">
        <f aca="false">IF('Peak Revenue'!$A$1="BL","-",IF(Peak!S139&gt;Peak!$G139,M$8*$X138,0))</f>
        <v>38</v>
      </c>
      <c r="N138" s="432" t="n">
        <f aca="false">IF('Peak Revenue'!$A$1="BL","-",IF(Peak!T139&gt;Peak!$G139,N$8*$X138,0))</f>
        <v>0</v>
      </c>
      <c r="O138" s="432" t="n">
        <f aca="false">IF('Peak Revenue'!$A$1="BL","-",IF(Peak!U139&gt;Peak!$G139,O$8*$X138,0))</f>
        <v>0</v>
      </c>
      <c r="P138" s="432" t="n">
        <f aca="false">IF('Peak Revenue'!$A$1="BL","-",IF(Peak!V139&gt;Peak!$G139,P$8*$X138,0))</f>
        <v>0</v>
      </c>
      <c r="Q138" s="432" t="n">
        <f aca="false">IF('Peak Revenue'!$A$1="BL","-",IF(Peak!W139&gt;Peak!$G139,Q$8*$X138,0))</f>
        <v>0</v>
      </c>
      <c r="R138" s="432" t="n">
        <f aca="false">IF('Peak Revenue'!$A$1="BL","-",IF(Peak!X139&gt;Peak!$G139,R$8*$X138,0))</f>
        <v>0</v>
      </c>
      <c r="S138" s="432" t="n">
        <f aca="false">IF('Peak Revenue'!$A$1="BL","-",IF(Peak!Y139&gt;Peak!$G139,S$8*$X138,0))</f>
        <v>0</v>
      </c>
      <c r="T138" s="432" t="n">
        <f aca="false">IF('Peak Revenue'!$A$1="BL","-",IF(Peak!Z139&gt;Peak!$G139,T$8*$X138,0))</f>
        <v>0</v>
      </c>
      <c r="U138" s="432" t="n">
        <f aca="false">IF('Peak Revenue'!$A$1="BL","-",IF(Peak!AA139&gt;Peak!$G139,U$8*$X138,0))</f>
        <v>0</v>
      </c>
      <c r="V138" s="441" t="n">
        <f aca="false">SUM(B138:U138)</f>
        <v>323</v>
      </c>
      <c r="W138" s="442"/>
      <c r="X138" s="439" t="n">
        <f aca="false">CHOOSE(QUOTIENT(MONTH($A138),3)+1,Peak!$AM$11,Peak!$AN$11,Peak!$AL$11,Peak!$AO$11,Peak!$AM$11)</f>
        <v>0.95</v>
      </c>
      <c r="Y138" s="440" t="n">
        <f aca="false">CHOOSE(QUOTIENT(MONTH($A138),3)+1,Peak!$AM$17,Peak!$AN$17,Peak!$AL$17,Peak!$AO$17,Peak!$AM$17)</f>
        <v>705</v>
      </c>
    </row>
    <row r="139" customFormat="false" ht="12.75" hidden="false" customHeight="false" outlineLevel="0" collapsed="false">
      <c r="A139" s="400" t="n">
        <f aca="false">A138+30.417</f>
        <v>40463.793</v>
      </c>
      <c r="B139" s="432" t="n">
        <f aca="false">IF('Peak Revenue'!$A$1="BL","-",IF(Peak!H140&gt;Peak!$G140,B$8*$X139,0))</f>
        <v>4.75</v>
      </c>
      <c r="C139" s="432" t="n">
        <f aca="false">IF('Peak Revenue'!$A$1="BL","-",IF(Peak!I140&gt;Peak!$G140,C$8*$X139,0))</f>
        <v>4.75</v>
      </c>
      <c r="D139" s="432" t="n">
        <f aca="false">IF('Peak Revenue'!$A$1="BL","-",IF(Peak!J140&gt;Peak!$G140,D$8*$X139,0))</f>
        <v>9.5</v>
      </c>
      <c r="E139" s="432" t="n">
        <f aca="false">IF('Peak Revenue'!$A$1="BL","-",IF(Peak!K140&gt;Peak!$G140,E$8*$X139,0))</f>
        <v>19</v>
      </c>
      <c r="F139" s="432" t="n">
        <f aca="false">IF('Peak Revenue'!$A$1="BL","-",IF(Peak!L140&gt;Peak!$G140,F$8*$X139,0))</f>
        <v>19</v>
      </c>
      <c r="G139" s="432" t="n">
        <f aca="false">IF('Peak Revenue'!$A$1="BL","-",IF(Peak!M140&gt;Peak!$G140,G$8*$X139,0))</f>
        <v>38</v>
      </c>
      <c r="H139" s="432" t="n">
        <f aca="false">IF('Peak Revenue'!$A$1="BL","-",IF(Peak!N140&gt;Peak!$G140,H$8*$X139,0))</f>
        <v>38</v>
      </c>
      <c r="I139" s="432" t="n">
        <f aca="false">IF('Peak Revenue'!$A$1="BL","-",IF(Peak!O140&gt;Peak!$G140,I$8*$X139,0))</f>
        <v>38</v>
      </c>
      <c r="J139" s="432" t="n">
        <f aca="false">IF('Peak Revenue'!$A$1="BL","-",IF(Peak!P140&gt;Peak!$G140,J$8*$X139,0))</f>
        <v>38</v>
      </c>
      <c r="K139" s="432" t="n">
        <f aca="false">IF('Peak Revenue'!$A$1="BL","-",IF(Peak!Q140&gt;Peak!$G140,K$8*$X139,0))</f>
        <v>0</v>
      </c>
      <c r="L139" s="432" t="n">
        <f aca="false">IF('Peak Revenue'!$A$1="BL","-",IF(Peak!R140&gt;Peak!$G140,L$8*$X139,0))</f>
        <v>0</v>
      </c>
      <c r="M139" s="432" t="n">
        <f aca="false">IF('Peak Revenue'!$A$1="BL","-",IF(Peak!S140&gt;Peak!$G140,M$8*$X139,0))</f>
        <v>0</v>
      </c>
      <c r="N139" s="432" t="n">
        <f aca="false">IF('Peak Revenue'!$A$1="BL","-",IF(Peak!T140&gt;Peak!$G140,N$8*$X139,0))</f>
        <v>0</v>
      </c>
      <c r="O139" s="432" t="n">
        <f aca="false">IF('Peak Revenue'!$A$1="BL","-",IF(Peak!U140&gt;Peak!$G140,O$8*$X139,0))</f>
        <v>0</v>
      </c>
      <c r="P139" s="432" t="n">
        <f aca="false">IF('Peak Revenue'!$A$1="BL","-",IF(Peak!V140&gt;Peak!$G140,P$8*$X139,0))</f>
        <v>0</v>
      </c>
      <c r="Q139" s="432" t="n">
        <f aca="false">IF('Peak Revenue'!$A$1="BL","-",IF(Peak!W140&gt;Peak!$G140,Q$8*$X139,0))</f>
        <v>0</v>
      </c>
      <c r="R139" s="432" t="n">
        <f aca="false">IF('Peak Revenue'!$A$1="BL","-",IF(Peak!X140&gt;Peak!$G140,R$8*$X139,0))</f>
        <v>0</v>
      </c>
      <c r="S139" s="432" t="n">
        <f aca="false">IF('Peak Revenue'!$A$1="BL","-",IF(Peak!Y140&gt;Peak!$G140,S$8*$X139,0))</f>
        <v>0</v>
      </c>
      <c r="T139" s="432" t="n">
        <f aca="false">IF('Peak Revenue'!$A$1="BL","-",IF(Peak!Z140&gt;Peak!$G140,T$8*$X139,0))</f>
        <v>0</v>
      </c>
      <c r="U139" s="432" t="n">
        <f aca="false">IF('Peak Revenue'!$A$1="BL","-",IF(Peak!AA140&gt;Peak!$G140,U$8*$X139,0))</f>
        <v>0</v>
      </c>
      <c r="V139" s="441" t="n">
        <f aca="false">SUM(B139:U139)</f>
        <v>209</v>
      </c>
      <c r="W139" s="442"/>
      <c r="X139" s="439" t="n">
        <f aca="false">CHOOSE(QUOTIENT(MONTH($A139),3)+1,Peak!$AM$11,Peak!$AN$11,Peak!$AL$11,Peak!$AO$11,Peak!$AM$11)</f>
        <v>0.95</v>
      </c>
      <c r="Y139" s="440" t="n">
        <f aca="false">CHOOSE(QUOTIENT(MONTH($A139),3)+1,Peak!$AM$17,Peak!$AN$17,Peak!$AL$17,Peak!$AO$17,Peak!$AM$17)</f>
        <v>705</v>
      </c>
    </row>
    <row r="140" customFormat="false" ht="12.75" hidden="false" customHeight="false" outlineLevel="0" collapsed="false">
      <c r="A140" s="400" t="n">
        <f aca="false">A139+30.417</f>
        <v>40494.21</v>
      </c>
      <c r="B140" s="432" t="n">
        <f aca="false">IF('Peak Revenue'!$A$1="BL","-",IF(Peak!H141&gt;Peak!$G141,B$8*$X140,0))</f>
        <v>4.75</v>
      </c>
      <c r="C140" s="432" t="n">
        <f aca="false">IF('Peak Revenue'!$A$1="BL","-",IF(Peak!I141&gt;Peak!$G141,C$8*$X140,0))</f>
        <v>4.75</v>
      </c>
      <c r="D140" s="432" t="n">
        <f aca="false">IF('Peak Revenue'!$A$1="BL","-",IF(Peak!J141&gt;Peak!$G141,D$8*$X140,0))</f>
        <v>9.5</v>
      </c>
      <c r="E140" s="432" t="n">
        <f aca="false">IF('Peak Revenue'!$A$1="BL","-",IF(Peak!K141&gt;Peak!$G141,E$8*$X140,0))</f>
        <v>19</v>
      </c>
      <c r="F140" s="432" t="n">
        <f aca="false">IF('Peak Revenue'!$A$1="BL","-",IF(Peak!L141&gt;Peak!$G141,F$8*$X140,0))</f>
        <v>19</v>
      </c>
      <c r="G140" s="432" t="n">
        <f aca="false">IF('Peak Revenue'!$A$1="BL","-",IF(Peak!M141&gt;Peak!$G141,G$8*$X140,0))</f>
        <v>38</v>
      </c>
      <c r="H140" s="432" t="n">
        <f aca="false">IF('Peak Revenue'!$A$1="BL","-",IF(Peak!N141&gt;Peak!$G141,H$8*$X140,0))</f>
        <v>38</v>
      </c>
      <c r="I140" s="432" t="n">
        <f aca="false">IF('Peak Revenue'!$A$1="BL","-",IF(Peak!O141&gt;Peak!$G141,I$8*$X140,0))</f>
        <v>38</v>
      </c>
      <c r="J140" s="432" t="n">
        <f aca="false">IF('Peak Revenue'!$A$1="BL","-",IF(Peak!P141&gt;Peak!$G141,J$8*$X140,0))</f>
        <v>38</v>
      </c>
      <c r="K140" s="432" t="n">
        <f aca="false">IF('Peak Revenue'!$A$1="BL","-",IF(Peak!Q141&gt;Peak!$G141,K$8*$X140,0))</f>
        <v>38</v>
      </c>
      <c r="L140" s="432" t="n">
        <f aca="false">IF('Peak Revenue'!$A$1="BL","-",IF(Peak!R141&gt;Peak!$G141,L$8*$X140,0))</f>
        <v>38</v>
      </c>
      <c r="M140" s="432" t="n">
        <f aca="false">IF('Peak Revenue'!$A$1="BL","-",IF(Peak!S141&gt;Peak!$G141,M$8*$X140,0))</f>
        <v>38</v>
      </c>
      <c r="N140" s="432" t="n">
        <f aca="false">IF('Peak Revenue'!$A$1="BL","-",IF(Peak!T141&gt;Peak!$G141,N$8*$X140,0))</f>
        <v>0</v>
      </c>
      <c r="O140" s="432" t="n">
        <f aca="false">IF('Peak Revenue'!$A$1="BL","-",IF(Peak!U141&gt;Peak!$G141,O$8*$X140,0))</f>
        <v>0</v>
      </c>
      <c r="P140" s="432" t="n">
        <f aca="false">IF('Peak Revenue'!$A$1="BL","-",IF(Peak!V141&gt;Peak!$G141,P$8*$X140,0))</f>
        <v>0</v>
      </c>
      <c r="Q140" s="432" t="n">
        <f aca="false">IF('Peak Revenue'!$A$1="BL","-",IF(Peak!W141&gt;Peak!$G141,Q$8*$X140,0))</f>
        <v>0</v>
      </c>
      <c r="R140" s="432" t="n">
        <f aca="false">IF('Peak Revenue'!$A$1="BL","-",IF(Peak!X141&gt;Peak!$G141,R$8*$X140,0))</f>
        <v>0</v>
      </c>
      <c r="S140" s="432" t="n">
        <f aca="false">IF('Peak Revenue'!$A$1="BL","-",IF(Peak!Y141&gt;Peak!$G141,S$8*$X140,0))</f>
        <v>0</v>
      </c>
      <c r="T140" s="432" t="n">
        <f aca="false">IF('Peak Revenue'!$A$1="BL","-",IF(Peak!Z141&gt;Peak!$G141,T$8*$X140,0))</f>
        <v>0</v>
      </c>
      <c r="U140" s="432" t="n">
        <f aca="false">IF('Peak Revenue'!$A$1="BL","-",IF(Peak!AA141&gt;Peak!$G141,U$8*$X140,0))</f>
        <v>0</v>
      </c>
      <c r="V140" s="441" t="n">
        <f aca="false">SUM(B140:U140)</f>
        <v>323</v>
      </c>
      <c r="W140" s="442"/>
      <c r="X140" s="439" t="n">
        <f aca="false">CHOOSE(QUOTIENT(MONTH($A140),3)+1,Peak!$AM$11,Peak!$AN$11,Peak!$AL$11,Peak!$AO$11,Peak!$AM$11)</f>
        <v>0.95</v>
      </c>
      <c r="Y140" s="440" t="n">
        <f aca="false">CHOOSE(QUOTIENT(MONTH($A140),3)+1,Peak!$AM$17,Peak!$AN$17,Peak!$AL$17,Peak!$AO$17,Peak!$AM$17)</f>
        <v>705</v>
      </c>
    </row>
    <row r="141" customFormat="false" ht="12.75" hidden="false" customHeight="false" outlineLevel="0" collapsed="false">
      <c r="A141" s="400" t="n">
        <f aca="false">A140+30.417</f>
        <v>40524.627</v>
      </c>
      <c r="B141" s="432" t="n">
        <f aca="false">IF('Peak Revenue'!$A$1="BL","-",IF(Peak!H142&gt;Peak!$G142,B$8*$X141,0))</f>
        <v>4.62138309393059</v>
      </c>
      <c r="C141" s="432" t="n">
        <f aca="false">IF('Peak Revenue'!$A$1="BL","-",IF(Peak!I142&gt;Peak!$G142,C$8*$X141,0))</f>
        <v>4.62138309393059</v>
      </c>
      <c r="D141" s="432" t="n">
        <f aca="false">IF('Peak Revenue'!$A$1="BL","-",IF(Peak!J142&gt;Peak!$G142,D$8*$X141,0))</f>
        <v>9.24276618786118</v>
      </c>
      <c r="E141" s="432" t="n">
        <f aca="false">IF('Peak Revenue'!$A$1="BL","-",IF(Peak!K142&gt;Peak!$G142,E$8*$X141,0))</f>
        <v>18.4855323757224</v>
      </c>
      <c r="F141" s="432" t="n">
        <f aca="false">IF('Peak Revenue'!$A$1="BL","-",IF(Peak!L142&gt;Peak!$G142,F$8*$X141,0))</f>
        <v>18.4855323757224</v>
      </c>
      <c r="G141" s="432" t="n">
        <f aca="false">IF('Peak Revenue'!$A$1="BL","-",IF(Peak!M142&gt;Peak!$G142,G$8*$X141,0))</f>
        <v>36.9710647514447</v>
      </c>
      <c r="H141" s="432" t="n">
        <f aca="false">IF('Peak Revenue'!$A$1="BL","-",IF(Peak!N142&gt;Peak!$G142,H$8*$X141,0))</f>
        <v>36.9710647514447</v>
      </c>
      <c r="I141" s="432" t="n">
        <f aca="false">IF('Peak Revenue'!$A$1="BL","-",IF(Peak!O142&gt;Peak!$G142,I$8*$X141,0))</f>
        <v>36.9710647514447</v>
      </c>
      <c r="J141" s="432" t="n">
        <f aca="false">IF('Peak Revenue'!$A$1="BL","-",IF(Peak!P142&gt;Peak!$G142,J$8*$X141,0))</f>
        <v>36.9710647514447</v>
      </c>
      <c r="K141" s="432" t="n">
        <f aca="false">IF('Peak Revenue'!$A$1="BL","-",IF(Peak!Q142&gt;Peak!$G142,K$8*$X141,0))</f>
        <v>36.9710647514447</v>
      </c>
      <c r="L141" s="432" t="n">
        <f aca="false">IF('Peak Revenue'!$A$1="BL","-",IF(Peak!R142&gt;Peak!$G142,L$8*$X141,0))</f>
        <v>0</v>
      </c>
      <c r="M141" s="432" t="n">
        <f aca="false">IF('Peak Revenue'!$A$1="BL","-",IF(Peak!S142&gt;Peak!$G142,M$8*$X141,0))</f>
        <v>0</v>
      </c>
      <c r="N141" s="432" t="n">
        <f aca="false">IF('Peak Revenue'!$A$1="BL","-",IF(Peak!T142&gt;Peak!$G142,N$8*$X141,0))</f>
        <v>0</v>
      </c>
      <c r="O141" s="432" t="n">
        <f aca="false">IF('Peak Revenue'!$A$1="BL","-",IF(Peak!U142&gt;Peak!$G142,O$8*$X141,0))</f>
        <v>0</v>
      </c>
      <c r="P141" s="432" t="n">
        <f aca="false">IF('Peak Revenue'!$A$1="BL","-",IF(Peak!V142&gt;Peak!$G142,P$8*$X141,0))</f>
        <v>0</v>
      </c>
      <c r="Q141" s="432" t="n">
        <f aca="false">IF('Peak Revenue'!$A$1="BL","-",IF(Peak!W142&gt;Peak!$G142,Q$8*$X141,0))</f>
        <v>0</v>
      </c>
      <c r="R141" s="432" t="n">
        <f aca="false">IF('Peak Revenue'!$A$1="BL","-",IF(Peak!X142&gt;Peak!$G142,R$8*$X141,0))</f>
        <v>0</v>
      </c>
      <c r="S141" s="432" t="n">
        <f aca="false">IF('Peak Revenue'!$A$1="BL","-",IF(Peak!Y142&gt;Peak!$G142,S$8*$X141,0))</f>
        <v>0</v>
      </c>
      <c r="T141" s="432" t="n">
        <f aca="false">IF('Peak Revenue'!$A$1="BL","-",IF(Peak!Z142&gt;Peak!$G142,T$8*$X141,0))</f>
        <v>0</v>
      </c>
      <c r="U141" s="432" t="n">
        <f aca="false">IF('Peak Revenue'!$A$1="BL","-",IF(Peak!AA142&gt;Peak!$G142,U$8*$X141,0))</f>
        <v>0</v>
      </c>
      <c r="V141" s="441" t="n">
        <f aca="false">SUM(B141:U141)</f>
        <v>240.311920884391</v>
      </c>
      <c r="W141" s="443" t="n">
        <f aca="false">SUM(V130:V141)</f>
        <v>2807.85800197249</v>
      </c>
      <c r="X141" s="439" t="n">
        <f aca="false">CHOOSE(QUOTIENT(MONTH($A141),3)+1,Peak!$AM$11,Peak!$AN$11,Peak!$AL$11,Peak!$AO$11,Peak!$AM$11)</f>
        <v>0.924276618786118</v>
      </c>
      <c r="Y141" s="440" t="n">
        <f aca="false">CHOOSE(QUOTIENT(MONTH($A141),3)+1,Peak!$AM$17,Peak!$AN$17,Peak!$AL$17,Peak!$AO$17,Peak!$AM$17)</f>
        <v>705</v>
      </c>
    </row>
    <row r="142" customFormat="false" ht="12.75" hidden="false" customHeight="false" outlineLevel="0" collapsed="false">
      <c r="A142" s="400" t="n">
        <f aca="false">A141+30.417</f>
        <v>40555.044</v>
      </c>
      <c r="B142" s="432" t="n">
        <f aca="false">IF('Peak Revenue'!$A$1="BL","-",IF(Peak!H143&gt;Peak!$G143,B$8*$X142,0))</f>
        <v>4.62138309393059</v>
      </c>
      <c r="C142" s="432" t="n">
        <f aca="false">IF('Peak Revenue'!$A$1="BL","-",IF(Peak!I143&gt;Peak!$G143,C$8*$X142,0))</f>
        <v>4.62138309393059</v>
      </c>
      <c r="D142" s="432" t="n">
        <f aca="false">IF('Peak Revenue'!$A$1="BL","-",IF(Peak!J143&gt;Peak!$G143,D$8*$X142,0))</f>
        <v>9.24276618786118</v>
      </c>
      <c r="E142" s="432" t="n">
        <f aca="false">IF('Peak Revenue'!$A$1="BL","-",IF(Peak!K143&gt;Peak!$G143,E$8*$X142,0))</f>
        <v>18.4855323757224</v>
      </c>
      <c r="F142" s="432" t="n">
        <f aca="false">IF('Peak Revenue'!$A$1="BL","-",IF(Peak!L143&gt;Peak!$G143,F$8*$X142,0))</f>
        <v>18.4855323757224</v>
      </c>
      <c r="G142" s="432" t="n">
        <f aca="false">IF('Peak Revenue'!$A$1="BL","-",IF(Peak!M143&gt;Peak!$G143,G$8*$X142,0))</f>
        <v>36.9710647514447</v>
      </c>
      <c r="H142" s="432" t="n">
        <f aca="false">IF('Peak Revenue'!$A$1="BL","-",IF(Peak!N143&gt;Peak!$G143,H$8*$X142,0))</f>
        <v>36.9710647514447</v>
      </c>
      <c r="I142" s="432" t="n">
        <f aca="false">IF('Peak Revenue'!$A$1="BL","-",IF(Peak!O143&gt;Peak!$G143,I$8*$X142,0))</f>
        <v>36.9710647514447</v>
      </c>
      <c r="J142" s="432" t="n">
        <f aca="false">IF('Peak Revenue'!$A$1="BL","-",IF(Peak!P143&gt;Peak!$G143,J$8*$X142,0))</f>
        <v>36.9710647514447</v>
      </c>
      <c r="K142" s="432" t="n">
        <f aca="false">IF('Peak Revenue'!$A$1="BL","-",IF(Peak!Q143&gt;Peak!$G143,K$8*$X142,0))</f>
        <v>36.9710647514447</v>
      </c>
      <c r="L142" s="432" t="n">
        <f aca="false">IF('Peak Revenue'!$A$1="BL","-",IF(Peak!R143&gt;Peak!$G143,L$8*$X142,0))</f>
        <v>0</v>
      </c>
      <c r="M142" s="432" t="n">
        <f aca="false">IF('Peak Revenue'!$A$1="BL","-",IF(Peak!S143&gt;Peak!$G143,M$8*$X142,0))</f>
        <v>0</v>
      </c>
      <c r="N142" s="432" t="n">
        <f aca="false">IF('Peak Revenue'!$A$1="BL","-",IF(Peak!T143&gt;Peak!$G143,N$8*$X142,0))</f>
        <v>0</v>
      </c>
      <c r="O142" s="432" t="n">
        <f aca="false">IF('Peak Revenue'!$A$1="BL","-",IF(Peak!U143&gt;Peak!$G143,O$8*$X142,0))</f>
        <v>0</v>
      </c>
      <c r="P142" s="432" t="n">
        <f aca="false">IF('Peak Revenue'!$A$1="BL","-",IF(Peak!V143&gt;Peak!$G143,P$8*$X142,0))</f>
        <v>0</v>
      </c>
      <c r="Q142" s="432" t="n">
        <f aca="false">IF('Peak Revenue'!$A$1="BL","-",IF(Peak!W143&gt;Peak!$G143,Q$8*$X142,0))</f>
        <v>0</v>
      </c>
      <c r="R142" s="432" t="n">
        <f aca="false">IF('Peak Revenue'!$A$1="BL","-",IF(Peak!X143&gt;Peak!$G143,R$8*$X142,0))</f>
        <v>0</v>
      </c>
      <c r="S142" s="432" t="n">
        <f aca="false">IF('Peak Revenue'!$A$1="BL","-",IF(Peak!Y143&gt;Peak!$G143,S$8*$X142,0))</f>
        <v>0</v>
      </c>
      <c r="T142" s="432" t="n">
        <f aca="false">IF('Peak Revenue'!$A$1="BL","-",IF(Peak!Z143&gt;Peak!$G143,T$8*$X142,0))</f>
        <v>0</v>
      </c>
      <c r="U142" s="432" t="n">
        <f aca="false">IF('Peak Revenue'!$A$1="BL","-",IF(Peak!AA143&gt;Peak!$G143,U$8*$X142,0))</f>
        <v>0</v>
      </c>
      <c r="V142" s="441" t="n">
        <f aca="false">SUM(B142:U142)</f>
        <v>240.311920884391</v>
      </c>
      <c r="W142" s="442"/>
      <c r="X142" s="439" t="n">
        <f aca="false">CHOOSE(QUOTIENT(MONTH($A142),3)+1,Peak!$AM$11,Peak!$AN$11,Peak!$AL$11,Peak!$AO$11,Peak!$AM$11)</f>
        <v>0.924276618786118</v>
      </c>
      <c r="Y142" s="440" t="n">
        <f aca="false">CHOOSE(QUOTIENT(MONTH($A142),3)+1,Peak!$AM$17,Peak!$AN$17,Peak!$AL$17,Peak!$AO$17,Peak!$AM$17)</f>
        <v>705</v>
      </c>
    </row>
    <row r="143" customFormat="false" ht="12.75" hidden="false" customHeight="false" outlineLevel="0" collapsed="false">
      <c r="A143" s="400" t="n">
        <f aca="false">A142+30.417</f>
        <v>40585.461</v>
      </c>
      <c r="B143" s="432" t="n">
        <f aca="false">IF('Peak Revenue'!$A$1="BL","-",IF(Peak!H144&gt;Peak!$G144,B$8*$X143,0))</f>
        <v>4.62138309393059</v>
      </c>
      <c r="C143" s="432" t="n">
        <f aca="false">IF('Peak Revenue'!$A$1="BL","-",IF(Peak!I144&gt;Peak!$G144,C$8*$X143,0))</f>
        <v>4.62138309393059</v>
      </c>
      <c r="D143" s="432" t="n">
        <f aca="false">IF('Peak Revenue'!$A$1="BL","-",IF(Peak!J144&gt;Peak!$G144,D$8*$X143,0))</f>
        <v>9.24276618786118</v>
      </c>
      <c r="E143" s="432" t="n">
        <f aca="false">IF('Peak Revenue'!$A$1="BL","-",IF(Peak!K144&gt;Peak!$G144,E$8*$X143,0))</f>
        <v>18.4855323757224</v>
      </c>
      <c r="F143" s="432" t="n">
        <f aca="false">IF('Peak Revenue'!$A$1="BL","-",IF(Peak!L144&gt;Peak!$G144,F$8*$X143,0))</f>
        <v>18.4855323757224</v>
      </c>
      <c r="G143" s="432" t="n">
        <f aca="false">IF('Peak Revenue'!$A$1="BL","-",IF(Peak!M144&gt;Peak!$G144,G$8*$X143,0))</f>
        <v>36.9710647514447</v>
      </c>
      <c r="H143" s="432" t="n">
        <f aca="false">IF('Peak Revenue'!$A$1="BL","-",IF(Peak!N144&gt;Peak!$G144,H$8*$X143,0))</f>
        <v>36.9710647514447</v>
      </c>
      <c r="I143" s="432" t="n">
        <f aca="false">IF('Peak Revenue'!$A$1="BL","-",IF(Peak!O144&gt;Peak!$G144,I$8*$X143,0))</f>
        <v>36.9710647514447</v>
      </c>
      <c r="J143" s="432" t="n">
        <f aca="false">IF('Peak Revenue'!$A$1="BL","-",IF(Peak!P144&gt;Peak!$G144,J$8*$X143,0))</f>
        <v>36.9710647514447</v>
      </c>
      <c r="K143" s="432" t="n">
        <f aca="false">IF('Peak Revenue'!$A$1="BL","-",IF(Peak!Q144&gt;Peak!$G144,K$8*$X143,0))</f>
        <v>36.9710647514447</v>
      </c>
      <c r="L143" s="432" t="n">
        <f aca="false">IF('Peak Revenue'!$A$1="BL","-",IF(Peak!R144&gt;Peak!$G144,L$8*$X143,0))</f>
        <v>36.9710647514447</v>
      </c>
      <c r="M143" s="432" t="n">
        <f aca="false">IF('Peak Revenue'!$A$1="BL","-",IF(Peak!S144&gt;Peak!$G144,M$8*$X143,0))</f>
        <v>36.9710647514447</v>
      </c>
      <c r="N143" s="432" t="n">
        <f aca="false">IF('Peak Revenue'!$A$1="BL","-",IF(Peak!T144&gt;Peak!$G144,N$8*$X143,0))</f>
        <v>0</v>
      </c>
      <c r="O143" s="432" t="n">
        <f aca="false">IF('Peak Revenue'!$A$1="BL","-",IF(Peak!U144&gt;Peak!$G144,O$8*$X143,0))</f>
        <v>0</v>
      </c>
      <c r="P143" s="432" t="n">
        <f aca="false">IF('Peak Revenue'!$A$1="BL","-",IF(Peak!V144&gt;Peak!$G144,P$8*$X143,0))</f>
        <v>0</v>
      </c>
      <c r="Q143" s="432" t="n">
        <f aca="false">IF('Peak Revenue'!$A$1="BL","-",IF(Peak!W144&gt;Peak!$G144,Q$8*$X143,0))</f>
        <v>0</v>
      </c>
      <c r="R143" s="432" t="n">
        <f aca="false">IF('Peak Revenue'!$A$1="BL","-",IF(Peak!X144&gt;Peak!$G144,R$8*$X143,0))</f>
        <v>0</v>
      </c>
      <c r="S143" s="432" t="n">
        <f aca="false">IF('Peak Revenue'!$A$1="BL","-",IF(Peak!Y144&gt;Peak!$G144,S$8*$X143,0))</f>
        <v>0</v>
      </c>
      <c r="T143" s="432" t="n">
        <f aca="false">IF('Peak Revenue'!$A$1="BL","-",IF(Peak!Z144&gt;Peak!$G144,T$8*$X143,0))</f>
        <v>0</v>
      </c>
      <c r="U143" s="432" t="n">
        <f aca="false">IF('Peak Revenue'!$A$1="BL","-",IF(Peak!AA144&gt;Peak!$G144,U$8*$X143,0))</f>
        <v>0</v>
      </c>
      <c r="V143" s="441" t="n">
        <f aca="false">SUM(B143:U143)</f>
        <v>314.25405038728</v>
      </c>
      <c r="W143" s="442"/>
      <c r="X143" s="439" t="n">
        <f aca="false">CHOOSE(QUOTIENT(MONTH($A143),3)+1,Peak!$AM$11,Peak!$AN$11,Peak!$AL$11,Peak!$AO$11,Peak!$AM$11)</f>
        <v>0.924276618786118</v>
      </c>
      <c r="Y143" s="440" t="n">
        <f aca="false">CHOOSE(QUOTIENT(MONTH($A143),3)+1,Peak!$AM$17,Peak!$AN$17,Peak!$AL$17,Peak!$AO$17,Peak!$AM$17)</f>
        <v>705</v>
      </c>
    </row>
    <row r="144" customFormat="false" ht="12.75" hidden="false" customHeight="false" outlineLevel="0" collapsed="false">
      <c r="A144" s="400" t="n">
        <f aca="false">A143+30.417</f>
        <v>40615.878</v>
      </c>
      <c r="B144" s="432" t="n">
        <f aca="false">IF('Peak Revenue'!$A$1="BL","-",IF(Peak!H145&gt;Peak!$G145,B$8*$X144,0))</f>
        <v>4.75</v>
      </c>
      <c r="C144" s="432" t="n">
        <f aca="false">IF('Peak Revenue'!$A$1="BL","-",IF(Peak!I145&gt;Peak!$G145,C$8*$X144,0))</f>
        <v>4.75</v>
      </c>
      <c r="D144" s="432" t="n">
        <f aca="false">IF('Peak Revenue'!$A$1="BL","-",IF(Peak!J145&gt;Peak!$G145,D$8*$X144,0))</f>
        <v>9.5</v>
      </c>
      <c r="E144" s="432" t="n">
        <f aca="false">IF('Peak Revenue'!$A$1="BL","-",IF(Peak!K145&gt;Peak!$G145,E$8*$X144,0))</f>
        <v>19</v>
      </c>
      <c r="F144" s="432" t="n">
        <f aca="false">IF('Peak Revenue'!$A$1="BL","-",IF(Peak!L145&gt;Peak!$G145,F$8*$X144,0))</f>
        <v>19</v>
      </c>
      <c r="G144" s="432" t="n">
        <f aca="false">IF('Peak Revenue'!$A$1="BL","-",IF(Peak!M145&gt;Peak!$G145,G$8*$X144,0))</f>
        <v>38</v>
      </c>
      <c r="H144" s="432" t="n">
        <f aca="false">IF('Peak Revenue'!$A$1="BL","-",IF(Peak!N145&gt;Peak!$G145,H$8*$X144,0))</f>
        <v>38</v>
      </c>
      <c r="I144" s="432" t="n">
        <f aca="false">IF('Peak Revenue'!$A$1="BL","-",IF(Peak!O145&gt;Peak!$G145,I$8*$X144,0))</f>
        <v>38</v>
      </c>
      <c r="J144" s="432" t="n">
        <f aca="false">IF('Peak Revenue'!$A$1="BL","-",IF(Peak!P145&gt;Peak!$G145,J$8*$X144,0))</f>
        <v>38</v>
      </c>
      <c r="K144" s="432" t="n">
        <f aca="false">IF('Peak Revenue'!$A$1="BL","-",IF(Peak!Q145&gt;Peak!$G145,K$8*$X144,0))</f>
        <v>38</v>
      </c>
      <c r="L144" s="432" t="n">
        <f aca="false">IF('Peak Revenue'!$A$1="BL","-",IF(Peak!R145&gt;Peak!$G145,L$8*$X144,0))</f>
        <v>38</v>
      </c>
      <c r="M144" s="432" t="n">
        <f aca="false">IF('Peak Revenue'!$A$1="BL","-",IF(Peak!S145&gt;Peak!$G145,M$8*$X144,0))</f>
        <v>0</v>
      </c>
      <c r="N144" s="432" t="n">
        <f aca="false">IF('Peak Revenue'!$A$1="BL","-",IF(Peak!T145&gt;Peak!$G145,N$8*$X144,0))</f>
        <v>0</v>
      </c>
      <c r="O144" s="432" t="n">
        <f aca="false">IF('Peak Revenue'!$A$1="BL","-",IF(Peak!U145&gt;Peak!$G145,O$8*$X144,0))</f>
        <v>0</v>
      </c>
      <c r="P144" s="432" t="n">
        <f aca="false">IF('Peak Revenue'!$A$1="BL","-",IF(Peak!V145&gt;Peak!$G145,P$8*$X144,0))</f>
        <v>0</v>
      </c>
      <c r="Q144" s="432" t="n">
        <f aca="false">IF('Peak Revenue'!$A$1="BL","-",IF(Peak!W145&gt;Peak!$G145,Q$8*$X144,0))</f>
        <v>0</v>
      </c>
      <c r="R144" s="432" t="n">
        <f aca="false">IF('Peak Revenue'!$A$1="BL","-",IF(Peak!X145&gt;Peak!$G145,R$8*$X144,0))</f>
        <v>0</v>
      </c>
      <c r="S144" s="432" t="n">
        <f aca="false">IF('Peak Revenue'!$A$1="BL","-",IF(Peak!Y145&gt;Peak!$G145,S$8*$X144,0))</f>
        <v>0</v>
      </c>
      <c r="T144" s="432" t="n">
        <f aca="false">IF('Peak Revenue'!$A$1="BL","-",IF(Peak!Z145&gt;Peak!$G145,T$8*$X144,0))</f>
        <v>0</v>
      </c>
      <c r="U144" s="432" t="n">
        <f aca="false">IF('Peak Revenue'!$A$1="BL","-",IF(Peak!AA145&gt;Peak!$G145,U$8*$X144,0))</f>
        <v>0</v>
      </c>
      <c r="V144" s="441" t="n">
        <f aca="false">SUM(B144:U144)</f>
        <v>285</v>
      </c>
      <c r="W144" s="442"/>
      <c r="X144" s="439" t="n">
        <f aca="false">CHOOSE(QUOTIENT(MONTH($A144),3)+1,Peak!$AM$11,Peak!$AN$11,Peak!$AL$11,Peak!$AO$11,Peak!$AM$11)</f>
        <v>0.95</v>
      </c>
      <c r="Y144" s="440" t="n">
        <f aca="false">CHOOSE(QUOTIENT(MONTH($A144),3)+1,Peak!$AM$17,Peak!$AN$17,Peak!$AL$17,Peak!$AO$17,Peak!$AM$17)</f>
        <v>705</v>
      </c>
    </row>
    <row r="145" customFormat="false" ht="12.75" hidden="false" customHeight="false" outlineLevel="0" collapsed="false">
      <c r="A145" s="400" t="n">
        <f aca="false">A144+30.417</f>
        <v>40646.295</v>
      </c>
      <c r="B145" s="432" t="n">
        <f aca="false">IF('Peak Revenue'!$A$1="BL","-",IF(Peak!H146&gt;Peak!$G146,B$8*$X145,0))</f>
        <v>4.75</v>
      </c>
      <c r="C145" s="432" t="n">
        <f aca="false">IF('Peak Revenue'!$A$1="BL","-",IF(Peak!I146&gt;Peak!$G146,C$8*$X145,0))</f>
        <v>4.75</v>
      </c>
      <c r="D145" s="432" t="n">
        <f aca="false">IF('Peak Revenue'!$A$1="BL","-",IF(Peak!J146&gt;Peak!$G146,D$8*$X145,0))</f>
        <v>9.5</v>
      </c>
      <c r="E145" s="432" t="n">
        <f aca="false">IF('Peak Revenue'!$A$1="BL","-",IF(Peak!K146&gt;Peak!$G146,E$8*$X145,0))</f>
        <v>19</v>
      </c>
      <c r="F145" s="432" t="n">
        <f aca="false">IF('Peak Revenue'!$A$1="BL","-",IF(Peak!L146&gt;Peak!$G146,F$8*$X145,0))</f>
        <v>19</v>
      </c>
      <c r="G145" s="432" t="n">
        <f aca="false">IF('Peak Revenue'!$A$1="BL","-",IF(Peak!M146&gt;Peak!$G146,G$8*$X145,0))</f>
        <v>38</v>
      </c>
      <c r="H145" s="432" t="n">
        <f aca="false">IF('Peak Revenue'!$A$1="BL","-",IF(Peak!N146&gt;Peak!$G146,H$8*$X145,0))</f>
        <v>38</v>
      </c>
      <c r="I145" s="432" t="n">
        <f aca="false">IF('Peak Revenue'!$A$1="BL","-",IF(Peak!O146&gt;Peak!$G146,I$8*$X145,0))</f>
        <v>38</v>
      </c>
      <c r="J145" s="432" t="n">
        <f aca="false">IF('Peak Revenue'!$A$1="BL","-",IF(Peak!P146&gt;Peak!$G146,J$8*$X145,0))</f>
        <v>0</v>
      </c>
      <c r="K145" s="432" t="n">
        <f aca="false">IF('Peak Revenue'!$A$1="BL","-",IF(Peak!Q146&gt;Peak!$G146,K$8*$X145,0))</f>
        <v>0</v>
      </c>
      <c r="L145" s="432" t="n">
        <f aca="false">IF('Peak Revenue'!$A$1="BL","-",IF(Peak!R146&gt;Peak!$G146,L$8*$X145,0))</f>
        <v>0</v>
      </c>
      <c r="M145" s="432" t="n">
        <f aca="false">IF('Peak Revenue'!$A$1="BL","-",IF(Peak!S146&gt;Peak!$G146,M$8*$X145,0))</f>
        <v>0</v>
      </c>
      <c r="N145" s="432" t="n">
        <f aca="false">IF('Peak Revenue'!$A$1="BL","-",IF(Peak!T146&gt;Peak!$G146,N$8*$X145,0))</f>
        <v>0</v>
      </c>
      <c r="O145" s="432" t="n">
        <f aca="false">IF('Peak Revenue'!$A$1="BL","-",IF(Peak!U146&gt;Peak!$G146,O$8*$X145,0))</f>
        <v>0</v>
      </c>
      <c r="P145" s="432" t="n">
        <f aca="false">IF('Peak Revenue'!$A$1="BL","-",IF(Peak!V146&gt;Peak!$G146,P$8*$X145,0))</f>
        <v>0</v>
      </c>
      <c r="Q145" s="432" t="n">
        <f aca="false">IF('Peak Revenue'!$A$1="BL","-",IF(Peak!W146&gt;Peak!$G146,Q$8*$X145,0))</f>
        <v>0</v>
      </c>
      <c r="R145" s="432" t="n">
        <f aca="false">IF('Peak Revenue'!$A$1="BL","-",IF(Peak!X146&gt;Peak!$G146,R$8*$X145,0))</f>
        <v>0</v>
      </c>
      <c r="S145" s="432" t="n">
        <f aca="false">IF('Peak Revenue'!$A$1="BL","-",IF(Peak!Y146&gt;Peak!$G146,S$8*$X145,0))</f>
        <v>0</v>
      </c>
      <c r="T145" s="432" t="n">
        <f aca="false">IF('Peak Revenue'!$A$1="BL","-",IF(Peak!Z146&gt;Peak!$G146,T$8*$X145,0))</f>
        <v>0</v>
      </c>
      <c r="U145" s="432" t="n">
        <f aca="false">IF('Peak Revenue'!$A$1="BL","-",IF(Peak!AA146&gt;Peak!$G146,U$8*$X145,0))</f>
        <v>0</v>
      </c>
      <c r="V145" s="441" t="n">
        <f aca="false">SUM(B145:U145)</f>
        <v>171</v>
      </c>
      <c r="W145" s="442"/>
      <c r="X145" s="439" t="n">
        <f aca="false">CHOOSE(QUOTIENT(MONTH($A145),3)+1,Peak!$AM$11,Peak!$AN$11,Peak!$AL$11,Peak!$AO$11,Peak!$AM$11)</f>
        <v>0.95</v>
      </c>
      <c r="Y145" s="440" t="n">
        <f aca="false">CHOOSE(QUOTIENT(MONTH($A145),3)+1,Peak!$AM$17,Peak!$AN$17,Peak!$AL$17,Peak!$AO$17,Peak!$AM$17)</f>
        <v>705</v>
      </c>
    </row>
    <row r="146" customFormat="false" ht="12.75" hidden="false" customHeight="false" outlineLevel="0" collapsed="false">
      <c r="A146" s="400" t="n">
        <f aca="false">A145+30.417</f>
        <v>40676.712</v>
      </c>
      <c r="B146" s="432" t="n">
        <f aca="false">IF('Peak Revenue'!$A$1="BL","-",IF(Peak!H147&gt;Peak!$G147,B$8*$X146,0))</f>
        <v>4.75</v>
      </c>
      <c r="C146" s="432" t="n">
        <f aca="false">IF('Peak Revenue'!$A$1="BL","-",IF(Peak!I147&gt;Peak!$G147,C$8*$X146,0))</f>
        <v>4.75</v>
      </c>
      <c r="D146" s="432" t="n">
        <f aca="false">IF('Peak Revenue'!$A$1="BL","-",IF(Peak!J147&gt;Peak!$G147,D$8*$X146,0))</f>
        <v>9.5</v>
      </c>
      <c r="E146" s="432" t="n">
        <f aca="false">IF('Peak Revenue'!$A$1="BL","-",IF(Peak!K147&gt;Peak!$G147,E$8*$X146,0))</f>
        <v>19</v>
      </c>
      <c r="F146" s="432" t="n">
        <f aca="false">IF('Peak Revenue'!$A$1="BL","-",IF(Peak!L147&gt;Peak!$G147,F$8*$X146,0))</f>
        <v>19</v>
      </c>
      <c r="G146" s="432" t="n">
        <f aca="false">IF('Peak Revenue'!$A$1="BL","-",IF(Peak!M147&gt;Peak!$G147,G$8*$X146,0))</f>
        <v>38</v>
      </c>
      <c r="H146" s="432" t="n">
        <f aca="false">IF('Peak Revenue'!$A$1="BL","-",IF(Peak!N147&gt;Peak!$G147,H$8*$X146,0))</f>
        <v>38</v>
      </c>
      <c r="I146" s="432" t="n">
        <f aca="false">IF('Peak Revenue'!$A$1="BL","-",IF(Peak!O147&gt;Peak!$G147,I$8*$X146,0))</f>
        <v>38</v>
      </c>
      <c r="J146" s="432" t="n">
        <f aca="false">IF('Peak Revenue'!$A$1="BL","-",IF(Peak!P147&gt;Peak!$G147,J$8*$X146,0))</f>
        <v>0</v>
      </c>
      <c r="K146" s="432" t="n">
        <f aca="false">IF('Peak Revenue'!$A$1="BL","-",IF(Peak!Q147&gt;Peak!$G147,K$8*$X146,0))</f>
        <v>0</v>
      </c>
      <c r="L146" s="432" t="n">
        <f aca="false">IF('Peak Revenue'!$A$1="BL","-",IF(Peak!R147&gt;Peak!$G147,L$8*$X146,0))</f>
        <v>0</v>
      </c>
      <c r="M146" s="432" t="n">
        <f aca="false">IF('Peak Revenue'!$A$1="BL","-",IF(Peak!S147&gt;Peak!$G147,M$8*$X146,0))</f>
        <v>0</v>
      </c>
      <c r="N146" s="432" t="n">
        <f aca="false">IF('Peak Revenue'!$A$1="BL","-",IF(Peak!T147&gt;Peak!$G147,N$8*$X146,0))</f>
        <v>0</v>
      </c>
      <c r="O146" s="432" t="n">
        <f aca="false">IF('Peak Revenue'!$A$1="BL","-",IF(Peak!U147&gt;Peak!$G147,O$8*$X146,0))</f>
        <v>0</v>
      </c>
      <c r="P146" s="432" t="n">
        <f aca="false">IF('Peak Revenue'!$A$1="BL","-",IF(Peak!V147&gt;Peak!$G147,P$8*$X146,0))</f>
        <v>0</v>
      </c>
      <c r="Q146" s="432" t="n">
        <f aca="false">IF('Peak Revenue'!$A$1="BL","-",IF(Peak!W147&gt;Peak!$G147,Q$8*$X146,0))</f>
        <v>0</v>
      </c>
      <c r="R146" s="432" t="n">
        <f aca="false">IF('Peak Revenue'!$A$1="BL","-",IF(Peak!X147&gt;Peak!$G147,R$8*$X146,0))</f>
        <v>0</v>
      </c>
      <c r="S146" s="432" t="n">
        <f aca="false">IF('Peak Revenue'!$A$1="BL","-",IF(Peak!Y147&gt;Peak!$G147,S$8*$X146,0))</f>
        <v>0</v>
      </c>
      <c r="T146" s="432" t="n">
        <f aca="false">IF('Peak Revenue'!$A$1="BL","-",IF(Peak!Z147&gt;Peak!$G147,T$8*$X146,0))</f>
        <v>0</v>
      </c>
      <c r="U146" s="432" t="n">
        <f aca="false">IF('Peak Revenue'!$A$1="BL","-",IF(Peak!AA147&gt;Peak!$G147,U$8*$X146,0))</f>
        <v>0</v>
      </c>
      <c r="V146" s="441" t="n">
        <f aca="false">SUM(B146:U146)</f>
        <v>171</v>
      </c>
      <c r="W146" s="442"/>
      <c r="X146" s="439" t="n">
        <f aca="false">CHOOSE(QUOTIENT(MONTH($A146),3)+1,Peak!$AM$11,Peak!$AN$11,Peak!$AL$11,Peak!$AO$11,Peak!$AM$11)</f>
        <v>0.95</v>
      </c>
      <c r="Y146" s="440" t="n">
        <f aca="false">CHOOSE(QUOTIENT(MONTH($A146),3)+1,Peak!$AM$17,Peak!$AN$17,Peak!$AL$17,Peak!$AO$17,Peak!$AM$17)</f>
        <v>705</v>
      </c>
    </row>
    <row r="147" customFormat="false" ht="12.75" hidden="false" customHeight="false" outlineLevel="0" collapsed="false">
      <c r="A147" s="400" t="n">
        <f aca="false">A146+30.417</f>
        <v>40707.129</v>
      </c>
      <c r="B147" s="432" t="n">
        <f aca="false">IF('Peak Revenue'!$A$1="BL","-",IF(Peak!H148&gt;Peak!$G148,B$8*$X147,0))</f>
        <v>4.83060679547793</v>
      </c>
      <c r="C147" s="432" t="n">
        <f aca="false">IF('Peak Revenue'!$A$1="BL","-",IF(Peak!I148&gt;Peak!$G148,C$8*$X147,0))</f>
        <v>4.83060679547793</v>
      </c>
      <c r="D147" s="432" t="n">
        <f aca="false">IF('Peak Revenue'!$A$1="BL","-",IF(Peak!J148&gt;Peak!$G148,D$8*$X147,0))</f>
        <v>9.66121359095586</v>
      </c>
      <c r="E147" s="432" t="n">
        <f aca="false">IF('Peak Revenue'!$A$1="BL","-",IF(Peak!K148&gt;Peak!$G148,E$8*$X147,0))</f>
        <v>19.3224271819117</v>
      </c>
      <c r="F147" s="432" t="n">
        <f aca="false">IF('Peak Revenue'!$A$1="BL","-",IF(Peak!L148&gt;Peak!$G148,F$8*$X147,0))</f>
        <v>19.3224271819117</v>
      </c>
      <c r="G147" s="432" t="n">
        <f aca="false">IF('Peak Revenue'!$A$1="BL","-",IF(Peak!M148&gt;Peak!$G148,G$8*$X147,0))</f>
        <v>38.6448543638234</v>
      </c>
      <c r="H147" s="432" t="n">
        <f aca="false">IF('Peak Revenue'!$A$1="BL","-",IF(Peak!N148&gt;Peak!$G148,H$8*$X147,0))</f>
        <v>38.6448543638234</v>
      </c>
      <c r="I147" s="432" t="n">
        <f aca="false">IF('Peak Revenue'!$A$1="BL","-",IF(Peak!O148&gt;Peak!$G148,I$8*$X147,0))</f>
        <v>38.6448543638234</v>
      </c>
      <c r="J147" s="432" t="n">
        <f aca="false">IF('Peak Revenue'!$A$1="BL","-",IF(Peak!P148&gt;Peak!$G148,J$8*$X147,0))</f>
        <v>38.6448543638234</v>
      </c>
      <c r="K147" s="432" t="n">
        <f aca="false">IF('Peak Revenue'!$A$1="BL","-",IF(Peak!Q148&gt;Peak!$G148,K$8*$X147,0))</f>
        <v>0</v>
      </c>
      <c r="L147" s="432" t="n">
        <f aca="false">IF('Peak Revenue'!$A$1="BL","-",IF(Peak!R148&gt;Peak!$G148,L$8*$X147,0))</f>
        <v>0</v>
      </c>
      <c r="M147" s="432" t="n">
        <f aca="false">IF('Peak Revenue'!$A$1="BL","-",IF(Peak!S148&gt;Peak!$G148,M$8*$X147,0))</f>
        <v>0</v>
      </c>
      <c r="N147" s="432" t="n">
        <f aca="false">IF('Peak Revenue'!$A$1="BL","-",IF(Peak!T148&gt;Peak!$G148,N$8*$X147,0))</f>
        <v>0</v>
      </c>
      <c r="O147" s="432" t="n">
        <f aca="false">IF('Peak Revenue'!$A$1="BL","-",IF(Peak!U148&gt;Peak!$G148,O$8*$X147,0))</f>
        <v>0</v>
      </c>
      <c r="P147" s="432" t="n">
        <f aca="false">IF('Peak Revenue'!$A$1="BL","-",IF(Peak!V148&gt;Peak!$G148,P$8*$X147,0))</f>
        <v>0</v>
      </c>
      <c r="Q147" s="432" t="n">
        <f aca="false">IF('Peak Revenue'!$A$1="BL","-",IF(Peak!W148&gt;Peak!$G148,Q$8*$X147,0))</f>
        <v>0</v>
      </c>
      <c r="R147" s="432" t="n">
        <f aca="false">IF('Peak Revenue'!$A$1="BL","-",IF(Peak!X148&gt;Peak!$G148,R$8*$X147,0))</f>
        <v>0</v>
      </c>
      <c r="S147" s="432" t="n">
        <f aca="false">IF('Peak Revenue'!$A$1="BL","-",IF(Peak!Y148&gt;Peak!$G148,S$8*$X147,0))</f>
        <v>0</v>
      </c>
      <c r="T147" s="432" t="n">
        <f aca="false">IF('Peak Revenue'!$A$1="BL","-",IF(Peak!Z148&gt;Peak!$G148,T$8*$X147,0))</f>
        <v>0</v>
      </c>
      <c r="U147" s="432" t="n">
        <f aca="false">IF('Peak Revenue'!$A$1="BL","-",IF(Peak!AA148&gt;Peak!$G148,U$8*$X147,0))</f>
        <v>0</v>
      </c>
      <c r="V147" s="441" t="n">
        <f aca="false">SUM(B147:U147)</f>
        <v>212.546699001029</v>
      </c>
      <c r="W147" s="442"/>
      <c r="X147" s="439" t="n">
        <f aca="false">CHOOSE(QUOTIENT(MONTH($A147),3)+1,Peak!$AM$11,Peak!$AN$11,Peak!$AL$11,Peak!$AO$11,Peak!$AM$11)</f>
        <v>0.966121359095586</v>
      </c>
      <c r="Y147" s="440" t="n">
        <f aca="false">CHOOSE(QUOTIENT(MONTH($A147),3)+1,Peak!$AM$17,Peak!$AN$17,Peak!$AL$17,Peak!$AO$17,Peak!$AM$17)</f>
        <v>705</v>
      </c>
    </row>
    <row r="148" customFormat="false" ht="12.75" hidden="false" customHeight="false" outlineLevel="0" collapsed="false">
      <c r="A148" s="400" t="n">
        <f aca="false">A147+30.417</f>
        <v>40737.546</v>
      </c>
      <c r="B148" s="432" t="n">
        <f aca="false">IF('Peak Revenue'!$A$1="BL","-",IF(Peak!H149&gt;Peak!$G149,B$8*$X148,0))</f>
        <v>4.83060679547793</v>
      </c>
      <c r="C148" s="432" t="n">
        <f aca="false">IF('Peak Revenue'!$A$1="BL","-",IF(Peak!I149&gt;Peak!$G149,C$8*$X148,0))</f>
        <v>4.83060679547793</v>
      </c>
      <c r="D148" s="432" t="n">
        <f aca="false">IF('Peak Revenue'!$A$1="BL","-",IF(Peak!J149&gt;Peak!$G149,D$8*$X148,0))</f>
        <v>9.66121359095586</v>
      </c>
      <c r="E148" s="432" t="n">
        <f aca="false">IF('Peak Revenue'!$A$1="BL","-",IF(Peak!K149&gt;Peak!$G149,E$8*$X148,0))</f>
        <v>19.3224271819117</v>
      </c>
      <c r="F148" s="432" t="n">
        <f aca="false">IF('Peak Revenue'!$A$1="BL","-",IF(Peak!L149&gt;Peak!$G149,F$8*$X148,0))</f>
        <v>19.3224271819117</v>
      </c>
      <c r="G148" s="432" t="n">
        <f aca="false">IF('Peak Revenue'!$A$1="BL","-",IF(Peak!M149&gt;Peak!$G149,G$8*$X148,0))</f>
        <v>38.6448543638234</v>
      </c>
      <c r="H148" s="432" t="n">
        <f aca="false">IF('Peak Revenue'!$A$1="BL","-",IF(Peak!N149&gt;Peak!$G149,H$8*$X148,0))</f>
        <v>38.6448543638234</v>
      </c>
      <c r="I148" s="432" t="n">
        <f aca="false">IF('Peak Revenue'!$A$1="BL","-",IF(Peak!O149&gt;Peak!$G149,I$8*$X148,0))</f>
        <v>38.6448543638234</v>
      </c>
      <c r="J148" s="432" t="n">
        <f aca="false">IF('Peak Revenue'!$A$1="BL","-",IF(Peak!P149&gt;Peak!$G149,J$8*$X148,0))</f>
        <v>38.6448543638234</v>
      </c>
      <c r="K148" s="432" t="n">
        <f aca="false">IF('Peak Revenue'!$A$1="BL","-",IF(Peak!Q149&gt;Peak!$G149,K$8*$X148,0))</f>
        <v>38.6448543638234</v>
      </c>
      <c r="L148" s="432" t="n">
        <f aca="false">IF('Peak Revenue'!$A$1="BL","-",IF(Peak!R149&gt;Peak!$G149,L$8*$X148,0))</f>
        <v>38.6448543638234</v>
      </c>
      <c r="M148" s="432" t="n">
        <f aca="false">IF('Peak Revenue'!$A$1="BL","-",IF(Peak!S149&gt;Peak!$G149,M$8*$X148,0))</f>
        <v>38.6448543638234</v>
      </c>
      <c r="N148" s="432" t="n">
        <f aca="false">IF('Peak Revenue'!$A$1="BL","-",IF(Peak!T149&gt;Peak!$G149,N$8*$X148,0))</f>
        <v>38.6448543638234</v>
      </c>
      <c r="O148" s="432" t="n">
        <f aca="false">IF('Peak Revenue'!$A$1="BL","-",IF(Peak!U149&gt;Peak!$G149,O$8*$X148,0))</f>
        <v>38.6448543638234</v>
      </c>
      <c r="P148" s="432" t="n">
        <f aca="false">IF('Peak Revenue'!$A$1="BL","-",IF(Peak!V149&gt;Peak!$G149,P$8*$X148,0))</f>
        <v>0</v>
      </c>
      <c r="Q148" s="432" t="n">
        <f aca="false">IF('Peak Revenue'!$A$1="BL","-",IF(Peak!W149&gt;Peak!$G149,Q$8*$X148,0))</f>
        <v>0</v>
      </c>
      <c r="R148" s="432" t="n">
        <f aca="false">IF('Peak Revenue'!$A$1="BL","-",IF(Peak!X149&gt;Peak!$G149,R$8*$X148,0))</f>
        <v>0</v>
      </c>
      <c r="S148" s="432" t="n">
        <f aca="false">IF('Peak Revenue'!$A$1="BL","-",IF(Peak!Y149&gt;Peak!$G149,S$8*$X148,0))</f>
        <v>0</v>
      </c>
      <c r="T148" s="432" t="n">
        <f aca="false">IF('Peak Revenue'!$A$1="BL","-",IF(Peak!Z149&gt;Peak!$G149,T$8*$X148,0))</f>
        <v>0</v>
      </c>
      <c r="U148" s="432" t="n">
        <f aca="false">IF('Peak Revenue'!$A$1="BL","-",IF(Peak!AA149&gt;Peak!$G149,U$8*$X148,0))</f>
        <v>0</v>
      </c>
      <c r="V148" s="441" t="n">
        <f aca="false">SUM(B148:U148)</f>
        <v>405.770970820146</v>
      </c>
      <c r="W148" s="442"/>
      <c r="X148" s="439" t="n">
        <f aca="false">CHOOSE(QUOTIENT(MONTH($A148),3)+1,Peak!$AM$11,Peak!$AN$11,Peak!$AL$11,Peak!$AO$11,Peak!$AM$11)</f>
        <v>0.966121359095586</v>
      </c>
      <c r="Y148" s="440" t="n">
        <f aca="false">CHOOSE(QUOTIENT(MONTH($A148),3)+1,Peak!$AM$17,Peak!$AN$17,Peak!$AL$17,Peak!$AO$17,Peak!$AM$17)</f>
        <v>705</v>
      </c>
    </row>
    <row r="149" customFormat="false" ht="12.75" hidden="false" customHeight="false" outlineLevel="0" collapsed="false">
      <c r="A149" s="400" t="n">
        <f aca="false">A148+30.417</f>
        <v>40767.963</v>
      </c>
      <c r="B149" s="432" t="n">
        <f aca="false">IF('Peak Revenue'!$A$1="BL","-",IF(Peak!H150&gt;Peak!$G150,B$8*$X149,0))</f>
        <v>4.83060679547793</v>
      </c>
      <c r="C149" s="432" t="n">
        <f aca="false">IF('Peak Revenue'!$A$1="BL","-",IF(Peak!I150&gt;Peak!$G150,C$8*$X149,0))</f>
        <v>4.83060679547793</v>
      </c>
      <c r="D149" s="432" t="n">
        <f aca="false">IF('Peak Revenue'!$A$1="BL","-",IF(Peak!J150&gt;Peak!$G150,D$8*$X149,0))</f>
        <v>9.66121359095586</v>
      </c>
      <c r="E149" s="432" t="n">
        <f aca="false">IF('Peak Revenue'!$A$1="BL","-",IF(Peak!K150&gt;Peak!$G150,E$8*$X149,0))</f>
        <v>19.3224271819117</v>
      </c>
      <c r="F149" s="432" t="n">
        <f aca="false">IF('Peak Revenue'!$A$1="BL","-",IF(Peak!L150&gt;Peak!$G150,F$8*$X149,0))</f>
        <v>19.3224271819117</v>
      </c>
      <c r="G149" s="432" t="n">
        <f aca="false">IF('Peak Revenue'!$A$1="BL","-",IF(Peak!M150&gt;Peak!$G150,G$8*$X149,0))</f>
        <v>38.6448543638234</v>
      </c>
      <c r="H149" s="432" t="n">
        <f aca="false">IF('Peak Revenue'!$A$1="BL","-",IF(Peak!N150&gt;Peak!$G150,H$8*$X149,0))</f>
        <v>38.6448543638234</v>
      </c>
      <c r="I149" s="432" t="n">
        <f aca="false">IF('Peak Revenue'!$A$1="BL","-",IF(Peak!O150&gt;Peak!$G150,I$8*$X149,0))</f>
        <v>38.6448543638234</v>
      </c>
      <c r="J149" s="432" t="n">
        <f aca="false">IF('Peak Revenue'!$A$1="BL","-",IF(Peak!P150&gt;Peak!$G150,J$8*$X149,0))</f>
        <v>38.6448543638234</v>
      </c>
      <c r="K149" s="432" t="n">
        <f aca="false">IF('Peak Revenue'!$A$1="BL","-",IF(Peak!Q150&gt;Peak!$G150,K$8*$X149,0))</f>
        <v>38.6448543638234</v>
      </c>
      <c r="L149" s="432" t="n">
        <f aca="false">IF('Peak Revenue'!$A$1="BL","-",IF(Peak!R150&gt;Peak!$G150,L$8*$X149,0))</f>
        <v>38.6448543638234</v>
      </c>
      <c r="M149" s="432" t="n">
        <f aca="false">IF('Peak Revenue'!$A$1="BL","-",IF(Peak!S150&gt;Peak!$G150,M$8*$X149,0))</f>
        <v>38.6448543638234</v>
      </c>
      <c r="N149" s="432" t="n">
        <f aca="false">IF('Peak Revenue'!$A$1="BL","-",IF(Peak!T150&gt;Peak!$G150,N$8*$X149,0))</f>
        <v>38.6448543638234</v>
      </c>
      <c r="O149" s="432" t="n">
        <f aca="false">IF('Peak Revenue'!$A$1="BL","-",IF(Peak!U150&gt;Peak!$G150,O$8*$X149,0))</f>
        <v>38.6448543638234</v>
      </c>
      <c r="P149" s="432" t="n">
        <f aca="false">IF('Peak Revenue'!$A$1="BL","-",IF(Peak!V150&gt;Peak!$G150,P$8*$X149,0))</f>
        <v>38.6448543638234</v>
      </c>
      <c r="Q149" s="432" t="n">
        <f aca="false">IF('Peak Revenue'!$A$1="BL","-",IF(Peak!W150&gt;Peak!$G150,Q$8*$X149,0))</f>
        <v>38.6448543638234</v>
      </c>
      <c r="R149" s="432" t="n">
        <f aca="false">IF('Peak Revenue'!$A$1="BL","-",IF(Peak!X150&gt;Peak!$G150,R$8*$X149,0))</f>
        <v>38.6448543638234</v>
      </c>
      <c r="S149" s="432" t="n">
        <f aca="false">IF('Peak Revenue'!$A$1="BL","-",IF(Peak!Y150&gt;Peak!$G150,S$8*$X149,0))</f>
        <v>0</v>
      </c>
      <c r="T149" s="432" t="n">
        <f aca="false">IF('Peak Revenue'!$A$1="BL","-",IF(Peak!Z150&gt;Peak!$G150,T$8*$X149,0))</f>
        <v>0</v>
      </c>
      <c r="U149" s="432" t="n">
        <f aca="false">IF('Peak Revenue'!$A$1="BL","-",IF(Peak!AA150&gt;Peak!$G150,U$8*$X149,0))</f>
        <v>0</v>
      </c>
      <c r="V149" s="441" t="n">
        <f aca="false">SUM(B149:U149)</f>
        <v>521.705533911616</v>
      </c>
      <c r="W149" s="442"/>
      <c r="X149" s="439" t="n">
        <f aca="false">CHOOSE(QUOTIENT(MONTH($A149),3)+1,Peak!$AM$11,Peak!$AN$11,Peak!$AL$11,Peak!$AO$11,Peak!$AM$11)</f>
        <v>0.966121359095586</v>
      </c>
      <c r="Y149" s="440" t="n">
        <f aca="false">CHOOSE(QUOTIENT(MONTH($A149),3)+1,Peak!$AM$17,Peak!$AN$17,Peak!$AL$17,Peak!$AO$17,Peak!$AM$17)</f>
        <v>705</v>
      </c>
    </row>
    <row r="150" customFormat="false" ht="12.75" hidden="false" customHeight="false" outlineLevel="0" collapsed="false">
      <c r="A150" s="400" t="n">
        <f aca="false">A149+30.417</f>
        <v>40798.38</v>
      </c>
      <c r="B150" s="432" t="n">
        <f aca="false">IF('Peak Revenue'!$A$1="BL","-",IF(Peak!H151&gt;Peak!$G151,B$8*$X150,0))</f>
        <v>4.75</v>
      </c>
      <c r="C150" s="432" t="n">
        <f aca="false">IF('Peak Revenue'!$A$1="BL","-",IF(Peak!I151&gt;Peak!$G151,C$8*$X150,0))</f>
        <v>4.75</v>
      </c>
      <c r="D150" s="432" t="n">
        <f aca="false">IF('Peak Revenue'!$A$1="BL","-",IF(Peak!J151&gt;Peak!$G151,D$8*$X150,0))</f>
        <v>9.5</v>
      </c>
      <c r="E150" s="432" t="n">
        <f aca="false">IF('Peak Revenue'!$A$1="BL","-",IF(Peak!K151&gt;Peak!$G151,E$8*$X150,0))</f>
        <v>19</v>
      </c>
      <c r="F150" s="432" t="n">
        <f aca="false">IF('Peak Revenue'!$A$1="BL","-",IF(Peak!L151&gt;Peak!$G151,F$8*$X150,0))</f>
        <v>19</v>
      </c>
      <c r="G150" s="432" t="n">
        <f aca="false">IF('Peak Revenue'!$A$1="BL","-",IF(Peak!M151&gt;Peak!$G151,G$8*$X150,0))</f>
        <v>38</v>
      </c>
      <c r="H150" s="432" t="n">
        <f aca="false">IF('Peak Revenue'!$A$1="BL","-",IF(Peak!N151&gt;Peak!$G151,H$8*$X150,0))</f>
        <v>38</v>
      </c>
      <c r="I150" s="432" t="n">
        <f aca="false">IF('Peak Revenue'!$A$1="BL","-",IF(Peak!O151&gt;Peak!$G151,I$8*$X150,0))</f>
        <v>38</v>
      </c>
      <c r="J150" s="432" t="n">
        <f aca="false">IF('Peak Revenue'!$A$1="BL","-",IF(Peak!P151&gt;Peak!$G151,J$8*$X150,0))</f>
        <v>38</v>
      </c>
      <c r="K150" s="432" t="n">
        <f aca="false">IF('Peak Revenue'!$A$1="BL","-",IF(Peak!Q151&gt;Peak!$G151,K$8*$X150,0))</f>
        <v>38</v>
      </c>
      <c r="L150" s="432" t="n">
        <f aca="false">IF('Peak Revenue'!$A$1="BL","-",IF(Peak!R151&gt;Peak!$G151,L$8*$X150,0))</f>
        <v>38</v>
      </c>
      <c r="M150" s="432" t="n">
        <f aca="false">IF('Peak Revenue'!$A$1="BL","-",IF(Peak!S151&gt;Peak!$G151,M$8*$X150,0))</f>
        <v>38</v>
      </c>
      <c r="N150" s="432" t="n">
        <f aca="false">IF('Peak Revenue'!$A$1="BL","-",IF(Peak!T151&gt;Peak!$G151,N$8*$X150,0))</f>
        <v>0</v>
      </c>
      <c r="O150" s="432" t="n">
        <f aca="false">IF('Peak Revenue'!$A$1="BL","-",IF(Peak!U151&gt;Peak!$G151,O$8*$X150,0))</f>
        <v>0</v>
      </c>
      <c r="P150" s="432" t="n">
        <f aca="false">IF('Peak Revenue'!$A$1="BL","-",IF(Peak!V151&gt;Peak!$G151,P$8*$X150,0))</f>
        <v>0</v>
      </c>
      <c r="Q150" s="432" t="n">
        <f aca="false">IF('Peak Revenue'!$A$1="BL","-",IF(Peak!W151&gt;Peak!$G151,Q$8*$X150,0))</f>
        <v>0</v>
      </c>
      <c r="R150" s="432" t="n">
        <f aca="false">IF('Peak Revenue'!$A$1="BL","-",IF(Peak!X151&gt;Peak!$G151,R$8*$X150,0))</f>
        <v>0</v>
      </c>
      <c r="S150" s="432" t="n">
        <f aca="false">IF('Peak Revenue'!$A$1="BL","-",IF(Peak!Y151&gt;Peak!$G151,S$8*$X150,0))</f>
        <v>0</v>
      </c>
      <c r="T150" s="432" t="n">
        <f aca="false">IF('Peak Revenue'!$A$1="BL","-",IF(Peak!Z151&gt;Peak!$G151,T$8*$X150,0))</f>
        <v>0</v>
      </c>
      <c r="U150" s="432" t="n">
        <f aca="false">IF('Peak Revenue'!$A$1="BL","-",IF(Peak!AA151&gt;Peak!$G151,U$8*$X150,0))</f>
        <v>0</v>
      </c>
      <c r="V150" s="441" t="n">
        <f aca="false">SUM(B150:U150)</f>
        <v>323</v>
      </c>
      <c r="W150" s="442"/>
      <c r="X150" s="439" t="n">
        <f aca="false">CHOOSE(QUOTIENT(MONTH($A150),3)+1,Peak!$AM$11,Peak!$AN$11,Peak!$AL$11,Peak!$AO$11,Peak!$AM$11)</f>
        <v>0.95</v>
      </c>
      <c r="Y150" s="440" t="n">
        <f aca="false">CHOOSE(QUOTIENT(MONTH($A150),3)+1,Peak!$AM$17,Peak!$AN$17,Peak!$AL$17,Peak!$AO$17,Peak!$AM$17)</f>
        <v>705</v>
      </c>
    </row>
    <row r="151" customFormat="false" ht="12.75" hidden="false" customHeight="false" outlineLevel="0" collapsed="false">
      <c r="A151" s="400" t="n">
        <f aca="false">A150+30.417</f>
        <v>40828.797</v>
      </c>
      <c r="B151" s="432" t="n">
        <f aca="false">IF('Peak Revenue'!$A$1="BL","-",IF(Peak!H152&gt;Peak!$G152,B$8*$X151,0))</f>
        <v>4.75</v>
      </c>
      <c r="C151" s="432" t="n">
        <f aca="false">IF('Peak Revenue'!$A$1="BL","-",IF(Peak!I152&gt;Peak!$G152,C$8*$X151,0))</f>
        <v>4.75</v>
      </c>
      <c r="D151" s="432" t="n">
        <f aca="false">IF('Peak Revenue'!$A$1="BL","-",IF(Peak!J152&gt;Peak!$G152,D$8*$X151,0))</f>
        <v>9.5</v>
      </c>
      <c r="E151" s="432" t="n">
        <f aca="false">IF('Peak Revenue'!$A$1="BL","-",IF(Peak!K152&gt;Peak!$G152,E$8*$X151,0))</f>
        <v>19</v>
      </c>
      <c r="F151" s="432" t="n">
        <f aca="false">IF('Peak Revenue'!$A$1="BL","-",IF(Peak!L152&gt;Peak!$G152,F$8*$X151,0))</f>
        <v>19</v>
      </c>
      <c r="G151" s="432" t="n">
        <f aca="false">IF('Peak Revenue'!$A$1="BL","-",IF(Peak!M152&gt;Peak!$G152,G$8*$X151,0))</f>
        <v>38</v>
      </c>
      <c r="H151" s="432" t="n">
        <f aca="false">IF('Peak Revenue'!$A$1="BL","-",IF(Peak!N152&gt;Peak!$G152,H$8*$X151,0))</f>
        <v>38</v>
      </c>
      <c r="I151" s="432" t="n">
        <f aca="false">IF('Peak Revenue'!$A$1="BL","-",IF(Peak!O152&gt;Peak!$G152,I$8*$X151,0))</f>
        <v>38</v>
      </c>
      <c r="J151" s="432" t="n">
        <f aca="false">IF('Peak Revenue'!$A$1="BL","-",IF(Peak!P152&gt;Peak!$G152,J$8*$X151,0))</f>
        <v>38</v>
      </c>
      <c r="K151" s="432" t="n">
        <f aca="false">IF('Peak Revenue'!$A$1="BL","-",IF(Peak!Q152&gt;Peak!$G152,K$8*$X151,0))</f>
        <v>0</v>
      </c>
      <c r="L151" s="432" t="n">
        <f aca="false">IF('Peak Revenue'!$A$1="BL","-",IF(Peak!R152&gt;Peak!$G152,L$8*$X151,0))</f>
        <v>0</v>
      </c>
      <c r="M151" s="432" t="n">
        <f aca="false">IF('Peak Revenue'!$A$1="BL","-",IF(Peak!S152&gt;Peak!$G152,M$8*$X151,0))</f>
        <v>0</v>
      </c>
      <c r="N151" s="432" t="n">
        <f aca="false">IF('Peak Revenue'!$A$1="BL","-",IF(Peak!T152&gt;Peak!$G152,N$8*$X151,0))</f>
        <v>0</v>
      </c>
      <c r="O151" s="432" t="n">
        <f aca="false">IF('Peak Revenue'!$A$1="BL","-",IF(Peak!U152&gt;Peak!$G152,O$8*$X151,0))</f>
        <v>0</v>
      </c>
      <c r="P151" s="432" t="n">
        <f aca="false">IF('Peak Revenue'!$A$1="BL","-",IF(Peak!V152&gt;Peak!$G152,P$8*$X151,0))</f>
        <v>0</v>
      </c>
      <c r="Q151" s="432" t="n">
        <f aca="false">IF('Peak Revenue'!$A$1="BL","-",IF(Peak!W152&gt;Peak!$G152,Q$8*$X151,0))</f>
        <v>0</v>
      </c>
      <c r="R151" s="432" t="n">
        <f aca="false">IF('Peak Revenue'!$A$1="BL","-",IF(Peak!X152&gt;Peak!$G152,R$8*$X151,0))</f>
        <v>0</v>
      </c>
      <c r="S151" s="432" t="n">
        <f aca="false">IF('Peak Revenue'!$A$1="BL","-",IF(Peak!Y152&gt;Peak!$G152,S$8*$X151,0))</f>
        <v>0</v>
      </c>
      <c r="T151" s="432" t="n">
        <f aca="false">IF('Peak Revenue'!$A$1="BL","-",IF(Peak!Z152&gt;Peak!$G152,T$8*$X151,0))</f>
        <v>0</v>
      </c>
      <c r="U151" s="432" t="n">
        <f aca="false">IF('Peak Revenue'!$A$1="BL","-",IF(Peak!AA152&gt;Peak!$G152,U$8*$X151,0))</f>
        <v>0</v>
      </c>
      <c r="V151" s="441" t="n">
        <f aca="false">SUM(B151:U151)</f>
        <v>209</v>
      </c>
      <c r="W151" s="442"/>
      <c r="X151" s="439" t="n">
        <f aca="false">CHOOSE(QUOTIENT(MONTH($A151),3)+1,Peak!$AM$11,Peak!$AN$11,Peak!$AL$11,Peak!$AO$11,Peak!$AM$11)</f>
        <v>0.95</v>
      </c>
      <c r="Y151" s="440" t="n">
        <f aca="false">CHOOSE(QUOTIENT(MONTH($A151),3)+1,Peak!$AM$17,Peak!$AN$17,Peak!$AL$17,Peak!$AO$17,Peak!$AM$17)</f>
        <v>705</v>
      </c>
    </row>
    <row r="152" customFormat="false" ht="12.75" hidden="false" customHeight="false" outlineLevel="0" collapsed="false">
      <c r="A152" s="400" t="n">
        <f aca="false">A151+30.417</f>
        <v>40859.214</v>
      </c>
      <c r="B152" s="432" t="n">
        <f aca="false">IF('Peak Revenue'!$A$1="BL","-",IF(Peak!H153&gt;Peak!$G153,B$8*$X152,0))</f>
        <v>4.75</v>
      </c>
      <c r="C152" s="432" t="n">
        <f aca="false">IF('Peak Revenue'!$A$1="BL","-",IF(Peak!I153&gt;Peak!$G153,C$8*$X152,0))</f>
        <v>4.75</v>
      </c>
      <c r="D152" s="432" t="n">
        <f aca="false">IF('Peak Revenue'!$A$1="BL","-",IF(Peak!J153&gt;Peak!$G153,D$8*$X152,0))</f>
        <v>9.5</v>
      </c>
      <c r="E152" s="432" t="n">
        <f aca="false">IF('Peak Revenue'!$A$1="BL","-",IF(Peak!K153&gt;Peak!$G153,E$8*$X152,0))</f>
        <v>19</v>
      </c>
      <c r="F152" s="432" t="n">
        <f aca="false">IF('Peak Revenue'!$A$1="BL","-",IF(Peak!L153&gt;Peak!$G153,F$8*$X152,0))</f>
        <v>19</v>
      </c>
      <c r="G152" s="432" t="n">
        <f aca="false">IF('Peak Revenue'!$A$1="BL","-",IF(Peak!M153&gt;Peak!$G153,G$8*$X152,0))</f>
        <v>38</v>
      </c>
      <c r="H152" s="432" t="n">
        <f aca="false">IF('Peak Revenue'!$A$1="BL","-",IF(Peak!N153&gt;Peak!$G153,H$8*$X152,0))</f>
        <v>38</v>
      </c>
      <c r="I152" s="432" t="n">
        <f aca="false">IF('Peak Revenue'!$A$1="BL","-",IF(Peak!O153&gt;Peak!$G153,I$8*$X152,0))</f>
        <v>38</v>
      </c>
      <c r="J152" s="432" t="n">
        <f aca="false">IF('Peak Revenue'!$A$1="BL","-",IF(Peak!P153&gt;Peak!$G153,J$8*$X152,0))</f>
        <v>38</v>
      </c>
      <c r="K152" s="432" t="n">
        <f aca="false">IF('Peak Revenue'!$A$1="BL","-",IF(Peak!Q153&gt;Peak!$G153,K$8*$X152,0))</f>
        <v>38</v>
      </c>
      <c r="L152" s="432" t="n">
        <f aca="false">IF('Peak Revenue'!$A$1="BL","-",IF(Peak!R153&gt;Peak!$G153,L$8*$X152,0))</f>
        <v>0</v>
      </c>
      <c r="M152" s="432" t="n">
        <f aca="false">IF('Peak Revenue'!$A$1="BL","-",IF(Peak!S153&gt;Peak!$G153,M$8*$X152,0))</f>
        <v>0</v>
      </c>
      <c r="N152" s="432" t="n">
        <f aca="false">IF('Peak Revenue'!$A$1="BL","-",IF(Peak!T153&gt;Peak!$G153,N$8*$X152,0))</f>
        <v>0</v>
      </c>
      <c r="O152" s="432" t="n">
        <f aca="false">IF('Peak Revenue'!$A$1="BL","-",IF(Peak!U153&gt;Peak!$G153,O$8*$X152,0))</f>
        <v>0</v>
      </c>
      <c r="P152" s="432" t="n">
        <f aca="false">IF('Peak Revenue'!$A$1="BL","-",IF(Peak!V153&gt;Peak!$G153,P$8*$X152,0))</f>
        <v>0</v>
      </c>
      <c r="Q152" s="432" t="n">
        <f aca="false">IF('Peak Revenue'!$A$1="BL","-",IF(Peak!W153&gt;Peak!$G153,Q$8*$X152,0))</f>
        <v>0</v>
      </c>
      <c r="R152" s="432" t="n">
        <f aca="false">IF('Peak Revenue'!$A$1="BL","-",IF(Peak!X153&gt;Peak!$G153,R$8*$X152,0))</f>
        <v>0</v>
      </c>
      <c r="S152" s="432" t="n">
        <f aca="false">IF('Peak Revenue'!$A$1="BL","-",IF(Peak!Y153&gt;Peak!$G153,S$8*$X152,0))</f>
        <v>0</v>
      </c>
      <c r="T152" s="432" t="n">
        <f aca="false">IF('Peak Revenue'!$A$1="BL","-",IF(Peak!Z153&gt;Peak!$G153,T$8*$X152,0))</f>
        <v>0</v>
      </c>
      <c r="U152" s="432" t="n">
        <f aca="false">IF('Peak Revenue'!$A$1="BL","-",IF(Peak!AA153&gt;Peak!$G153,U$8*$X152,0))</f>
        <v>0</v>
      </c>
      <c r="V152" s="441" t="n">
        <f aca="false">SUM(B152:U152)</f>
        <v>247</v>
      </c>
      <c r="W152" s="442"/>
      <c r="X152" s="439" t="n">
        <f aca="false">CHOOSE(QUOTIENT(MONTH($A152),3)+1,Peak!$AM$11,Peak!$AN$11,Peak!$AL$11,Peak!$AO$11,Peak!$AM$11)</f>
        <v>0.95</v>
      </c>
      <c r="Y152" s="440" t="n">
        <f aca="false">CHOOSE(QUOTIENT(MONTH($A152),3)+1,Peak!$AM$17,Peak!$AN$17,Peak!$AL$17,Peak!$AO$17,Peak!$AM$17)</f>
        <v>705</v>
      </c>
    </row>
    <row r="153" customFormat="false" ht="12.75" hidden="false" customHeight="false" outlineLevel="0" collapsed="false">
      <c r="A153" s="400" t="n">
        <f aca="false">A152+30.417</f>
        <v>40889.631</v>
      </c>
      <c r="B153" s="432" t="n">
        <f aca="false">IF('Peak Revenue'!$A$1="BL","-",IF(Peak!H154&gt;Peak!$G154,B$8*$X153,0))</f>
        <v>4.62138309393059</v>
      </c>
      <c r="C153" s="432" t="n">
        <f aca="false">IF('Peak Revenue'!$A$1="BL","-",IF(Peak!I154&gt;Peak!$G154,C$8*$X153,0))</f>
        <v>4.62138309393059</v>
      </c>
      <c r="D153" s="432" t="n">
        <f aca="false">IF('Peak Revenue'!$A$1="BL","-",IF(Peak!J154&gt;Peak!$G154,D$8*$X153,0))</f>
        <v>9.24276618786118</v>
      </c>
      <c r="E153" s="432" t="n">
        <f aca="false">IF('Peak Revenue'!$A$1="BL","-",IF(Peak!K154&gt;Peak!$G154,E$8*$X153,0))</f>
        <v>18.4855323757224</v>
      </c>
      <c r="F153" s="432" t="n">
        <f aca="false">IF('Peak Revenue'!$A$1="BL","-",IF(Peak!L154&gt;Peak!$G154,F$8*$X153,0))</f>
        <v>18.4855323757224</v>
      </c>
      <c r="G153" s="432" t="n">
        <f aca="false">IF('Peak Revenue'!$A$1="BL","-",IF(Peak!M154&gt;Peak!$G154,G$8*$X153,0))</f>
        <v>36.9710647514447</v>
      </c>
      <c r="H153" s="432" t="n">
        <f aca="false">IF('Peak Revenue'!$A$1="BL","-",IF(Peak!N154&gt;Peak!$G154,H$8*$X153,0))</f>
        <v>36.9710647514447</v>
      </c>
      <c r="I153" s="432" t="n">
        <f aca="false">IF('Peak Revenue'!$A$1="BL","-",IF(Peak!O154&gt;Peak!$G154,I$8*$X153,0))</f>
        <v>36.9710647514447</v>
      </c>
      <c r="J153" s="432" t="n">
        <f aca="false">IF('Peak Revenue'!$A$1="BL","-",IF(Peak!P154&gt;Peak!$G154,J$8*$X153,0))</f>
        <v>0</v>
      </c>
      <c r="K153" s="432" t="n">
        <f aca="false">IF('Peak Revenue'!$A$1="BL","-",IF(Peak!Q154&gt;Peak!$G154,K$8*$X153,0))</f>
        <v>0</v>
      </c>
      <c r="L153" s="432" t="n">
        <f aca="false">IF('Peak Revenue'!$A$1="BL","-",IF(Peak!R154&gt;Peak!$G154,L$8*$X153,0))</f>
        <v>0</v>
      </c>
      <c r="M153" s="432" t="n">
        <f aca="false">IF('Peak Revenue'!$A$1="BL","-",IF(Peak!S154&gt;Peak!$G154,M$8*$X153,0))</f>
        <v>0</v>
      </c>
      <c r="N153" s="432" t="n">
        <f aca="false">IF('Peak Revenue'!$A$1="BL","-",IF(Peak!T154&gt;Peak!$G154,N$8*$X153,0))</f>
        <v>0</v>
      </c>
      <c r="O153" s="432" t="n">
        <f aca="false">IF('Peak Revenue'!$A$1="BL","-",IF(Peak!U154&gt;Peak!$G154,O$8*$X153,0))</f>
        <v>0</v>
      </c>
      <c r="P153" s="432" t="n">
        <f aca="false">IF('Peak Revenue'!$A$1="BL","-",IF(Peak!V154&gt;Peak!$G154,P$8*$X153,0))</f>
        <v>0</v>
      </c>
      <c r="Q153" s="432" t="n">
        <f aca="false">IF('Peak Revenue'!$A$1="BL","-",IF(Peak!W154&gt;Peak!$G154,Q$8*$X153,0))</f>
        <v>0</v>
      </c>
      <c r="R153" s="432" t="n">
        <f aca="false">IF('Peak Revenue'!$A$1="BL","-",IF(Peak!X154&gt;Peak!$G154,R$8*$X153,0))</f>
        <v>0</v>
      </c>
      <c r="S153" s="432" t="n">
        <f aca="false">IF('Peak Revenue'!$A$1="BL","-",IF(Peak!Y154&gt;Peak!$G154,S$8*$X153,0))</f>
        <v>0</v>
      </c>
      <c r="T153" s="432" t="n">
        <f aca="false">IF('Peak Revenue'!$A$1="BL","-",IF(Peak!Z154&gt;Peak!$G154,T$8*$X153,0))</f>
        <v>0</v>
      </c>
      <c r="U153" s="432" t="n">
        <f aca="false">IF('Peak Revenue'!$A$1="BL","-",IF(Peak!AA154&gt;Peak!$G154,U$8*$X153,0))</f>
        <v>0</v>
      </c>
      <c r="V153" s="441" t="n">
        <f aca="false">SUM(B153:U153)</f>
        <v>166.369791381501</v>
      </c>
      <c r="W153" s="443" t="n">
        <f aca="false">SUM(V142:V153)</f>
        <v>3266.95896638596</v>
      </c>
      <c r="X153" s="439" t="n">
        <f aca="false">CHOOSE(QUOTIENT(MONTH($A153),3)+1,Peak!$AM$11,Peak!$AN$11,Peak!$AL$11,Peak!$AO$11,Peak!$AM$11)</f>
        <v>0.924276618786118</v>
      </c>
      <c r="Y153" s="440" t="n">
        <f aca="false">CHOOSE(QUOTIENT(MONTH($A153),3)+1,Peak!$AM$17,Peak!$AN$17,Peak!$AL$17,Peak!$AO$17,Peak!$AM$17)</f>
        <v>705</v>
      </c>
    </row>
    <row r="154" customFormat="false" ht="12.75" hidden="false" customHeight="false" outlineLevel="0" collapsed="false">
      <c r="A154" s="400" t="n">
        <f aca="false">A153+30.417</f>
        <v>40920.048</v>
      </c>
      <c r="B154" s="432" t="n">
        <f aca="false">IF('Peak Revenue'!$A$1="BL","-",IF(Peak!H155&gt;Peak!$G155,B$8*$X154,0))</f>
        <v>4.62138309393059</v>
      </c>
      <c r="C154" s="432" t="n">
        <f aca="false">IF('Peak Revenue'!$A$1="BL","-",IF(Peak!I155&gt;Peak!$G155,C$8*$X154,0))</f>
        <v>4.62138309393059</v>
      </c>
      <c r="D154" s="432" t="n">
        <f aca="false">IF('Peak Revenue'!$A$1="BL","-",IF(Peak!J155&gt;Peak!$G155,D$8*$X154,0))</f>
        <v>9.24276618786118</v>
      </c>
      <c r="E154" s="432" t="n">
        <f aca="false">IF('Peak Revenue'!$A$1="BL","-",IF(Peak!K155&gt;Peak!$G155,E$8*$X154,0))</f>
        <v>18.4855323757224</v>
      </c>
      <c r="F154" s="432" t="n">
        <f aca="false">IF('Peak Revenue'!$A$1="BL","-",IF(Peak!L155&gt;Peak!$G155,F$8*$X154,0))</f>
        <v>18.4855323757224</v>
      </c>
      <c r="G154" s="432" t="n">
        <f aca="false">IF('Peak Revenue'!$A$1="BL","-",IF(Peak!M155&gt;Peak!$G155,G$8*$X154,0))</f>
        <v>36.9710647514447</v>
      </c>
      <c r="H154" s="432" t="n">
        <f aca="false">IF('Peak Revenue'!$A$1="BL","-",IF(Peak!N155&gt;Peak!$G155,H$8*$X154,0))</f>
        <v>36.9710647514447</v>
      </c>
      <c r="I154" s="432" t="n">
        <f aca="false">IF('Peak Revenue'!$A$1="BL","-",IF(Peak!O155&gt;Peak!$G155,I$8*$X154,0))</f>
        <v>36.9710647514447</v>
      </c>
      <c r="J154" s="432" t="n">
        <f aca="false">IF('Peak Revenue'!$A$1="BL","-",IF(Peak!P155&gt;Peak!$G155,J$8*$X154,0))</f>
        <v>0</v>
      </c>
      <c r="K154" s="432" t="n">
        <f aca="false">IF('Peak Revenue'!$A$1="BL","-",IF(Peak!Q155&gt;Peak!$G155,K$8*$X154,0))</f>
        <v>0</v>
      </c>
      <c r="L154" s="432" t="n">
        <f aca="false">IF('Peak Revenue'!$A$1="BL","-",IF(Peak!R155&gt;Peak!$G155,L$8*$X154,0))</f>
        <v>0</v>
      </c>
      <c r="M154" s="432" t="n">
        <f aca="false">IF('Peak Revenue'!$A$1="BL","-",IF(Peak!S155&gt;Peak!$G155,M$8*$X154,0))</f>
        <v>0</v>
      </c>
      <c r="N154" s="432" t="n">
        <f aca="false">IF('Peak Revenue'!$A$1="BL","-",IF(Peak!T155&gt;Peak!$G155,N$8*$X154,0))</f>
        <v>0</v>
      </c>
      <c r="O154" s="432" t="n">
        <f aca="false">IF('Peak Revenue'!$A$1="BL","-",IF(Peak!U155&gt;Peak!$G155,O$8*$X154,0))</f>
        <v>0</v>
      </c>
      <c r="P154" s="432" t="n">
        <f aca="false">IF('Peak Revenue'!$A$1="BL","-",IF(Peak!V155&gt;Peak!$G155,P$8*$X154,0))</f>
        <v>0</v>
      </c>
      <c r="Q154" s="432" t="n">
        <f aca="false">IF('Peak Revenue'!$A$1="BL","-",IF(Peak!W155&gt;Peak!$G155,Q$8*$X154,0))</f>
        <v>0</v>
      </c>
      <c r="R154" s="432" t="n">
        <f aca="false">IF('Peak Revenue'!$A$1="BL","-",IF(Peak!X155&gt;Peak!$G155,R$8*$X154,0))</f>
        <v>0</v>
      </c>
      <c r="S154" s="432" t="n">
        <f aca="false">IF('Peak Revenue'!$A$1="BL","-",IF(Peak!Y155&gt;Peak!$G155,S$8*$X154,0))</f>
        <v>0</v>
      </c>
      <c r="T154" s="432" t="n">
        <f aca="false">IF('Peak Revenue'!$A$1="BL","-",IF(Peak!Z155&gt;Peak!$G155,T$8*$X154,0))</f>
        <v>0</v>
      </c>
      <c r="U154" s="432" t="n">
        <f aca="false">IF('Peak Revenue'!$A$1="BL","-",IF(Peak!AA155&gt;Peak!$G155,U$8*$X154,0))</f>
        <v>0</v>
      </c>
      <c r="V154" s="441" t="n">
        <f aca="false">SUM(B154:U154)</f>
        <v>166.369791381501</v>
      </c>
      <c r="W154" s="442"/>
      <c r="X154" s="439" t="n">
        <f aca="false">CHOOSE(QUOTIENT(MONTH($A154),3)+1,Peak!$AM$11,Peak!$AN$11,Peak!$AL$11,Peak!$AO$11,Peak!$AM$11)</f>
        <v>0.924276618786118</v>
      </c>
      <c r="Y154" s="440" t="n">
        <f aca="false">CHOOSE(QUOTIENT(MONTH($A154),3)+1,Peak!$AM$17,Peak!$AN$17,Peak!$AL$17,Peak!$AO$17,Peak!$AM$17)</f>
        <v>705</v>
      </c>
    </row>
    <row r="155" customFormat="false" ht="12.75" hidden="false" customHeight="false" outlineLevel="0" collapsed="false">
      <c r="A155" s="400" t="n">
        <f aca="false">A154+30.417</f>
        <v>40950.465</v>
      </c>
      <c r="B155" s="432" t="n">
        <f aca="false">IF('Peak Revenue'!$A$1="BL","-",IF(Peak!H156&gt;Peak!$G156,B$8*$X155,0))</f>
        <v>4.62138309393059</v>
      </c>
      <c r="C155" s="432" t="n">
        <f aca="false">IF('Peak Revenue'!$A$1="BL","-",IF(Peak!I156&gt;Peak!$G156,C$8*$X155,0))</f>
        <v>4.62138309393059</v>
      </c>
      <c r="D155" s="432" t="n">
        <f aca="false">IF('Peak Revenue'!$A$1="BL","-",IF(Peak!J156&gt;Peak!$G156,D$8*$X155,0))</f>
        <v>9.24276618786118</v>
      </c>
      <c r="E155" s="432" t="n">
        <f aca="false">IF('Peak Revenue'!$A$1="BL","-",IF(Peak!K156&gt;Peak!$G156,E$8*$X155,0))</f>
        <v>18.4855323757224</v>
      </c>
      <c r="F155" s="432" t="n">
        <f aca="false">IF('Peak Revenue'!$A$1="BL","-",IF(Peak!L156&gt;Peak!$G156,F$8*$X155,0))</f>
        <v>18.4855323757224</v>
      </c>
      <c r="G155" s="432" t="n">
        <f aca="false">IF('Peak Revenue'!$A$1="BL","-",IF(Peak!M156&gt;Peak!$G156,G$8*$X155,0))</f>
        <v>36.9710647514447</v>
      </c>
      <c r="H155" s="432" t="n">
        <f aca="false">IF('Peak Revenue'!$A$1="BL","-",IF(Peak!N156&gt;Peak!$G156,H$8*$X155,0))</f>
        <v>36.9710647514447</v>
      </c>
      <c r="I155" s="432" t="n">
        <f aca="false">IF('Peak Revenue'!$A$1="BL","-",IF(Peak!O156&gt;Peak!$G156,I$8*$X155,0))</f>
        <v>36.9710647514447</v>
      </c>
      <c r="J155" s="432" t="n">
        <f aca="false">IF('Peak Revenue'!$A$1="BL","-",IF(Peak!P156&gt;Peak!$G156,J$8*$X155,0))</f>
        <v>36.9710647514447</v>
      </c>
      <c r="K155" s="432" t="n">
        <f aca="false">IF('Peak Revenue'!$A$1="BL","-",IF(Peak!Q156&gt;Peak!$G156,K$8*$X155,0))</f>
        <v>36.9710647514447</v>
      </c>
      <c r="L155" s="432" t="n">
        <f aca="false">IF('Peak Revenue'!$A$1="BL","-",IF(Peak!R156&gt;Peak!$G156,L$8*$X155,0))</f>
        <v>0</v>
      </c>
      <c r="M155" s="432" t="n">
        <f aca="false">IF('Peak Revenue'!$A$1="BL","-",IF(Peak!S156&gt;Peak!$G156,M$8*$X155,0))</f>
        <v>0</v>
      </c>
      <c r="N155" s="432" t="n">
        <f aca="false">IF('Peak Revenue'!$A$1="BL","-",IF(Peak!T156&gt;Peak!$G156,N$8*$X155,0))</f>
        <v>0</v>
      </c>
      <c r="O155" s="432" t="n">
        <f aca="false">IF('Peak Revenue'!$A$1="BL","-",IF(Peak!U156&gt;Peak!$G156,O$8*$X155,0))</f>
        <v>0</v>
      </c>
      <c r="P155" s="432" t="n">
        <f aca="false">IF('Peak Revenue'!$A$1="BL","-",IF(Peak!V156&gt;Peak!$G156,P$8*$X155,0))</f>
        <v>0</v>
      </c>
      <c r="Q155" s="432" t="n">
        <f aca="false">IF('Peak Revenue'!$A$1="BL","-",IF(Peak!W156&gt;Peak!$G156,Q$8*$X155,0))</f>
        <v>0</v>
      </c>
      <c r="R155" s="432" t="n">
        <f aca="false">IF('Peak Revenue'!$A$1="BL","-",IF(Peak!X156&gt;Peak!$G156,R$8*$X155,0))</f>
        <v>0</v>
      </c>
      <c r="S155" s="432" t="n">
        <f aca="false">IF('Peak Revenue'!$A$1="BL","-",IF(Peak!Y156&gt;Peak!$G156,S$8*$X155,0))</f>
        <v>0</v>
      </c>
      <c r="T155" s="432" t="n">
        <f aca="false">IF('Peak Revenue'!$A$1="BL","-",IF(Peak!Z156&gt;Peak!$G156,T$8*$X155,0))</f>
        <v>0</v>
      </c>
      <c r="U155" s="432" t="n">
        <f aca="false">IF('Peak Revenue'!$A$1="BL","-",IF(Peak!AA156&gt;Peak!$G156,U$8*$X155,0))</f>
        <v>0</v>
      </c>
      <c r="V155" s="441" t="n">
        <f aca="false">SUM(B155:U155)</f>
        <v>240.311920884391</v>
      </c>
      <c r="W155" s="442"/>
      <c r="X155" s="439" t="n">
        <f aca="false">CHOOSE(QUOTIENT(MONTH($A155),3)+1,Peak!$AM$11,Peak!$AN$11,Peak!$AL$11,Peak!$AO$11,Peak!$AM$11)</f>
        <v>0.924276618786118</v>
      </c>
      <c r="Y155" s="440" t="n">
        <f aca="false">CHOOSE(QUOTIENT(MONTH($A155),3)+1,Peak!$AM$17,Peak!$AN$17,Peak!$AL$17,Peak!$AO$17,Peak!$AM$17)</f>
        <v>705</v>
      </c>
    </row>
    <row r="156" customFormat="false" ht="12.75" hidden="false" customHeight="false" outlineLevel="0" collapsed="false">
      <c r="A156" s="400" t="n">
        <f aca="false">A155+30.417</f>
        <v>40980.882</v>
      </c>
      <c r="B156" s="432" t="n">
        <f aca="false">IF('Peak Revenue'!$A$1="BL","-",IF(Peak!H157&gt;Peak!$G157,B$8*$X156,0))</f>
        <v>4.75</v>
      </c>
      <c r="C156" s="432" t="n">
        <f aca="false">IF('Peak Revenue'!$A$1="BL","-",IF(Peak!I157&gt;Peak!$G157,C$8*$X156,0))</f>
        <v>4.75</v>
      </c>
      <c r="D156" s="432" t="n">
        <f aca="false">IF('Peak Revenue'!$A$1="BL","-",IF(Peak!J157&gt;Peak!$G157,D$8*$X156,0))</f>
        <v>9.5</v>
      </c>
      <c r="E156" s="432" t="n">
        <f aca="false">IF('Peak Revenue'!$A$1="BL","-",IF(Peak!K157&gt;Peak!$G157,E$8*$X156,0))</f>
        <v>19</v>
      </c>
      <c r="F156" s="432" t="n">
        <f aca="false">IF('Peak Revenue'!$A$1="BL","-",IF(Peak!L157&gt;Peak!$G157,F$8*$X156,0))</f>
        <v>19</v>
      </c>
      <c r="G156" s="432" t="n">
        <f aca="false">IF('Peak Revenue'!$A$1="BL","-",IF(Peak!M157&gt;Peak!$G157,G$8*$X156,0))</f>
        <v>38</v>
      </c>
      <c r="H156" s="432" t="n">
        <f aca="false">IF('Peak Revenue'!$A$1="BL","-",IF(Peak!N157&gt;Peak!$G157,H$8*$X156,0))</f>
        <v>38</v>
      </c>
      <c r="I156" s="432" t="n">
        <f aca="false">IF('Peak Revenue'!$A$1="BL","-",IF(Peak!O157&gt;Peak!$G157,I$8*$X156,0))</f>
        <v>38</v>
      </c>
      <c r="J156" s="432" t="n">
        <f aca="false">IF('Peak Revenue'!$A$1="BL","-",IF(Peak!P157&gt;Peak!$G157,J$8*$X156,0))</f>
        <v>38</v>
      </c>
      <c r="K156" s="432" t="n">
        <f aca="false">IF('Peak Revenue'!$A$1="BL","-",IF(Peak!Q157&gt;Peak!$G157,K$8*$X156,0))</f>
        <v>38</v>
      </c>
      <c r="L156" s="432" t="n">
        <f aca="false">IF('Peak Revenue'!$A$1="BL","-",IF(Peak!R157&gt;Peak!$G157,L$8*$X156,0))</f>
        <v>0</v>
      </c>
      <c r="M156" s="432" t="n">
        <f aca="false">IF('Peak Revenue'!$A$1="BL","-",IF(Peak!S157&gt;Peak!$G157,M$8*$X156,0))</f>
        <v>0</v>
      </c>
      <c r="N156" s="432" t="n">
        <f aca="false">IF('Peak Revenue'!$A$1="BL","-",IF(Peak!T157&gt;Peak!$G157,N$8*$X156,0))</f>
        <v>0</v>
      </c>
      <c r="O156" s="432" t="n">
        <f aca="false">IF('Peak Revenue'!$A$1="BL","-",IF(Peak!U157&gt;Peak!$G157,O$8*$X156,0))</f>
        <v>0</v>
      </c>
      <c r="P156" s="432" t="n">
        <f aca="false">IF('Peak Revenue'!$A$1="BL","-",IF(Peak!V157&gt;Peak!$G157,P$8*$X156,0))</f>
        <v>0</v>
      </c>
      <c r="Q156" s="432" t="n">
        <f aca="false">IF('Peak Revenue'!$A$1="BL","-",IF(Peak!W157&gt;Peak!$G157,Q$8*$X156,0))</f>
        <v>0</v>
      </c>
      <c r="R156" s="432" t="n">
        <f aca="false">IF('Peak Revenue'!$A$1="BL","-",IF(Peak!X157&gt;Peak!$G157,R$8*$X156,0))</f>
        <v>0</v>
      </c>
      <c r="S156" s="432" t="n">
        <f aca="false">IF('Peak Revenue'!$A$1="BL","-",IF(Peak!Y157&gt;Peak!$G157,S$8*$X156,0))</f>
        <v>0</v>
      </c>
      <c r="T156" s="432" t="n">
        <f aca="false">IF('Peak Revenue'!$A$1="BL","-",IF(Peak!Z157&gt;Peak!$G157,T$8*$X156,0))</f>
        <v>0</v>
      </c>
      <c r="U156" s="432" t="n">
        <f aca="false">IF('Peak Revenue'!$A$1="BL","-",IF(Peak!AA157&gt;Peak!$G157,U$8*$X156,0))</f>
        <v>0</v>
      </c>
      <c r="V156" s="441" t="n">
        <f aca="false">SUM(B156:U156)</f>
        <v>247</v>
      </c>
      <c r="W156" s="442"/>
      <c r="X156" s="439" t="n">
        <f aca="false">CHOOSE(QUOTIENT(MONTH($A156),3)+1,Peak!$AM$11,Peak!$AN$11,Peak!$AL$11,Peak!$AO$11,Peak!$AM$11)</f>
        <v>0.95</v>
      </c>
      <c r="Y156" s="440" t="n">
        <f aca="false">CHOOSE(QUOTIENT(MONTH($A156),3)+1,Peak!$AM$17,Peak!$AN$17,Peak!$AL$17,Peak!$AO$17,Peak!$AM$17)</f>
        <v>705</v>
      </c>
    </row>
    <row r="157" customFormat="false" ht="12.75" hidden="false" customHeight="false" outlineLevel="0" collapsed="false">
      <c r="A157" s="400" t="n">
        <f aca="false">A156+30.417</f>
        <v>41011.299</v>
      </c>
      <c r="B157" s="432" t="n">
        <f aca="false">IF('Peak Revenue'!$A$1="BL","-",IF(Peak!H158&gt;Peak!$G158,B$8*$X157,0))</f>
        <v>4.75</v>
      </c>
      <c r="C157" s="432" t="n">
        <f aca="false">IF('Peak Revenue'!$A$1="BL","-",IF(Peak!I158&gt;Peak!$G158,C$8*$X157,0))</f>
        <v>4.75</v>
      </c>
      <c r="D157" s="432" t="n">
        <f aca="false">IF('Peak Revenue'!$A$1="BL","-",IF(Peak!J158&gt;Peak!$G158,D$8*$X157,0))</f>
        <v>9.5</v>
      </c>
      <c r="E157" s="432" t="n">
        <f aca="false">IF('Peak Revenue'!$A$1="BL","-",IF(Peak!K158&gt;Peak!$G158,E$8*$X157,0))</f>
        <v>19</v>
      </c>
      <c r="F157" s="432" t="n">
        <f aca="false">IF('Peak Revenue'!$A$1="BL","-",IF(Peak!L158&gt;Peak!$G158,F$8*$X157,0))</f>
        <v>19</v>
      </c>
      <c r="G157" s="432" t="n">
        <f aca="false">IF('Peak Revenue'!$A$1="BL","-",IF(Peak!M158&gt;Peak!$G158,G$8*$X157,0))</f>
        <v>38</v>
      </c>
      <c r="H157" s="432" t="n">
        <f aca="false">IF('Peak Revenue'!$A$1="BL","-",IF(Peak!N158&gt;Peak!$G158,H$8*$X157,0))</f>
        <v>38</v>
      </c>
      <c r="I157" s="432" t="n">
        <f aca="false">IF('Peak Revenue'!$A$1="BL","-",IF(Peak!O158&gt;Peak!$G158,I$8*$X157,0))</f>
        <v>38</v>
      </c>
      <c r="J157" s="432" t="n">
        <f aca="false">IF('Peak Revenue'!$A$1="BL","-",IF(Peak!P158&gt;Peak!$G158,J$8*$X157,0))</f>
        <v>0</v>
      </c>
      <c r="K157" s="432" t="n">
        <f aca="false">IF('Peak Revenue'!$A$1="BL","-",IF(Peak!Q158&gt;Peak!$G158,K$8*$X157,0))</f>
        <v>0</v>
      </c>
      <c r="L157" s="432" t="n">
        <f aca="false">IF('Peak Revenue'!$A$1="BL","-",IF(Peak!R158&gt;Peak!$G158,L$8*$X157,0))</f>
        <v>0</v>
      </c>
      <c r="M157" s="432" t="n">
        <f aca="false">IF('Peak Revenue'!$A$1="BL","-",IF(Peak!S158&gt;Peak!$G158,M$8*$X157,0))</f>
        <v>0</v>
      </c>
      <c r="N157" s="432" t="n">
        <f aca="false">IF('Peak Revenue'!$A$1="BL","-",IF(Peak!T158&gt;Peak!$G158,N$8*$X157,0))</f>
        <v>0</v>
      </c>
      <c r="O157" s="432" t="n">
        <f aca="false">IF('Peak Revenue'!$A$1="BL","-",IF(Peak!U158&gt;Peak!$G158,O$8*$X157,0))</f>
        <v>0</v>
      </c>
      <c r="P157" s="432" t="n">
        <f aca="false">IF('Peak Revenue'!$A$1="BL","-",IF(Peak!V158&gt;Peak!$G158,P$8*$X157,0))</f>
        <v>0</v>
      </c>
      <c r="Q157" s="432" t="n">
        <f aca="false">IF('Peak Revenue'!$A$1="BL","-",IF(Peak!W158&gt;Peak!$G158,Q$8*$X157,0))</f>
        <v>0</v>
      </c>
      <c r="R157" s="432" t="n">
        <f aca="false">IF('Peak Revenue'!$A$1="BL","-",IF(Peak!X158&gt;Peak!$G158,R$8*$X157,0))</f>
        <v>0</v>
      </c>
      <c r="S157" s="432" t="n">
        <f aca="false">IF('Peak Revenue'!$A$1="BL","-",IF(Peak!Y158&gt;Peak!$G158,S$8*$X157,0))</f>
        <v>0</v>
      </c>
      <c r="T157" s="432" t="n">
        <f aca="false">IF('Peak Revenue'!$A$1="BL","-",IF(Peak!Z158&gt;Peak!$G158,T$8*$X157,0))</f>
        <v>0</v>
      </c>
      <c r="U157" s="432" t="n">
        <f aca="false">IF('Peak Revenue'!$A$1="BL","-",IF(Peak!AA158&gt;Peak!$G158,U$8*$X157,0))</f>
        <v>0</v>
      </c>
      <c r="V157" s="441" t="n">
        <f aca="false">SUM(B157:U157)</f>
        <v>171</v>
      </c>
      <c r="W157" s="442"/>
      <c r="X157" s="439" t="n">
        <f aca="false">CHOOSE(QUOTIENT(MONTH($A157),3)+1,Peak!$AM$11,Peak!$AN$11,Peak!$AL$11,Peak!$AO$11,Peak!$AM$11)</f>
        <v>0.95</v>
      </c>
      <c r="Y157" s="440" t="n">
        <f aca="false">CHOOSE(QUOTIENT(MONTH($A157),3)+1,Peak!$AM$17,Peak!$AN$17,Peak!$AL$17,Peak!$AO$17,Peak!$AM$17)</f>
        <v>705</v>
      </c>
    </row>
    <row r="158" customFormat="false" ht="12.75" hidden="false" customHeight="false" outlineLevel="0" collapsed="false">
      <c r="A158" s="400" t="n">
        <f aca="false">A157+30.417</f>
        <v>41041.716</v>
      </c>
      <c r="B158" s="432" t="n">
        <f aca="false">IF('Peak Revenue'!$A$1="BL","-",IF(Peak!H159&gt;Peak!$G159,B$8*$X158,0))</f>
        <v>4.75</v>
      </c>
      <c r="C158" s="432" t="n">
        <f aca="false">IF('Peak Revenue'!$A$1="BL","-",IF(Peak!I159&gt;Peak!$G159,C$8*$X158,0))</f>
        <v>4.75</v>
      </c>
      <c r="D158" s="432" t="n">
        <f aca="false">IF('Peak Revenue'!$A$1="BL","-",IF(Peak!J159&gt;Peak!$G159,D$8*$X158,0))</f>
        <v>9.5</v>
      </c>
      <c r="E158" s="432" t="n">
        <f aca="false">IF('Peak Revenue'!$A$1="BL","-",IF(Peak!K159&gt;Peak!$G159,E$8*$X158,0))</f>
        <v>19</v>
      </c>
      <c r="F158" s="432" t="n">
        <f aca="false">IF('Peak Revenue'!$A$1="BL","-",IF(Peak!L159&gt;Peak!$G159,F$8*$X158,0))</f>
        <v>19</v>
      </c>
      <c r="G158" s="432" t="n">
        <f aca="false">IF('Peak Revenue'!$A$1="BL","-",IF(Peak!M159&gt;Peak!$G159,G$8*$X158,0))</f>
        <v>38</v>
      </c>
      <c r="H158" s="432" t="n">
        <f aca="false">IF('Peak Revenue'!$A$1="BL","-",IF(Peak!N159&gt;Peak!$G159,H$8*$X158,0))</f>
        <v>38</v>
      </c>
      <c r="I158" s="432" t="n">
        <f aca="false">IF('Peak Revenue'!$A$1="BL","-",IF(Peak!O159&gt;Peak!$G159,I$8*$X158,0))</f>
        <v>38</v>
      </c>
      <c r="J158" s="432" t="n">
        <f aca="false">IF('Peak Revenue'!$A$1="BL","-",IF(Peak!P159&gt;Peak!$G159,J$8*$X158,0))</f>
        <v>38</v>
      </c>
      <c r="K158" s="432" t="n">
        <f aca="false">IF('Peak Revenue'!$A$1="BL","-",IF(Peak!Q159&gt;Peak!$G159,K$8*$X158,0))</f>
        <v>0</v>
      </c>
      <c r="L158" s="432" t="n">
        <f aca="false">IF('Peak Revenue'!$A$1="BL","-",IF(Peak!R159&gt;Peak!$G159,L$8*$X158,0))</f>
        <v>0</v>
      </c>
      <c r="M158" s="432" t="n">
        <f aca="false">IF('Peak Revenue'!$A$1="BL","-",IF(Peak!S159&gt;Peak!$G159,M$8*$X158,0))</f>
        <v>0</v>
      </c>
      <c r="N158" s="432" t="n">
        <f aca="false">IF('Peak Revenue'!$A$1="BL","-",IF(Peak!T159&gt;Peak!$G159,N$8*$X158,0))</f>
        <v>0</v>
      </c>
      <c r="O158" s="432" t="n">
        <f aca="false">IF('Peak Revenue'!$A$1="BL","-",IF(Peak!U159&gt;Peak!$G159,O$8*$X158,0))</f>
        <v>0</v>
      </c>
      <c r="P158" s="432" t="n">
        <f aca="false">IF('Peak Revenue'!$A$1="BL","-",IF(Peak!V159&gt;Peak!$G159,P$8*$X158,0))</f>
        <v>0</v>
      </c>
      <c r="Q158" s="432" t="n">
        <f aca="false">IF('Peak Revenue'!$A$1="BL","-",IF(Peak!W159&gt;Peak!$G159,Q$8*$X158,0))</f>
        <v>0</v>
      </c>
      <c r="R158" s="432" t="n">
        <f aca="false">IF('Peak Revenue'!$A$1="BL","-",IF(Peak!X159&gt;Peak!$G159,R$8*$X158,0))</f>
        <v>0</v>
      </c>
      <c r="S158" s="432" t="n">
        <f aca="false">IF('Peak Revenue'!$A$1="BL","-",IF(Peak!Y159&gt;Peak!$G159,S$8*$X158,0))</f>
        <v>0</v>
      </c>
      <c r="T158" s="432" t="n">
        <f aca="false">IF('Peak Revenue'!$A$1="BL","-",IF(Peak!Z159&gt;Peak!$G159,T$8*$X158,0))</f>
        <v>0</v>
      </c>
      <c r="U158" s="432" t="n">
        <f aca="false">IF('Peak Revenue'!$A$1="BL","-",IF(Peak!AA159&gt;Peak!$G159,U$8*$X158,0))</f>
        <v>0</v>
      </c>
      <c r="V158" s="441" t="n">
        <f aca="false">SUM(B158:U158)</f>
        <v>209</v>
      </c>
      <c r="W158" s="442"/>
      <c r="X158" s="439" t="n">
        <f aca="false">CHOOSE(QUOTIENT(MONTH($A158),3)+1,Peak!$AM$11,Peak!$AN$11,Peak!$AL$11,Peak!$AO$11,Peak!$AM$11)</f>
        <v>0.95</v>
      </c>
      <c r="Y158" s="440" t="n">
        <f aca="false">CHOOSE(QUOTIENT(MONTH($A158),3)+1,Peak!$AM$17,Peak!$AN$17,Peak!$AL$17,Peak!$AO$17,Peak!$AM$17)</f>
        <v>705</v>
      </c>
    </row>
    <row r="159" customFormat="false" ht="12.75" hidden="false" customHeight="false" outlineLevel="0" collapsed="false">
      <c r="A159" s="400" t="n">
        <f aca="false">A158+30.417</f>
        <v>41072.133</v>
      </c>
      <c r="B159" s="432" t="n">
        <f aca="false">IF('Peak Revenue'!$A$1="BL","-",IF(Peak!H160&gt;Peak!$G160,B$8*$X159,0))</f>
        <v>4.83060679547793</v>
      </c>
      <c r="C159" s="432" t="n">
        <f aca="false">IF('Peak Revenue'!$A$1="BL","-",IF(Peak!I160&gt;Peak!$G160,C$8*$X159,0))</f>
        <v>4.83060679547793</v>
      </c>
      <c r="D159" s="432" t="n">
        <f aca="false">IF('Peak Revenue'!$A$1="BL","-",IF(Peak!J160&gt;Peak!$G160,D$8*$X159,0))</f>
        <v>9.66121359095586</v>
      </c>
      <c r="E159" s="432" t="n">
        <f aca="false">IF('Peak Revenue'!$A$1="BL","-",IF(Peak!K160&gt;Peak!$G160,E$8*$X159,0))</f>
        <v>19.3224271819117</v>
      </c>
      <c r="F159" s="432" t="n">
        <f aca="false">IF('Peak Revenue'!$A$1="BL","-",IF(Peak!L160&gt;Peak!$G160,F$8*$X159,0))</f>
        <v>19.3224271819117</v>
      </c>
      <c r="G159" s="432" t="n">
        <f aca="false">IF('Peak Revenue'!$A$1="BL","-",IF(Peak!M160&gt;Peak!$G160,G$8*$X159,0))</f>
        <v>38.6448543638234</v>
      </c>
      <c r="H159" s="432" t="n">
        <f aca="false">IF('Peak Revenue'!$A$1="BL","-",IF(Peak!N160&gt;Peak!$G160,H$8*$X159,0))</f>
        <v>38.6448543638234</v>
      </c>
      <c r="I159" s="432" t="n">
        <f aca="false">IF('Peak Revenue'!$A$1="BL","-",IF(Peak!O160&gt;Peak!$G160,I$8*$X159,0))</f>
        <v>38.6448543638234</v>
      </c>
      <c r="J159" s="432" t="n">
        <f aca="false">IF('Peak Revenue'!$A$1="BL","-",IF(Peak!P160&gt;Peak!$G160,J$8*$X159,0))</f>
        <v>38.6448543638234</v>
      </c>
      <c r="K159" s="432" t="n">
        <f aca="false">IF('Peak Revenue'!$A$1="BL","-",IF(Peak!Q160&gt;Peak!$G160,K$8*$X159,0))</f>
        <v>38.6448543638234</v>
      </c>
      <c r="L159" s="432" t="n">
        <f aca="false">IF('Peak Revenue'!$A$1="BL","-",IF(Peak!R160&gt;Peak!$G160,L$8*$X159,0))</f>
        <v>0</v>
      </c>
      <c r="M159" s="432" t="n">
        <f aca="false">IF('Peak Revenue'!$A$1="BL","-",IF(Peak!S160&gt;Peak!$G160,M$8*$X159,0))</f>
        <v>0</v>
      </c>
      <c r="N159" s="432" t="n">
        <f aca="false">IF('Peak Revenue'!$A$1="BL","-",IF(Peak!T160&gt;Peak!$G160,N$8*$X159,0))</f>
        <v>0</v>
      </c>
      <c r="O159" s="432" t="n">
        <f aca="false">IF('Peak Revenue'!$A$1="BL","-",IF(Peak!U160&gt;Peak!$G160,O$8*$X159,0))</f>
        <v>0</v>
      </c>
      <c r="P159" s="432" t="n">
        <f aca="false">IF('Peak Revenue'!$A$1="BL","-",IF(Peak!V160&gt;Peak!$G160,P$8*$X159,0))</f>
        <v>0</v>
      </c>
      <c r="Q159" s="432" t="n">
        <f aca="false">IF('Peak Revenue'!$A$1="BL","-",IF(Peak!W160&gt;Peak!$G160,Q$8*$X159,0))</f>
        <v>0</v>
      </c>
      <c r="R159" s="432" t="n">
        <f aca="false">IF('Peak Revenue'!$A$1="BL","-",IF(Peak!X160&gt;Peak!$G160,R$8*$X159,0))</f>
        <v>0</v>
      </c>
      <c r="S159" s="432" t="n">
        <f aca="false">IF('Peak Revenue'!$A$1="BL","-",IF(Peak!Y160&gt;Peak!$G160,S$8*$X159,0))</f>
        <v>0</v>
      </c>
      <c r="T159" s="432" t="n">
        <f aca="false">IF('Peak Revenue'!$A$1="BL","-",IF(Peak!Z160&gt;Peak!$G160,T$8*$X159,0))</f>
        <v>0</v>
      </c>
      <c r="U159" s="432" t="n">
        <f aca="false">IF('Peak Revenue'!$A$1="BL","-",IF(Peak!AA160&gt;Peak!$G160,U$8*$X159,0))</f>
        <v>0</v>
      </c>
      <c r="V159" s="441" t="n">
        <f aca="false">SUM(B159:U159)</f>
        <v>251.191553364852</v>
      </c>
      <c r="W159" s="442"/>
      <c r="X159" s="439" t="n">
        <f aca="false">CHOOSE(QUOTIENT(MONTH($A159),3)+1,Peak!$AM$11,Peak!$AN$11,Peak!$AL$11,Peak!$AO$11,Peak!$AM$11)</f>
        <v>0.966121359095586</v>
      </c>
      <c r="Y159" s="440" t="n">
        <f aca="false">CHOOSE(QUOTIENT(MONTH($A159),3)+1,Peak!$AM$17,Peak!$AN$17,Peak!$AL$17,Peak!$AO$17,Peak!$AM$17)</f>
        <v>705</v>
      </c>
    </row>
    <row r="160" customFormat="false" ht="12.75" hidden="false" customHeight="false" outlineLevel="0" collapsed="false">
      <c r="A160" s="400" t="n">
        <f aca="false">A159+30.417</f>
        <v>41102.55</v>
      </c>
      <c r="B160" s="432" t="n">
        <f aca="false">IF('Peak Revenue'!$A$1="BL","-",IF(Peak!H161&gt;Peak!$G161,B$8*$X160,0))</f>
        <v>4.83060679547793</v>
      </c>
      <c r="C160" s="432" t="n">
        <f aca="false">IF('Peak Revenue'!$A$1="BL","-",IF(Peak!I161&gt;Peak!$G161,C$8*$X160,0))</f>
        <v>4.83060679547793</v>
      </c>
      <c r="D160" s="432" t="n">
        <f aca="false">IF('Peak Revenue'!$A$1="BL","-",IF(Peak!J161&gt;Peak!$G161,D$8*$X160,0))</f>
        <v>9.66121359095586</v>
      </c>
      <c r="E160" s="432" t="n">
        <f aca="false">IF('Peak Revenue'!$A$1="BL","-",IF(Peak!K161&gt;Peak!$G161,E$8*$X160,0))</f>
        <v>19.3224271819117</v>
      </c>
      <c r="F160" s="432" t="n">
        <f aca="false">IF('Peak Revenue'!$A$1="BL","-",IF(Peak!L161&gt;Peak!$G161,F$8*$X160,0))</f>
        <v>19.3224271819117</v>
      </c>
      <c r="G160" s="432" t="n">
        <f aca="false">IF('Peak Revenue'!$A$1="BL","-",IF(Peak!M161&gt;Peak!$G161,G$8*$X160,0))</f>
        <v>38.6448543638234</v>
      </c>
      <c r="H160" s="432" t="n">
        <f aca="false">IF('Peak Revenue'!$A$1="BL","-",IF(Peak!N161&gt;Peak!$G161,H$8*$X160,0))</f>
        <v>38.6448543638234</v>
      </c>
      <c r="I160" s="432" t="n">
        <f aca="false">IF('Peak Revenue'!$A$1="BL","-",IF(Peak!O161&gt;Peak!$G161,I$8*$X160,0))</f>
        <v>38.6448543638234</v>
      </c>
      <c r="J160" s="432" t="n">
        <f aca="false">IF('Peak Revenue'!$A$1="BL","-",IF(Peak!P161&gt;Peak!$G161,J$8*$X160,0))</f>
        <v>38.6448543638234</v>
      </c>
      <c r="K160" s="432" t="n">
        <f aca="false">IF('Peak Revenue'!$A$1="BL","-",IF(Peak!Q161&gt;Peak!$G161,K$8*$X160,0))</f>
        <v>38.6448543638234</v>
      </c>
      <c r="L160" s="432" t="n">
        <f aca="false">IF('Peak Revenue'!$A$1="BL","-",IF(Peak!R161&gt;Peak!$G161,L$8*$X160,0))</f>
        <v>38.6448543638234</v>
      </c>
      <c r="M160" s="432" t="n">
        <f aca="false">IF('Peak Revenue'!$A$1="BL","-",IF(Peak!S161&gt;Peak!$G161,M$8*$X160,0))</f>
        <v>38.6448543638234</v>
      </c>
      <c r="N160" s="432" t="n">
        <f aca="false">IF('Peak Revenue'!$A$1="BL","-",IF(Peak!T161&gt;Peak!$G161,N$8*$X160,0))</f>
        <v>0</v>
      </c>
      <c r="O160" s="432" t="n">
        <f aca="false">IF('Peak Revenue'!$A$1="BL","-",IF(Peak!U161&gt;Peak!$G161,O$8*$X160,0))</f>
        <v>0</v>
      </c>
      <c r="P160" s="432" t="n">
        <f aca="false">IF('Peak Revenue'!$A$1="BL","-",IF(Peak!V161&gt;Peak!$G161,P$8*$X160,0))</f>
        <v>0</v>
      </c>
      <c r="Q160" s="432" t="n">
        <f aca="false">IF('Peak Revenue'!$A$1="BL","-",IF(Peak!W161&gt;Peak!$G161,Q$8*$X160,0))</f>
        <v>0</v>
      </c>
      <c r="R160" s="432" t="n">
        <f aca="false">IF('Peak Revenue'!$A$1="BL","-",IF(Peak!X161&gt;Peak!$G161,R$8*$X160,0))</f>
        <v>0</v>
      </c>
      <c r="S160" s="432" t="n">
        <f aca="false">IF('Peak Revenue'!$A$1="BL","-",IF(Peak!Y161&gt;Peak!$G161,S$8*$X160,0))</f>
        <v>0</v>
      </c>
      <c r="T160" s="432" t="n">
        <f aca="false">IF('Peak Revenue'!$A$1="BL","-",IF(Peak!Z161&gt;Peak!$G161,T$8*$X160,0))</f>
        <v>0</v>
      </c>
      <c r="U160" s="432" t="n">
        <f aca="false">IF('Peak Revenue'!$A$1="BL","-",IF(Peak!AA161&gt;Peak!$G161,U$8*$X160,0))</f>
        <v>0</v>
      </c>
      <c r="V160" s="441" t="n">
        <f aca="false">SUM(B160:U160)</f>
        <v>328.481262092499</v>
      </c>
      <c r="W160" s="442"/>
      <c r="X160" s="439" t="n">
        <f aca="false">CHOOSE(QUOTIENT(MONTH($A160),3)+1,Peak!$AM$11,Peak!$AN$11,Peak!$AL$11,Peak!$AO$11,Peak!$AM$11)</f>
        <v>0.966121359095586</v>
      </c>
      <c r="Y160" s="440" t="n">
        <f aca="false">CHOOSE(QUOTIENT(MONTH($A160),3)+1,Peak!$AM$17,Peak!$AN$17,Peak!$AL$17,Peak!$AO$17,Peak!$AM$17)</f>
        <v>705</v>
      </c>
    </row>
    <row r="161" customFormat="false" ht="12.75" hidden="false" customHeight="false" outlineLevel="0" collapsed="false">
      <c r="A161" s="400" t="n">
        <f aca="false">A160+30.417</f>
        <v>41132.967</v>
      </c>
      <c r="B161" s="432" t="n">
        <f aca="false">IF('Peak Revenue'!$A$1="BL","-",IF(Peak!H162&gt;Peak!$G162,B$8*$X161,0))</f>
        <v>4.83060679547793</v>
      </c>
      <c r="C161" s="432" t="n">
        <f aca="false">IF('Peak Revenue'!$A$1="BL","-",IF(Peak!I162&gt;Peak!$G162,C$8*$X161,0))</f>
        <v>4.83060679547793</v>
      </c>
      <c r="D161" s="432" t="n">
        <f aca="false">IF('Peak Revenue'!$A$1="BL","-",IF(Peak!J162&gt;Peak!$G162,D$8*$X161,0))</f>
        <v>9.66121359095586</v>
      </c>
      <c r="E161" s="432" t="n">
        <f aca="false">IF('Peak Revenue'!$A$1="BL","-",IF(Peak!K162&gt;Peak!$G162,E$8*$X161,0))</f>
        <v>19.3224271819117</v>
      </c>
      <c r="F161" s="432" t="n">
        <f aca="false">IF('Peak Revenue'!$A$1="BL","-",IF(Peak!L162&gt;Peak!$G162,F$8*$X161,0))</f>
        <v>19.3224271819117</v>
      </c>
      <c r="G161" s="432" t="n">
        <f aca="false">IF('Peak Revenue'!$A$1="BL","-",IF(Peak!M162&gt;Peak!$G162,G$8*$X161,0))</f>
        <v>38.6448543638234</v>
      </c>
      <c r="H161" s="432" t="n">
        <f aca="false">IF('Peak Revenue'!$A$1="BL","-",IF(Peak!N162&gt;Peak!$G162,H$8*$X161,0))</f>
        <v>38.6448543638234</v>
      </c>
      <c r="I161" s="432" t="n">
        <f aca="false">IF('Peak Revenue'!$A$1="BL","-",IF(Peak!O162&gt;Peak!$G162,I$8*$X161,0))</f>
        <v>38.6448543638234</v>
      </c>
      <c r="J161" s="432" t="n">
        <f aca="false">IF('Peak Revenue'!$A$1="BL","-",IF(Peak!P162&gt;Peak!$G162,J$8*$X161,0))</f>
        <v>38.6448543638234</v>
      </c>
      <c r="K161" s="432" t="n">
        <f aca="false">IF('Peak Revenue'!$A$1="BL","-",IF(Peak!Q162&gt;Peak!$G162,K$8*$X161,0))</f>
        <v>38.6448543638234</v>
      </c>
      <c r="L161" s="432" t="n">
        <f aca="false">IF('Peak Revenue'!$A$1="BL","-",IF(Peak!R162&gt;Peak!$G162,L$8*$X161,0))</f>
        <v>38.6448543638234</v>
      </c>
      <c r="M161" s="432" t="n">
        <f aca="false">IF('Peak Revenue'!$A$1="BL","-",IF(Peak!S162&gt;Peak!$G162,M$8*$X161,0))</f>
        <v>38.6448543638234</v>
      </c>
      <c r="N161" s="432" t="n">
        <f aca="false">IF('Peak Revenue'!$A$1="BL","-",IF(Peak!T162&gt;Peak!$G162,N$8*$X161,0))</f>
        <v>0</v>
      </c>
      <c r="O161" s="432" t="n">
        <f aca="false">IF('Peak Revenue'!$A$1="BL","-",IF(Peak!U162&gt;Peak!$G162,O$8*$X161,0))</f>
        <v>0</v>
      </c>
      <c r="P161" s="432" t="n">
        <f aca="false">IF('Peak Revenue'!$A$1="BL","-",IF(Peak!V162&gt;Peak!$G162,P$8*$X161,0))</f>
        <v>0</v>
      </c>
      <c r="Q161" s="432" t="n">
        <f aca="false">IF('Peak Revenue'!$A$1="BL","-",IF(Peak!W162&gt;Peak!$G162,Q$8*$X161,0))</f>
        <v>0</v>
      </c>
      <c r="R161" s="432" t="n">
        <f aca="false">IF('Peak Revenue'!$A$1="BL","-",IF(Peak!X162&gt;Peak!$G162,R$8*$X161,0))</f>
        <v>0</v>
      </c>
      <c r="S161" s="432" t="n">
        <f aca="false">IF('Peak Revenue'!$A$1="BL","-",IF(Peak!Y162&gt;Peak!$G162,S$8*$X161,0))</f>
        <v>0</v>
      </c>
      <c r="T161" s="432" t="n">
        <f aca="false">IF('Peak Revenue'!$A$1="BL","-",IF(Peak!Z162&gt;Peak!$G162,T$8*$X161,0))</f>
        <v>0</v>
      </c>
      <c r="U161" s="432" t="n">
        <f aca="false">IF('Peak Revenue'!$A$1="BL","-",IF(Peak!AA162&gt;Peak!$G162,U$8*$X161,0))</f>
        <v>0</v>
      </c>
      <c r="V161" s="441" t="n">
        <f aca="false">SUM(B161:U161)</f>
        <v>328.481262092499</v>
      </c>
      <c r="W161" s="442"/>
      <c r="X161" s="439" t="n">
        <f aca="false">CHOOSE(QUOTIENT(MONTH($A161),3)+1,Peak!$AM$11,Peak!$AN$11,Peak!$AL$11,Peak!$AO$11,Peak!$AM$11)</f>
        <v>0.966121359095586</v>
      </c>
      <c r="Y161" s="440" t="n">
        <f aca="false">CHOOSE(QUOTIENT(MONTH($A161),3)+1,Peak!$AM$17,Peak!$AN$17,Peak!$AL$17,Peak!$AO$17,Peak!$AM$17)</f>
        <v>705</v>
      </c>
    </row>
    <row r="162" customFormat="false" ht="12.75" hidden="false" customHeight="false" outlineLevel="0" collapsed="false">
      <c r="A162" s="400" t="n">
        <f aca="false">A161+30.417</f>
        <v>41163.384</v>
      </c>
      <c r="B162" s="432" t="n">
        <f aca="false">IF('Peak Revenue'!$A$1="BL","-",IF(Peak!H163&gt;Peak!$G163,B$8*$X162,0))</f>
        <v>4.75</v>
      </c>
      <c r="C162" s="432" t="n">
        <f aca="false">IF('Peak Revenue'!$A$1="BL","-",IF(Peak!I163&gt;Peak!$G163,C$8*$X162,0))</f>
        <v>4.75</v>
      </c>
      <c r="D162" s="432" t="n">
        <f aca="false">IF('Peak Revenue'!$A$1="BL","-",IF(Peak!J163&gt;Peak!$G163,D$8*$X162,0))</f>
        <v>9.5</v>
      </c>
      <c r="E162" s="432" t="n">
        <f aca="false">IF('Peak Revenue'!$A$1="BL","-",IF(Peak!K163&gt;Peak!$G163,E$8*$X162,0))</f>
        <v>19</v>
      </c>
      <c r="F162" s="432" t="n">
        <f aca="false">IF('Peak Revenue'!$A$1="BL","-",IF(Peak!L163&gt;Peak!$G163,F$8*$X162,0))</f>
        <v>19</v>
      </c>
      <c r="G162" s="432" t="n">
        <f aca="false">IF('Peak Revenue'!$A$1="BL","-",IF(Peak!M163&gt;Peak!$G163,G$8*$X162,0))</f>
        <v>38</v>
      </c>
      <c r="H162" s="432" t="n">
        <f aca="false">IF('Peak Revenue'!$A$1="BL","-",IF(Peak!N163&gt;Peak!$G163,H$8*$X162,0))</f>
        <v>38</v>
      </c>
      <c r="I162" s="432" t="n">
        <f aca="false">IF('Peak Revenue'!$A$1="BL","-",IF(Peak!O163&gt;Peak!$G163,I$8*$X162,0))</f>
        <v>38</v>
      </c>
      <c r="J162" s="432" t="n">
        <f aca="false">IF('Peak Revenue'!$A$1="BL","-",IF(Peak!P163&gt;Peak!$G163,J$8*$X162,0))</f>
        <v>38</v>
      </c>
      <c r="K162" s="432" t="n">
        <f aca="false">IF('Peak Revenue'!$A$1="BL","-",IF(Peak!Q163&gt;Peak!$G163,K$8*$X162,0))</f>
        <v>38</v>
      </c>
      <c r="L162" s="432" t="n">
        <f aca="false">IF('Peak Revenue'!$A$1="BL","-",IF(Peak!R163&gt;Peak!$G163,L$8*$X162,0))</f>
        <v>38</v>
      </c>
      <c r="M162" s="432" t="n">
        <f aca="false">IF('Peak Revenue'!$A$1="BL","-",IF(Peak!S163&gt;Peak!$G163,M$8*$X162,0))</f>
        <v>38</v>
      </c>
      <c r="N162" s="432" t="n">
        <f aca="false">IF('Peak Revenue'!$A$1="BL","-",IF(Peak!T163&gt;Peak!$G163,N$8*$X162,0))</f>
        <v>0</v>
      </c>
      <c r="O162" s="432" t="n">
        <f aca="false">IF('Peak Revenue'!$A$1="BL","-",IF(Peak!U163&gt;Peak!$G163,O$8*$X162,0))</f>
        <v>0</v>
      </c>
      <c r="P162" s="432" t="n">
        <f aca="false">IF('Peak Revenue'!$A$1="BL","-",IF(Peak!V163&gt;Peak!$G163,P$8*$X162,0))</f>
        <v>0</v>
      </c>
      <c r="Q162" s="432" t="n">
        <f aca="false">IF('Peak Revenue'!$A$1="BL","-",IF(Peak!W163&gt;Peak!$G163,Q$8*$X162,0))</f>
        <v>0</v>
      </c>
      <c r="R162" s="432" t="n">
        <f aca="false">IF('Peak Revenue'!$A$1="BL","-",IF(Peak!X163&gt;Peak!$G163,R$8*$X162,0))</f>
        <v>0</v>
      </c>
      <c r="S162" s="432" t="n">
        <f aca="false">IF('Peak Revenue'!$A$1="BL","-",IF(Peak!Y163&gt;Peak!$G163,S$8*$X162,0))</f>
        <v>0</v>
      </c>
      <c r="T162" s="432" t="n">
        <f aca="false">IF('Peak Revenue'!$A$1="BL","-",IF(Peak!Z163&gt;Peak!$G163,T$8*$X162,0))</f>
        <v>0</v>
      </c>
      <c r="U162" s="432" t="n">
        <f aca="false">IF('Peak Revenue'!$A$1="BL","-",IF(Peak!AA163&gt;Peak!$G163,U$8*$X162,0))</f>
        <v>0</v>
      </c>
      <c r="V162" s="441" t="n">
        <f aca="false">SUM(B162:U162)</f>
        <v>323</v>
      </c>
      <c r="W162" s="442"/>
      <c r="X162" s="439" t="n">
        <f aca="false">CHOOSE(QUOTIENT(MONTH($A162),3)+1,Peak!$AM$11,Peak!$AN$11,Peak!$AL$11,Peak!$AO$11,Peak!$AM$11)</f>
        <v>0.95</v>
      </c>
      <c r="Y162" s="440" t="n">
        <f aca="false">CHOOSE(QUOTIENT(MONTH($A162),3)+1,Peak!$AM$17,Peak!$AN$17,Peak!$AL$17,Peak!$AO$17,Peak!$AM$17)</f>
        <v>705</v>
      </c>
    </row>
    <row r="163" customFormat="false" ht="12.75" hidden="false" customHeight="false" outlineLevel="0" collapsed="false">
      <c r="A163" s="400" t="n">
        <f aca="false">A162+30.417</f>
        <v>41193.801</v>
      </c>
      <c r="B163" s="432" t="n">
        <f aca="false">IF('Peak Revenue'!$A$1="BL","-",IF(Peak!H164&gt;Peak!$G164,B$8*$X163,0))</f>
        <v>4.75</v>
      </c>
      <c r="C163" s="432" t="n">
        <f aca="false">IF('Peak Revenue'!$A$1="BL","-",IF(Peak!I164&gt;Peak!$G164,C$8*$X163,0))</f>
        <v>4.75</v>
      </c>
      <c r="D163" s="432" t="n">
        <f aca="false">IF('Peak Revenue'!$A$1="BL","-",IF(Peak!J164&gt;Peak!$G164,D$8*$X163,0))</f>
        <v>9.5</v>
      </c>
      <c r="E163" s="432" t="n">
        <f aca="false">IF('Peak Revenue'!$A$1="BL","-",IF(Peak!K164&gt;Peak!$G164,E$8*$X163,0))</f>
        <v>19</v>
      </c>
      <c r="F163" s="432" t="n">
        <f aca="false">IF('Peak Revenue'!$A$1="BL","-",IF(Peak!L164&gt;Peak!$G164,F$8*$X163,0))</f>
        <v>19</v>
      </c>
      <c r="G163" s="432" t="n">
        <f aca="false">IF('Peak Revenue'!$A$1="BL","-",IF(Peak!M164&gt;Peak!$G164,G$8*$X163,0))</f>
        <v>38</v>
      </c>
      <c r="H163" s="432" t="n">
        <f aca="false">IF('Peak Revenue'!$A$1="BL","-",IF(Peak!N164&gt;Peak!$G164,H$8*$X163,0))</f>
        <v>38</v>
      </c>
      <c r="I163" s="432" t="n">
        <f aca="false">IF('Peak Revenue'!$A$1="BL","-",IF(Peak!O164&gt;Peak!$G164,I$8*$X163,0))</f>
        <v>38</v>
      </c>
      <c r="J163" s="432" t="n">
        <f aca="false">IF('Peak Revenue'!$A$1="BL","-",IF(Peak!P164&gt;Peak!$G164,J$8*$X163,0))</f>
        <v>38</v>
      </c>
      <c r="K163" s="432" t="n">
        <f aca="false">IF('Peak Revenue'!$A$1="BL","-",IF(Peak!Q164&gt;Peak!$G164,K$8*$X163,0))</f>
        <v>38</v>
      </c>
      <c r="L163" s="432" t="n">
        <f aca="false">IF('Peak Revenue'!$A$1="BL","-",IF(Peak!R164&gt;Peak!$G164,L$8*$X163,0))</f>
        <v>0</v>
      </c>
      <c r="M163" s="432" t="n">
        <f aca="false">IF('Peak Revenue'!$A$1="BL","-",IF(Peak!S164&gt;Peak!$G164,M$8*$X163,0))</f>
        <v>0</v>
      </c>
      <c r="N163" s="432" t="n">
        <f aca="false">IF('Peak Revenue'!$A$1="BL","-",IF(Peak!T164&gt;Peak!$G164,N$8*$X163,0))</f>
        <v>0</v>
      </c>
      <c r="O163" s="432" t="n">
        <f aca="false">IF('Peak Revenue'!$A$1="BL","-",IF(Peak!U164&gt;Peak!$G164,O$8*$X163,0))</f>
        <v>0</v>
      </c>
      <c r="P163" s="432" t="n">
        <f aca="false">IF('Peak Revenue'!$A$1="BL","-",IF(Peak!V164&gt;Peak!$G164,P$8*$X163,0))</f>
        <v>0</v>
      </c>
      <c r="Q163" s="432" t="n">
        <f aca="false">IF('Peak Revenue'!$A$1="BL","-",IF(Peak!W164&gt;Peak!$G164,Q$8*$X163,0))</f>
        <v>0</v>
      </c>
      <c r="R163" s="432" t="n">
        <f aca="false">IF('Peak Revenue'!$A$1="BL","-",IF(Peak!X164&gt;Peak!$G164,R$8*$X163,0))</f>
        <v>0</v>
      </c>
      <c r="S163" s="432" t="n">
        <f aca="false">IF('Peak Revenue'!$A$1="BL","-",IF(Peak!Y164&gt;Peak!$G164,S$8*$X163,0))</f>
        <v>0</v>
      </c>
      <c r="T163" s="432" t="n">
        <f aca="false">IF('Peak Revenue'!$A$1="BL","-",IF(Peak!Z164&gt;Peak!$G164,T$8*$X163,0))</f>
        <v>0</v>
      </c>
      <c r="U163" s="432" t="n">
        <f aca="false">IF('Peak Revenue'!$A$1="BL","-",IF(Peak!AA164&gt;Peak!$G164,U$8*$X163,0))</f>
        <v>0</v>
      </c>
      <c r="V163" s="441" t="n">
        <f aca="false">SUM(B163:U163)</f>
        <v>247</v>
      </c>
      <c r="W163" s="442"/>
      <c r="X163" s="439" t="n">
        <f aca="false">CHOOSE(QUOTIENT(MONTH($A163),3)+1,Peak!$AM$11,Peak!$AN$11,Peak!$AL$11,Peak!$AO$11,Peak!$AM$11)</f>
        <v>0.95</v>
      </c>
      <c r="Y163" s="440" t="n">
        <f aca="false">CHOOSE(QUOTIENT(MONTH($A163),3)+1,Peak!$AM$17,Peak!$AN$17,Peak!$AL$17,Peak!$AO$17,Peak!$AM$17)</f>
        <v>705</v>
      </c>
    </row>
    <row r="164" customFormat="false" ht="12.75" hidden="false" customHeight="false" outlineLevel="0" collapsed="false">
      <c r="A164" s="400" t="n">
        <f aca="false">A163+30.417</f>
        <v>41224.218</v>
      </c>
      <c r="B164" s="432" t="n">
        <f aca="false">IF('Peak Revenue'!$A$1="BL","-",IF(Peak!H165&gt;Peak!$G165,B$8*$X164,0))</f>
        <v>4.75</v>
      </c>
      <c r="C164" s="432" t="n">
        <f aca="false">IF('Peak Revenue'!$A$1="BL","-",IF(Peak!I165&gt;Peak!$G165,C$8*$X164,0))</f>
        <v>4.75</v>
      </c>
      <c r="D164" s="432" t="n">
        <f aca="false">IF('Peak Revenue'!$A$1="BL","-",IF(Peak!J165&gt;Peak!$G165,D$8*$X164,0))</f>
        <v>9.5</v>
      </c>
      <c r="E164" s="432" t="n">
        <f aca="false">IF('Peak Revenue'!$A$1="BL","-",IF(Peak!K165&gt;Peak!$G165,E$8*$X164,0))</f>
        <v>19</v>
      </c>
      <c r="F164" s="432" t="n">
        <f aca="false">IF('Peak Revenue'!$A$1="BL","-",IF(Peak!L165&gt;Peak!$G165,F$8*$X164,0))</f>
        <v>19</v>
      </c>
      <c r="G164" s="432" t="n">
        <f aca="false">IF('Peak Revenue'!$A$1="BL","-",IF(Peak!M165&gt;Peak!$G165,G$8*$X164,0))</f>
        <v>38</v>
      </c>
      <c r="H164" s="432" t="n">
        <f aca="false">IF('Peak Revenue'!$A$1="BL","-",IF(Peak!N165&gt;Peak!$G165,H$8*$X164,0))</f>
        <v>38</v>
      </c>
      <c r="I164" s="432" t="n">
        <f aca="false">IF('Peak Revenue'!$A$1="BL","-",IF(Peak!O165&gt;Peak!$G165,I$8*$X164,0))</f>
        <v>38</v>
      </c>
      <c r="J164" s="432" t="n">
        <f aca="false">IF('Peak Revenue'!$A$1="BL","-",IF(Peak!P165&gt;Peak!$G165,J$8*$X164,0))</f>
        <v>38</v>
      </c>
      <c r="K164" s="432" t="n">
        <f aca="false">IF('Peak Revenue'!$A$1="BL","-",IF(Peak!Q165&gt;Peak!$G165,K$8*$X164,0))</f>
        <v>38</v>
      </c>
      <c r="L164" s="432" t="n">
        <f aca="false">IF('Peak Revenue'!$A$1="BL","-",IF(Peak!R165&gt;Peak!$G165,L$8*$X164,0))</f>
        <v>0</v>
      </c>
      <c r="M164" s="432" t="n">
        <f aca="false">IF('Peak Revenue'!$A$1="BL","-",IF(Peak!S165&gt;Peak!$G165,M$8*$X164,0))</f>
        <v>0</v>
      </c>
      <c r="N164" s="432" t="n">
        <f aca="false">IF('Peak Revenue'!$A$1="BL","-",IF(Peak!T165&gt;Peak!$G165,N$8*$X164,0))</f>
        <v>0</v>
      </c>
      <c r="O164" s="432" t="n">
        <f aca="false">IF('Peak Revenue'!$A$1="BL","-",IF(Peak!U165&gt;Peak!$G165,O$8*$X164,0))</f>
        <v>0</v>
      </c>
      <c r="P164" s="432" t="n">
        <f aca="false">IF('Peak Revenue'!$A$1="BL","-",IF(Peak!V165&gt;Peak!$G165,P$8*$X164,0))</f>
        <v>0</v>
      </c>
      <c r="Q164" s="432" t="n">
        <f aca="false">IF('Peak Revenue'!$A$1="BL","-",IF(Peak!W165&gt;Peak!$G165,Q$8*$X164,0))</f>
        <v>0</v>
      </c>
      <c r="R164" s="432" t="n">
        <f aca="false">IF('Peak Revenue'!$A$1="BL","-",IF(Peak!X165&gt;Peak!$G165,R$8*$X164,0))</f>
        <v>0</v>
      </c>
      <c r="S164" s="432" t="n">
        <f aca="false">IF('Peak Revenue'!$A$1="BL","-",IF(Peak!Y165&gt;Peak!$G165,S$8*$X164,0))</f>
        <v>0</v>
      </c>
      <c r="T164" s="432" t="n">
        <f aca="false">IF('Peak Revenue'!$A$1="BL","-",IF(Peak!Z165&gt;Peak!$G165,T$8*$X164,0))</f>
        <v>0</v>
      </c>
      <c r="U164" s="432" t="n">
        <f aca="false">IF('Peak Revenue'!$A$1="BL","-",IF(Peak!AA165&gt;Peak!$G165,U$8*$X164,0))</f>
        <v>0</v>
      </c>
      <c r="V164" s="441" t="n">
        <f aca="false">SUM(B164:U164)</f>
        <v>247</v>
      </c>
      <c r="W164" s="442"/>
      <c r="X164" s="439" t="n">
        <f aca="false">CHOOSE(QUOTIENT(MONTH($A164),3)+1,Peak!$AM$11,Peak!$AN$11,Peak!$AL$11,Peak!$AO$11,Peak!$AM$11)</f>
        <v>0.95</v>
      </c>
      <c r="Y164" s="440" t="n">
        <f aca="false">CHOOSE(QUOTIENT(MONTH($A164),3)+1,Peak!$AM$17,Peak!$AN$17,Peak!$AL$17,Peak!$AO$17,Peak!$AM$17)</f>
        <v>705</v>
      </c>
    </row>
    <row r="165" customFormat="false" ht="12.75" hidden="false" customHeight="false" outlineLevel="0" collapsed="false">
      <c r="A165" s="400" t="n">
        <f aca="false">A164+30.417</f>
        <v>41254.635</v>
      </c>
      <c r="B165" s="432" t="n">
        <f aca="false">IF('Peak Revenue'!$A$1="BL","-",IF(Peak!H166&gt;Peak!$G166,B$8*$X165,0))</f>
        <v>4.62138309393059</v>
      </c>
      <c r="C165" s="432" t="n">
        <f aca="false">IF('Peak Revenue'!$A$1="BL","-",IF(Peak!I166&gt;Peak!$G166,C$8*$X165,0))</f>
        <v>4.62138309393059</v>
      </c>
      <c r="D165" s="432" t="n">
        <f aca="false">IF('Peak Revenue'!$A$1="BL","-",IF(Peak!J166&gt;Peak!$G166,D$8*$X165,0))</f>
        <v>9.24276618786118</v>
      </c>
      <c r="E165" s="432" t="n">
        <f aca="false">IF('Peak Revenue'!$A$1="BL","-",IF(Peak!K166&gt;Peak!$G166,E$8*$X165,0))</f>
        <v>18.4855323757224</v>
      </c>
      <c r="F165" s="432" t="n">
        <f aca="false">IF('Peak Revenue'!$A$1="BL","-",IF(Peak!L166&gt;Peak!$G166,F$8*$X165,0))</f>
        <v>18.4855323757224</v>
      </c>
      <c r="G165" s="432" t="n">
        <f aca="false">IF('Peak Revenue'!$A$1="BL","-",IF(Peak!M166&gt;Peak!$G166,G$8*$X165,0))</f>
        <v>36.9710647514447</v>
      </c>
      <c r="H165" s="432" t="n">
        <f aca="false">IF('Peak Revenue'!$A$1="BL","-",IF(Peak!N166&gt;Peak!$G166,H$8*$X165,0))</f>
        <v>36.9710647514447</v>
      </c>
      <c r="I165" s="432" t="n">
        <f aca="false">IF('Peak Revenue'!$A$1="BL","-",IF(Peak!O166&gt;Peak!$G166,I$8*$X165,0))</f>
        <v>36.9710647514447</v>
      </c>
      <c r="J165" s="432" t="n">
        <f aca="false">IF('Peak Revenue'!$A$1="BL","-",IF(Peak!P166&gt;Peak!$G166,J$8*$X165,0))</f>
        <v>36.9710647514447</v>
      </c>
      <c r="K165" s="432" t="n">
        <f aca="false">IF('Peak Revenue'!$A$1="BL","-",IF(Peak!Q166&gt;Peak!$G166,K$8*$X165,0))</f>
        <v>0</v>
      </c>
      <c r="L165" s="432" t="n">
        <f aca="false">IF('Peak Revenue'!$A$1="BL","-",IF(Peak!R166&gt;Peak!$G166,L$8*$X165,0))</f>
        <v>0</v>
      </c>
      <c r="M165" s="432" t="n">
        <f aca="false">IF('Peak Revenue'!$A$1="BL","-",IF(Peak!S166&gt;Peak!$G166,M$8*$X165,0))</f>
        <v>0</v>
      </c>
      <c r="N165" s="432" t="n">
        <f aca="false">IF('Peak Revenue'!$A$1="BL","-",IF(Peak!T166&gt;Peak!$G166,N$8*$X165,0))</f>
        <v>0</v>
      </c>
      <c r="O165" s="432" t="n">
        <f aca="false">IF('Peak Revenue'!$A$1="BL","-",IF(Peak!U166&gt;Peak!$G166,O$8*$X165,0))</f>
        <v>0</v>
      </c>
      <c r="P165" s="432" t="n">
        <f aca="false">IF('Peak Revenue'!$A$1="BL","-",IF(Peak!V166&gt;Peak!$G166,P$8*$X165,0))</f>
        <v>0</v>
      </c>
      <c r="Q165" s="432" t="n">
        <f aca="false">IF('Peak Revenue'!$A$1="BL","-",IF(Peak!W166&gt;Peak!$G166,Q$8*$X165,0))</f>
        <v>0</v>
      </c>
      <c r="R165" s="432" t="n">
        <f aca="false">IF('Peak Revenue'!$A$1="BL","-",IF(Peak!X166&gt;Peak!$G166,R$8*$X165,0))</f>
        <v>0</v>
      </c>
      <c r="S165" s="432" t="n">
        <f aca="false">IF('Peak Revenue'!$A$1="BL","-",IF(Peak!Y166&gt;Peak!$G166,S$8*$X165,0))</f>
        <v>0</v>
      </c>
      <c r="T165" s="432" t="n">
        <f aca="false">IF('Peak Revenue'!$A$1="BL","-",IF(Peak!Z166&gt;Peak!$G166,T$8*$X165,0))</f>
        <v>0</v>
      </c>
      <c r="U165" s="432" t="n">
        <f aca="false">IF('Peak Revenue'!$A$1="BL","-",IF(Peak!AA166&gt;Peak!$G166,U$8*$X165,0))</f>
        <v>0</v>
      </c>
      <c r="V165" s="441" t="n">
        <f aca="false">SUM(B165:U165)</f>
        <v>203.340856132946</v>
      </c>
      <c r="W165" s="443" t="n">
        <f aca="false">SUM(V154:V165)</f>
        <v>2962.17664594869</v>
      </c>
      <c r="X165" s="439" t="n">
        <f aca="false">CHOOSE(QUOTIENT(MONTH($A165),3)+1,Peak!$AM$11,Peak!$AN$11,Peak!$AL$11,Peak!$AO$11,Peak!$AM$11)</f>
        <v>0.924276618786118</v>
      </c>
      <c r="Y165" s="440" t="n">
        <f aca="false">CHOOSE(QUOTIENT(MONTH($A165),3)+1,Peak!$AM$17,Peak!$AN$17,Peak!$AL$17,Peak!$AO$17,Peak!$AM$17)</f>
        <v>705</v>
      </c>
    </row>
    <row r="166" customFormat="false" ht="12.75" hidden="false" customHeight="false" outlineLevel="0" collapsed="false">
      <c r="A166" s="400" t="n">
        <f aca="false">A165+30.417</f>
        <v>41285.052</v>
      </c>
      <c r="B166" s="432" t="n">
        <f aca="false">IF('Peak Revenue'!$A$1="BL","-",IF(Peak!H167&gt;Peak!$G167,B$8*$X166,0))</f>
        <v>4.62138309393059</v>
      </c>
      <c r="C166" s="432" t="n">
        <f aca="false">IF('Peak Revenue'!$A$1="BL","-",IF(Peak!I167&gt;Peak!$G167,C$8*$X166,0))</f>
        <v>4.62138309393059</v>
      </c>
      <c r="D166" s="432" t="n">
        <f aca="false">IF('Peak Revenue'!$A$1="BL","-",IF(Peak!J167&gt;Peak!$G167,D$8*$X166,0))</f>
        <v>9.24276618786118</v>
      </c>
      <c r="E166" s="432" t="n">
        <f aca="false">IF('Peak Revenue'!$A$1="BL","-",IF(Peak!K167&gt;Peak!$G167,E$8*$X166,0))</f>
        <v>18.4855323757224</v>
      </c>
      <c r="F166" s="432" t="n">
        <f aca="false">IF('Peak Revenue'!$A$1="BL","-",IF(Peak!L167&gt;Peak!$G167,F$8*$X166,0))</f>
        <v>18.4855323757224</v>
      </c>
      <c r="G166" s="432" t="n">
        <f aca="false">IF('Peak Revenue'!$A$1="BL","-",IF(Peak!M167&gt;Peak!$G167,G$8*$X166,0))</f>
        <v>36.9710647514447</v>
      </c>
      <c r="H166" s="432" t="n">
        <f aca="false">IF('Peak Revenue'!$A$1="BL","-",IF(Peak!N167&gt;Peak!$G167,H$8*$X166,0))</f>
        <v>36.9710647514447</v>
      </c>
      <c r="I166" s="432" t="n">
        <f aca="false">IF('Peak Revenue'!$A$1="BL","-",IF(Peak!O167&gt;Peak!$G167,I$8*$X166,0))</f>
        <v>36.9710647514447</v>
      </c>
      <c r="J166" s="432" t="n">
        <f aca="false">IF('Peak Revenue'!$A$1="BL","-",IF(Peak!P167&gt;Peak!$G167,J$8*$X166,0))</f>
        <v>36.9710647514447</v>
      </c>
      <c r="K166" s="432" t="n">
        <f aca="false">IF('Peak Revenue'!$A$1="BL","-",IF(Peak!Q167&gt;Peak!$G167,K$8*$X166,0))</f>
        <v>0</v>
      </c>
      <c r="L166" s="432" t="n">
        <f aca="false">IF('Peak Revenue'!$A$1="BL","-",IF(Peak!R167&gt;Peak!$G167,L$8*$X166,0))</f>
        <v>0</v>
      </c>
      <c r="M166" s="432" t="n">
        <f aca="false">IF('Peak Revenue'!$A$1="BL","-",IF(Peak!S167&gt;Peak!$G167,M$8*$X166,0))</f>
        <v>0</v>
      </c>
      <c r="N166" s="432" t="n">
        <f aca="false">IF('Peak Revenue'!$A$1="BL","-",IF(Peak!T167&gt;Peak!$G167,N$8*$X166,0))</f>
        <v>0</v>
      </c>
      <c r="O166" s="432" t="n">
        <f aca="false">IF('Peak Revenue'!$A$1="BL","-",IF(Peak!U167&gt;Peak!$G167,O$8*$X166,0))</f>
        <v>0</v>
      </c>
      <c r="P166" s="432" t="n">
        <f aca="false">IF('Peak Revenue'!$A$1="BL","-",IF(Peak!V167&gt;Peak!$G167,P$8*$X166,0))</f>
        <v>0</v>
      </c>
      <c r="Q166" s="432" t="n">
        <f aca="false">IF('Peak Revenue'!$A$1="BL","-",IF(Peak!W167&gt;Peak!$G167,Q$8*$X166,0))</f>
        <v>0</v>
      </c>
      <c r="R166" s="432" t="n">
        <f aca="false">IF('Peak Revenue'!$A$1="BL","-",IF(Peak!X167&gt;Peak!$G167,R$8*$X166,0))</f>
        <v>0</v>
      </c>
      <c r="S166" s="432" t="n">
        <f aca="false">IF('Peak Revenue'!$A$1="BL","-",IF(Peak!Y167&gt;Peak!$G167,S$8*$X166,0))</f>
        <v>0</v>
      </c>
      <c r="T166" s="432" t="n">
        <f aca="false">IF('Peak Revenue'!$A$1="BL","-",IF(Peak!Z167&gt;Peak!$G167,T$8*$X166,0))</f>
        <v>0</v>
      </c>
      <c r="U166" s="432" t="n">
        <f aca="false">IF('Peak Revenue'!$A$1="BL","-",IF(Peak!AA167&gt;Peak!$G167,U$8*$X166,0))</f>
        <v>0</v>
      </c>
      <c r="V166" s="441" t="n">
        <f aca="false">SUM(B166:U166)</f>
        <v>203.340856132946</v>
      </c>
      <c r="W166" s="442"/>
      <c r="X166" s="439" t="n">
        <f aca="false">CHOOSE(QUOTIENT(MONTH($A166),3)+1,Peak!$AM$11,Peak!$AN$11,Peak!$AL$11,Peak!$AO$11,Peak!$AM$11)</f>
        <v>0.924276618786118</v>
      </c>
      <c r="Y166" s="440" t="n">
        <f aca="false">CHOOSE(QUOTIENT(MONTH($A166),3)+1,Peak!$AM$17,Peak!$AN$17,Peak!$AL$17,Peak!$AO$17,Peak!$AM$17)</f>
        <v>705</v>
      </c>
    </row>
    <row r="167" customFormat="false" ht="12.75" hidden="false" customHeight="false" outlineLevel="0" collapsed="false">
      <c r="A167" s="400" t="n">
        <f aca="false">A166+30.417</f>
        <v>41315.469</v>
      </c>
      <c r="B167" s="432" t="n">
        <f aca="false">IF('Peak Revenue'!$A$1="BL","-",IF(Peak!H168&gt;Peak!$G168,B$8*$X167,0))</f>
        <v>4.62138309393059</v>
      </c>
      <c r="C167" s="432" t="n">
        <f aca="false">IF('Peak Revenue'!$A$1="BL","-",IF(Peak!I168&gt;Peak!$G168,C$8*$X167,0))</f>
        <v>4.62138309393059</v>
      </c>
      <c r="D167" s="432" t="n">
        <f aca="false">IF('Peak Revenue'!$A$1="BL","-",IF(Peak!J168&gt;Peak!$G168,D$8*$X167,0))</f>
        <v>9.24276618786118</v>
      </c>
      <c r="E167" s="432" t="n">
        <f aca="false">IF('Peak Revenue'!$A$1="BL","-",IF(Peak!K168&gt;Peak!$G168,E$8*$X167,0))</f>
        <v>18.4855323757224</v>
      </c>
      <c r="F167" s="432" t="n">
        <f aca="false">IF('Peak Revenue'!$A$1="BL","-",IF(Peak!L168&gt;Peak!$G168,F$8*$X167,0))</f>
        <v>18.4855323757224</v>
      </c>
      <c r="G167" s="432" t="n">
        <f aca="false">IF('Peak Revenue'!$A$1="BL","-",IF(Peak!M168&gt;Peak!$G168,G$8*$X167,0))</f>
        <v>36.9710647514447</v>
      </c>
      <c r="H167" s="432" t="n">
        <f aca="false">IF('Peak Revenue'!$A$1="BL","-",IF(Peak!N168&gt;Peak!$G168,H$8*$X167,0))</f>
        <v>36.9710647514447</v>
      </c>
      <c r="I167" s="432" t="n">
        <f aca="false">IF('Peak Revenue'!$A$1="BL","-",IF(Peak!O168&gt;Peak!$G168,I$8*$X167,0))</f>
        <v>36.9710647514447</v>
      </c>
      <c r="J167" s="432" t="n">
        <f aca="false">IF('Peak Revenue'!$A$1="BL","-",IF(Peak!P168&gt;Peak!$G168,J$8*$X167,0))</f>
        <v>36.9710647514447</v>
      </c>
      <c r="K167" s="432" t="n">
        <f aca="false">IF('Peak Revenue'!$A$1="BL","-",IF(Peak!Q168&gt;Peak!$G168,K$8*$X167,0))</f>
        <v>36.9710647514447</v>
      </c>
      <c r="L167" s="432" t="n">
        <f aca="false">IF('Peak Revenue'!$A$1="BL","-",IF(Peak!R168&gt;Peak!$G168,L$8*$X167,0))</f>
        <v>0</v>
      </c>
      <c r="M167" s="432" t="n">
        <f aca="false">IF('Peak Revenue'!$A$1="BL","-",IF(Peak!S168&gt;Peak!$G168,M$8*$X167,0))</f>
        <v>0</v>
      </c>
      <c r="N167" s="432" t="n">
        <f aca="false">IF('Peak Revenue'!$A$1="BL","-",IF(Peak!T168&gt;Peak!$G168,N$8*$X167,0))</f>
        <v>0</v>
      </c>
      <c r="O167" s="432" t="n">
        <f aca="false">IF('Peak Revenue'!$A$1="BL","-",IF(Peak!U168&gt;Peak!$G168,O$8*$X167,0))</f>
        <v>0</v>
      </c>
      <c r="P167" s="432" t="n">
        <f aca="false">IF('Peak Revenue'!$A$1="BL","-",IF(Peak!V168&gt;Peak!$G168,P$8*$X167,0))</f>
        <v>0</v>
      </c>
      <c r="Q167" s="432" t="n">
        <f aca="false">IF('Peak Revenue'!$A$1="BL","-",IF(Peak!W168&gt;Peak!$G168,Q$8*$X167,0))</f>
        <v>0</v>
      </c>
      <c r="R167" s="432" t="n">
        <f aca="false">IF('Peak Revenue'!$A$1="BL","-",IF(Peak!X168&gt;Peak!$G168,R$8*$X167,0))</f>
        <v>0</v>
      </c>
      <c r="S167" s="432" t="n">
        <f aca="false">IF('Peak Revenue'!$A$1="BL","-",IF(Peak!Y168&gt;Peak!$G168,S$8*$X167,0))</f>
        <v>0</v>
      </c>
      <c r="T167" s="432" t="n">
        <f aca="false">IF('Peak Revenue'!$A$1="BL","-",IF(Peak!Z168&gt;Peak!$G168,T$8*$X167,0))</f>
        <v>0</v>
      </c>
      <c r="U167" s="432" t="n">
        <f aca="false">IF('Peak Revenue'!$A$1="BL","-",IF(Peak!AA168&gt;Peak!$G168,U$8*$X167,0))</f>
        <v>0</v>
      </c>
      <c r="V167" s="441" t="n">
        <f aca="false">SUM(B167:U167)</f>
        <v>240.311920884391</v>
      </c>
      <c r="W167" s="442"/>
      <c r="X167" s="439" t="n">
        <f aca="false">CHOOSE(QUOTIENT(MONTH($A167),3)+1,Peak!$AM$11,Peak!$AN$11,Peak!$AL$11,Peak!$AO$11,Peak!$AM$11)</f>
        <v>0.924276618786118</v>
      </c>
      <c r="Y167" s="440" t="n">
        <f aca="false">CHOOSE(QUOTIENT(MONTH($A167),3)+1,Peak!$AM$17,Peak!$AN$17,Peak!$AL$17,Peak!$AO$17,Peak!$AM$17)</f>
        <v>705</v>
      </c>
    </row>
    <row r="168" customFormat="false" ht="12.75" hidden="false" customHeight="false" outlineLevel="0" collapsed="false">
      <c r="A168" s="400" t="n">
        <f aca="false">A167+30.417</f>
        <v>41345.886</v>
      </c>
      <c r="B168" s="432" t="n">
        <f aca="false">IF('Peak Revenue'!$A$1="BL","-",IF(Peak!H169&gt;Peak!$G169,B$8*$X168,0))</f>
        <v>4.75</v>
      </c>
      <c r="C168" s="432" t="n">
        <f aca="false">IF('Peak Revenue'!$A$1="BL","-",IF(Peak!I169&gt;Peak!$G169,C$8*$X168,0))</f>
        <v>4.75</v>
      </c>
      <c r="D168" s="432" t="n">
        <f aca="false">IF('Peak Revenue'!$A$1="BL","-",IF(Peak!J169&gt;Peak!$G169,D$8*$X168,0))</f>
        <v>9.5</v>
      </c>
      <c r="E168" s="432" t="n">
        <f aca="false">IF('Peak Revenue'!$A$1="BL","-",IF(Peak!K169&gt;Peak!$G169,E$8*$X168,0))</f>
        <v>19</v>
      </c>
      <c r="F168" s="432" t="n">
        <f aca="false">IF('Peak Revenue'!$A$1="BL","-",IF(Peak!L169&gt;Peak!$G169,F$8*$X168,0))</f>
        <v>19</v>
      </c>
      <c r="G168" s="432" t="n">
        <f aca="false">IF('Peak Revenue'!$A$1="BL","-",IF(Peak!M169&gt;Peak!$G169,G$8*$X168,0))</f>
        <v>38</v>
      </c>
      <c r="H168" s="432" t="n">
        <f aca="false">IF('Peak Revenue'!$A$1="BL","-",IF(Peak!N169&gt;Peak!$G169,H$8*$X168,0))</f>
        <v>38</v>
      </c>
      <c r="I168" s="432" t="n">
        <f aca="false">IF('Peak Revenue'!$A$1="BL","-",IF(Peak!O169&gt;Peak!$G169,I$8*$X168,0))</f>
        <v>38</v>
      </c>
      <c r="J168" s="432" t="n">
        <f aca="false">IF('Peak Revenue'!$A$1="BL","-",IF(Peak!P169&gt;Peak!$G169,J$8*$X168,0))</f>
        <v>38</v>
      </c>
      <c r="K168" s="432" t="n">
        <f aca="false">IF('Peak Revenue'!$A$1="BL","-",IF(Peak!Q169&gt;Peak!$G169,K$8*$X168,0))</f>
        <v>38</v>
      </c>
      <c r="L168" s="432" t="n">
        <f aca="false">IF('Peak Revenue'!$A$1="BL","-",IF(Peak!R169&gt;Peak!$G169,L$8*$X168,0))</f>
        <v>0</v>
      </c>
      <c r="M168" s="432" t="n">
        <f aca="false">IF('Peak Revenue'!$A$1="BL","-",IF(Peak!S169&gt;Peak!$G169,M$8*$X168,0))</f>
        <v>0</v>
      </c>
      <c r="N168" s="432" t="n">
        <f aca="false">IF('Peak Revenue'!$A$1="BL","-",IF(Peak!T169&gt;Peak!$G169,N$8*$X168,0))</f>
        <v>0</v>
      </c>
      <c r="O168" s="432" t="n">
        <f aca="false">IF('Peak Revenue'!$A$1="BL","-",IF(Peak!U169&gt;Peak!$G169,O$8*$X168,0))</f>
        <v>0</v>
      </c>
      <c r="P168" s="432" t="n">
        <f aca="false">IF('Peak Revenue'!$A$1="BL","-",IF(Peak!V169&gt;Peak!$G169,P$8*$X168,0))</f>
        <v>0</v>
      </c>
      <c r="Q168" s="432" t="n">
        <f aca="false">IF('Peak Revenue'!$A$1="BL","-",IF(Peak!W169&gt;Peak!$G169,Q$8*$X168,0))</f>
        <v>0</v>
      </c>
      <c r="R168" s="432" t="n">
        <f aca="false">IF('Peak Revenue'!$A$1="BL","-",IF(Peak!X169&gt;Peak!$G169,R$8*$X168,0))</f>
        <v>0</v>
      </c>
      <c r="S168" s="432" t="n">
        <f aca="false">IF('Peak Revenue'!$A$1="BL","-",IF(Peak!Y169&gt;Peak!$G169,S$8*$X168,0))</f>
        <v>0</v>
      </c>
      <c r="T168" s="432" t="n">
        <f aca="false">IF('Peak Revenue'!$A$1="BL","-",IF(Peak!Z169&gt;Peak!$G169,T$8*$X168,0))</f>
        <v>0</v>
      </c>
      <c r="U168" s="432" t="n">
        <f aca="false">IF('Peak Revenue'!$A$1="BL","-",IF(Peak!AA169&gt;Peak!$G169,U$8*$X168,0))</f>
        <v>0</v>
      </c>
      <c r="V168" s="441" t="n">
        <f aca="false">SUM(B168:U168)</f>
        <v>247</v>
      </c>
      <c r="W168" s="442"/>
      <c r="X168" s="439" t="n">
        <f aca="false">CHOOSE(QUOTIENT(MONTH($A168),3)+1,Peak!$AM$11,Peak!$AN$11,Peak!$AL$11,Peak!$AO$11,Peak!$AM$11)</f>
        <v>0.95</v>
      </c>
      <c r="Y168" s="440" t="n">
        <f aca="false">CHOOSE(QUOTIENT(MONTH($A168),3)+1,Peak!$AM$17,Peak!$AN$17,Peak!$AL$17,Peak!$AO$17,Peak!$AM$17)</f>
        <v>705</v>
      </c>
    </row>
    <row r="169" customFormat="false" ht="12.75" hidden="false" customHeight="false" outlineLevel="0" collapsed="false">
      <c r="A169" s="400" t="n">
        <f aca="false">A168+30.417</f>
        <v>41376.303</v>
      </c>
      <c r="B169" s="432" t="n">
        <f aca="false">IF('Peak Revenue'!$A$1="BL","-",IF(Peak!H170&gt;Peak!$G170,B$8*$X169,0))</f>
        <v>4.75</v>
      </c>
      <c r="C169" s="432" t="n">
        <f aca="false">IF('Peak Revenue'!$A$1="BL","-",IF(Peak!I170&gt;Peak!$G170,C$8*$X169,0))</f>
        <v>4.75</v>
      </c>
      <c r="D169" s="432" t="n">
        <f aca="false">IF('Peak Revenue'!$A$1="BL","-",IF(Peak!J170&gt;Peak!$G170,D$8*$X169,0))</f>
        <v>9.5</v>
      </c>
      <c r="E169" s="432" t="n">
        <f aca="false">IF('Peak Revenue'!$A$1="BL","-",IF(Peak!K170&gt;Peak!$G170,E$8*$X169,0))</f>
        <v>19</v>
      </c>
      <c r="F169" s="432" t="n">
        <f aca="false">IF('Peak Revenue'!$A$1="BL","-",IF(Peak!L170&gt;Peak!$G170,F$8*$X169,0))</f>
        <v>19</v>
      </c>
      <c r="G169" s="432" t="n">
        <f aca="false">IF('Peak Revenue'!$A$1="BL","-",IF(Peak!M170&gt;Peak!$G170,G$8*$X169,0))</f>
        <v>38</v>
      </c>
      <c r="H169" s="432" t="n">
        <f aca="false">IF('Peak Revenue'!$A$1="BL","-",IF(Peak!N170&gt;Peak!$G170,H$8*$X169,0))</f>
        <v>38</v>
      </c>
      <c r="I169" s="432" t="n">
        <f aca="false">IF('Peak Revenue'!$A$1="BL","-",IF(Peak!O170&gt;Peak!$G170,I$8*$X169,0))</f>
        <v>38</v>
      </c>
      <c r="J169" s="432" t="n">
        <f aca="false">IF('Peak Revenue'!$A$1="BL","-",IF(Peak!P170&gt;Peak!$G170,J$8*$X169,0))</f>
        <v>38</v>
      </c>
      <c r="K169" s="432" t="n">
        <f aca="false">IF('Peak Revenue'!$A$1="BL","-",IF(Peak!Q170&gt;Peak!$G170,K$8*$X169,0))</f>
        <v>0</v>
      </c>
      <c r="L169" s="432" t="n">
        <f aca="false">IF('Peak Revenue'!$A$1="BL","-",IF(Peak!R170&gt;Peak!$G170,L$8*$X169,0))</f>
        <v>0</v>
      </c>
      <c r="M169" s="432" t="n">
        <f aca="false">IF('Peak Revenue'!$A$1="BL","-",IF(Peak!S170&gt;Peak!$G170,M$8*$X169,0))</f>
        <v>0</v>
      </c>
      <c r="N169" s="432" t="n">
        <f aca="false">IF('Peak Revenue'!$A$1="BL","-",IF(Peak!T170&gt;Peak!$G170,N$8*$X169,0))</f>
        <v>0</v>
      </c>
      <c r="O169" s="432" t="n">
        <f aca="false">IF('Peak Revenue'!$A$1="BL","-",IF(Peak!U170&gt;Peak!$G170,O$8*$X169,0))</f>
        <v>0</v>
      </c>
      <c r="P169" s="432" t="n">
        <f aca="false">IF('Peak Revenue'!$A$1="BL","-",IF(Peak!V170&gt;Peak!$G170,P$8*$X169,0))</f>
        <v>0</v>
      </c>
      <c r="Q169" s="432" t="n">
        <f aca="false">IF('Peak Revenue'!$A$1="BL","-",IF(Peak!W170&gt;Peak!$G170,Q$8*$X169,0))</f>
        <v>0</v>
      </c>
      <c r="R169" s="432" t="n">
        <f aca="false">IF('Peak Revenue'!$A$1="BL","-",IF(Peak!X170&gt;Peak!$G170,R$8*$X169,0))</f>
        <v>0</v>
      </c>
      <c r="S169" s="432" t="n">
        <f aca="false">IF('Peak Revenue'!$A$1="BL","-",IF(Peak!Y170&gt;Peak!$G170,S$8*$X169,0))</f>
        <v>0</v>
      </c>
      <c r="T169" s="432" t="n">
        <f aca="false">IF('Peak Revenue'!$A$1="BL","-",IF(Peak!Z170&gt;Peak!$G170,T$8*$X169,0))</f>
        <v>0</v>
      </c>
      <c r="U169" s="432" t="n">
        <f aca="false">IF('Peak Revenue'!$A$1="BL","-",IF(Peak!AA170&gt;Peak!$G170,U$8*$X169,0))</f>
        <v>0</v>
      </c>
      <c r="V169" s="441" t="n">
        <f aca="false">SUM(B169:U169)</f>
        <v>209</v>
      </c>
      <c r="W169" s="442"/>
      <c r="X169" s="439" t="n">
        <f aca="false">CHOOSE(QUOTIENT(MONTH($A169),3)+1,Peak!$AM$11,Peak!$AN$11,Peak!$AL$11,Peak!$AO$11,Peak!$AM$11)</f>
        <v>0.95</v>
      </c>
      <c r="Y169" s="440" t="n">
        <f aca="false">CHOOSE(QUOTIENT(MONTH($A169),3)+1,Peak!$AM$17,Peak!$AN$17,Peak!$AL$17,Peak!$AO$17,Peak!$AM$17)</f>
        <v>705</v>
      </c>
    </row>
    <row r="170" customFormat="false" ht="12.75" hidden="false" customHeight="false" outlineLevel="0" collapsed="false">
      <c r="A170" s="400" t="n">
        <f aca="false">A169+30.417</f>
        <v>41406.72</v>
      </c>
      <c r="B170" s="432" t="n">
        <f aca="false">IF('Peak Revenue'!$A$1="BL","-",IF(Peak!H171&gt;Peak!$G171,B$8*$X170,0))</f>
        <v>4.75</v>
      </c>
      <c r="C170" s="432" t="n">
        <f aca="false">IF('Peak Revenue'!$A$1="BL","-",IF(Peak!I171&gt;Peak!$G171,C$8*$X170,0))</f>
        <v>4.75</v>
      </c>
      <c r="D170" s="432" t="n">
        <f aca="false">IF('Peak Revenue'!$A$1="BL","-",IF(Peak!J171&gt;Peak!$G171,D$8*$X170,0))</f>
        <v>9.5</v>
      </c>
      <c r="E170" s="432" t="n">
        <f aca="false">IF('Peak Revenue'!$A$1="BL","-",IF(Peak!K171&gt;Peak!$G171,E$8*$X170,0))</f>
        <v>19</v>
      </c>
      <c r="F170" s="432" t="n">
        <f aca="false">IF('Peak Revenue'!$A$1="BL","-",IF(Peak!L171&gt;Peak!$G171,F$8*$X170,0))</f>
        <v>19</v>
      </c>
      <c r="G170" s="432" t="n">
        <f aca="false">IF('Peak Revenue'!$A$1="BL","-",IF(Peak!M171&gt;Peak!$G171,G$8*$X170,0))</f>
        <v>38</v>
      </c>
      <c r="H170" s="432" t="n">
        <f aca="false">IF('Peak Revenue'!$A$1="BL","-",IF(Peak!N171&gt;Peak!$G171,H$8*$X170,0))</f>
        <v>38</v>
      </c>
      <c r="I170" s="432" t="n">
        <f aca="false">IF('Peak Revenue'!$A$1="BL","-",IF(Peak!O171&gt;Peak!$G171,I$8*$X170,0))</f>
        <v>38</v>
      </c>
      <c r="J170" s="432" t="n">
        <f aca="false">IF('Peak Revenue'!$A$1="BL","-",IF(Peak!P171&gt;Peak!$G171,J$8*$X170,0))</f>
        <v>38</v>
      </c>
      <c r="K170" s="432" t="n">
        <f aca="false">IF('Peak Revenue'!$A$1="BL","-",IF(Peak!Q171&gt;Peak!$G171,K$8*$X170,0))</f>
        <v>0</v>
      </c>
      <c r="L170" s="432" t="n">
        <f aca="false">IF('Peak Revenue'!$A$1="BL","-",IF(Peak!R171&gt;Peak!$G171,L$8*$X170,0))</f>
        <v>0</v>
      </c>
      <c r="M170" s="432" t="n">
        <f aca="false">IF('Peak Revenue'!$A$1="BL","-",IF(Peak!S171&gt;Peak!$G171,M$8*$X170,0))</f>
        <v>0</v>
      </c>
      <c r="N170" s="432" t="n">
        <f aca="false">IF('Peak Revenue'!$A$1="BL","-",IF(Peak!T171&gt;Peak!$G171,N$8*$X170,0))</f>
        <v>0</v>
      </c>
      <c r="O170" s="432" t="n">
        <f aca="false">IF('Peak Revenue'!$A$1="BL","-",IF(Peak!U171&gt;Peak!$G171,O$8*$X170,0))</f>
        <v>0</v>
      </c>
      <c r="P170" s="432" t="n">
        <f aca="false">IF('Peak Revenue'!$A$1="BL","-",IF(Peak!V171&gt;Peak!$G171,P$8*$X170,0))</f>
        <v>0</v>
      </c>
      <c r="Q170" s="432" t="n">
        <f aca="false">IF('Peak Revenue'!$A$1="BL","-",IF(Peak!W171&gt;Peak!$G171,Q$8*$X170,0))</f>
        <v>0</v>
      </c>
      <c r="R170" s="432" t="n">
        <f aca="false">IF('Peak Revenue'!$A$1="BL","-",IF(Peak!X171&gt;Peak!$G171,R$8*$X170,0))</f>
        <v>0</v>
      </c>
      <c r="S170" s="432" t="n">
        <f aca="false">IF('Peak Revenue'!$A$1="BL","-",IF(Peak!Y171&gt;Peak!$G171,S$8*$X170,0))</f>
        <v>0</v>
      </c>
      <c r="T170" s="432" t="n">
        <f aca="false">IF('Peak Revenue'!$A$1="BL","-",IF(Peak!Z171&gt;Peak!$G171,T$8*$X170,0))</f>
        <v>0</v>
      </c>
      <c r="U170" s="432" t="n">
        <f aca="false">IF('Peak Revenue'!$A$1="BL","-",IF(Peak!AA171&gt;Peak!$G171,U$8*$X170,0))</f>
        <v>0</v>
      </c>
      <c r="V170" s="441" t="n">
        <f aca="false">SUM(B170:U170)</f>
        <v>209</v>
      </c>
      <c r="W170" s="442"/>
      <c r="X170" s="439" t="n">
        <f aca="false">CHOOSE(QUOTIENT(MONTH($A170),3)+1,Peak!$AM$11,Peak!$AN$11,Peak!$AL$11,Peak!$AO$11,Peak!$AM$11)</f>
        <v>0.95</v>
      </c>
      <c r="Y170" s="440" t="n">
        <f aca="false">CHOOSE(QUOTIENT(MONTH($A170),3)+1,Peak!$AM$17,Peak!$AN$17,Peak!$AL$17,Peak!$AO$17,Peak!$AM$17)</f>
        <v>705</v>
      </c>
    </row>
    <row r="171" customFormat="false" ht="12.75" hidden="false" customHeight="false" outlineLevel="0" collapsed="false">
      <c r="A171" s="400" t="n">
        <f aca="false">A170+30.417</f>
        <v>41437.137</v>
      </c>
      <c r="B171" s="432" t="n">
        <f aca="false">IF('Peak Revenue'!$A$1="BL","-",IF(Peak!H172&gt;Peak!$G172,B$8*$X171,0))</f>
        <v>4.83060679547793</v>
      </c>
      <c r="C171" s="432" t="n">
        <f aca="false">IF('Peak Revenue'!$A$1="BL","-",IF(Peak!I172&gt;Peak!$G172,C$8*$X171,0))</f>
        <v>4.83060679547793</v>
      </c>
      <c r="D171" s="432" t="n">
        <f aca="false">IF('Peak Revenue'!$A$1="BL","-",IF(Peak!J172&gt;Peak!$G172,D$8*$X171,0))</f>
        <v>9.66121359095586</v>
      </c>
      <c r="E171" s="432" t="n">
        <f aca="false">IF('Peak Revenue'!$A$1="BL","-",IF(Peak!K172&gt;Peak!$G172,E$8*$X171,0))</f>
        <v>19.3224271819117</v>
      </c>
      <c r="F171" s="432" t="n">
        <f aca="false">IF('Peak Revenue'!$A$1="BL","-",IF(Peak!L172&gt;Peak!$G172,F$8*$X171,0))</f>
        <v>19.3224271819117</v>
      </c>
      <c r="G171" s="432" t="n">
        <f aca="false">IF('Peak Revenue'!$A$1="BL","-",IF(Peak!M172&gt;Peak!$G172,G$8*$X171,0))</f>
        <v>38.6448543638234</v>
      </c>
      <c r="H171" s="432" t="n">
        <f aca="false">IF('Peak Revenue'!$A$1="BL","-",IF(Peak!N172&gt;Peak!$G172,H$8*$X171,0))</f>
        <v>38.6448543638234</v>
      </c>
      <c r="I171" s="432" t="n">
        <f aca="false">IF('Peak Revenue'!$A$1="BL","-",IF(Peak!O172&gt;Peak!$G172,I$8*$X171,0))</f>
        <v>38.6448543638234</v>
      </c>
      <c r="J171" s="432" t="n">
        <f aca="false">IF('Peak Revenue'!$A$1="BL","-",IF(Peak!P172&gt;Peak!$G172,J$8*$X171,0))</f>
        <v>38.6448543638234</v>
      </c>
      <c r="K171" s="432" t="n">
        <f aca="false">IF('Peak Revenue'!$A$1="BL","-",IF(Peak!Q172&gt;Peak!$G172,K$8*$X171,0))</f>
        <v>0</v>
      </c>
      <c r="L171" s="432" t="n">
        <f aca="false">IF('Peak Revenue'!$A$1="BL","-",IF(Peak!R172&gt;Peak!$G172,L$8*$X171,0))</f>
        <v>0</v>
      </c>
      <c r="M171" s="432" t="n">
        <f aca="false">IF('Peak Revenue'!$A$1="BL","-",IF(Peak!S172&gt;Peak!$G172,M$8*$X171,0))</f>
        <v>0</v>
      </c>
      <c r="N171" s="432" t="n">
        <f aca="false">IF('Peak Revenue'!$A$1="BL","-",IF(Peak!T172&gt;Peak!$G172,N$8*$X171,0))</f>
        <v>0</v>
      </c>
      <c r="O171" s="432" t="n">
        <f aca="false">IF('Peak Revenue'!$A$1="BL","-",IF(Peak!U172&gt;Peak!$G172,O$8*$X171,0))</f>
        <v>0</v>
      </c>
      <c r="P171" s="432" t="n">
        <f aca="false">IF('Peak Revenue'!$A$1="BL","-",IF(Peak!V172&gt;Peak!$G172,P$8*$X171,0))</f>
        <v>0</v>
      </c>
      <c r="Q171" s="432" t="n">
        <f aca="false">IF('Peak Revenue'!$A$1="BL","-",IF(Peak!W172&gt;Peak!$G172,Q$8*$X171,0))</f>
        <v>0</v>
      </c>
      <c r="R171" s="432" t="n">
        <f aca="false">IF('Peak Revenue'!$A$1="BL","-",IF(Peak!X172&gt;Peak!$G172,R$8*$X171,0))</f>
        <v>0</v>
      </c>
      <c r="S171" s="432" t="n">
        <f aca="false">IF('Peak Revenue'!$A$1="BL","-",IF(Peak!Y172&gt;Peak!$G172,S$8*$X171,0))</f>
        <v>0</v>
      </c>
      <c r="T171" s="432" t="n">
        <f aca="false">IF('Peak Revenue'!$A$1="BL","-",IF(Peak!Z172&gt;Peak!$G172,T$8*$X171,0))</f>
        <v>0</v>
      </c>
      <c r="U171" s="432" t="n">
        <f aca="false">IF('Peak Revenue'!$A$1="BL","-",IF(Peak!AA172&gt;Peak!$G172,U$8*$X171,0))</f>
        <v>0</v>
      </c>
      <c r="V171" s="441" t="n">
        <f aca="false">SUM(B171:U171)</f>
        <v>212.546699001029</v>
      </c>
      <c r="W171" s="442"/>
      <c r="X171" s="439" t="n">
        <f aca="false">CHOOSE(QUOTIENT(MONTH($A171),3)+1,Peak!$AM$11,Peak!$AN$11,Peak!$AL$11,Peak!$AO$11,Peak!$AM$11)</f>
        <v>0.966121359095586</v>
      </c>
      <c r="Y171" s="440" t="n">
        <f aca="false">CHOOSE(QUOTIENT(MONTH($A171),3)+1,Peak!$AM$17,Peak!$AN$17,Peak!$AL$17,Peak!$AO$17,Peak!$AM$17)</f>
        <v>705</v>
      </c>
    </row>
    <row r="172" customFormat="false" ht="12.75" hidden="false" customHeight="false" outlineLevel="0" collapsed="false">
      <c r="A172" s="400" t="n">
        <f aca="false">A171+30.417</f>
        <v>41467.554</v>
      </c>
      <c r="B172" s="432" t="n">
        <f aca="false">IF('Peak Revenue'!$A$1="BL","-",IF(Peak!H173&gt;Peak!$G173,B$8*$X172,0))</f>
        <v>4.83060679547793</v>
      </c>
      <c r="C172" s="432" t="n">
        <f aca="false">IF('Peak Revenue'!$A$1="BL","-",IF(Peak!I173&gt;Peak!$G173,C$8*$X172,0))</f>
        <v>4.83060679547793</v>
      </c>
      <c r="D172" s="432" t="n">
        <f aca="false">IF('Peak Revenue'!$A$1="BL","-",IF(Peak!J173&gt;Peak!$G173,D$8*$X172,0))</f>
        <v>9.66121359095586</v>
      </c>
      <c r="E172" s="432" t="n">
        <f aca="false">IF('Peak Revenue'!$A$1="BL","-",IF(Peak!K173&gt;Peak!$G173,E$8*$X172,0))</f>
        <v>19.3224271819117</v>
      </c>
      <c r="F172" s="432" t="n">
        <f aca="false">IF('Peak Revenue'!$A$1="BL","-",IF(Peak!L173&gt;Peak!$G173,F$8*$X172,0))</f>
        <v>19.3224271819117</v>
      </c>
      <c r="G172" s="432" t="n">
        <f aca="false">IF('Peak Revenue'!$A$1="BL","-",IF(Peak!M173&gt;Peak!$G173,G$8*$X172,0))</f>
        <v>38.6448543638234</v>
      </c>
      <c r="H172" s="432" t="n">
        <f aca="false">IF('Peak Revenue'!$A$1="BL","-",IF(Peak!N173&gt;Peak!$G173,H$8*$X172,0))</f>
        <v>38.6448543638234</v>
      </c>
      <c r="I172" s="432" t="n">
        <f aca="false">IF('Peak Revenue'!$A$1="BL","-",IF(Peak!O173&gt;Peak!$G173,I$8*$X172,0))</f>
        <v>38.6448543638234</v>
      </c>
      <c r="J172" s="432" t="n">
        <f aca="false">IF('Peak Revenue'!$A$1="BL","-",IF(Peak!P173&gt;Peak!$G173,J$8*$X172,0))</f>
        <v>38.6448543638234</v>
      </c>
      <c r="K172" s="432" t="n">
        <f aca="false">IF('Peak Revenue'!$A$1="BL","-",IF(Peak!Q173&gt;Peak!$G173,K$8*$X172,0))</f>
        <v>38.6448543638234</v>
      </c>
      <c r="L172" s="432" t="n">
        <f aca="false">IF('Peak Revenue'!$A$1="BL","-",IF(Peak!R173&gt;Peak!$G173,L$8*$X172,0))</f>
        <v>38.6448543638234</v>
      </c>
      <c r="M172" s="432" t="n">
        <f aca="false">IF('Peak Revenue'!$A$1="BL","-",IF(Peak!S173&gt;Peak!$G173,M$8*$X172,0))</f>
        <v>0</v>
      </c>
      <c r="N172" s="432" t="n">
        <f aca="false">IF('Peak Revenue'!$A$1="BL","-",IF(Peak!T173&gt;Peak!$G173,N$8*$X172,0))</f>
        <v>0</v>
      </c>
      <c r="O172" s="432" t="n">
        <f aca="false">IF('Peak Revenue'!$A$1="BL","-",IF(Peak!U173&gt;Peak!$G173,O$8*$X172,0))</f>
        <v>0</v>
      </c>
      <c r="P172" s="432" t="n">
        <f aca="false">IF('Peak Revenue'!$A$1="BL","-",IF(Peak!V173&gt;Peak!$G173,P$8*$X172,0))</f>
        <v>0</v>
      </c>
      <c r="Q172" s="432" t="n">
        <f aca="false">IF('Peak Revenue'!$A$1="BL","-",IF(Peak!W173&gt;Peak!$G173,Q$8*$X172,0))</f>
        <v>0</v>
      </c>
      <c r="R172" s="432" t="n">
        <f aca="false">IF('Peak Revenue'!$A$1="BL","-",IF(Peak!X173&gt;Peak!$G173,R$8*$X172,0))</f>
        <v>0</v>
      </c>
      <c r="S172" s="432" t="n">
        <f aca="false">IF('Peak Revenue'!$A$1="BL","-",IF(Peak!Y173&gt;Peak!$G173,S$8*$X172,0))</f>
        <v>0</v>
      </c>
      <c r="T172" s="432" t="n">
        <f aca="false">IF('Peak Revenue'!$A$1="BL","-",IF(Peak!Z173&gt;Peak!$G173,T$8*$X172,0))</f>
        <v>0</v>
      </c>
      <c r="U172" s="432" t="n">
        <f aca="false">IF('Peak Revenue'!$A$1="BL","-",IF(Peak!AA173&gt;Peak!$G173,U$8*$X172,0))</f>
        <v>0</v>
      </c>
      <c r="V172" s="441" t="n">
        <f aca="false">SUM(B172:U172)</f>
        <v>289.836407728676</v>
      </c>
      <c r="W172" s="442"/>
      <c r="X172" s="439" t="n">
        <f aca="false">CHOOSE(QUOTIENT(MONTH($A172),3)+1,Peak!$AM$11,Peak!$AN$11,Peak!$AL$11,Peak!$AO$11,Peak!$AM$11)</f>
        <v>0.966121359095586</v>
      </c>
      <c r="Y172" s="440" t="n">
        <f aca="false">CHOOSE(QUOTIENT(MONTH($A172),3)+1,Peak!$AM$17,Peak!$AN$17,Peak!$AL$17,Peak!$AO$17,Peak!$AM$17)</f>
        <v>705</v>
      </c>
    </row>
    <row r="173" customFormat="false" ht="12.75" hidden="false" customHeight="false" outlineLevel="0" collapsed="false">
      <c r="A173" s="400" t="n">
        <f aca="false">A172+30.417</f>
        <v>41497.971</v>
      </c>
      <c r="B173" s="432" t="n">
        <f aca="false">IF('Peak Revenue'!$A$1="BL","-",IF(Peak!H174&gt;Peak!$G174,B$8*$X173,0))</f>
        <v>4.83060679547793</v>
      </c>
      <c r="C173" s="432" t="n">
        <f aca="false">IF('Peak Revenue'!$A$1="BL","-",IF(Peak!I174&gt;Peak!$G174,C$8*$X173,0))</f>
        <v>4.83060679547793</v>
      </c>
      <c r="D173" s="432" t="n">
        <f aca="false">IF('Peak Revenue'!$A$1="BL","-",IF(Peak!J174&gt;Peak!$G174,D$8*$X173,0))</f>
        <v>9.66121359095586</v>
      </c>
      <c r="E173" s="432" t="n">
        <f aca="false">IF('Peak Revenue'!$A$1="BL","-",IF(Peak!K174&gt;Peak!$G174,E$8*$X173,0))</f>
        <v>19.3224271819117</v>
      </c>
      <c r="F173" s="432" t="n">
        <f aca="false">IF('Peak Revenue'!$A$1="BL","-",IF(Peak!L174&gt;Peak!$G174,F$8*$X173,0))</f>
        <v>19.3224271819117</v>
      </c>
      <c r="G173" s="432" t="n">
        <f aca="false">IF('Peak Revenue'!$A$1="BL","-",IF(Peak!M174&gt;Peak!$G174,G$8*$X173,0))</f>
        <v>38.6448543638234</v>
      </c>
      <c r="H173" s="432" t="n">
        <f aca="false">IF('Peak Revenue'!$A$1="BL","-",IF(Peak!N174&gt;Peak!$G174,H$8*$X173,0))</f>
        <v>38.6448543638234</v>
      </c>
      <c r="I173" s="432" t="n">
        <f aca="false">IF('Peak Revenue'!$A$1="BL","-",IF(Peak!O174&gt;Peak!$G174,I$8*$X173,0))</f>
        <v>38.6448543638234</v>
      </c>
      <c r="J173" s="432" t="n">
        <f aca="false">IF('Peak Revenue'!$A$1="BL","-",IF(Peak!P174&gt;Peak!$G174,J$8*$X173,0))</f>
        <v>38.6448543638234</v>
      </c>
      <c r="K173" s="432" t="n">
        <f aca="false">IF('Peak Revenue'!$A$1="BL","-",IF(Peak!Q174&gt;Peak!$G174,K$8*$X173,0))</f>
        <v>38.6448543638234</v>
      </c>
      <c r="L173" s="432" t="n">
        <f aca="false">IF('Peak Revenue'!$A$1="BL","-",IF(Peak!R174&gt;Peak!$G174,L$8*$X173,0))</f>
        <v>38.6448543638234</v>
      </c>
      <c r="M173" s="432" t="n">
        <f aca="false">IF('Peak Revenue'!$A$1="BL","-",IF(Peak!S174&gt;Peak!$G174,M$8*$X173,0))</f>
        <v>0</v>
      </c>
      <c r="N173" s="432" t="n">
        <f aca="false">IF('Peak Revenue'!$A$1="BL","-",IF(Peak!T174&gt;Peak!$G174,N$8*$X173,0))</f>
        <v>0</v>
      </c>
      <c r="O173" s="432" t="n">
        <f aca="false">IF('Peak Revenue'!$A$1="BL","-",IF(Peak!U174&gt;Peak!$G174,O$8*$X173,0))</f>
        <v>0</v>
      </c>
      <c r="P173" s="432" t="n">
        <f aca="false">IF('Peak Revenue'!$A$1="BL","-",IF(Peak!V174&gt;Peak!$G174,P$8*$X173,0))</f>
        <v>0</v>
      </c>
      <c r="Q173" s="432" t="n">
        <f aca="false">IF('Peak Revenue'!$A$1="BL","-",IF(Peak!W174&gt;Peak!$G174,Q$8*$X173,0))</f>
        <v>0</v>
      </c>
      <c r="R173" s="432" t="n">
        <f aca="false">IF('Peak Revenue'!$A$1="BL","-",IF(Peak!X174&gt;Peak!$G174,R$8*$X173,0))</f>
        <v>0</v>
      </c>
      <c r="S173" s="432" t="n">
        <f aca="false">IF('Peak Revenue'!$A$1="BL","-",IF(Peak!Y174&gt;Peak!$G174,S$8*$X173,0))</f>
        <v>0</v>
      </c>
      <c r="T173" s="432" t="n">
        <f aca="false">IF('Peak Revenue'!$A$1="BL","-",IF(Peak!Z174&gt;Peak!$G174,T$8*$X173,0))</f>
        <v>0</v>
      </c>
      <c r="U173" s="432" t="n">
        <f aca="false">IF('Peak Revenue'!$A$1="BL","-",IF(Peak!AA174&gt;Peak!$G174,U$8*$X173,0))</f>
        <v>0</v>
      </c>
      <c r="V173" s="441" t="n">
        <f aca="false">SUM(B173:U173)</f>
        <v>289.836407728676</v>
      </c>
      <c r="W173" s="442"/>
      <c r="X173" s="439" t="n">
        <f aca="false">CHOOSE(QUOTIENT(MONTH($A173),3)+1,Peak!$AM$11,Peak!$AN$11,Peak!$AL$11,Peak!$AO$11,Peak!$AM$11)</f>
        <v>0.966121359095586</v>
      </c>
      <c r="Y173" s="440" t="n">
        <f aca="false">CHOOSE(QUOTIENT(MONTH($A173),3)+1,Peak!$AM$17,Peak!$AN$17,Peak!$AL$17,Peak!$AO$17,Peak!$AM$17)</f>
        <v>705</v>
      </c>
    </row>
    <row r="174" customFormat="false" ht="12.75" hidden="false" customHeight="false" outlineLevel="0" collapsed="false">
      <c r="A174" s="400" t="n">
        <f aca="false">A173+30.417</f>
        <v>41528.388</v>
      </c>
      <c r="B174" s="432" t="n">
        <f aca="false">IF('Peak Revenue'!$A$1="BL","-",IF(Peak!H175&gt;Peak!$G175,B$8*$X174,0))</f>
        <v>4.75</v>
      </c>
      <c r="C174" s="432" t="n">
        <f aca="false">IF('Peak Revenue'!$A$1="BL","-",IF(Peak!I175&gt;Peak!$G175,C$8*$X174,0))</f>
        <v>4.75</v>
      </c>
      <c r="D174" s="432" t="n">
        <f aca="false">IF('Peak Revenue'!$A$1="BL","-",IF(Peak!J175&gt;Peak!$G175,D$8*$X174,0))</f>
        <v>9.5</v>
      </c>
      <c r="E174" s="432" t="n">
        <f aca="false">IF('Peak Revenue'!$A$1="BL","-",IF(Peak!K175&gt;Peak!$G175,E$8*$X174,0))</f>
        <v>19</v>
      </c>
      <c r="F174" s="432" t="n">
        <f aca="false">IF('Peak Revenue'!$A$1="BL","-",IF(Peak!L175&gt;Peak!$G175,F$8*$X174,0))</f>
        <v>19</v>
      </c>
      <c r="G174" s="432" t="n">
        <f aca="false">IF('Peak Revenue'!$A$1="BL","-",IF(Peak!M175&gt;Peak!$G175,G$8*$X174,0))</f>
        <v>38</v>
      </c>
      <c r="H174" s="432" t="n">
        <f aca="false">IF('Peak Revenue'!$A$1="BL","-",IF(Peak!N175&gt;Peak!$G175,H$8*$X174,0))</f>
        <v>38</v>
      </c>
      <c r="I174" s="432" t="n">
        <f aca="false">IF('Peak Revenue'!$A$1="BL","-",IF(Peak!O175&gt;Peak!$G175,I$8*$X174,0))</f>
        <v>38</v>
      </c>
      <c r="J174" s="432" t="n">
        <f aca="false">IF('Peak Revenue'!$A$1="BL","-",IF(Peak!P175&gt;Peak!$G175,J$8*$X174,0))</f>
        <v>38</v>
      </c>
      <c r="K174" s="432" t="n">
        <f aca="false">IF('Peak Revenue'!$A$1="BL","-",IF(Peak!Q175&gt;Peak!$G175,K$8*$X174,0))</f>
        <v>38</v>
      </c>
      <c r="L174" s="432" t="n">
        <f aca="false">IF('Peak Revenue'!$A$1="BL","-",IF(Peak!R175&gt;Peak!$G175,L$8*$X174,0))</f>
        <v>0</v>
      </c>
      <c r="M174" s="432" t="n">
        <f aca="false">IF('Peak Revenue'!$A$1="BL","-",IF(Peak!S175&gt;Peak!$G175,M$8*$X174,0))</f>
        <v>0</v>
      </c>
      <c r="N174" s="432" t="n">
        <f aca="false">IF('Peak Revenue'!$A$1="BL","-",IF(Peak!T175&gt;Peak!$G175,N$8*$X174,0))</f>
        <v>0</v>
      </c>
      <c r="O174" s="432" t="n">
        <f aca="false">IF('Peak Revenue'!$A$1="BL","-",IF(Peak!U175&gt;Peak!$G175,O$8*$X174,0))</f>
        <v>0</v>
      </c>
      <c r="P174" s="432" t="n">
        <f aca="false">IF('Peak Revenue'!$A$1="BL","-",IF(Peak!V175&gt;Peak!$G175,P$8*$X174,0))</f>
        <v>0</v>
      </c>
      <c r="Q174" s="432" t="n">
        <f aca="false">IF('Peak Revenue'!$A$1="BL","-",IF(Peak!W175&gt;Peak!$G175,Q$8*$X174,0))</f>
        <v>0</v>
      </c>
      <c r="R174" s="432" t="n">
        <f aca="false">IF('Peak Revenue'!$A$1="BL","-",IF(Peak!X175&gt;Peak!$G175,R$8*$X174,0))</f>
        <v>0</v>
      </c>
      <c r="S174" s="432" t="n">
        <f aca="false">IF('Peak Revenue'!$A$1="BL","-",IF(Peak!Y175&gt;Peak!$G175,S$8*$X174,0))</f>
        <v>0</v>
      </c>
      <c r="T174" s="432" t="n">
        <f aca="false">IF('Peak Revenue'!$A$1="BL","-",IF(Peak!Z175&gt;Peak!$G175,T$8*$X174,0))</f>
        <v>0</v>
      </c>
      <c r="U174" s="432" t="n">
        <f aca="false">IF('Peak Revenue'!$A$1="BL","-",IF(Peak!AA175&gt;Peak!$G175,U$8*$X174,0))</f>
        <v>0</v>
      </c>
      <c r="V174" s="441" t="n">
        <f aca="false">SUM(B174:U174)</f>
        <v>247</v>
      </c>
      <c r="W174" s="442"/>
      <c r="X174" s="439" t="n">
        <f aca="false">CHOOSE(QUOTIENT(MONTH($A174),3)+1,Peak!$AM$11,Peak!$AN$11,Peak!$AL$11,Peak!$AO$11,Peak!$AM$11)</f>
        <v>0.95</v>
      </c>
      <c r="Y174" s="440" t="n">
        <f aca="false">CHOOSE(QUOTIENT(MONTH($A174),3)+1,Peak!$AM$17,Peak!$AN$17,Peak!$AL$17,Peak!$AO$17,Peak!$AM$17)</f>
        <v>705</v>
      </c>
    </row>
    <row r="175" customFormat="false" ht="12.75" hidden="false" customHeight="false" outlineLevel="0" collapsed="false">
      <c r="A175" s="400" t="n">
        <f aca="false">A174+30.417</f>
        <v>41558.805</v>
      </c>
      <c r="B175" s="432" t="n">
        <f aca="false">IF('Peak Revenue'!$A$1="BL","-",IF(Peak!H176&gt;Peak!$G176,B$8*$X175,0))</f>
        <v>4.75</v>
      </c>
      <c r="C175" s="432" t="n">
        <f aca="false">IF('Peak Revenue'!$A$1="BL","-",IF(Peak!I176&gt;Peak!$G176,C$8*$X175,0))</f>
        <v>4.75</v>
      </c>
      <c r="D175" s="432" t="n">
        <f aca="false">IF('Peak Revenue'!$A$1="BL","-",IF(Peak!J176&gt;Peak!$G176,D$8*$X175,0))</f>
        <v>9.5</v>
      </c>
      <c r="E175" s="432" t="n">
        <f aca="false">IF('Peak Revenue'!$A$1="BL","-",IF(Peak!K176&gt;Peak!$G176,E$8*$X175,0))</f>
        <v>19</v>
      </c>
      <c r="F175" s="432" t="n">
        <f aca="false">IF('Peak Revenue'!$A$1="BL","-",IF(Peak!L176&gt;Peak!$G176,F$8*$X175,0))</f>
        <v>19</v>
      </c>
      <c r="G175" s="432" t="n">
        <f aca="false">IF('Peak Revenue'!$A$1="BL","-",IF(Peak!M176&gt;Peak!$G176,G$8*$X175,0))</f>
        <v>38</v>
      </c>
      <c r="H175" s="432" t="n">
        <f aca="false">IF('Peak Revenue'!$A$1="BL","-",IF(Peak!N176&gt;Peak!$G176,H$8*$X175,0))</f>
        <v>38</v>
      </c>
      <c r="I175" s="432" t="n">
        <f aca="false">IF('Peak Revenue'!$A$1="BL","-",IF(Peak!O176&gt;Peak!$G176,I$8*$X175,0))</f>
        <v>38</v>
      </c>
      <c r="J175" s="432" t="n">
        <f aca="false">IF('Peak Revenue'!$A$1="BL","-",IF(Peak!P176&gt;Peak!$G176,J$8*$X175,0))</f>
        <v>38</v>
      </c>
      <c r="K175" s="432" t="n">
        <f aca="false">IF('Peak Revenue'!$A$1="BL","-",IF(Peak!Q176&gt;Peak!$G176,K$8*$X175,0))</f>
        <v>0</v>
      </c>
      <c r="L175" s="432" t="n">
        <f aca="false">IF('Peak Revenue'!$A$1="BL","-",IF(Peak!R176&gt;Peak!$G176,L$8*$X175,0))</f>
        <v>0</v>
      </c>
      <c r="M175" s="432" t="n">
        <f aca="false">IF('Peak Revenue'!$A$1="BL","-",IF(Peak!S176&gt;Peak!$G176,M$8*$X175,0))</f>
        <v>0</v>
      </c>
      <c r="N175" s="432" t="n">
        <f aca="false">IF('Peak Revenue'!$A$1="BL","-",IF(Peak!T176&gt;Peak!$G176,N$8*$X175,0))</f>
        <v>0</v>
      </c>
      <c r="O175" s="432" t="n">
        <f aca="false">IF('Peak Revenue'!$A$1="BL","-",IF(Peak!U176&gt;Peak!$G176,O$8*$X175,0))</f>
        <v>0</v>
      </c>
      <c r="P175" s="432" t="n">
        <f aca="false">IF('Peak Revenue'!$A$1="BL","-",IF(Peak!V176&gt;Peak!$G176,P$8*$X175,0))</f>
        <v>0</v>
      </c>
      <c r="Q175" s="432" t="n">
        <f aca="false">IF('Peak Revenue'!$A$1="BL","-",IF(Peak!W176&gt;Peak!$G176,Q$8*$X175,0))</f>
        <v>0</v>
      </c>
      <c r="R175" s="432" t="n">
        <f aca="false">IF('Peak Revenue'!$A$1="BL","-",IF(Peak!X176&gt;Peak!$G176,R$8*$X175,0))</f>
        <v>0</v>
      </c>
      <c r="S175" s="432" t="n">
        <f aca="false">IF('Peak Revenue'!$A$1="BL","-",IF(Peak!Y176&gt;Peak!$G176,S$8*$X175,0))</f>
        <v>0</v>
      </c>
      <c r="T175" s="432" t="n">
        <f aca="false">IF('Peak Revenue'!$A$1="BL","-",IF(Peak!Z176&gt;Peak!$G176,T$8*$X175,0))</f>
        <v>0</v>
      </c>
      <c r="U175" s="432" t="n">
        <f aca="false">IF('Peak Revenue'!$A$1="BL","-",IF(Peak!AA176&gt;Peak!$G176,U$8*$X175,0))</f>
        <v>0</v>
      </c>
      <c r="V175" s="441" t="n">
        <f aca="false">SUM(B175:U175)</f>
        <v>209</v>
      </c>
      <c r="W175" s="442"/>
      <c r="X175" s="439" t="n">
        <f aca="false">CHOOSE(QUOTIENT(MONTH($A175),3)+1,Peak!$AM$11,Peak!$AN$11,Peak!$AL$11,Peak!$AO$11,Peak!$AM$11)</f>
        <v>0.95</v>
      </c>
      <c r="Y175" s="440" t="n">
        <f aca="false">CHOOSE(QUOTIENT(MONTH($A175),3)+1,Peak!$AM$17,Peak!$AN$17,Peak!$AL$17,Peak!$AO$17,Peak!$AM$17)</f>
        <v>705</v>
      </c>
    </row>
    <row r="176" customFormat="false" ht="12.75" hidden="false" customHeight="false" outlineLevel="0" collapsed="false">
      <c r="A176" s="400" t="n">
        <f aca="false">A175+30.417</f>
        <v>41589.222</v>
      </c>
      <c r="B176" s="432" t="n">
        <f aca="false">IF('Peak Revenue'!$A$1="BL","-",IF(Peak!H177&gt;Peak!$G177,B$8*$X176,0))</f>
        <v>4.75</v>
      </c>
      <c r="C176" s="432" t="n">
        <f aca="false">IF('Peak Revenue'!$A$1="BL","-",IF(Peak!I177&gt;Peak!$G177,C$8*$X176,0))</f>
        <v>4.75</v>
      </c>
      <c r="D176" s="432" t="n">
        <f aca="false">IF('Peak Revenue'!$A$1="BL","-",IF(Peak!J177&gt;Peak!$G177,D$8*$X176,0))</f>
        <v>9.5</v>
      </c>
      <c r="E176" s="432" t="n">
        <f aca="false">IF('Peak Revenue'!$A$1="BL","-",IF(Peak!K177&gt;Peak!$G177,E$8*$X176,0))</f>
        <v>19</v>
      </c>
      <c r="F176" s="432" t="n">
        <f aca="false">IF('Peak Revenue'!$A$1="BL","-",IF(Peak!L177&gt;Peak!$G177,F$8*$X176,0))</f>
        <v>19</v>
      </c>
      <c r="G176" s="432" t="n">
        <f aca="false">IF('Peak Revenue'!$A$1="BL","-",IF(Peak!M177&gt;Peak!$G177,G$8*$X176,0))</f>
        <v>38</v>
      </c>
      <c r="H176" s="432" t="n">
        <f aca="false">IF('Peak Revenue'!$A$1="BL","-",IF(Peak!N177&gt;Peak!$G177,H$8*$X176,0))</f>
        <v>38</v>
      </c>
      <c r="I176" s="432" t="n">
        <f aca="false">IF('Peak Revenue'!$A$1="BL","-",IF(Peak!O177&gt;Peak!$G177,I$8*$X176,0))</f>
        <v>38</v>
      </c>
      <c r="J176" s="432" t="n">
        <f aca="false">IF('Peak Revenue'!$A$1="BL","-",IF(Peak!P177&gt;Peak!$G177,J$8*$X176,0))</f>
        <v>38</v>
      </c>
      <c r="K176" s="432" t="n">
        <f aca="false">IF('Peak Revenue'!$A$1="BL","-",IF(Peak!Q177&gt;Peak!$G177,K$8*$X176,0))</f>
        <v>38</v>
      </c>
      <c r="L176" s="432" t="n">
        <f aca="false">IF('Peak Revenue'!$A$1="BL","-",IF(Peak!R177&gt;Peak!$G177,L$8*$X176,0))</f>
        <v>0</v>
      </c>
      <c r="M176" s="432" t="n">
        <f aca="false">IF('Peak Revenue'!$A$1="BL","-",IF(Peak!S177&gt;Peak!$G177,M$8*$X176,0))</f>
        <v>0</v>
      </c>
      <c r="N176" s="432" t="n">
        <f aca="false">IF('Peak Revenue'!$A$1="BL","-",IF(Peak!T177&gt;Peak!$G177,N$8*$X176,0))</f>
        <v>0</v>
      </c>
      <c r="O176" s="432" t="n">
        <f aca="false">IF('Peak Revenue'!$A$1="BL","-",IF(Peak!U177&gt;Peak!$G177,O$8*$X176,0))</f>
        <v>0</v>
      </c>
      <c r="P176" s="432" t="n">
        <f aca="false">IF('Peak Revenue'!$A$1="BL","-",IF(Peak!V177&gt;Peak!$G177,P$8*$X176,0))</f>
        <v>0</v>
      </c>
      <c r="Q176" s="432" t="n">
        <f aca="false">IF('Peak Revenue'!$A$1="BL","-",IF(Peak!W177&gt;Peak!$G177,Q$8*$X176,0))</f>
        <v>0</v>
      </c>
      <c r="R176" s="432" t="n">
        <f aca="false">IF('Peak Revenue'!$A$1="BL","-",IF(Peak!X177&gt;Peak!$G177,R$8*$X176,0))</f>
        <v>0</v>
      </c>
      <c r="S176" s="432" t="n">
        <f aca="false">IF('Peak Revenue'!$A$1="BL","-",IF(Peak!Y177&gt;Peak!$G177,S$8*$X176,0))</f>
        <v>0</v>
      </c>
      <c r="T176" s="432" t="n">
        <f aca="false">IF('Peak Revenue'!$A$1="BL","-",IF(Peak!Z177&gt;Peak!$G177,T$8*$X176,0))</f>
        <v>0</v>
      </c>
      <c r="U176" s="432" t="n">
        <f aca="false">IF('Peak Revenue'!$A$1="BL","-",IF(Peak!AA177&gt;Peak!$G177,U$8*$X176,0))</f>
        <v>0</v>
      </c>
      <c r="V176" s="441" t="n">
        <f aca="false">SUM(B176:U176)</f>
        <v>247</v>
      </c>
      <c r="W176" s="442"/>
      <c r="X176" s="439" t="n">
        <f aca="false">CHOOSE(QUOTIENT(MONTH($A176),3)+1,Peak!$AM$11,Peak!$AN$11,Peak!$AL$11,Peak!$AO$11,Peak!$AM$11)</f>
        <v>0.95</v>
      </c>
      <c r="Y176" s="440" t="n">
        <f aca="false">CHOOSE(QUOTIENT(MONTH($A176),3)+1,Peak!$AM$17,Peak!$AN$17,Peak!$AL$17,Peak!$AO$17,Peak!$AM$17)</f>
        <v>705</v>
      </c>
    </row>
    <row r="177" customFormat="false" ht="12.75" hidden="false" customHeight="false" outlineLevel="0" collapsed="false">
      <c r="A177" s="400" t="n">
        <f aca="false">A176+30.417</f>
        <v>41619.639</v>
      </c>
      <c r="B177" s="432" t="n">
        <f aca="false">IF('Peak Revenue'!$A$1="BL","-",IF(Peak!H178&gt;Peak!$G178,B$8*$X177,0))</f>
        <v>4.62138309393059</v>
      </c>
      <c r="C177" s="432" t="n">
        <f aca="false">IF('Peak Revenue'!$A$1="BL","-",IF(Peak!I178&gt;Peak!$G178,C$8*$X177,0))</f>
        <v>4.62138309393059</v>
      </c>
      <c r="D177" s="432" t="n">
        <f aca="false">IF('Peak Revenue'!$A$1="BL","-",IF(Peak!J178&gt;Peak!$G178,D$8*$X177,0))</f>
        <v>9.24276618786118</v>
      </c>
      <c r="E177" s="432" t="n">
        <f aca="false">IF('Peak Revenue'!$A$1="BL","-",IF(Peak!K178&gt;Peak!$G178,E$8*$X177,0))</f>
        <v>18.4855323757224</v>
      </c>
      <c r="F177" s="432" t="n">
        <f aca="false">IF('Peak Revenue'!$A$1="BL","-",IF(Peak!L178&gt;Peak!$G178,F$8*$X177,0))</f>
        <v>18.4855323757224</v>
      </c>
      <c r="G177" s="432" t="n">
        <f aca="false">IF('Peak Revenue'!$A$1="BL","-",IF(Peak!M178&gt;Peak!$G178,G$8*$X177,0))</f>
        <v>36.9710647514447</v>
      </c>
      <c r="H177" s="432" t="n">
        <f aca="false">IF('Peak Revenue'!$A$1="BL","-",IF(Peak!N178&gt;Peak!$G178,H$8*$X177,0))</f>
        <v>36.9710647514447</v>
      </c>
      <c r="I177" s="432" t="n">
        <f aca="false">IF('Peak Revenue'!$A$1="BL","-",IF(Peak!O178&gt;Peak!$G178,I$8*$X177,0))</f>
        <v>36.9710647514447</v>
      </c>
      <c r="J177" s="432" t="n">
        <f aca="false">IF('Peak Revenue'!$A$1="BL","-",IF(Peak!P178&gt;Peak!$G178,J$8*$X177,0))</f>
        <v>36.9710647514447</v>
      </c>
      <c r="K177" s="432" t="n">
        <f aca="false">IF('Peak Revenue'!$A$1="BL","-",IF(Peak!Q178&gt;Peak!$G178,K$8*$X177,0))</f>
        <v>36.9710647514447</v>
      </c>
      <c r="L177" s="432" t="n">
        <f aca="false">IF('Peak Revenue'!$A$1="BL","-",IF(Peak!R178&gt;Peak!$G178,L$8*$X177,0))</f>
        <v>36.9710647514447</v>
      </c>
      <c r="M177" s="432" t="n">
        <f aca="false">IF('Peak Revenue'!$A$1="BL","-",IF(Peak!S178&gt;Peak!$G178,M$8*$X177,0))</f>
        <v>0</v>
      </c>
      <c r="N177" s="432" t="n">
        <f aca="false">IF('Peak Revenue'!$A$1="BL","-",IF(Peak!T178&gt;Peak!$G178,N$8*$X177,0))</f>
        <v>0</v>
      </c>
      <c r="O177" s="432" t="n">
        <f aca="false">IF('Peak Revenue'!$A$1="BL","-",IF(Peak!U178&gt;Peak!$G178,O$8*$X177,0))</f>
        <v>0</v>
      </c>
      <c r="P177" s="432" t="n">
        <f aca="false">IF('Peak Revenue'!$A$1="BL","-",IF(Peak!V178&gt;Peak!$G178,P$8*$X177,0))</f>
        <v>0</v>
      </c>
      <c r="Q177" s="432" t="n">
        <f aca="false">IF('Peak Revenue'!$A$1="BL","-",IF(Peak!W178&gt;Peak!$G178,Q$8*$X177,0))</f>
        <v>0</v>
      </c>
      <c r="R177" s="432" t="n">
        <f aca="false">IF('Peak Revenue'!$A$1="BL","-",IF(Peak!X178&gt;Peak!$G178,R$8*$X177,0))</f>
        <v>0</v>
      </c>
      <c r="S177" s="432" t="n">
        <f aca="false">IF('Peak Revenue'!$A$1="BL","-",IF(Peak!Y178&gt;Peak!$G178,S$8*$X177,0))</f>
        <v>0</v>
      </c>
      <c r="T177" s="432" t="n">
        <f aca="false">IF('Peak Revenue'!$A$1="BL","-",IF(Peak!Z178&gt;Peak!$G178,T$8*$X177,0))</f>
        <v>0</v>
      </c>
      <c r="U177" s="432" t="n">
        <f aca="false">IF('Peak Revenue'!$A$1="BL","-",IF(Peak!AA178&gt;Peak!$G178,U$8*$X177,0))</f>
        <v>0</v>
      </c>
      <c r="V177" s="441" t="n">
        <f aca="false">SUM(B177:U177)</f>
        <v>277.282985635835</v>
      </c>
      <c r="W177" s="443" t="n">
        <f aca="false">SUM(V166:V177)</f>
        <v>2881.15527711155</v>
      </c>
      <c r="X177" s="439" t="n">
        <f aca="false">CHOOSE(QUOTIENT(MONTH($A177),3)+1,Peak!$AM$11,Peak!$AN$11,Peak!$AL$11,Peak!$AO$11,Peak!$AM$11)</f>
        <v>0.924276618786118</v>
      </c>
      <c r="Y177" s="440" t="n">
        <f aca="false">CHOOSE(QUOTIENT(MONTH($A177),3)+1,Peak!$AM$17,Peak!$AN$17,Peak!$AL$17,Peak!$AO$17,Peak!$AM$17)</f>
        <v>705</v>
      </c>
    </row>
    <row r="178" customFormat="false" ht="12.75" hidden="false" customHeight="false" outlineLevel="0" collapsed="false">
      <c r="A178" s="400" t="n">
        <f aca="false">A177+30.417</f>
        <v>41650.056</v>
      </c>
      <c r="B178" s="432" t="n">
        <f aca="false">IF('Peak Revenue'!$A$1="BL","-",IF(Peak!H179&gt;Peak!$G179,B$8*$X178,0))</f>
        <v>4.62138309393059</v>
      </c>
      <c r="C178" s="432" t="n">
        <f aca="false">IF('Peak Revenue'!$A$1="BL","-",IF(Peak!I179&gt;Peak!$G179,C$8*$X178,0))</f>
        <v>4.62138309393059</v>
      </c>
      <c r="D178" s="432" t="n">
        <f aca="false">IF('Peak Revenue'!$A$1="BL","-",IF(Peak!J179&gt;Peak!$G179,D$8*$X178,0))</f>
        <v>9.24276618786118</v>
      </c>
      <c r="E178" s="432" t="n">
        <f aca="false">IF('Peak Revenue'!$A$1="BL","-",IF(Peak!K179&gt;Peak!$G179,E$8*$X178,0))</f>
        <v>18.4855323757224</v>
      </c>
      <c r="F178" s="432" t="n">
        <f aca="false">IF('Peak Revenue'!$A$1="BL","-",IF(Peak!L179&gt;Peak!$G179,F$8*$X178,0))</f>
        <v>18.4855323757224</v>
      </c>
      <c r="G178" s="432" t="n">
        <f aca="false">IF('Peak Revenue'!$A$1="BL","-",IF(Peak!M179&gt;Peak!$G179,G$8*$X178,0))</f>
        <v>36.9710647514447</v>
      </c>
      <c r="H178" s="432" t="n">
        <f aca="false">IF('Peak Revenue'!$A$1="BL","-",IF(Peak!N179&gt;Peak!$G179,H$8*$X178,0))</f>
        <v>36.9710647514447</v>
      </c>
      <c r="I178" s="432" t="n">
        <f aca="false">IF('Peak Revenue'!$A$1="BL","-",IF(Peak!O179&gt;Peak!$G179,I$8*$X178,0))</f>
        <v>36.9710647514447</v>
      </c>
      <c r="J178" s="432" t="n">
        <f aca="false">IF('Peak Revenue'!$A$1="BL","-",IF(Peak!P179&gt;Peak!$G179,J$8*$X178,0))</f>
        <v>36.9710647514447</v>
      </c>
      <c r="K178" s="432" t="n">
        <f aca="false">IF('Peak Revenue'!$A$1="BL","-",IF(Peak!Q179&gt;Peak!$G179,K$8*$X178,0))</f>
        <v>0</v>
      </c>
      <c r="L178" s="432" t="n">
        <f aca="false">IF('Peak Revenue'!$A$1="BL","-",IF(Peak!R179&gt;Peak!$G179,L$8*$X178,0))</f>
        <v>0</v>
      </c>
      <c r="M178" s="432" t="n">
        <f aca="false">IF('Peak Revenue'!$A$1="BL","-",IF(Peak!S179&gt;Peak!$G179,M$8*$X178,0))</f>
        <v>0</v>
      </c>
      <c r="N178" s="432" t="n">
        <f aca="false">IF('Peak Revenue'!$A$1="BL","-",IF(Peak!T179&gt;Peak!$G179,N$8*$X178,0))</f>
        <v>0</v>
      </c>
      <c r="O178" s="432" t="n">
        <f aca="false">IF('Peak Revenue'!$A$1="BL","-",IF(Peak!U179&gt;Peak!$G179,O$8*$X178,0))</f>
        <v>0</v>
      </c>
      <c r="P178" s="432" t="n">
        <f aca="false">IF('Peak Revenue'!$A$1="BL","-",IF(Peak!V179&gt;Peak!$G179,P$8*$X178,0))</f>
        <v>0</v>
      </c>
      <c r="Q178" s="432" t="n">
        <f aca="false">IF('Peak Revenue'!$A$1="BL","-",IF(Peak!W179&gt;Peak!$G179,Q$8*$X178,0))</f>
        <v>0</v>
      </c>
      <c r="R178" s="432" t="n">
        <f aca="false">IF('Peak Revenue'!$A$1="BL","-",IF(Peak!X179&gt;Peak!$G179,R$8*$X178,0))</f>
        <v>0</v>
      </c>
      <c r="S178" s="432" t="n">
        <f aca="false">IF('Peak Revenue'!$A$1="BL","-",IF(Peak!Y179&gt;Peak!$G179,S$8*$X178,0))</f>
        <v>0</v>
      </c>
      <c r="T178" s="432" t="n">
        <f aca="false">IF('Peak Revenue'!$A$1="BL","-",IF(Peak!Z179&gt;Peak!$G179,T$8*$X178,0))</f>
        <v>0</v>
      </c>
      <c r="U178" s="432" t="n">
        <f aca="false">IF('Peak Revenue'!$A$1="BL","-",IF(Peak!AA179&gt;Peak!$G179,U$8*$X178,0))</f>
        <v>0</v>
      </c>
      <c r="V178" s="441" t="n">
        <f aca="false">SUM(B178:U178)</f>
        <v>203.340856132946</v>
      </c>
      <c r="W178" s="442"/>
      <c r="X178" s="439" t="n">
        <f aca="false">CHOOSE(QUOTIENT(MONTH($A178),3)+1,Peak!$AM$11,Peak!$AN$11,Peak!$AL$11,Peak!$AO$11,Peak!$AM$11)</f>
        <v>0.924276618786118</v>
      </c>
      <c r="Y178" s="440" t="n">
        <f aca="false">CHOOSE(QUOTIENT(MONTH($A178),3)+1,Peak!$AM$17,Peak!$AN$17,Peak!$AL$17,Peak!$AO$17,Peak!$AM$17)</f>
        <v>705</v>
      </c>
    </row>
    <row r="179" customFormat="false" ht="12.75" hidden="false" customHeight="false" outlineLevel="0" collapsed="false">
      <c r="A179" s="400" t="n">
        <f aca="false">A178+30.417</f>
        <v>41680.473</v>
      </c>
      <c r="B179" s="432" t="n">
        <f aca="false">IF('Peak Revenue'!$A$1="BL","-",IF(Peak!H180&gt;Peak!$G180,B$8*$X179,0))</f>
        <v>4.62138309393059</v>
      </c>
      <c r="C179" s="432" t="n">
        <f aca="false">IF('Peak Revenue'!$A$1="BL","-",IF(Peak!I180&gt;Peak!$G180,C$8*$X179,0))</f>
        <v>4.62138309393059</v>
      </c>
      <c r="D179" s="432" t="n">
        <f aca="false">IF('Peak Revenue'!$A$1="BL","-",IF(Peak!J180&gt;Peak!$G180,D$8*$X179,0))</f>
        <v>9.24276618786118</v>
      </c>
      <c r="E179" s="432" t="n">
        <f aca="false">IF('Peak Revenue'!$A$1="BL","-",IF(Peak!K180&gt;Peak!$G180,E$8*$X179,0))</f>
        <v>18.4855323757224</v>
      </c>
      <c r="F179" s="432" t="n">
        <f aca="false">IF('Peak Revenue'!$A$1="BL","-",IF(Peak!L180&gt;Peak!$G180,F$8*$X179,0))</f>
        <v>18.4855323757224</v>
      </c>
      <c r="G179" s="432" t="n">
        <f aca="false">IF('Peak Revenue'!$A$1="BL","-",IF(Peak!M180&gt;Peak!$G180,G$8*$X179,0))</f>
        <v>36.9710647514447</v>
      </c>
      <c r="H179" s="432" t="n">
        <f aca="false">IF('Peak Revenue'!$A$1="BL","-",IF(Peak!N180&gt;Peak!$G180,H$8*$X179,0))</f>
        <v>36.9710647514447</v>
      </c>
      <c r="I179" s="432" t="n">
        <f aca="false">IF('Peak Revenue'!$A$1="BL","-",IF(Peak!O180&gt;Peak!$G180,I$8*$X179,0))</f>
        <v>36.9710647514447</v>
      </c>
      <c r="J179" s="432" t="n">
        <f aca="false">IF('Peak Revenue'!$A$1="BL","-",IF(Peak!P180&gt;Peak!$G180,J$8*$X179,0))</f>
        <v>36.9710647514447</v>
      </c>
      <c r="K179" s="432" t="n">
        <f aca="false">IF('Peak Revenue'!$A$1="BL","-",IF(Peak!Q180&gt;Peak!$G180,K$8*$X179,0))</f>
        <v>36.9710647514447</v>
      </c>
      <c r="L179" s="432" t="n">
        <f aca="false">IF('Peak Revenue'!$A$1="BL","-",IF(Peak!R180&gt;Peak!$G180,L$8*$X179,0))</f>
        <v>36.9710647514447</v>
      </c>
      <c r="M179" s="432" t="n">
        <f aca="false">IF('Peak Revenue'!$A$1="BL","-",IF(Peak!S180&gt;Peak!$G180,M$8*$X179,0))</f>
        <v>0</v>
      </c>
      <c r="N179" s="432" t="n">
        <f aca="false">IF('Peak Revenue'!$A$1="BL","-",IF(Peak!T180&gt;Peak!$G180,N$8*$X179,0))</f>
        <v>0</v>
      </c>
      <c r="O179" s="432" t="n">
        <f aca="false">IF('Peak Revenue'!$A$1="BL","-",IF(Peak!U180&gt;Peak!$G180,O$8*$X179,0))</f>
        <v>0</v>
      </c>
      <c r="P179" s="432" t="n">
        <f aca="false">IF('Peak Revenue'!$A$1="BL","-",IF(Peak!V180&gt;Peak!$G180,P$8*$X179,0))</f>
        <v>0</v>
      </c>
      <c r="Q179" s="432" t="n">
        <f aca="false">IF('Peak Revenue'!$A$1="BL","-",IF(Peak!W180&gt;Peak!$G180,Q$8*$X179,0))</f>
        <v>0</v>
      </c>
      <c r="R179" s="432" t="n">
        <f aca="false">IF('Peak Revenue'!$A$1="BL","-",IF(Peak!X180&gt;Peak!$G180,R$8*$X179,0))</f>
        <v>0</v>
      </c>
      <c r="S179" s="432" t="n">
        <f aca="false">IF('Peak Revenue'!$A$1="BL","-",IF(Peak!Y180&gt;Peak!$G180,S$8*$X179,0))</f>
        <v>0</v>
      </c>
      <c r="T179" s="432" t="n">
        <f aca="false">IF('Peak Revenue'!$A$1="BL","-",IF(Peak!Z180&gt;Peak!$G180,T$8*$X179,0))</f>
        <v>0</v>
      </c>
      <c r="U179" s="432" t="n">
        <f aca="false">IF('Peak Revenue'!$A$1="BL","-",IF(Peak!AA180&gt;Peak!$G180,U$8*$X179,0))</f>
        <v>0</v>
      </c>
      <c r="V179" s="441" t="n">
        <f aca="false">SUM(B179:U179)</f>
        <v>277.282985635835</v>
      </c>
      <c r="W179" s="442"/>
      <c r="X179" s="439" t="n">
        <f aca="false">CHOOSE(QUOTIENT(MONTH($A179),3)+1,Peak!$AM$11,Peak!$AN$11,Peak!$AL$11,Peak!$AO$11,Peak!$AM$11)</f>
        <v>0.924276618786118</v>
      </c>
      <c r="Y179" s="440" t="n">
        <f aca="false">CHOOSE(QUOTIENT(MONTH($A179),3)+1,Peak!$AM$17,Peak!$AN$17,Peak!$AL$17,Peak!$AO$17,Peak!$AM$17)</f>
        <v>705</v>
      </c>
    </row>
    <row r="180" customFormat="false" ht="12.75" hidden="false" customHeight="false" outlineLevel="0" collapsed="false">
      <c r="A180" s="400" t="n">
        <f aca="false">A179+30.417</f>
        <v>41710.89</v>
      </c>
      <c r="B180" s="432" t="n">
        <f aca="false">IF('Peak Revenue'!$A$1="BL","-",IF(Peak!H181&gt;Peak!$G181,B$8*$X180,0))</f>
        <v>4.75</v>
      </c>
      <c r="C180" s="432" t="n">
        <f aca="false">IF('Peak Revenue'!$A$1="BL","-",IF(Peak!I181&gt;Peak!$G181,C$8*$X180,0))</f>
        <v>4.75</v>
      </c>
      <c r="D180" s="432" t="n">
        <f aca="false">IF('Peak Revenue'!$A$1="BL","-",IF(Peak!J181&gt;Peak!$G181,D$8*$X180,0))</f>
        <v>9.5</v>
      </c>
      <c r="E180" s="432" t="n">
        <f aca="false">IF('Peak Revenue'!$A$1="BL","-",IF(Peak!K181&gt;Peak!$G181,E$8*$X180,0))</f>
        <v>19</v>
      </c>
      <c r="F180" s="432" t="n">
        <f aca="false">IF('Peak Revenue'!$A$1="BL","-",IF(Peak!L181&gt;Peak!$G181,F$8*$X180,0))</f>
        <v>19</v>
      </c>
      <c r="G180" s="432" t="n">
        <f aca="false">IF('Peak Revenue'!$A$1="BL","-",IF(Peak!M181&gt;Peak!$G181,G$8*$X180,0))</f>
        <v>38</v>
      </c>
      <c r="H180" s="432" t="n">
        <f aca="false">IF('Peak Revenue'!$A$1="BL","-",IF(Peak!N181&gt;Peak!$G181,H$8*$X180,0))</f>
        <v>38</v>
      </c>
      <c r="I180" s="432" t="n">
        <f aca="false">IF('Peak Revenue'!$A$1="BL","-",IF(Peak!O181&gt;Peak!$G181,I$8*$X180,0))</f>
        <v>38</v>
      </c>
      <c r="J180" s="432" t="n">
        <f aca="false">IF('Peak Revenue'!$A$1="BL","-",IF(Peak!P181&gt;Peak!$G181,J$8*$X180,0))</f>
        <v>38</v>
      </c>
      <c r="K180" s="432" t="n">
        <f aca="false">IF('Peak Revenue'!$A$1="BL","-",IF(Peak!Q181&gt;Peak!$G181,K$8*$X180,0))</f>
        <v>38</v>
      </c>
      <c r="L180" s="432" t="n">
        <f aca="false">IF('Peak Revenue'!$A$1="BL","-",IF(Peak!R181&gt;Peak!$G181,L$8*$X180,0))</f>
        <v>38</v>
      </c>
      <c r="M180" s="432" t="n">
        <f aca="false">IF('Peak Revenue'!$A$1="BL","-",IF(Peak!S181&gt;Peak!$G181,M$8*$X180,0))</f>
        <v>0</v>
      </c>
      <c r="N180" s="432" t="n">
        <f aca="false">IF('Peak Revenue'!$A$1="BL","-",IF(Peak!T181&gt;Peak!$G181,N$8*$X180,0))</f>
        <v>0</v>
      </c>
      <c r="O180" s="432" t="n">
        <f aca="false">IF('Peak Revenue'!$A$1="BL","-",IF(Peak!U181&gt;Peak!$G181,O$8*$X180,0))</f>
        <v>0</v>
      </c>
      <c r="P180" s="432" t="n">
        <f aca="false">IF('Peak Revenue'!$A$1="BL","-",IF(Peak!V181&gt;Peak!$G181,P$8*$X180,0))</f>
        <v>0</v>
      </c>
      <c r="Q180" s="432" t="n">
        <f aca="false">IF('Peak Revenue'!$A$1="BL","-",IF(Peak!W181&gt;Peak!$G181,Q$8*$X180,0))</f>
        <v>0</v>
      </c>
      <c r="R180" s="432" t="n">
        <f aca="false">IF('Peak Revenue'!$A$1="BL","-",IF(Peak!X181&gt;Peak!$G181,R$8*$X180,0))</f>
        <v>0</v>
      </c>
      <c r="S180" s="432" t="n">
        <f aca="false">IF('Peak Revenue'!$A$1="BL","-",IF(Peak!Y181&gt;Peak!$G181,S$8*$X180,0))</f>
        <v>0</v>
      </c>
      <c r="T180" s="432" t="n">
        <f aca="false">IF('Peak Revenue'!$A$1="BL","-",IF(Peak!Z181&gt;Peak!$G181,T$8*$X180,0))</f>
        <v>0</v>
      </c>
      <c r="U180" s="432" t="n">
        <f aca="false">IF('Peak Revenue'!$A$1="BL","-",IF(Peak!AA181&gt;Peak!$G181,U$8*$X180,0))</f>
        <v>0</v>
      </c>
      <c r="V180" s="441" t="n">
        <f aca="false">SUM(B180:U180)</f>
        <v>285</v>
      </c>
      <c r="W180" s="442"/>
      <c r="X180" s="439" t="n">
        <f aca="false">CHOOSE(QUOTIENT(MONTH($A180),3)+1,Peak!$AM$11,Peak!$AN$11,Peak!$AL$11,Peak!$AO$11,Peak!$AM$11)</f>
        <v>0.95</v>
      </c>
      <c r="Y180" s="440" t="n">
        <f aca="false">CHOOSE(QUOTIENT(MONTH($A180),3)+1,Peak!$AM$17,Peak!$AN$17,Peak!$AL$17,Peak!$AO$17,Peak!$AM$17)</f>
        <v>705</v>
      </c>
    </row>
    <row r="181" customFormat="false" ht="12.75" hidden="false" customHeight="false" outlineLevel="0" collapsed="false">
      <c r="A181" s="400" t="n">
        <f aca="false">A180+30.417</f>
        <v>41741.307</v>
      </c>
      <c r="B181" s="432" t="n">
        <f aca="false">IF('Peak Revenue'!$A$1="BL","-",IF(Peak!H182&gt;Peak!$G182,B$8*$X181,0))</f>
        <v>4.75</v>
      </c>
      <c r="C181" s="432" t="n">
        <f aca="false">IF('Peak Revenue'!$A$1="BL","-",IF(Peak!I182&gt;Peak!$G182,C$8*$X181,0))</f>
        <v>4.75</v>
      </c>
      <c r="D181" s="432" t="n">
        <f aca="false">IF('Peak Revenue'!$A$1="BL","-",IF(Peak!J182&gt;Peak!$G182,D$8*$X181,0))</f>
        <v>9.5</v>
      </c>
      <c r="E181" s="432" t="n">
        <f aca="false">IF('Peak Revenue'!$A$1="BL","-",IF(Peak!K182&gt;Peak!$G182,E$8*$X181,0))</f>
        <v>19</v>
      </c>
      <c r="F181" s="432" t="n">
        <f aca="false">IF('Peak Revenue'!$A$1="BL","-",IF(Peak!L182&gt;Peak!$G182,F$8*$X181,0))</f>
        <v>19</v>
      </c>
      <c r="G181" s="432" t="n">
        <f aca="false">IF('Peak Revenue'!$A$1="BL","-",IF(Peak!M182&gt;Peak!$G182,G$8*$X181,0))</f>
        <v>38</v>
      </c>
      <c r="H181" s="432" t="n">
        <f aca="false">IF('Peak Revenue'!$A$1="BL","-",IF(Peak!N182&gt;Peak!$G182,H$8*$X181,0))</f>
        <v>38</v>
      </c>
      <c r="I181" s="432" t="n">
        <f aca="false">IF('Peak Revenue'!$A$1="BL","-",IF(Peak!O182&gt;Peak!$G182,I$8*$X181,0))</f>
        <v>38</v>
      </c>
      <c r="J181" s="432" t="n">
        <f aca="false">IF('Peak Revenue'!$A$1="BL","-",IF(Peak!P182&gt;Peak!$G182,J$8*$X181,0))</f>
        <v>38</v>
      </c>
      <c r="K181" s="432" t="n">
        <f aca="false">IF('Peak Revenue'!$A$1="BL","-",IF(Peak!Q182&gt;Peak!$G182,K$8*$X181,0))</f>
        <v>0</v>
      </c>
      <c r="L181" s="432" t="n">
        <f aca="false">IF('Peak Revenue'!$A$1="BL","-",IF(Peak!R182&gt;Peak!$G182,L$8*$X181,0))</f>
        <v>0</v>
      </c>
      <c r="M181" s="432" t="n">
        <f aca="false">IF('Peak Revenue'!$A$1="BL","-",IF(Peak!S182&gt;Peak!$G182,M$8*$X181,0))</f>
        <v>0</v>
      </c>
      <c r="N181" s="432" t="n">
        <f aca="false">IF('Peak Revenue'!$A$1="BL","-",IF(Peak!T182&gt;Peak!$G182,N$8*$X181,0))</f>
        <v>0</v>
      </c>
      <c r="O181" s="432" t="n">
        <f aca="false">IF('Peak Revenue'!$A$1="BL","-",IF(Peak!U182&gt;Peak!$G182,O$8*$X181,0))</f>
        <v>0</v>
      </c>
      <c r="P181" s="432" t="n">
        <f aca="false">IF('Peak Revenue'!$A$1="BL","-",IF(Peak!V182&gt;Peak!$G182,P$8*$X181,0))</f>
        <v>0</v>
      </c>
      <c r="Q181" s="432" t="n">
        <f aca="false">IF('Peak Revenue'!$A$1="BL","-",IF(Peak!W182&gt;Peak!$G182,Q$8*$X181,0))</f>
        <v>0</v>
      </c>
      <c r="R181" s="432" t="n">
        <f aca="false">IF('Peak Revenue'!$A$1="BL","-",IF(Peak!X182&gt;Peak!$G182,R$8*$X181,0))</f>
        <v>0</v>
      </c>
      <c r="S181" s="432" t="n">
        <f aca="false">IF('Peak Revenue'!$A$1="BL","-",IF(Peak!Y182&gt;Peak!$G182,S$8*$X181,0))</f>
        <v>0</v>
      </c>
      <c r="T181" s="432" t="n">
        <f aca="false">IF('Peak Revenue'!$A$1="BL","-",IF(Peak!Z182&gt;Peak!$G182,T$8*$X181,0))</f>
        <v>0</v>
      </c>
      <c r="U181" s="432" t="n">
        <f aca="false">IF('Peak Revenue'!$A$1="BL","-",IF(Peak!AA182&gt;Peak!$G182,U$8*$X181,0))</f>
        <v>0</v>
      </c>
      <c r="V181" s="441" t="n">
        <f aca="false">SUM(B181:U181)</f>
        <v>209</v>
      </c>
      <c r="W181" s="442"/>
      <c r="X181" s="439" t="n">
        <f aca="false">CHOOSE(QUOTIENT(MONTH($A181),3)+1,Peak!$AM$11,Peak!$AN$11,Peak!$AL$11,Peak!$AO$11,Peak!$AM$11)</f>
        <v>0.95</v>
      </c>
      <c r="Y181" s="440" t="n">
        <f aca="false">CHOOSE(QUOTIENT(MONTH($A181),3)+1,Peak!$AM$17,Peak!$AN$17,Peak!$AL$17,Peak!$AO$17,Peak!$AM$17)</f>
        <v>705</v>
      </c>
    </row>
    <row r="182" customFormat="false" ht="12.75" hidden="false" customHeight="false" outlineLevel="0" collapsed="false">
      <c r="A182" s="400" t="n">
        <f aca="false">A181+30.417</f>
        <v>41771.724</v>
      </c>
      <c r="B182" s="432" t="n">
        <f aca="false">IF('Peak Revenue'!$A$1="BL","-",IF(Peak!H183&gt;Peak!$G183,B$8*$X182,0))</f>
        <v>4.75</v>
      </c>
      <c r="C182" s="432" t="n">
        <f aca="false">IF('Peak Revenue'!$A$1="BL","-",IF(Peak!I183&gt;Peak!$G183,C$8*$X182,0))</f>
        <v>4.75</v>
      </c>
      <c r="D182" s="432" t="n">
        <f aca="false">IF('Peak Revenue'!$A$1="BL","-",IF(Peak!J183&gt;Peak!$G183,D$8*$X182,0))</f>
        <v>9.5</v>
      </c>
      <c r="E182" s="432" t="n">
        <f aca="false">IF('Peak Revenue'!$A$1="BL","-",IF(Peak!K183&gt;Peak!$G183,E$8*$X182,0))</f>
        <v>19</v>
      </c>
      <c r="F182" s="432" t="n">
        <f aca="false">IF('Peak Revenue'!$A$1="BL","-",IF(Peak!L183&gt;Peak!$G183,F$8*$X182,0))</f>
        <v>19</v>
      </c>
      <c r="G182" s="432" t="n">
        <f aca="false">IF('Peak Revenue'!$A$1="BL","-",IF(Peak!M183&gt;Peak!$G183,G$8*$X182,0))</f>
        <v>38</v>
      </c>
      <c r="H182" s="432" t="n">
        <f aca="false">IF('Peak Revenue'!$A$1="BL","-",IF(Peak!N183&gt;Peak!$G183,H$8*$X182,0))</f>
        <v>38</v>
      </c>
      <c r="I182" s="432" t="n">
        <f aca="false">IF('Peak Revenue'!$A$1="BL","-",IF(Peak!O183&gt;Peak!$G183,I$8*$X182,0))</f>
        <v>38</v>
      </c>
      <c r="J182" s="432" t="n">
        <f aca="false">IF('Peak Revenue'!$A$1="BL","-",IF(Peak!P183&gt;Peak!$G183,J$8*$X182,0))</f>
        <v>0</v>
      </c>
      <c r="K182" s="432" t="n">
        <f aca="false">IF('Peak Revenue'!$A$1="BL","-",IF(Peak!Q183&gt;Peak!$G183,K$8*$X182,0))</f>
        <v>0</v>
      </c>
      <c r="L182" s="432" t="n">
        <f aca="false">IF('Peak Revenue'!$A$1="BL","-",IF(Peak!R183&gt;Peak!$G183,L$8*$X182,0))</f>
        <v>0</v>
      </c>
      <c r="M182" s="432" t="n">
        <f aca="false">IF('Peak Revenue'!$A$1="BL","-",IF(Peak!S183&gt;Peak!$G183,M$8*$X182,0))</f>
        <v>0</v>
      </c>
      <c r="N182" s="432" t="n">
        <f aca="false">IF('Peak Revenue'!$A$1="BL","-",IF(Peak!T183&gt;Peak!$G183,N$8*$X182,0))</f>
        <v>0</v>
      </c>
      <c r="O182" s="432" t="n">
        <f aca="false">IF('Peak Revenue'!$A$1="BL","-",IF(Peak!U183&gt;Peak!$G183,O$8*$X182,0))</f>
        <v>0</v>
      </c>
      <c r="P182" s="432" t="n">
        <f aca="false">IF('Peak Revenue'!$A$1="BL","-",IF(Peak!V183&gt;Peak!$G183,P$8*$X182,0))</f>
        <v>0</v>
      </c>
      <c r="Q182" s="432" t="n">
        <f aca="false">IF('Peak Revenue'!$A$1="BL","-",IF(Peak!W183&gt;Peak!$G183,Q$8*$X182,0))</f>
        <v>0</v>
      </c>
      <c r="R182" s="432" t="n">
        <f aca="false">IF('Peak Revenue'!$A$1="BL","-",IF(Peak!X183&gt;Peak!$G183,R$8*$X182,0))</f>
        <v>0</v>
      </c>
      <c r="S182" s="432" t="n">
        <f aca="false">IF('Peak Revenue'!$A$1="BL","-",IF(Peak!Y183&gt;Peak!$G183,S$8*$X182,0))</f>
        <v>0</v>
      </c>
      <c r="T182" s="432" t="n">
        <f aca="false">IF('Peak Revenue'!$A$1="BL","-",IF(Peak!Z183&gt;Peak!$G183,T$8*$X182,0))</f>
        <v>0</v>
      </c>
      <c r="U182" s="432" t="n">
        <f aca="false">IF('Peak Revenue'!$A$1="BL","-",IF(Peak!AA183&gt;Peak!$G183,U$8*$X182,0))</f>
        <v>0</v>
      </c>
      <c r="V182" s="441" t="n">
        <f aca="false">SUM(B182:U182)</f>
        <v>171</v>
      </c>
      <c r="W182" s="442"/>
      <c r="X182" s="439" t="n">
        <f aca="false">CHOOSE(QUOTIENT(MONTH($A182),3)+1,Peak!$AM$11,Peak!$AN$11,Peak!$AL$11,Peak!$AO$11,Peak!$AM$11)</f>
        <v>0.95</v>
      </c>
      <c r="Y182" s="440" t="n">
        <f aca="false">CHOOSE(QUOTIENT(MONTH($A182),3)+1,Peak!$AM$17,Peak!$AN$17,Peak!$AL$17,Peak!$AO$17,Peak!$AM$17)</f>
        <v>705</v>
      </c>
    </row>
    <row r="183" customFormat="false" ht="12.75" hidden="false" customHeight="false" outlineLevel="0" collapsed="false">
      <c r="A183" s="400" t="n">
        <f aca="false">A182+30.417</f>
        <v>41802.141</v>
      </c>
      <c r="B183" s="432" t="n">
        <f aca="false">IF('Peak Revenue'!$A$1="BL","-",IF(Peak!H184&gt;Peak!$G184,B$8*$X183,0))</f>
        <v>4.83060679547793</v>
      </c>
      <c r="C183" s="432" t="n">
        <f aca="false">IF('Peak Revenue'!$A$1="BL","-",IF(Peak!I184&gt;Peak!$G184,C$8*$X183,0))</f>
        <v>4.83060679547793</v>
      </c>
      <c r="D183" s="432" t="n">
        <f aca="false">IF('Peak Revenue'!$A$1="BL","-",IF(Peak!J184&gt;Peak!$G184,D$8*$X183,0))</f>
        <v>9.66121359095586</v>
      </c>
      <c r="E183" s="432" t="n">
        <f aca="false">IF('Peak Revenue'!$A$1="BL","-",IF(Peak!K184&gt;Peak!$G184,E$8*$X183,0))</f>
        <v>19.3224271819117</v>
      </c>
      <c r="F183" s="432" t="n">
        <f aca="false">IF('Peak Revenue'!$A$1="BL","-",IF(Peak!L184&gt;Peak!$G184,F$8*$X183,0))</f>
        <v>19.3224271819117</v>
      </c>
      <c r="G183" s="432" t="n">
        <f aca="false">IF('Peak Revenue'!$A$1="BL","-",IF(Peak!M184&gt;Peak!$G184,G$8*$X183,0))</f>
        <v>38.6448543638234</v>
      </c>
      <c r="H183" s="432" t="n">
        <f aca="false">IF('Peak Revenue'!$A$1="BL","-",IF(Peak!N184&gt;Peak!$G184,H$8*$X183,0))</f>
        <v>38.6448543638234</v>
      </c>
      <c r="I183" s="432" t="n">
        <f aca="false">IF('Peak Revenue'!$A$1="BL","-",IF(Peak!O184&gt;Peak!$G184,I$8*$X183,0))</f>
        <v>38.6448543638234</v>
      </c>
      <c r="J183" s="432" t="n">
        <f aca="false">IF('Peak Revenue'!$A$1="BL","-",IF(Peak!P184&gt;Peak!$G184,J$8*$X183,0))</f>
        <v>38.6448543638234</v>
      </c>
      <c r="K183" s="432" t="n">
        <f aca="false">IF('Peak Revenue'!$A$1="BL","-",IF(Peak!Q184&gt;Peak!$G184,K$8*$X183,0))</f>
        <v>0</v>
      </c>
      <c r="L183" s="432" t="n">
        <f aca="false">IF('Peak Revenue'!$A$1="BL","-",IF(Peak!R184&gt;Peak!$G184,L$8*$X183,0))</f>
        <v>0</v>
      </c>
      <c r="M183" s="432" t="n">
        <f aca="false">IF('Peak Revenue'!$A$1="BL","-",IF(Peak!S184&gt;Peak!$G184,M$8*$X183,0))</f>
        <v>0</v>
      </c>
      <c r="N183" s="432" t="n">
        <f aca="false">IF('Peak Revenue'!$A$1="BL","-",IF(Peak!T184&gt;Peak!$G184,N$8*$X183,0))</f>
        <v>0</v>
      </c>
      <c r="O183" s="432" t="n">
        <f aca="false">IF('Peak Revenue'!$A$1="BL","-",IF(Peak!U184&gt;Peak!$G184,O$8*$X183,0))</f>
        <v>0</v>
      </c>
      <c r="P183" s="432" t="n">
        <f aca="false">IF('Peak Revenue'!$A$1="BL","-",IF(Peak!V184&gt;Peak!$G184,P$8*$X183,0))</f>
        <v>0</v>
      </c>
      <c r="Q183" s="432" t="n">
        <f aca="false">IF('Peak Revenue'!$A$1="BL","-",IF(Peak!W184&gt;Peak!$G184,Q$8*$X183,0))</f>
        <v>0</v>
      </c>
      <c r="R183" s="432" t="n">
        <f aca="false">IF('Peak Revenue'!$A$1="BL","-",IF(Peak!X184&gt;Peak!$G184,R$8*$X183,0))</f>
        <v>0</v>
      </c>
      <c r="S183" s="432" t="n">
        <f aca="false">IF('Peak Revenue'!$A$1="BL","-",IF(Peak!Y184&gt;Peak!$G184,S$8*$X183,0))</f>
        <v>0</v>
      </c>
      <c r="T183" s="432" t="n">
        <f aca="false">IF('Peak Revenue'!$A$1="BL","-",IF(Peak!Z184&gt;Peak!$G184,T$8*$X183,0))</f>
        <v>0</v>
      </c>
      <c r="U183" s="432" t="n">
        <f aca="false">IF('Peak Revenue'!$A$1="BL","-",IF(Peak!AA184&gt;Peak!$G184,U$8*$X183,0))</f>
        <v>0</v>
      </c>
      <c r="V183" s="441" t="n">
        <f aca="false">SUM(B183:U183)</f>
        <v>212.546699001029</v>
      </c>
      <c r="W183" s="442"/>
      <c r="X183" s="439" t="n">
        <f aca="false">CHOOSE(QUOTIENT(MONTH($A183),3)+1,Peak!$AM$11,Peak!$AN$11,Peak!$AL$11,Peak!$AO$11,Peak!$AM$11)</f>
        <v>0.966121359095586</v>
      </c>
      <c r="Y183" s="440" t="n">
        <f aca="false">CHOOSE(QUOTIENT(MONTH($A183),3)+1,Peak!$AM$17,Peak!$AN$17,Peak!$AL$17,Peak!$AO$17,Peak!$AM$17)</f>
        <v>705</v>
      </c>
    </row>
    <row r="184" customFormat="false" ht="12.75" hidden="false" customHeight="false" outlineLevel="0" collapsed="false">
      <c r="A184" s="400" t="n">
        <f aca="false">A183+30.417</f>
        <v>41832.558</v>
      </c>
      <c r="B184" s="432" t="n">
        <f aca="false">IF('Peak Revenue'!$A$1="BL","-",IF(Peak!H185&gt;Peak!$G185,B$8*$X184,0))</f>
        <v>4.83060679547793</v>
      </c>
      <c r="C184" s="432" t="n">
        <f aca="false">IF('Peak Revenue'!$A$1="BL","-",IF(Peak!I185&gt;Peak!$G185,C$8*$X184,0))</f>
        <v>4.83060679547793</v>
      </c>
      <c r="D184" s="432" t="n">
        <f aca="false">IF('Peak Revenue'!$A$1="BL","-",IF(Peak!J185&gt;Peak!$G185,D$8*$X184,0))</f>
        <v>9.66121359095586</v>
      </c>
      <c r="E184" s="432" t="n">
        <f aca="false">IF('Peak Revenue'!$A$1="BL","-",IF(Peak!K185&gt;Peak!$G185,E$8*$X184,0))</f>
        <v>19.3224271819117</v>
      </c>
      <c r="F184" s="432" t="n">
        <f aca="false">IF('Peak Revenue'!$A$1="BL","-",IF(Peak!L185&gt;Peak!$G185,F$8*$X184,0))</f>
        <v>19.3224271819117</v>
      </c>
      <c r="G184" s="432" t="n">
        <f aca="false">IF('Peak Revenue'!$A$1="BL","-",IF(Peak!M185&gt;Peak!$G185,G$8*$X184,0))</f>
        <v>38.6448543638234</v>
      </c>
      <c r="H184" s="432" t="n">
        <f aca="false">IF('Peak Revenue'!$A$1="BL","-",IF(Peak!N185&gt;Peak!$G185,H$8*$X184,0))</f>
        <v>38.6448543638234</v>
      </c>
      <c r="I184" s="432" t="n">
        <f aca="false">IF('Peak Revenue'!$A$1="BL","-",IF(Peak!O185&gt;Peak!$G185,I$8*$X184,0))</f>
        <v>38.6448543638234</v>
      </c>
      <c r="J184" s="432" t="n">
        <f aca="false">IF('Peak Revenue'!$A$1="BL","-",IF(Peak!P185&gt;Peak!$G185,J$8*$X184,0))</f>
        <v>38.6448543638234</v>
      </c>
      <c r="K184" s="432" t="n">
        <f aca="false">IF('Peak Revenue'!$A$1="BL","-",IF(Peak!Q185&gt;Peak!$G185,K$8*$X184,0))</f>
        <v>38.6448543638234</v>
      </c>
      <c r="L184" s="432" t="n">
        <f aca="false">IF('Peak Revenue'!$A$1="BL","-",IF(Peak!R185&gt;Peak!$G185,L$8*$X184,0))</f>
        <v>0</v>
      </c>
      <c r="M184" s="432" t="n">
        <f aca="false">IF('Peak Revenue'!$A$1="BL","-",IF(Peak!S185&gt;Peak!$G185,M$8*$X184,0))</f>
        <v>0</v>
      </c>
      <c r="N184" s="432" t="n">
        <f aca="false">IF('Peak Revenue'!$A$1="BL","-",IF(Peak!T185&gt;Peak!$G185,N$8*$X184,0))</f>
        <v>0</v>
      </c>
      <c r="O184" s="432" t="n">
        <f aca="false">IF('Peak Revenue'!$A$1="BL","-",IF(Peak!U185&gt;Peak!$G185,O$8*$X184,0))</f>
        <v>0</v>
      </c>
      <c r="P184" s="432" t="n">
        <f aca="false">IF('Peak Revenue'!$A$1="BL","-",IF(Peak!V185&gt;Peak!$G185,P$8*$X184,0))</f>
        <v>0</v>
      </c>
      <c r="Q184" s="432" t="n">
        <f aca="false">IF('Peak Revenue'!$A$1="BL","-",IF(Peak!W185&gt;Peak!$G185,Q$8*$X184,0))</f>
        <v>0</v>
      </c>
      <c r="R184" s="432" t="n">
        <f aca="false">IF('Peak Revenue'!$A$1="BL","-",IF(Peak!X185&gt;Peak!$G185,R$8*$X184,0))</f>
        <v>0</v>
      </c>
      <c r="S184" s="432" t="n">
        <f aca="false">IF('Peak Revenue'!$A$1="BL","-",IF(Peak!Y185&gt;Peak!$G185,S$8*$X184,0))</f>
        <v>0</v>
      </c>
      <c r="T184" s="432" t="n">
        <f aca="false">IF('Peak Revenue'!$A$1="BL","-",IF(Peak!Z185&gt;Peak!$G185,T$8*$X184,0))</f>
        <v>0</v>
      </c>
      <c r="U184" s="432" t="n">
        <f aca="false">IF('Peak Revenue'!$A$1="BL","-",IF(Peak!AA185&gt;Peak!$G185,U$8*$X184,0))</f>
        <v>0</v>
      </c>
      <c r="V184" s="441" t="n">
        <f aca="false">SUM(B184:U184)</f>
        <v>251.191553364852</v>
      </c>
      <c r="W184" s="442"/>
      <c r="X184" s="439" t="n">
        <f aca="false">CHOOSE(QUOTIENT(MONTH($A184),3)+1,Peak!$AM$11,Peak!$AN$11,Peak!$AL$11,Peak!$AO$11,Peak!$AM$11)</f>
        <v>0.966121359095586</v>
      </c>
      <c r="Y184" s="440" t="n">
        <f aca="false">CHOOSE(QUOTIENT(MONTH($A184),3)+1,Peak!$AM$17,Peak!$AN$17,Peak!$AL$17,Peak!$AO$17,Peak!$AM$17)</f>
        <v>705</v>
      </c>
    </row>
    <row r="185" customFormat="false" ht="12.75" hidden="false" customHeight="false" outlineLevel="0" collapsed="false">
      <c r="A185" s="400" t="n">
        <f aca="false">A184+30.417</f>
        <v>41862.975</v>
      </c>
      <c r="B185" s="432" t="n">
        <f aca="false">IF('Peak Revenue'!$A$1="BL","-",IF(Peak!H186&gt;Peak!$G186,B$8*$X185,0))</f>
        <v>4.83060679547793</v>
      </c>
      <c r="C185" s="432" t="n">
        <f aca="false">IF('Peak Revenue'!$A$1="BL","-",IF(Peak!I186&gt;Peak!$G186,C$8*$X185,0))</f>
        <v>4.83060679547793</v>
      </c>
      <c r="D185" s="432" t="n">
        <f aca="false">IF('Peak Revenue'!$A$1="BL","-",IF(Peak!J186&gt;Peak!$G186,D$8*$X185,0))</f>
        <v>9.66121359095586</v>
      </c>
      <c r="E185" s="432" t="n">
        <f aca="false">IF('Peak Revenue'!$A$1="BL","-",IF(Peak!K186&gt;Peak!$G186,E$8*$X185,0))</f>
        <v>19.3224271819117</v>
      </c>
      <c r="F185" s="432" t="n">
        <f aca="false">IF('Peak Revenue'!$A$1="BL","-",IF(Peak!L186&gt;Peak!$G186,F$8*$X185,0))</f>
        <v>19.3224271819117</v>
      </c>
      <c r="G185" s="432" t="n">
        <f aca="false">IF('Peak Revenue'!$A$1="BL","-",IF(Peak!M186&gt;Peak!$G186,G$8*$X185,0))</f>
        <v>38.6448543638234</v>
      </c>
      <c r="H185" s="432" t="n">
        <f aca="false">IF('Peak Revenue'!$A$1="BL","-",IF(Peak!N186&gt;Peak!$G186,H$8*$X185,0))</f>
        <v>38.6448543638234</v>
      </c>
      <c r="I185" s="432" t="n">
        <f aca="false">IF('Peak Revenue'!$A$1="BL","-",IF(Peak!O186&gt;Peak!$G186,I$8*$X185,0))</f>
        <v>38.6448543638234</v>
      </c>
      <c r="J185" s="432" t="n">
        <f aca="false">IF('Peak Revenue'!$A$1="BL","-",IF(Peak!P186&gt;Peak!$G186,J$8*$X185,0))</f>
        <v>38.6448543638234</v>
      </c>
      <c r="K185" s="432" t="n">
        <f aca="false">IF('Peak Revenue'!$A$1="BL","-",IF(Peak!Q186&gt;Peak!$G186,K$8*$X185,0))</f>
        <v>38.6448543638234</v>
      </c>
      <c r="L185" s="432" t="n">
        <f aca="false">IF('Peak Revenue'!$A$1="BL","-",IF(Peak!R186&gt;Peak!$G186,L$8*$X185,0))</f>
        <v>38.6448543638234</v>
      </c>
      <c r="M185" s="432" t="n">
        <f aca="false">IF('Peak Revenue'!$A$1="BL","-",IF(Peak!S186&gt;Peak!$G186,M$8*$X185,0))</f>
        <v>38.6448543638234</v>
      </c>
      <c r="N185" s="432" t="n">
        <f aca="false">IF('Peak Revenue'!$A$1="BL","-",IF(Peak!T186&gt;Peak!$G186,N$8*$X185,0))</f>
        <v>38.6448543638234</v>
      </c>
      <c r="O185" s="432" t="n">
        <f aca="false">IF('Peak Revenue'!$A$1="BL","-",IF(Peak!U186&gt;Peak!$G186,O$8*$X185,0))</f>
        <v>38.6448543638234</v>
      </c>
      <c r="P185" s="432" t="n">
        <f aca="false">IF('Peak Revenue'!$A$1="BL","-",IF(Peak!V186&gt;Peak!$G186,P$8*$X185,0))</f>
        <v>0</v>
      </c>
      <c r="Q185" s="432" t="n">
        <f aca="false">IF('Peak Revenue'!$A$1="BL","-",IF(Peak!W186&gt;Peak!$G186,Q$8*$X185,0))</f>
        <v>0</v>
      </c>
      <c r="R185" s="432" t="n">
        <f aca="false">IF('Peak Revenue'!$A$1="BL","-",IF(Peak!X186&gt;Peak!$G186,R$8*$X185,0))</f>
        <v>0</v>
      </c>
      <c r="S185" s="432" t="n">
        <f aca="false">IF('Peak Revenue'!$A$1="BL","-",IF(Peak!Y186&gt;Peak!$G186,S$8*$X185,0))</f>
        <v>0</v>
      </c>
      <c r="T185" s="432" t="n">
        <f aca="false">IF('Peak Revenue'!$A$1="BL","-",IF(Peak!Z186&gt;Peak!$G186,T$8*$X185,0))</f>
        <v>0</v>
      </c>
      <c r="U185" s="432" t="n">
        <f aca="false">IF('Peak Revenue'!$A$1="BL","-",IF(Peak!AA186&gt;Peak!$G186,U$8*$X185,0))</f>
        <v>0</v>
      </c>
      <c r="V185" s="441" t="n">
        <f aca="false">SUM(B185:U185)</f>
        <v>405.770970820146</v>
      </c>
      <c r="W185" s="442"/>
      <c r="X185" s="439" t="n">
        <f aca="false">CHOOSE(QUOTIENT(MONTH($A185),3)+1,Peak!$AM$11,Peak!$AN$11,Peak!$AL$11,Peak!$AO$11,Peak!$AM$11)</f>
        <v>0.966121359095586</v>
      </c>
      <c r="Y185" s="440" t="n">
        <f aca="false">CHOOSE(QUOTIENT(MONTH($A185),3)+1,Peak!$AM$17,Peak!$AN$17,Peak!$AL$17,Peak!$AO$17,Peak!$AM$17)</f>
        <v>705</v>
      </c>
    </row>
    <row r="186" customFormat="false" ht="12.75" hidden="false" customHeight="false" outlineLevel="0" collapsed="false">
      <c r="A186" s="400" t="n">
        <f aca="false">A185+30.417</f>
        <v>41893.392</v>
      </c>
      <c r="B186" s="432" t="n">
        <f aca="false">IF('Peak Revenue'!$A$1="BL","-",IF(Peak!H187&gt;Peak!$G187,B$8*$X186,0))</f>
        <v>4.75</v>
      </c>
      <c r="C186" s="432" t="n">
        <f aca="false">IF('Peak Revenue'!$A$1="BL","-",IF(Peak!I187&gt;Peak!$G187,C$8*$X186,0))</f>
        <v>4.75</v>
      </c>
      <c r="D186" s="432" t="n">
        <f aca="false">IF('Peak Revenue'!$A$1="BL","-",IF(Peak!J187&gt;Peak!$G187,D$8*$X186,0))</f>
        <v>9.5</v>
      </c>
      <c r="E186" s="432" t="n">
        <f aca="false">IF('Peak Revenue'!$A$1="BL","-",IF(Peak!K187&gt;Peak!$G187,E$8*$X186,0))</f>
        <v>19</v>
      </c>
      <c r="F186" s="432" t="n">
        <f aca="false">IF('Peak Revenue'!$A$1="BL","-",IF(Peak!L187&gt;Peak!$G187,F$8*$X186,0))</f>
        <v>19</v>
      </c>
      <c r="G186" s="432" t="n">
        <f aca="false">IF('Peak Revenue'!$A$1="BL","-",IF(Peak!M187&gt;Peak!$G187,G$8*$X186,0))</f>
        <v>38</v>
      </c>
      <c r="H186" s="432" t="n">
        <f aca="false">IF('Peak Revenue'!$A$1="BL","-",IF(Peak!N187&gt;Peak!$G187,H$8*$X186,0))</f>
        <v>38</v>
      </c>
      <c r="I186" s="432" t="n">
        <f aca="false">IF('Peak Revenue'!$A$1="BL","-",IF(Peak!O187&gt;Peak!$G187,I$8*$X186,0))</f>
        <v>38</v>
      </c>
      <c r="J186" s="432" t="n">
        <f aca="false">IF('Peak Revenue'!$A$1="BL","-",IF(Peak!P187&gt;Peak!$G187,J$8*$X186,0))</f>
        <v>38</v>
      </c>
      <c r="K186" s="432" t="n">
        <f aca="false">IF('Peak Revenue'!$A$1="BL","-",IF(Peak!Q187&gt;Peak!$G187,K$8*$X186,0))</f>
        <v>38</v>
      </c>
      <c r="L186" s="432" t="n">
        <f aca="false">IF('Peak Revenue'!$A$1="BL","-",IF(Peak!R187&gt;Peak!$G187,L$8*$X186,0))</f>
        <v>0</v>
      </c>
      <c r="M186" s="432" t="n">
        <f aca="false">IF('Peak Revenue'!$A$1="BL","-",IF(Peak!S187&gt;Peak!$G187,M$8*$X186,0))</f>
        <v>0</v>
      </c>
      <c r="N186" s="432" t="n">
        <f aca="false">IF('Peak Revenue'!$A$1="BL","-",IF(Peak!T187&gt;Peak!$G187,N$8*$X186,0))</f>
        <v>0</v>
      </c>
      <c r="O186" s="432" t="n">
        <f aca="false">IF('Peak Revenue'!$A$1="BL","-",IF(Peak!U187&gt;Peak!$G187,O$8*$X186,0))</f>
        <v>0</v>
      </c>
      <c r="P186" s="432" t="n">
        <f aca="false">IF('Peak Revenue'!$A$1="BL","-",IF(Peak!V187&gt;Peak!$G187,P$8*$X186,0))</f>
        <v>0</v>
      </c>
      <c r="Q186" s="432" t="n">
        <f aca="false">IF('Peak Revenue'!$A$1="BL","-",IF(Peak!W187&gt;Peak!$G187,Q$8*$X186,0))</f>
        <v>0</v>
      </c>
      <c r="R186" s="432" t="n">
        <f aca="false">IF('Peak Revenue'!$A$1="BL","-",IF(Peak!X187&gt;Peak!$G187,R$8*$X186,0))</f>
        <v>0</v>
      </c>
      <c r="S186" s="432" t="n">
        <f aca="false">IF('Peak Revenue'!$A$1="BL","-",IF(Peak!Y187&gt;Peak!$G187,S$8*$X186,0))</f>
        <v>0</v>
      </c>
      <c r="T186" s="432" t="n">
        <f aca="false">IF('Peak Revenue'!$A$1="BL","-",IF(Peak!Z187&gt;Peak!$G187,T$8*$X186,0))</f>
        <v>0</v>
      </c>
      <c r="U186" s="432" t="n">
        <f aca="false">IF('Peak Revenue'!$A$1="BL","-",IF(Peak!AA187&gt;Peak!$G187,U$8*$X186,0))</f>
        <v>0</v>
      </c>
      <c r="V186" s="441" t="n">
        <f aca="false">SUM(B186:U186)</f>
        <v>247</v>
      </c>
      <c r="W186" s="442"/>
      <c r="X186" s="439" t="n">
        <f aca="false">CHOOSE(QUOTIENT(MONTH($A186),3)+1,Peak!$AM$11,Peak!$AN$11,Peak!$AL$11,Peak!$AO$11,Peak!$AM$11)</f>
        <v>0.95</v>
      </c>
      <c r="Y186" s="440" t="n">
        <f aca="false">CHOOSE(QUOTIENT(MONTH($A186),3)+1,Peak!$AM$17,Peak!$AN$17,Peak!$AL$17,Peak!$AO$17,Peak!$AM$17)</f>
        <v>705</v>
      </c>
    </row>
    <row r="187" customFormat="false" ht="12.75" hidden="false" customHeight="false" outlineLevel="0" collapsed="false">
      <c r="A187" s="400" t="n">
        <f aca="false">A186+30.417</f>
        <v>41923.809</v>
      </c>
      <c r="B187" s="432" t="n">
        <f aca="false">IF('Peak Revenue'!$A$1="BL","-",IF(Peak!H188&gt;Peak!$G188,B$8*$X187,0))</f>
        <v>4.75</v>
      </c>
      <c r="C187" s="432" t="n">
        <f aca="false">IF('Peak Revenue'!$A$1="BL","-",IF(Peak!I188&gt;Peak!$G188,C$8*$X187,0))</f>
        <v>4.75</v>
      </c>
      <c r="D187" s="432" t="n">
        <f aca="false">IF('Peak Revenue'!$A$1="BL","-",IF(Peak!J188&gt;Peak!$G188,D$8*$X187,0))</f>
        <v>9.5</v>
      </c>
      <c r="E187" s="432" t="n">
        <f aca="false">IF('Peak Revenue'!$A$1="BL","-",IF(Peak!K188&gt;Peak!$G188,E$8*$X187,0))</f>
        <v>19</v>
      </c>
      <c r="F187" s="432" t="n">
        <f aca="false">IF('Peak Revenue'!$A$1="BL","-",IF(Peak!L188&gt;Peak!$G188,F$8*$X187,0))</f>
        <v>19</v>
      </c>
      <c r="G187" s="432" t="n">
        <f aca="false">IF('Peak Revenue'!$A$1="BL","-",IF(Peak!M188&gt;Peak!$G188,G$8*$X187,0))</f>
        <v>38</v>
      </c>
      <c r="H187" s="432" t="n">
        <f aca="false">IF('Peak Revenue'!$A$1="BL","-",IF(Peak!N188&gt;Peak!$G188,H$8*$X187,0))</f>
        <v>38</v>
      </c>
      <c r="I187" s="432" t="n">
        <f aca="false">IF('Peak Revenue'!$A$1="BL","-",IF(Peak!O188&gt;Peak!$G188,I$8*$X187,0))</f>
        <v>38</v>
      </c>
      <c r="J187" s="432" t="n">
        <f aca="false">IF('Peak Revenue'!$A$1="BL","-",IF(Peak!P188&gt;Peak!$G188,J$8*$X187,0))</f>
        <v>38</v>
      </c>
      <c r="K187" s="432" t="n">
        <f aca="false">IF('Peak Revenue'!$A$1="BL","-",IF(Peak!Q188&gt;Peak!$G188,K$8*$X187,0))</f>
        <v>38</v>
      </c>
      <c r="L187" s="432" t="n">
        <f aca="false">IF('Peak Revenue'!$A$1="BL","-",IF(Peak!R188&gt;Peak!$G188,L$8*$X187,0))</f>
        <v>38</v>
      </c>
      <c r="M187" s="432" t="n">
        <f aca="false">IF('Peak Revenue'!$A$1="BL","-",IF(Peak!S188&gt;Peak!$G188,M$8*$X187,0))</f>
        <v>38</v>
      </c>
      <c r="N187" s="432" t="n">
        <f aca="false">IF('Peak Revenue'!$A$1="BL","-",IF(Peak!T188&gt;Peak!$G188,N$8*$X187,0))</f>
        <v>38</v>
      </c>
      <c r="O187" s="432" t="n">
        <f aca="false">IF('Peak Revenue'!$A$1="BL","-",IF(Peak!U188&gt;Peak!$G188,O$8*$X187,0))</f>
        <v>38</v>
      </c>
      <c r="P187" s="432" t="n">
        <f aca="false">IF('Peak Revenue'!$A$1="BL","-",IF(Peak!V188&gt;Peak!$G188,P$8*$X187,0))</f>
        <v>38</v>
      </c>
      <c r="Q187" s="432" t="n">
        <f aca="false">IF('Peak Revenue'!$A$1="BL","-",IF(Peak!W188&gt;Peak!$G188,Q$8*$X187,0))</f>
        <v>0</v>
      </c>
      <c r="R187" s="432" t="n">
        <f aca="false">IF('Peak Revenue'!$A$1="BL","-",IF(Peak!X188&gt;Peak!$G188,R$8*$X187,0))</f>
        <v>0</v>
      </c>
      <c r="S187" s="432" t="n">
        <f aca="false">IF('Peak Revenue'!$A$1="BL","-",IF(Peak!Y188&gt;Peak!$G188,S$8*$X187,0))</f>
        <v>0</v>
      </c>
      <c r="T187" s="432" t="n">
        <f aca="false">IF('Peak Revenue'!$A$1="BL","-",IF(Peak!Z188&gt;Peak!$G188,T$8*$X187,0))</f>
        <v>0</v>
      </c>
      <c r="U187" s="432" t="n">
        <f aca="false">IF('Peak Revenue'!$A$1="BL","-",IF(Peak!AA188&gt;Peak!$G188,U$8*$X187,0))</f>
        <v>0</v>
      </c>
      <c r="V187" s="441" t="n">
        <f aca="false">SUM(B187:U187)</f>
        <v>437</v>
      </c>
      <c r="W187" s="442"/>
      <c r="X187" s="439" t="n">
        <f aca="false">CHOOSE(QUOTIENT(MONTH($A187),3)+1,Peak!$AM$11,Peak!$AN$11,Peak!$AL$11,Peak!$AO$11,Peak!$AM$11)</f>
        <v>0.95</v>
      </c>
      <c r="Y187" s="440" t="n">
        <f aca="false">CHOOSE(QUOTIENT(MONTH($A187),3)+1,Peak!$AM$17,Peak!$AN$17,Peak!$AL$17,Peak!$AO$17,Peak!$AM$17)</f>
        <v>705</v>
      </c>
    </row>
    <row r="188" customFormat="false" ht="12.75" hidden="false" customHeight="false" outlineLevel="0" collapsed="false">
      <c r="A188" s="400" t="n">
        <f aca="false">A187+30.417</f>
        <v>41954.226</v>
      </c>
      <c r="B188" s="432" t="n">
        <f aca="false">IF('Peak Revenue'!$A$1="BL","-",IF(Peak!H189&gt;Peak!$G189,B$8*$X188,0))</f>
        <v>4.75</v>
      </c>
      <c r="C188" s="432" t="n">
        <f aca="false">IF('Peak Revenue'!$A$1="BL","-",IF(Peak!I189&gt;Peak!$G189,C$8*$X188,0))</f>
        <v>4.75</v>
      </c>
      <c r="D188" s="432" t="n">
        <f aca="false">IF('Peak Revenue'!$A$1="BL","-",IF(Peak!J189&gt;Peak!$G189,D$8*$X188,0))</f>
        <v>9.5</v>
      </c>
      <c r="E188" s="432" t="n">
        <f aca="false">IF('Peak Revenue'!$A$1="BL","-",IF(Peak!K189&gt;Peak!$G189,E$8*$X188,0))</f>
        <v>19</v>
      </c>
      <c r="F188" s="432" t="n">
        <f aca="false">IF('Peak Revenue'!$A$1="BL","-",IF(Peak!L189&gt;Peak!$G189,F$8*$X188,0))</f>
        <v>19</v>
      </c>
      <c r="G188" s="432" t="n">
        <f aca="false">IF('Peak Revenue'!$A$1="BL","-",IF(Peak!M189&gt;Peak!$G189,G$8*$X188,0))</f>
        <v>38</v>
      </c>
      <c r="H188" s="432" t="n">
        <f aca="false">IF('Peak Revenue'!$A$1="BL","-",IF(Peak!N189&gt;Peak!$G189,H$8*$X188,0))</f>
        <v>38</v>
      </c>
      <c r="I188" s="432" t="n">
        <f aca="false">IF('Peak Revenue'!$A$1="BL","-",IF(Peak!O189&gt;Peak!$G189,I$8*$X188,0))</f>
        <v>38</v>
      </c>
      <c r="J188" s="432" t="n">
        <f aca="false">IF('Peak Revenue'!$A$1="BL","-",IF(Peak!P189&gt;Peak!$G189,J$8*$X188,0))</f>
        <v>38</v>
      </c>
      <c r="K188" s="432" t="n">
        <f aca="false">IF('Peak Revenue'!$A$1="BL","-",IF(Peak!Q189&gt;Peak!$G189,K$8*$X188,0))</f>
        <v>0</v>
      </c>
      <c r="L188" s="432" t="n">
        <f aca="false">IF('Peak Revenue'!$A$1="BL","-",IF(Peak!R189&gt;Peak!$G189,L$8*$X188,0))</f>
        <v>0</v>
      </c>
      <c r="M188" s="432" t="n">
        <f aca="false">IF('Peak Revenue'!$A$1="BL","-",IF(Peak!S189&gt;Peak!$G189,M$8*$X188,0))</f>
        <v>0</v>
      </c>
      <c r="N188" s="432" t="n">
        <f aca="false">IF('Peak Revenue'!$A$1="BL","-",IF(Peak!T189&gt;Peak!$G189,N$8*$X188,0))</f>
        <v>0</v>
      </c>
      <c r="O188" s="432" t="n">
        <f aca="false">IF('Peak Revenue'!$A$1="BL","-",IF(Peak!U189&gt;Peak!$G189,O$8*$X188,0))</f>
        <v>0</v>
      </c>
      <c r="P188" s="432" t="n">
        <f aca="false">IF('Peak Revenue'!$A$1="BL","-",IF(Peak!V189&gt;Peak!$G189,P$8*$X188,0))</f>
        <v>0</v>
      </c>
      <c r="Q188" s="432" t="n">
        <f aca="false">IF('Peak Revenue'!$A$1="BL","-",IF(Peak!W189&gt;Peak!$G189,Q$8*$X188,0))</f>
        <v>0</v>
      </c>
      <c r="R188" s="432" t="n">
        <f aca="false">IF('Peak Revenue'!$A$1="BL","-",IF(Peak!X189&gt;Peak!$G189,R$8*$X188,0))</f>
        <v>0</v>
      </c>
      <c r="S188" s="432" t="n">
        <f aca="false">IF('Peak Revenue'!$A$1="BL","-",IF(Peak!Y189&gt;Peak!$G189,S$8*$X188,0))</f>
        <v>0</v>
      </c>
      <c r="T188" s="432" t="n">
        <f aca="false">IF('Peak Revenue'!$A$1="BL","-",IF(Peak!Z189&gt;Peak!$G189,T$8*$X188,0))</f>
        <v>0</v>
      </c>
      <c r="U188" s="432" t="n">
        <f aca="false">IF('Peak Revenue'!$A$1="BL","-",IF(Peak!AA189&gt;Peak!$G189,U$8*$X188,0))</f>
        <v>0</v>
      </c>
      <c r="V188" s="441" t="n">
        <f aca="false">SUM(B188:U188)</f>
        <v>209</v>
      </c>
      <c r="W188" s="442"/>
      <c r="X188" s="439" t="n">
        <f aca="false">CHOOSE(QUOTIENT(MONTH($A188),3)+1,Peak!$AM$11,Peak!$AN$11,Peak!$AL$11,Peak!$AO$11,Peak!$AM$11)</f>
        <v>0.95</v>
      </c>
      <c r="Y188" s="440" t="n">
        <f aca="false">CHOOSE(QUOTIENT(MONTH($A188),3)+1,Peak!$AM$17,Peak!$AN$17,Peak!$AL$17,Peak!$AO$17,Peak!$AM$17)</f>
        <v>705</v>
      </c>
    </row>
    <row r="189" customFormat="false" ht="12.75" hidden="false" customHeight="false" outlineLevel="0" collapsed="false">
      <c r="A189" s="400" t="n">
        <f aca="false">A188+30.417</f>
        <v>41984.643</v>
      </c>
      <c r="B189" s="432" t="n">
        <f aca="false">IF('Peak Revenue'!$A$1="BL","-",IF(Peak!H190&gt;Peak!$G190,B$8*$X189,0))</f>
        <v>4.62138309393059</v>
      </c>
      <c r="C189" s="432" t="n">
        <f aca="false">IF('Peak Revenue'!$A$1="BL","-",IF(Peak!I190&gt;Peak!$G190,C$8*$X189,0))</f>
        <v>4.62138309393059</v>
      </c>
      <c r="D189" s="432" t="n">
        <f aca="false">IF('Peak Revenue'!$A$1="BL","-",IF(Peak!J190&gt;Peak!$G190,D$8*$X189,0))</f>
        <v>9.24276618786118</v>
      </c>
      <c r="E189" s="432" t="n">
        <f aca="false">IF('Peak Revenue'!$A$1="BL","-",IF(Peak!K190&gt;Peak!$G190,E$8*$X189,0))</f>
        <v>18.4855323757224</v>
      </c>
      <c r="F189" s="432" t="n">
        <f aca="false">IF('Peak Revenue'!$A$1="BL","-",IF(Peak!L190&gt;Peak!$G190,F$8*$X189,0))</f>
        <v>18.4855323757224</v>
      </c>
      <c r="G189" s="432" t="n">
        <f aca="false">IF('Peak Revenue'!$A$1="BL","-",IF(Peak!M190&gt;Peak!$G190,G$8*$X189,0))</f>
        <v>36.9710647514447</v>
      </c>
      <c r="H189" s="432" t="n">
        <f aca="false">IF('Peak Revenue'!$A$1="BL","-",IF(Peak!N190&gt;Peak!$G190,H$8*$X189,0))</f>
        <v>36.9710647514447</v>
      </c>
      <c r="I189" s="432" t="n">
        <f aca="false">IF('Peak Revenue'!$A$1="BL","-",IF(Peak!O190&gt;Peak!$G190,I$8*$X189,0))</f>
        <v>36.9710647514447</v>
      </c>
      <c r="J189" s="432" t="n">
        <f aca="false">IF('Peak Revenue'!$A$1="BL","-",IF(Peak!P190&gt;Peak!$G190,J$8*$X189,0))</f>
        <v>36.9710647514447</v>
      </c>
      <c r="K189" s="432" t="n">
        <f aca="false">IF('Peak Revenue'!$A$1="BL","-",IF(Peak!Q190&gt;Peak!$G190,K$8*$X189,0))</f>
        <v>0</v>
      </c>
      <c r="L189" s="432" t="n">
        <f aca="false">IF('Peak Revenue'!$A$1="BL","-",IF(Peak!R190&gt;Peak!$G190,L$8*$X189,0))</f>
        <v>0</v>
      </c>
      <c r="M189" s="432" t="n">
        <f aca="false">IF('Peak Revenue'!$A$1="BL","-",IF(Peak!S190&gt;Peak!$G190,M$8*$X189,0))</f>
        <v>0</v>
      </c>
      <c r="N189" s="432" t="n">
        <f aca="false">IF('Peak Revenue'!$A$1="BL","-",IF(Peak!T190&gt;Peak!$G190,N$8*$X189,0))</f>
        <v>0</v>
      </c>
      <c r="O189" s="432" t="n">
        <f aca="false">IF('Peak Revenue'!$A$1="BL","-",IF(Peak!U190&gt;Peak!$G190,O$8*$X189,0))</f>
        <v>0</v>
      </c>
      <c r="P189" s="432" t="n">
        <f aca="false">IF('Peak Revenue'!$A$1="BL","-",IF(Peak!V190&gt;Peak!$G190,P$8*$X189,0))</f>
        <v>0</v>
      </c>
      <c r="Q189" s="432" t="n">
        <f aca="false">IF('Peak Revenue'!$A$1="BL","-",IF(Peak!W190&gt;Peak!$G190,Q$8*$X189,0))</f>
        <v>0</v>
      </c>
      <c r="R189" s="432" t="n">
        <f aca="false">IF('Peak Revenue'!$A$1="BL","-",IF(Peak!X190&gt;Peak!$G190,R$8*$X189,0))</f>
        <v>0</v>
      </c>
      <c r="S189" s="432" t="n">
        <f aca="false">IF('Peak Revenue'!$A$1="BL","-",IF(Peak!Y190&gt;Peak!$G190,S$8*$X189,0))</f>
        <v>0</v>
      </c>
      <c r="T189" s="432" t="n">
        <f aca="false">IF('Peak Revenue'!$A$1="BL","-",IF(Peak!Z190&gt;Peak!$G190,T$8*$X189,0))</f>
        <v>0</v>
      </c>
      <c r="U189" s="432" t="n">
        <f aca="false">IF('Peak Revenue'!$A$1="BL","-",IF(Peak!AA190&gt;Peak!$G190,U$8*$X189,0))</f>
        <v>0</v>
      </c>
      <c r="V189" s="441" t="n">
        <f aca="false">SUM(B189:U189)</f>
        <v>203.340856132946</v>
      </c>
      <c r="W189" s="443" t="n">
        <f aca="false">SUM(V178:V189)</f>
        <v>3111.47392108775</v>
      </c>
      <c r="X189" s="439" t="n">
        <f aca="false">CHOOSE(QUOTIENT(MONTH($A189),3)+1,Peak!$AM$11,Peak!$AN$11,Peak!$AL$11,Peak!$AO$11,Peak!$AM$11)</f>
        <v>0.924276618786118</v>
      </c>
      <c r="Y189" s="440" t="n">
        <f aca="false">CHOOSE(QUOTIENT(MONTH($A189),3)+1,Peak!$AM$17,Peak!$AN$17,Peak!$AL$17,Peak!$AO$17,Peak!$AM$17)</f>
        <v>705</v>
      </c>
    </row>
    <row r="190" customFormat="false" ht="12.75" hidden="false" customHeight="false" outlineLevel="0" collapsed="false">
      <c r="A190" s="400" t="n">
        <f aca="false">A189+30.417</f>
        <v>42015.06</v>
      </c>
      <c r="B190" s="432" t="n">
        <f aca="false">IF('Peak Revenue'!$A$1="BL","-",IF(Peak!H191&gt;Peak!$G191,B$8*$X190,0))</f>
        <v>4.62138309393059</v>
      </c>
      <c r="C190" s="432" t="n">
        <f aca="false">IF('Peak Revenue'!$A$1="BL","-",IF(Peak!I191&gt;Peak!$G191,C$8*$X190,0))</f>
        <v>4.62138309393059</v>
      </c>
      <c r="D190" s="432" t="n">
        <f aca="false">IF('Peak Revenue'!$A$1="BL","-",IF(Peak!J191&gt;Peak!$G191,D$8*$X190,0))</f>
        <v>9.24276618786118</v>
      </c>
      <c r="E190" s="432" t="n">
        <f aca="false">IF('Peak Revenue'!$A$1="BL","-",IF(Peak!K191&gt;Peak!$G191,E$8*$X190,0))</f>
        <v>18.4855323757224</v>
      </c>
      <c r="F190" s="432" t="n">
        <f aca="false">IF('Peak Revenue'!$A$1="BL","-",IF(Peak!L191&gt;Peak!$G191,F$8*$X190,0))</f>
        <v>18.4855323757224</v>
      </c>
      <c r="G190" s="432" t="n">
        <f aca="false">IF('Peak Revenue'!$A$1="BL","-",IF(Peak!M191&gt;Peak!$G191,G$8*$X190,0))</f>
        <v>36.9710647514447</v>
      </c>
      <c r="H190" s="432" t="n">
        <f aca="false">IF('Peak Revenue'!$A$1="BL","-",IF(Peak!N191&gt;Peak!$G191,H$8*$X190,0))</f>
        <v>36.9710647514447</v>
      </c>
      <c r="I190" s="432" t="n">
        <f aca="false">IF('Peak Revenue'!$A$1="BL","-",IF(Peak!O191&gt;Peak!$G191,I$8*$X190,0))</f>
        <v>36.9710647514447</v>
      </c>
      <c r="J190" s="432" t="n">
        <f aca="false">IF('Peak Revenue'!$A$1="BL","-",IF(Peak!P191&gt;Peak!$G191,J$8*$X190,0))</f>
        <v>36.9710647514447</v>
      </c>
      <c r="K190" s="432" t="n">
        <f aca="false">IF('Peak Revenue'!$A$1="BL","-",IF(Peak!Q191&gt;Peak!$G191,K$8*$X190,0))</f>
        <v>36.9710647514447</v>
      </c>
      <c r="L190" s="432" t="n">
        <f aca="false">IF('Peak Revenue'!$A$1="BL","-",IF(Peak!R191&gt;Peak!$G191,L$8*$X190,0))</f>
        <v>36.9710647514447</v>
      </c>
      <c r="M190" s="432" t="n">
        <f aca="false">IF('Peak Revenue'!$A$1="BL","-",IF(Peak!S191&gt;Peak!$G191,M$8*$X190,0))</f>
        <v>0</v>
      </c>
      <c r="N190" s="432" t="n">
        <f aca="false">IF('Peak Revenue'!$A$1="BL","-",IF(Peak!T191&gt;Peak!$G191,N$8*$X190,0))</f>
        <v>0</v>
      </c>
      <c r="O190" s="432" t="n">
        <f aca="false">IF('Peak Revenue'!$A$1="BL","-",IF(Peak!U191&gt;Peak!$G191,O$8*$X190,0))</f>
        <v>0</v>
      </c>
      <c r="P190" s="432" t="n">
        <f aca="false">IF('Peak Revenue'!$A$1="BL","-",IF(Peak!V191&gt;Peak!$G191,P$8*$X190,0))</f>
        <v>0</v>
      </c>
      <c r="Q190" s="432" t="n">
        <f aca="false">IF('Peak Revenue'!$A$1="BL","-",IF(Peak!W191&gt;Peak!$G191,Q$8*$X190,0))</f>
        <v>0</v>
      </c>
      <c r="R190" s="432" t="n">
        <f aca="false">IF('Peak Revenue'!$A$1="BL","-",IF(Peak!X191&gt;Peak!$G191,R$8*$X190,0))</f>
        <v>0</v>
      </c>
      <c r="S190" s="432" t="n">
        <f aca="false">IF('Peak Revenue'!$A$1="BL","-",IF(Peak!Y191&gt;Peak!$G191,S$8*$X190,0))</f>
        <v>0</v>
      </c>
      <c r="T190" s="432" t="n">
        <f aca="false">IF('Peak Revenue'!$A$1="BL","-",IF(Peak!Z191&gt;Peak!$G191,T$8*$X190,0))</f>
        <v>0</v>
      </c>
      <c r="U190" s="432" t="n">
        <f aca="false">IF('Peak Revenue'!$A$1="BL","-",IF(Peak!AA191&gt;Peak!$G191,U$8*$X190,0))</f>
        <v>0</v>
      </c>
      <c r="V190" s="441" t="n">
        <f aca="false">SUM(B190:U190)</f>
        <v>277.282985635835</v>
      </c>
      <c r="W190" s="442"/>
      <c r="X190" s="439" t="n">
        <f aca="false">CHOOSE(QUOTIENT(MONTH($A190),3)+1,Peak!$AM$11,Peak!$AN$11,Peak!$AL$11,Peak!$AO$11,Peak!$AM$11)</f>
        <v>0.924276618786118</v>
      </c>
      <c r="Y190" s="440" t="n">
        <f aca="false">CHOOSE(QUOTIENT(MONTH($A190),3)+1,Peak!$AM$17,Peak!$AN$17,Peak!$AL$17,Peak!$AO$17,Peak!$AM$17)</f>
        <v>705</v>
      </c>
    </row>
    <row r="191" customFormat="false" ht="12.75" hidden="false" customHeight="false" outlineLevel="0" collapsed="false">
      <c r="A191" s="400" t="n">
        <f aca="false">A190+30.417</f>
        <v>42045.477</v>
      </c>
      <c r="B191" s="432" t="n">
        <f aca="false">IF('Peak Revenue'!$A$1="BL","-",IF(Peak!H192&gt;Peak!$G192,B$8*$X191,0))</f>
        <v>4.62138309393059</v>
      </c>
      <c r="C191" s="432" t="n">
        <f aca="false">IF('Peak Revenue'!$A$1="BL","-",IF(Peak!I192&gt;Peak!$G192,C$8*$X191,0))</f>
        <v>4.62138309393059</v>
      </c>
      <c r="D191" s="432" t="n">
        <f aca="false">IF('Peak Revenue'!$A$1="BL","-",IF(Peak!J192&gt;Peak!$G192,D$8*$X191,0))</f>
        <v>9.24276618786118</v>
      </c>
      <c r="E191" s="432" t="n">
        <f aca="false">IF('Peak Revenue'!$A$1="BL","-",IF(Peak!K192&gt;Peak!$G192,E$8*$X191,0))</f>
        <v>18.4855323757224</v>
      </c>
      <c r="F191" s="432" t="n">
        <f aca="false">IF('Peak Revenue'!$A$1="BL","-",IF(Peak!L192&gt;Peak!$G192,F$8*$X191,0))</f>
        <v>18.4855323757224</v>
      </c>
      <c r="G191" s="432" t="n">
        <f aca="false">IF('Peak Revenue'!$A$1="BL","-",IF(Peak!M192&gt;Peak!$G192,G$8*$X191,0))</f>
        <v>36.9710647514447</v>
      </c>
      <c r="H191" s="432" t="n">
        <f aca="false">IF('Peak Revenue'!$A$1="BL","-",IF(Peak!N192&gt;Peak!$G192,H$8*$X191,0))</f>
        <v>36.9710647514447</v>
      </c>
      <c r="I191" s="432" t="n">
        <f aca="false">IF('Peak Revenue'!$A$1="BL","-",IF(Peak!O192&gt;Peak!$G192,I$8*$X191,0))</f>
        <v>36.9710647514447</v>
      </c>
      <c r="J191" s="432" t="n">
        <f aca="false">IF('Peak Revenue'!$A$1="BL","-",IF(Peak!P192&gt;Peak!$G192,J$8*$X191,0))</f>
        <v>36.9710647514447</v>
      </c>
      <c r="K191" s="432" t="n">
        <f aca="false">IF('Peak Revenue'!$A$1="BL","-",IF(Peak!Q192&gt;Peak!$G192,K$8*$X191,0))</f>
        <v>0</v>
      </c>
      <c r="L191" s="432" t="n">
        <f aca="false">IF('Peak Revenue'!$A$1="BL","-",IF(Peak!R192&gt;Peak!$G192,L$8*$X191,0))</f>
        <v>0</v>
      </c>
      <c r="M191" s="432" t="n">
        <f aca="false">IF('Peak Revenue'!$A$1="BL","-",IF(Peak!S192&gt;Peak!$G192,M$8*$X191,0))</f>
        <v>0</v>
      </c>
      <c r="N191" s="432" t="n">
        <f aca="false">IF('Peak Revenue'!$A$1="BL","-",IF(Peak!T192&gt;Peak!$G192,N$8*$X191,0))</f>
        <v>0</v>
      </c>
      <c r="O191" s="432" t="n">
        <f aca="false">IF('Peak Revenue'!$A$1="BL","-",IF(Peak!U192&gt;Peak!$G192,O$8*$X191,0))</f>
        <v>0</v>
      </c>
      <c r="P191" s="432" t="n">
        <f aca="false">IF('Peak Revenue'!$A$1="BL","-",IF(Peak!V192&gt;Peak!$G192,P$8*$X191,0))</f>
        <v>0</v>
      </c>
      <c r="Q191" s="432" t="n">
        <f aca="false">IF('Peak Revenue'!$A$1="BL","-",IF(Peak!W192&gt;Peak!$G192,Q$8*$X191,0))</f>
        <v>0</v>
      </c>
      <c r="R191" s="432" t="n">
        <f aca="false">IF('Peak Revenue'!$A$1="BL","-",IF(Peak!X192&gt;Peak!$G192,R$8*$X191,0))</f>
        <v>0</v>
      </c>
      <c r="S191" s="432" t="n">
        <f aca="false">IF('Peak Revenue'!$A$1="BL","-",IF(Peak!Y192&gt;Peak!$G192,S$8*$X191,0))</f>
        <v>0</v>
      </c>
      <c r="T191" s="432" t="n">
        <f aca="false">IF('Peak Revenue'!$A$1="BL","-",IF(Peak!Z192&gt;Peak!$G192,T$8*$X191,0))</f>
        <v>0</v>
      </c>
      <c r="U191" s="432" t="n">
        <f aca="false">IF('Peak Revenue'!$A$1="BL","-",IF(Peak!AA192&gt;Peak!$G192,U$8*$X191,0))</f>
        <v>0</v>
      </c>
      <c r="V191" s="441" t="n">
        <f aca="false">SUM(B191:U191)</f>
        <v>203.340856132946</v>
      </c>
      <c r="W191" s="442"/>
      <c r="X191" s="439" t="n">
        <f aca="false">CHOOSE(QUOTIENT(MONTH($A191),3)+1,Peak!$AM$11,Peak!$AN$11,Peak!$AL$11,Peak!$AO$11,Peak!$AM$11)</f>
        <v>0.924276618786118</v>
      </c>
      <c r="Y191" s="440" t="n">
        <f aca="false">CHOOSE(QUOTIENT(MONTH($A191),3)+1,Peak!$AM$17,Peak!$AN$17,Peak!$AL$17,Peak!$AO$17,Peak!$AM$17)</f>
        <v>705</v>
      </c>
    </row>
    <row r="192" customFormat="false" ht="12.75" hidden="false" customHeight="false" outlineLevel="0" collapsed="false">
      <c r="A192" s="400" t="n">
        <f aca="false">A191+30.417</f>
        <v>42075.894</v>
      </c>
      <c r="B192" s="432" t="n">
        <f aca="false">IF('Peak Revenue'!$A$1="BL","-",IF(Peak!H193&gt;Peak!$G193,B$8*$X192,0))</f>
        <v>4.75</v>
      </c>
      <c r="C192" s="432" t="n">
        <f aca="false">IF('Peak Revenue'!$A$1="BL","-",IF(Peak!I193&gt;Peak!$G193,C$8*$X192,0))</f>
        <v>4.75</v>
      </c>
      <c r="D192" s="432" t="n">
        <f aca="false">IF('Peak Revenue'!$A$1="BL","-",IF(Peak!J193&gt;Peak!$G193,D$8*$X192,0))</f>
        <v>9.5</v>
      </c>
      <c r="E192" s="432" t="n">
        <f aca="false">IF('Peak Revenue'!$A$1="BL","-",IF(Peak!K193&gt;Peak!$G193,E$8*$X192,0))</f>
        <v>19</v>
      </c>
      <c r="F192" s="432" t="n">
        <f aca="false">IF('Peak Revenue'!$A$1="BL","-",IF(Peak!L193&gt;Peak!$G193,F$8*$X192,0))</f>
        <v>19</v>
      </c>
      <c r="G192" s="432" t="n">
        <f aca="false">IF('Peak Revenue'!$A$1="BL","-",IF(Peak!M193&gt;Peak!$G193,G$8*$X192,0))</f>
        <v>38</v>
      </c>
      <c r="H192" s="432" t="n">
        <f aca="false">IF('Peak Revenue'!$A$1="BL","-",IF(Peak!N193&gt;Peak!$G193,H$8*$X192,0))</f>
        <v>38</v>
      </c>
      <c r="I192" s="432" t="n">
        <f aca="false">IF('Peak Revenue'!$A$1="BL","-",IF(Peak!O193&gt;Peak!$G193,I$8*$X192,0))</f>
        <v>38</v>
      </c>
      <c r="J192" s="432" t="n">
        <f aca="false">IF('Peak Revenue'!$A$1="BL","-",IF(Peak!P193&gt;Peak!$G193,J$8*$X192,0))</f>
        <v>38</v>
      </c>
      <c r="K192" s="432" t="n">
        <f aca="false">IF('Peak Revenue'!$A$1="BL","-",IF(Peak!Q193&gt;Peak!$G193,K$8*$X192,0))</f>
        <v>38</v>
      </c>
      <c r="L192" s="432" t="n">
        <f aca="false">IF('Peak Revenue'!$A$1="BL","-",IF(Peak!R193&gt;Peak!$G193,L$8*$X192,0))</f>
        <v>0</v>
      </c>
      <c r="M192" s="432" t="n">
        <f aca="false">IF('Peak Revenue'!$A$1="BL","-",IF(Peak!S193&gt;Peak!$G193,M$8*$X192,0))</f>
        <v>0</v>
      </c>
      <c r="N192" s="432" t="n">
        <f aca="false">IF('Peak Revenue'!$A$1="BL","-",IF(Peak!T193&gt;Peak!$G193,N$8*$X192,0))</f>
        <v>0</v>
      </c>
      <c r="O192" s="432" t="n">
        <f aca="false">IF('Peak Revenue'!$A$1="BL","-",IF(Peak!U193&gt;Peak!$G193,O$8*$X192,0))</f>
        <v>0</v>
      </c>
      <c r="P192" s="432" t="n">
        <f aca="false">IF('Peak Revenue'!$A$1="BL","-",IF(Peak!V193&gt;Peak!$G193,P$8*$X192,0))</f>
        <v>0</v>
      </c>
      <c r="Q192" s="432" t="n">
        <f aca="false">IF('Peak Revenue'!$A$1="BL","-",IF(Peak!W193&gt;Peak!$G193,Q$8*$X192,0))</f>
        <v>0</v>
      </c>
      <c r="R192" s="432" t="n">
        <f aca="false">IF('Peak Revenue'!$A$1="BL","-",IF(Peak!X193&gt;Peak!$G193,R$8*$X192,0))</f>
        <v>0</v>
      </c>
      <c r="S192" s="432" t="n">
        <f aca="false">IF('Peak Revenue'!$A$1="BL","-",IF(Peak!Y193&gt;Peak!$G193,S$8*$X192,0))</f>
        <v>0</v>
      </c>
      <c r="T192" s="432" t="n">
        <f aca="false">IF('Peak Revenue'!$A$1="BL","-",IF(Peak!Z193&gt;Peak!$G193,T$8*$X192,0))</f>
        <v>0</v>
      </c>
      <c r="U192" s="432" t="n">
        <f aca="false">IF('Peak Revenue'!$A$1="BL","-",IF(Peak!AA193&gt;Peak!$G193,U$8*$X192,0))</f>
        <v>0</v>
      </c>
      <c r="V192" s="441" t="n">
        <f aca="false">SUM(B192:U192)</f>
        <v>247</v>
      </c>
      <c r="W192" s="442"/>
      <c r="X192" s="439" t="n">
        <f aca="false">CHOOSE(QUOTIENT(MONTH($A192),3)+1,Peak!$AM$11,Peak!$AN$11,Peak!$AL$11,Peak!$AO$11,Peak!$AM$11)</f>
        <v>0.95</v>
      </c>
      <c r="Y192" s="440" t="n">
        <f aca="false">CHOOSE(QUOTIENT(MONTH($A192),3)+1,Peak!$AM$17,Peak!$AN$17,Peak!$AL$17,Peak!$AO$17,Peak!$AM$17)</f>
        <v>705</v>
      </c>
    </row>
    <row r="193" customFormat="false" ht="12.75" hidden="false" customHeight="false" outlineLevel="0" collapsed="false">
      <c r="A193" s="400" t="n">
        <f aca="false">A192+30.417</f>
        <v>42106.311</v>
      </c>
      <c r="B193" s="432" t="n">
        <f aca="false">IF('Peak Revenue'!$A$1="BL","-",IF(Peak!H194&gt;Peak!$G194,B$8*$X193,0))</f>
        <v>4.75</v>
      </c>
      <c r="C193" s="432" t="n">
        <f aca="false">IF('Peak Revenue'!$A$1="BL","-",IF(Peak!I194&gt;Peak!$G194,C$8*$X193,0))</f>
        <v>4.75</v>
      </c>
      <c r="D193" s="432" t="n">
        <f aca="false">IF('Peak Revenue'!$A$1="BL","-",IF(Peak!J194&gt;Peak!$G194,D$8*$X193,0))</f>
        <v>9.5</v>
      </c>
      <c r="E193" s="432" t="n">
        <f aca="false">IF('Peak Revenue'!$A$1="BL","-",IF(Peak!K194&gt;Peak!$G194,E$8*$X193,0))</f>
        <v>19</v>
      </c>
      <c r="F193" s="432" t="n">
        <f aca="false">IF('Peak Revenue'!$A$1="BL","-",IF(Peak!L194&gt;Peak!$G194,F$8*$X193,0))</f>
        <v>19</v>
      </c>
      <c r="G193" s="432" t="n">
        <f aca="false">IF('Peak Revenue'!$A$1="BL","-",IF(Peak!M194&gt;Peak!$G194,G$8*$X193,0))</f>
        <v>38</v>
      </c>
      <c r="H193" s="432" t="n">
        <f aca="false">IF('Peak Revenue'!$A$1="BL","-",IF(Peak!N194&gt;Peak!$G194,H$8*$X193,0))</f>
        <v>38</v>
      </c>
      <c r="I193" s="432" t="n">
        <f aca="false">IF('Peak Revenue'!$A$1="BL","-",IF(Peak!O194&gt;Peak!$G194,I$8*$X193,0))</f>
        <v>38</v>
      </c>
      <c r="J193" s="432" t="n">
        <f aca="false">IF('Peak Revenue'!$A$1="BL","-",IF(Peak!P194&gt;Peak!$G194,J$8*$X193,0))</f>
        <v>38</v>
      </c>
      <c r="K193" s="432" t="n">
        <f aca="false">IF('Peak Revenue'!$A$1="BL","-",IF(Peak!Q194&gt;Peak!$G194,K$8*$X193,0))</f>
        <v>38</v>
      </c>
      <c r="L193" s="432" t="n">
        <f aca="false">IF('Peak Revenue'!$A$1="BL","-",IF(Peak!R194&gt;Peak!$G194,L$8*$X193,0))</f>
        <v>38</v>
      </c>
      <c r="M193" s="432" t="n">
        <f aca="false">IF('Peak Revenue'!$A$1="BL","-",IF(Peak!S194&gt;Peak!$G194,M$8*$X193,0))</f>
        <v>0</v>
      </c>
      <c r="N193" s="432" t="n">
        <f aca="false">IF('Peak Revenue'!$A$1="BL","-",IF(Peak!T194&gt;Peak!$G194,N$8*$X193,0))</f>
        <v>0</v>
      </c>
      <c r="O193" s="432" t="n">
        <f aca="false">IF('Peak Revenue'!$A$1="BL","-",IF(Peak!U194&gt;Peak!$G194,O$8*$X193,0))</f>
        <v>0</v>
      </c>
      <c r="P193" s="432" t="n">
        <f aca="false">IF('Peak Revenue'!$A$1="BL","-",IF(Peak!V194&gt;Peak!$G194,P$8*$X193,0))</f>
        <v>0</v>
      </c>
      <c r="Q193" s="432" t="n">
        <f aca="false">IF('Peak Revenue'!$A$1="BL","-",IF(Peak!W194&gt;Peak!$G194,Q$8*$X193,0))</f>
        <v>0</v>
      </c>
      <c r="R193" s="432" t="n">
        <f aca="false">IF('Peak Revenue'!$A$1="BL","-",IF(Peak!X194&gt;Peak!$G194,R$8*$X193,0))</f>
        <v>0</v>
      </c>
      <c r="S193" s="432" t="n">
        <f aca="false">IF('Peak Revenue'!$A$1="BL","-",IF(Peak!Y194&gt;Peak!$G194,S$8*$X193,0))</f>
        <v>0</v>
      </c>
      <c r="T193" s="432" t="n">
        <f aca="false">IF('Peak Revenue'!$A$1="BL","-",IF(Peak!Z194&gt;Peak!$G194,T$8*$X193,0))</f>
        <v>0</v>
      </c>
      <c r="U193" s="432" t="n">
        <f aca="false">IF('Peak Revenue'!$A$1="BL","-",IF(Peak!AA194&gt;Peak!$G194,U$8*$X193,0))</f>
        <v>0</v>
      </c>
      <c r="V193" s="441" t="n">
        <f aca="false">SUM(B193:U193)</f>
        <v>285</v>
      </c>
      <c r="W193" s="442"/>
      <c r="X193" s="439" t="n">
        <f aca="false">CHOOSE(QUOTIENT(MONTH($A193),3)+1,Peak!$AM$11,Peak!$AN$11,Peak!$AL$11,Peak!$AO$11,Peak!$AM$11)</f>
        <v>0.95</v>
      </c>
      <c r="Y193" s="440" t="n">
        <f aca="false">CHOOSE(QUOTIENT(MONTH($A193),3)+1,Peak!$AM$17,Peak!$AN$17,Peak!$AL$17,Peak!$AO$17,Peak!$AM$17)</f>
        <v>705</v>
      </c>
    </row>
    <row r="194" customFormat="false" ht="12.75" hidden="false" customHeight="false" outlineLevel="0" collapsed="false">
      <c r="A194" s="400" t="n">
        <f aca="false">A193+30.417</f>
        <v>42136.728</v>
      </c>
      <c r="B194" s="432" t="n">
        <f aca="false">IF('Peak Revenue'!$A$1="BL","-",IF(Peak!H195&gt;Peak!$G195,B$8*$X194,0))</f>
        <v>4.75</v>
      </c>
      <c r="C194" s="432" t="n">
        <f aca="false">IF('Peak Revenue'!$A$1="BL","-",IF(Peak!I195&gt;Peak!$G195,C$8*$X194,0))</f>
        <v>4.75</v>
      </c>
      <c r="D194" s="432" t="n">
        <f aca="false">IF('Peak Revenue'!$A$1="BL","-",IF(Peak!J195&gt;Peak!$G195,D$8*$X194,0))</f>
        <v>9.5</v>
      </c>
      <c r="E194" s="432" t="n">
        <f aca="false">IF('Peak Revenue'!$A$1="BL","-",IF(Peak!K195&gt;Peak!$G195,E$8*$X194,0))</f>
        <v>19</v>
      </c>
      <c r="F194" s="432" t="n">
        <f aca="false">IF('Peak Revenue'!$A$1="BL","-",IF(Peak!L195&gt;Peak!$G195,F$8*$X194,0))</f>
        <v>19</v>
      </c>
      <c r="G194" s="432" t="n">
        <f aca="false">IF('Peak Revenue'!$A$1="BL","-",IF(Peak!M195&gt;Peak!$G195,G$8*$X194,0))</f>
        <v>38</v>
      </c>
      <c r="H194" s="432" t="n">
        <f aca="false">IF('Peak Revenue'!$A$1="BL","-",IF(Peak!N195&gt;Peak!$G195,H$8*$X194,0))</f>
        <v>38</v>
      </c>
      <c r="I194" s="432" t="n">
        <f aca="false">IF('Peak Revenue'!$A$1="BL","-",IF(Peak!O195&gt;Peak!$G195,I$8*$X194,0))</f>
        <v>38</v>
      </c>
      <c r="J194" s="432" t="n">
        <f aca="false">IF('Peak Revenue'!$A$1="BL","-",IF(Peak!P195&gt;Peak!$G195,J$8*$X194,0))</f>
        <v>0</v>
      </c>
      <c r="K194" s="432" t="n">
        <f aca="false">IF('Peak Revenue'!$A$1="BL","-",IF(Peak!Q195&gt;Peak!$G195,K$8*$X194,0))</f>
        <v>0</v>
      </c>
      <c r="L194" s="432" t="n">
        <f aca="false">IF('Peak Revenue'!$A$1="BL","-",IF(Peak!R195&gt;Peak!$G195,L$8*$X194,0))</f>
        <v>0</v>
      </c>
      <c r="M194" s="432" t="n">
        <f aca="false">IF('Peak Revenue'!$A$1="BL","-",IF(Peak!S195&gt;Peak!$G195,M$8*$X194,0))</f>
        <v>0</v>
      </c>
      <c r="N194" s="432" t="n">
        <f aca="false">IF('Peak Revenue'!$A$1="BL","-",IF(Peak!T195&gt;Peak!$G195,N$8*$X194,0))</f>
        <v>0</v>
      </c>
      <c r="O194" s="432" t="n">
        <f aca="false">IF('Peak Revenue'!$A$1="BL","-",IF(Peak!U195&gt;Peak!$G195,O$8*$X194,0))</f>
        <v>0</v>
      </c>
      <c r="P194" s="432" t="n">
        <f aca="false">IF('Peak Revenue'!$A$1="BL","-",IF(Peak!V195&gt;Peak!$G195,P$8*$X194,0))</f>
        <v>0</v>
      </c>
      <c r="Q194" s="432" t="n">
        <f aca="false">IF('Peak Revenue'!$A$1="BL","-",IF(Peak!W195&gt;Peak!$G195,Q$8*$X194,0))</f>
        <v>0</v>
      </c>
      <c r="R194" s="432" t="n">
        <f aca="false">IF('Peak Revenue'!$A$1="BL","-",IF(Peak!X195&gt;Peak!$G195,R$8*$X194,0))</f>
        <v>0</v>
      </c>
      <c r="S194" s="432" t="n">
        <f aca="false">IF('Peak Revenue'!$A$1="BL","-",IF(Peak!Y195&gt;Peak!$G195,S$8*$X194,0))</f>
        <v>0</v>
      </c>
      <c r="T194" s="432" t="n">
        <f aca="false">IF('Peak Revenue'!$A$1="BL","-",IF(Peak!Z195&gt;Peak!$G195,T$8*$X194,0))</f>
        <v>0</v>
      </c>
      <c r="U194" s="432" t="n">
        <f aca="false">IF('Peak Revenue'!$A$1="BL","-",IF(Peak!AA195&gt;Peak!$G195,U$8*$X194,0))</f>
        <v>0</v>
      </c>
      <c r="V194" s="441" t="n">
        <f aca="false">SUM(B194:U194)</f>
        <v>171</v>
      </c>
      <c r="W194" s="442"/>
      <c r="X194" s="439" t="n">
        <f aca="false">CHOOSE(QUOTIENT(MONTH($A194),3)+1,Peak!$AM$11,Peak!$AN$11,Peak!$AL$11,Peak!$AO$11,Peak!$AM$11)</f>
        <v>0.95</v>
      </c>
      <c r="Y194" s="440" t="n">
        <f aca="false">CHOOSE(QUOTIENT(MONTH($A194),3)+1,Peak!$AM$17,Peak!$AN$17,Peak!$AL$17,Peak!$AO$17,Peak!$AM$17)</f>
        <v>705</v>
      </c>
    </row>
    <row r="195" customFormat="false" ht="12.75" hidden="false" customHeight="false" outlineLevel="0" collapsed="false">
      <c r="A195" s="400" t="n">
        <f aca="false">A194+30.417</f>
        <v>42167.145</v>
      </c>
      <c r="B195" s="432" t="n">
        <f aca="false">IF('Peak Revenue'!$A$1="BL","-",IF(Peak!H196&gt;Peak!$G196,B$8*$X195,0))</f>
        <v>4.83060679547793</v>
      </c>
      <c r="C195" s="432" t="n">
        <f aca="false">IF('Peak Revenue'!$A$1="BL","-",IF(Peak!I196&gt;Peak!$G196,C$8*$X195,0))</f>
        <v>4.83060679547793</v>
      </c>
      <c r="D195" s="432" t="n">
        <f aca="false">IF('Peak Revenue'!$A$1="BL","-",IF(Peak!J196&gt;Peak!$G196,D$8*$X195,0))</f>
        <v>9.66121359095586</v>
      </c>
      <c r="E195" s="432" t="n">
        <f aca="false">IF('Peak Revenue'!$A$1="BL","-",IF(Peak!K196&gt;Peak!$G196,E$8*$X195,0))</f>
        <v>19.3224271819117</v>
      </c>
      <c r="F195" s="432" t="n">
        <f aca="false">IF('Peak Revenue'!$A$1="BL","-",IF(Peak!L196&gt;Peak!$G196,F$8*$X195,0))</f>
        <v>19.3224271819117</v>
      </c>
      <c r="G195" s="432" t="n">
        <f aca="false">IF('Peak Revenue'!$A$1="BL","-",IF(Peak!M196&gt;Peak!$G196,G$8*$X195,0))</f>
        <v>38.6448543638234</v>
      </c>
      <c r="H195" s="432" t="n">
        <f aca="false">IF('Peak Revenue'!$A$1="BL","-",IF(Peak!N196&gt;Peak!$G196,H$8*$X195,0))</f>
        <v>38.6448543638234</v>
      </c>
      <c r="I195" s="432" t="n">
        <f aca="false">IF('Peak Revenue'!$A$1="BL","-",IF(Peak!O196&gt;Peak!$G196,I$8*$X195,0))</f>
        <v>38.6448543638234</v>
      </c>
      <c r="J195" s="432" t="n">
        <f aca="false">IF('Peak Revenue'!$A$1="BL","-",IF(Peak!P196&gt;Peak!$G196,J$8*$X195,0))</f>
        <v>38.6448543638234</v>
      </c>
      <c r="K195" s="432" t="n">
        <f aca="false">IF('Peak Revenue'!$A$1="BL","-",IF(Peak!Q196&gt;Peak!$G196,K$8*$X195,0))</f>
        <v>38.6448543638234</v>
      </c>
      <c r="L195" s="432" t="n">
        <f aca="false">IF('Peak Revenue'!$A$1="BL","-",IF(Peak!R196&gt;Peak!$G196,L$8*$X195,0))</f>
        <v>38.6448543638234</v>
      </c>
      <c r="M195" s="432" t="n">
        <f aca="false">IF('Peak Revenue'!$A$1="BL","-",IF(Peak!S196&gt;Peak!$G196,M$8*$X195,0))</f>
        <v>0</v>
      </c>
      <c r="N195" s="432" t="n">
        <f aca="false">IF('Peak Revenue'!$A$1="BL","-",IF(Peak!T196&gt;Peak!$G196,N$8*$X195,0))</f>
        <v>0</v>
      </c>
      <c r="O195" s="432" t="n">
        <f aca="false">IF('Peak Revenue'!$A$1="BL","-",IF(Peak!U196&gt;Peak!$G196,O$8*$X195,0))</f>
        <v>0</v>
      </c>
      <c r="P195" s="432" t="n">
        <f aca="false">IF('Peak Revenue'!$A$1="BL","-",IF(Peak!V196&gt;Peak!$G196,P$8*$X195,0))</f>
        <v>0</v>
      </c>
      <c r="Q195" s="432" t="n">
        <f aca="false">IF('Peak Revenue'!$A$1="BL","-",IF(Peak!W196&gt;Peak!$G196,Q$8*$X195,0))</f>
        <v>0</v>
      </c>
      <c r="R195" s="432" t="n">
        <f aca="false">IF('Peak Revenue'!$A$1="BL","-",IF(Peak!X196&gt;Peak!$G196,R$8*$X195,0))</f>
        <v>0</v>
      </c>
      <c r="S195" s="432" t="n">
        <f aca="false">IF('Peak Revenue'!$A$1="BL","-",IF(Peak!Y196&gt;Peak!$G196,S$8*$X195,0))</f>
        <v>0</v>
      </c>
      <c r="T195" s="432" t="n">
        <f aca="false">IF('Peak Revenue'!$A$1="BL","-",IF(Peak!Z196&gt;Peak!$G196,T$8*$X195,0))</f>
        <v>0</v>
      </c>
      <c r="U195" s="432" t="n">
        <f aca="false">IF('Peak Revenue'!$A$1="BL","-",IF(Peak!AA196&gt;Peak!$G196,U$8*$X195,0))</f>
        <v>0</v>
      </c>
      <c r="V195" s="441" t="n">
        <f aca="false">SUM(B195:U195)</f>
        <v>289.836407728676</v>
      </c>
      <c r="W195" s="442"/>
      <c r="X195" s="439" t="n">
        <f aca="false">CHOOSE(QUOTIENT(MONTH($A195),3)+1,Peak!$AM$11,Peak!$AN$11,Peak!$AL$11,Peak!$AO$11,Peak!$AM$11)</f>
        <v>0.966121359095586</v>
      </c>
      <c r="Y195" s="440" t="n">
        <f aca="false">CHOOSE(QUOTIENT(MONTH($A195),3)+1,Peak!$AM$17,Peak!$AN$17,Peak!$AL$17,Peak!$AO$17,Peak!$AM$17)</f>
        <v>705</v>
      </c>
    </row>
    <row r="196" customFormat="false" ht="12.75" hidden="false" customHeight="false" outlineLevel="0" collapsed="false">
      <c r="A196" s="400" t="n">
        <f aca="false">A195+30.417</f>
        <v>42197.562</v>
      </c>
      <c r="B196" s="432" t="n">
        <f aca="false">IF('Peak Revenue'!$A$1="BL","-",IF(Peak!H197&gt;Peak!$G197,B$8*$X196,0))</f>
        <v>4.83060679547793</v>
      </c>
      <c r="C196" s="432" t="n">
        <f aca="false">IF('Peak Revenue'!$A$1="BL","-",IF(Peak!I197&gt;Peak!$G197,C$8*$X196,0))</f>
        <v>4.83060679547793</v>
      </c>
      <c r="D196" s="432" t="n">
        <f aca="false">IF('Peak Revenue'!$A$1="BL","-",IF(Peak!J197&gt;Peak!$G197,D$8*$X196,0))</f>
        <v>9.66121359095586</v>
      </c>
      <c r="E196" s="432" t="n">
        <f aca="false">IF('Peak Revenue'!$A$1="BL","-",IF(Peak!K197&gt;Peak!$G197,E$8*$X196,0))</f>
        <v>19.3224271819117</v>
      </c>
      <c r="F196" s="432" t="n">
        <f aca="false">IF('Peak Revenue'!$A$1="BL","-",IF(Peak!L197&gt;Peak!$G197,F$8*$X196,0))</f>
        <v>19.3224271819117</v>
      </c>
      <c r="G196" s="432" t="n">
        <f aca="false">IF('Peak Revenue'!$A$1="BL","-",IF(Peak!M197&gt;Peak!$G197,G$8*$X196,0))</f>
        <v>38.6448543638234</v>
      </c>
      <c r="H196" s="432" t="n">
        <f aca="false">IF('Peak Revenue'!$A$1="BL","-",IF(Peak!N197&gt;Peak!$G197,H$8*$X196,0))</f>
        <v>38.6448543638234</v>
      </c>
      <c r="I196" s="432" t="n">
        <f aca="false">IF('Peak Revenue'!$A$1="BL","-",IF(Peak!O197&gt;Peak!$G197,I$8*$X196,0))</f>
        <v>38.6448543638234</v>
      </c>
      <c r="J196" s="432" t="n">
        <f aca="false">IF('Peak Revenue'!$A$1="BL","-",IF(Peak!P197&gt;Peak!$G197,J$8*$X196,0))</f>
        <v>38.6448543638234</v>
      </c>
      <c r="K196" s="432" t="n">
        <f aca="false">IF('Peak Revenue'!$A$1="BL","-",IF(Peak!Q197&gt;Peak!$G197,K$8*$X196,0))</f>
        <v>38.6448543638234</v>
      </c>
      <c r="L196" s="432" t="n">
        <f aca="false">IF('Peak Revenue'!$A$1="BL","-",IF(Peak!R197&gt;Peak!$G197,L$8*$X196,0))</f>
        <v>38.6448543638234</v>
      </c>
      <c r="M196" s="432" t="n">
        <f aca="false">IF('Peak Revenue'!$A$1="BL","-",IF(Peak!S197&gt;Peak!$G197,M$8*$X196,0))</f>
        <v>0</v>
      </c>
      <c r="N196" s="432" t="n">
        <f aca="false">IF('Peak Revenue'!$A$1="BL","-",IF(Peak!T197&gt;Peak!$G197,N$8*$X196,0))</f>
        <v>0</v>
      </c>
      <c r="O196" s="432" t="n">
        <f aca="false">IF('Peak Revenue'!$A$1="BL","-",IF(Peak!U197&gt;Peak!$G197,O$8*$X196,0))</f>
        <v>0</v>
      </c>
      <c r="P196" s="432" t="n">
        <f aca="false">IF('Peak Revenue'!$A$1="BL","-",IF(Peak!V197&gt;Peak!$G197,P$8*$X196,0))</f>
        <v>0</v>
      </c>
      <c r="Q196" s="432" t="n">
        <f aca="false">IF('Peak Revenue'!$A$1="BL","-",IF(Peak!W197&gt;Peak!$G197,Q$8*$X196,0))</f>
        <v>0</v>
      </c>
      <c r="R196" s="432" t="n">
        <f aca="false">IF('Peak Revenue'!$A$1="BL","-",IF(Peak!X197&gt;Peak!$G197,R$8*$X196,0))</f>
        <v>0</v>
      </c>
      <c r="S196" s="432" t="n">
        <f aca="false">IF('Peak Revenue'!$A$1="BL","-",IF(Peak!Y197&gt;Peak!$G197,S$8*$X196,0))</f>
        <v>0</v>
      </c>
      <c r="T196" s="432" t="n">
        <f aca="false">IF('Peak Revenue'!$A$1="BL","-",IF(Peak!Z197&gt;Peak!$G197,T$8*$X196,0))</f>
        <v>0</v>
      </c>
      <c r="U196" s="432" t="n">
        <f aca="false">IF('Peak Revenue'!$A$1="BL","-",IF(Peak!AA197&gt;Peak!$G197,U$8*$X196,0))</f>
        <v>0</v>
      </c>
      <c r="V196" s="441" t="n">
        <f aca="false">SUM(B196:U196)</f>
        <v>289.836407728676</v>
      </c>
      <c r="W196" s="442"/>
      <c r="X196" s="439" t="n">
        <f aca="false">CHOOSE(QUOTIENT(MONTH($A196),3)+1,Peak!$AM$11,Peak!$AN$11,Peak!$AL$11,Peak!$AO$11,Peak!$AM$11)</f>
        <v>0.966121359095586</v>
      </c>
      <c r="Y196" s="440" t="n">
        <f aca="false">CHOOSE(QUOTIENT(MONTH($A196),3)+1,Peak!$AM$17,Peak!$AN$17,Peak!$AL$17,Peak!$AO$17,Peak!$AM$17)</f>
        <v>705</v>
      </c>
    </row>
    <row r="197" customFormat="false" ht="12.75" hidden="false" customHeight="false" outlineLevel="0" collapsed="false">
      <c r="A197" s="400" t="n">
        <f aca="false">A196+30.417</f>
        <v>42227.979</v>
      </c>
      <c r="B197" s="432" t="n">
        <f aca="false">IF('Peak Revenue'!$A$1="BL","-",IF(Peak!H198&gt;Peak!$G198,B$8*$X197,0))</f>
        <v>4.83060679547793</v>
      </c>
      <c r="C197" s="432" t="n">
        <f aca="false">IF('Peak Revenue'!$A$1="BL","-",IF(Peak!I198&gt;Peak!$G198,C$8*$X197,0))</f>
        <v>4.83060679547793</v>
      </c>
      <c r="D197" s="432" t="n">
        <f aca="false">IF('Peak Revenue'!$A$1="BL","-",IF(Peak!J198&gt;Peak!$G198,D$8*$X197,0))</f>
        <v>9.66121359095586</v>
      </c>
      <c r="E197" s="432" t="n">
        <f aca="false">IF('Peak Revenue'!$A$1="BL","-",IF(Peak!K198&gt;Peak!$G198,E$8*$X197,0))</f>
        <v>19.3224271819117</v>
      </c>
      <c r="F197" s="432" t="n">
        <f aca="false">IF('Peak Revenue'!$A$1="BL","-",IF(Peak!L198&gt;Peak!$G198,F$8*$X197,0))</f>
        <v>19.3224271819117</v>
      </c>
      <c r="G197" s="432" t="n">
        <f aca="false">IF('Peak Revenue'!$A$1="BL","-",IF(Peak!M198&gt;Peak!$G198,G$8*$X197,0))</f>
        <v>38.6448543638234</v>
      </c>
      <c r="H197" s="432" t="n">
        <f aca="false">IF('Peak Revenue'!$A$1="BL","-",IF(Peak!N198&gt;Peak!$G198,H$8*$X197,0))</f>
        <v>38.6448543638234</v>
      </c>
      <c r="I197" s="432" t="n">
        <f aca="false">IF('Peak Revenue'!$A$1="BL","-",IF(Peak!O198&gt;Peak!$G198,I$8*$X197,0))</f>
        <v>38.6448543638234</v>
      </c>
      <c r="J197" s="432" t="n">
        <f aca="false">IF('Peak Revenue'!$A$1="BL","-",IF(Peak!P198&gt;Peak!$G198,J$8*$X197,0))</f>
        <v>38.6448543638234</v>
      </c>
      <c r="K197" s="432" t="n">
        <f aca="false">IF('Peak Revenue'!$A$1="BL","-",IF(Peak!Q198&gt;Peak!$G198,K$8*$X197,0))</f>
        <v>38.6448543638234</v>
      </c>
      <c r="L197" s="432" t="n">
        <f aca="false">IF('Peak Revenue'!$A$1="BL","-",IF(Peak!R198&gt;Peak!$G198,L$8*$X197,0))</f>
        <v>38.6448543638234</v>
      </c>
      <c r="M197" s="432" t="n">
        <f aca="false">IF('Peak Revenue'!$A$1="BL","-",IF(Peak!S198&gt;Peak!$G198,M$8*$X197,0))</f>
        <v>0</v>
      </c>
      <c r="N197" s="432" t="n">
        <f aca="false">IF('Peak Revenue'!$A$1="BL","-",IF(Peak!T198&gt;Peak!$G198,N$8*$X197,0))</f>
        <v>0</v>
      </c>
      <c r="O197" s="432" t="n">
        <f aca="false">IF('Peak Revenue'!$A$1="BL","-",IF(Peak!U198&gt;Peak!$G198,O$8*$X197,0))</f>
        <v>0</v>
      </c>
      <c r="P197" s="432" t="n">
        <f aca="false">IF('Peak Revenue'!$A$1="BL","-",IF(Peak!V198&gt;Peak!$G198,P$8*$X197,0))</f>
        <v>0</v>
      </c>
      <c r="Q197" s="432" t="n">
        <f aca="false">IF('Peak Revenue'!$A$1="BL","-",IF(Peak!W198&gt;Peak!$G198,Q$8*$X197,0))</f>
        <v>0</v>
      </c>
      <c r="R197" s="432" t="n">
        <f aca="false">IF('Peak Revenue'!$A$1="BL","-",IF(Peak!X198&gt;Peak!$G198,R$8*$X197,0))</f>
        <v>0</v>
      </c>
      <c r="S197" s="432" t="n">
        <f aca="false">IF('Peak Revenue'!$A$1="BL","-",IF(Peak!Y198&gt;Peak!$G198,S$8*$X197,0))</f>
        <v>0</v>
      </c>
      <c r="T197" s="432" t="n">
        <f aca="false">IF('Peak Revenue'!$A$1="BL","-",IF(Peak!Z198&gt;Peak!$G198,T$8*$X197,0))</f>
        <v>0</v>
      </c>
      <c r="U197" s="432" t="n">
        <f aca="false">IF('Peak Revenue'!$A$1="BL","-",IF(Peak!AA198&gt;Peak!$G198,U$8*$X197,0))</f>
        <v>0</v>
      </c>
      <c r="V197" s="441" t="n">
        <f aca="false">SUM(B197:U197)</f>
        <v>289.836407728676</v>
      </c>
      <c r="W197" s="442"/>
      <c r="X197" s="439" t="n">
        <f aca="false">CHOOSE(QUOTIENT(MONTH($A197),3)+1,Peak!$AM$11,Peak!$AN$11,Peak!$AL$11,Peak!$AO$11,Peak!$AM$11)</f>
        <v>0.966121359095586</v>
      </c>
      <c r="Y197" s="440" t="n">
        <f aca="false">CHOOSE(QUOTIENT(MONTH($A197),3)+1,Peak!$AM$17,Peak!$AN$17,Peak!$AL$17,Peak!$AO$17,Peak!$AM$17)</f>
        <v>705</v>
      </c>
    </row>
    <row r="198" customFormat="false" ht="12.75" hidden="false" customHeight="false" outlineLevel="0" collapsed="false">
      <c r="A198" s="400" t="n">
        <f aca="false">A197+30.417</f>
        <v>42258.396</v>
      </c>
      <c r="B198" s="432" t="n">
        <f aca="false">IF('Peak Revenue'!$A$1="BL","-",IF(Peak!H199&gt;Peak!$G199,B$8*$X198,0))</f>
        <v>4.75</v>
      </c>
      <c r="C198" s="432" t="n">
        <f aca="false">IF('Peak Revenue'!$A$1="BL","-",IF(Peak!I199&gt;Peak!$G199,C$8*$X198,0))</f>
        <v>4.75</v>
      </c>
      <c r="D198" s="432" t="n">
        <f aca="false">IF('Peak Revenue'!$A$1="BL","-",IF(Peak!J199&gt;Peak!$G199,D$8*$X198,0))</f>
        <v>9.5</v>
      </c>
      <c r="E198" s="432" t="n">
        <f aca="false">IF('Peak Revenue'!$A$1="BL","-",IF(Peak!K199&gt;Peak!$G199,E$8*$X198,0))</f>
        <v>19</v>
      </c>
      <c r="F198" s="432" t="n">
        <f aca="false">IF('Peak Revenue'!$A$1="BL","-",IF(Peak!L199&gt;Peak!$G199,F$8*$X198,0))</f>
        <v>19</v>
      </c>
      <c r="G198" s="432" t="n">
        <f aca="false">IF('Peak Revenue'!$A$1="BL","-",IF(Peak!M199&gt;Peak!$G199,G$8*$X198,0))</f>
        <v>38</v>
      </c>
      <c r="H198" s="432" t="n">
        <f aca="false">IF('Peak Revenue'!$A$1="BL","-",IF(Peak!N199&gt;Peak!$G199,H$8*$X198,0))</f>
        <v>38</v>
      </c>
      <c r="I198" s="432" t="n">
        <f aca="false">IF('Peak Revenue'!$A$1="BL","-",IF(Peak!O199&gt;Peak!$G199,I$8*$X198,0))</f>
        <v>38</v>
      </c>
      <c r="J198" s="432" t="n">
        <f aca="false">IF('Peak Revenue'!$A$1="BL","-",IF(Peak!P199&gt;Peak!$G199,J$8*$X198,0))</f>
        <v>38</v>
      </c>
      <c r="K198" s="432" t="n">
        <f aca="false">IF('Peak Revenue'!$A$1="BL","-",IF(Peak!Q199&gt;Peak!$G199,K$8*$X198,0))</f>
        <v>38</v>
      </c>
      <c r="L198" s="432" t="n">
        <f aca="false">IF('Peak Revenue'!$A$1="BL","-",IF(Peak!R199&gt;Peak!$G199,L$8*$X198,0))</f>
        <v>38</v>
      </c>
      <c r="M198" s="432" t="n">
        <f aca="false">IF('Peak Revenue'!$A$1="BL","-",IF(Peak!S199&gt;Peak!$G199,M$8*$X198,0))</f>
        <v>38</v>
      </c>
      <c r="N198" s="432" t="n">
        <f aca="false">IF('Peak Revenue'!$A$1="BL","-",IF(Peak!T199&gt;Peak!$G199,N$8*$X198,0))</f>
        <v>38</v>
      </c>
      <c r="O198" s="432" t="n">
        <f aca="false">IF('Peak Revenue'!$A$1="BL","-",IF(Peak!U199&gt;Peak!$G199,O$8*$X198,0))</f>
        <v>38</v>
      </c>
      <c r="P198" s="432" t="n">
        <f aca="false">IF('Peak Revenue'!$A$1="BL","-",IF(Peak!V199&gt;Peak!$G199,P$8*$X198,0))</f>
        <v>38</v>
      </c>
      <c r="Q198" s="432" t="n">
        <f aca="false">IF('Peak Revenue'!$A$1="BL","-",IF(Peak!W199&gt;Peak!$G199,Q$8*$X198,0))</f>
        <v>38</v>
      </c>
      <c r="R198" s="432" t="n">
        <f aca="false">IF('Peak Revenue'!$A$1="BL","-",IF(Peak!X199&gt;Peak!$G199,R$8*$X198,0))</f>
        <v>38</v>
      </c>
      <c r="S198" s="432" t="n">
        <f aca="false">IF('Peak Revenue'!$A$1="BL","-",IF(Peak!Y199&gt;Peak!$G199,S$8*$X198,0))</f>
        <v>38</v>
      </c>
      <c r="T198" s="432" t="n">
        <f aca="false">IF('Peak Revenue'!$A$1="BL","-",IF(Peak!Z199&gt;Peak!$G199,T$8*$X198,0))</f>
        <v>38</v>
      </c>
      <c r="U198" s="432" t="n">
        <f aca="false">IF('Peak Revenue'!$A$1="BL","-",IF(Peak!AA199&gt;Peak!$G199,U$8*$X198,0))</f>
        <v>0</v>
      </c>
      <c r="V198" s="441" t="n">
        <f aca="false">SUM(B198:U198)</f>
        <v>589</v>
      </c>
      <c r="W198" s="442"/>
      <c r="X198" s="439" t="n">
        <f aca="false">CHOOSE(QUOTIENT(MONTH($A198),3)+1,Peak!$AM$11,Peak!$AN$11,Peak!$AL$11,Peak!$AO$11,Peak!$AM$11)</f>
        <v>0.95</v>
      </c>
      <c r="Y198" s="440" t="n">
        <f aca="false">CHOOSE(QUOTIENT(MONTH($A198),3)+1,Peak!$AM$17,Peak!$AN$17,Peak!$AL$17,Peak!$AO$17,Peak!$AM$17)</f>
        <v>705</v>
      </c>
    </row>
    <row r="199" customFormat="false" ht="12.75" hidden="false" customHeight="false" outlineLevel="0" collapsed="false">
      <c r="A199" s="400" t="n">
        <f aca="false">A198+30.417</f>
        <v>42288.813</v>
      </c>
      <c r="B199" s="432" t="n">
        <f aca="false">IF('Peak Revenue'!$A$1="BL","-",IF(Peak!H200&gt;Peak!$G200,B$8*$X199,0))</f>
        <v>4.75</v>
      </c>
      <c r="C199" s="432" t="n">
        <f aca="false">IF('Peak Revenue'!$A$1="BL","-",IF(Peak!I200&gt;Peak!$G200,C$8*$X199,0))</f>
        <v>4.75</v>
      </c>
      <c r="D199" s="432" t="n">
        <f aca="false">IF('Peak Revenue'!$A$1="BL","-",IF(Peak!J200&gt;Peak!$G200,D$8*$X199,0))</f>
        <v>9.5</v>
      </c>
      <c r="E199" s="432" t="n">
        <f aca="false">IF('Peak Revenue'!$A$1="BL","-",IF(Peak!K200&gt;Peak!$G200,E$8*$X199,0))</f>
        <v>19</v>
      </c>
      <c r="F199" s="432" t="n">
        <f aca="false">IF('Peak Revenue'!$A$1="BL","-",IF(Peak!L200&gt;Peak!$G200,F$8*$X199,0))</f>
        <v>19</v>
      </c>
      <c r="G199" s="432" t="n">
        <f aca="false">IF('Peak Revenue'!$A$1="BL","-",IF(Peak!M200&gt;Peak!$G200,G$8*$X199,0))</f>
        <v>38</v>
      </c>
      <c r="H199" s="432" t="n">
        <f aca="false">IF('Peak Revenue'!$A$1="BL","-",IF(Peak!N200&gt;Peak!$G200,H$8*$X199,0))</f>
        <v>38</v>
      </c>
      <c r="I199" s="432" t="n">
        <f aca="false">IF('Peak Revenue'!$A$1="BL","-",IF(Peak!O200&gt;Peak!$G200,I$8*$X199,0))</f>
        <v>38</v>
      </c>
      <c r="J199" s="432" t="n">
        <f aca="false">IF('Peak Revenue'!$A$1="BL","-",IF(Peak!P200&gt;Peak!$G200,J$8*$X199,0))</f>
        <v>0</v>
      </c>
      <c r="K199" s="432" t="n">
        <f aca="false">IF('Peak Revenue'!$A$1="BL","-",IF(Peak!Q200&gt;Peak!$G200,K$8*$X199,0))</f>
        <v>0</v>
      </c>
      <c r="L199" s="432" t="n">
        <f aca="false">IF('Peak Revenue'!$A$1="BL","-",IF(Peak!R200&gt;Peak!$G200,L$8*$X199,0))</f>
        <v>0</v>
      </c>
      <c r="M199" s="432" t="n">
        <f aca="false">IF('Peak Revenue'!$A$1="BL","-",IF(Peak!S200&gt;Peak!$G200,M$8*$X199,0))</f>
        <v>0</v>
      </c>
      <c r="N199" s="432" t="n">
        <f aca="false">IF('Peak Revenue'!$A$1="BL","-",IF(Peak!T200&gt;Peak!$G200,N$8*$X199,0))</f>
        <v>0</v>
      </c>
      <c r="O199" s="432" t="n">
        <f aca="false">IF('Peak Revenue'!$A$1="BL","-",IF(Peak!U200&gt;Peak!$G200,O$8*$X199,0))</f>
        <v>0</v>
      </c>
      <c r="P199" s="432" t="n">
        <f aca="false">IF('Peak Revenue'!$A$1="BL","-",IF(Peak!V200&gt;Peak!$G200,P$8*$X199,0))</f>
        <v>0</v>
      </c>
      <c r="Q199" s="432" t="n">
        <f aca="false">IF('Peak Revenue'!$A$1="BL","-",IF(Peak!W200&gt;Peak!$G200,Q$8*$X199,0))</f>
        <v>0</v>
      </c>
      <c r="R199" s="432" t="n">
        <f aca="false">IF('Peak Revenue'!$A$1="BL","-",IF(Peak!X200&gt;Peak!$G200,R$8*$X199,0))</f>
        <v>0</v>
      </c>
      <c r="S199" s="432" t="n">
        <f aca="false">IF('Peak Revenue'!$A$1="BL","-",IF(Peak!Y200&gt;Peak!$G200,S$8*$X199,0))</f>
        <v>0</v>
      </c>
      <c r="T199" s="432" t="n">
        <f aca="false">IF('Peak Revenue'!$A$1="BL","-",IF(Peak!Z200&gt;Peak!$G200,T$8*$X199,0))</f>
        <v>0</v>
      </c>
      <c r="U199" s="432" t="n">
        <f aca="false">IF('Peak Revenue'!$A$1="BL","-",IF(Peak!AA200&gt;Peak!$G200,U$8*$X199,0))</f>
        <v>0</v>
      </c>
      <c r="V199" s="441" t="n">
        <f aca="false">SUM(B199:U199)</f>
        <v>171</v>
      </c>
      <c r="W199" s="442"/>
      <c r="X199" s="439" t="n">
        <f aca="false">CHOOSE(QUOTIENT(MONTH($A199),3)+1,Peak!$AM$11,Peak!$AN$11,Peak!$AL$11,Peak!$AO$11,Peak!$AM$11)</f>
        <v>0.95</v>
      </c>
      <c r="Y199" s="440" t="n">
        <f aca="false">CHOOSE(QUOTIENT(MONTH($A199),3)+1,Peak!$AM$17,Peak!$AN$17,Peak!$AL$17,Peak!$AO$17,Peak!$AM$17)</f>
        <v>705</v>
      </c>
    </row>
    <row r="200" customFormat="false" ht="12.75" hidden="false" customHeight="false" outlineLevel="0" collapsed="false">
      <c r="A200" s="400" t="n">
        <f aca="false">A199+30.417</f>
        <v>42319.23</v>
      </c>
      <c r="B200" s="432" t="n">
        <f aca="false">IF('Peak Revenue'!$A$1="BL","-",IF(Peak!H201&gt;Peak!$G201,B$8*$X200,0))</f>
        <v>4.75</v>
      </c>
      <c r="C200" s="432" t="n">
        <f aca="false">IF('Peak Revenue'!$A$1="BL","-",IF(Peak!I201&gt;Peak!$G201,C$8*$X200,0))</f>
        <v>4.75</v>
      </c>
      <c r="D200" s="432" t="n">
        <f aca="false">IF('Peak Revenue'!$A$1="BL","-",IF(Peak!J201&gt;Peak!$G201,D$8*$X200,0))</f>
        <v>9.5</v>
      </c>
      <c r="E200" s="432" t="n">
        <f aca="false">IF('Peak Revenue'!$A$1="BL","-",IF(Peak!K201&gt;Peak!$G201,E$8*$X200,0))</f>
        <v>19</v>
      </c>
      <c r="F200" s="432" t="n">
        <f aca="false">IF('Peak Revenue'!$A$1="BL","-",IF(Peak!L201&gt;Peak!$G201,F$8*$X200,0))</f>
        <v>19</v>
      </c>
      <c r="G200" s="432" t="n">
        <f aca="false">IF('Peak Revenue'!$A$1="BL","-",IF(Peak!M201&gt;Peak!$G201,G$8*$X200,0))</f>
        <v>38</v>
      </c>
      <c r="H200" s="432" t="n">
        <f aca="false">IF('Peak Revenue'!$A$1="BL","-",IF(Peak!N201&gt;Peak!$G201,H$8*$X200,0))</f>
        <v>38</v>
      </c>
      <c r="I200" s="432" t="n">
        <f aca="false">IF('Peak Revenue'!$A$1="BL","-",IF(Peak!O201&gt;Peak!$G201,I$8*$X200,0))</f>
        <v>38</v>
      </c>
      <c r="J200" s="432" t="n">
        <f aca="false">IF('Peak Revenue'!$A$1="BL","-",IF(Peak!P201&gt;Peak!$G201,J$8*$X200,0))</f>
        <v>38</v>
      </c>
      <c r="K200" s="432" t="n">
        <f aca="false">IF('Peak Revenue'!$A$1="BL","-",IF(Peak!Q201&gt;Peak!$G201,K$8*$X200,0))</f>
        <v>38</v>
      </c>
      <c r="L200" s="432" t="n">
        <f aca="false">IF('Peak Revenue'!$A$1="BL","-",IF(Peak!R201&gt;Peak!$G201,L$8*$X200,0))</f>
        <v>0</v>
      </c>
      <c r="M200" s="432" t="n">
        <f aca="false">IF('Peak Revenue'!$A$1="BL","-",IF(Peak!S201&gt;Peak!$G201,M$8*$X200,0))</f>
        <v>0</v>
      </c>
      <c r="N200" s="432" t="n">
        <f aca="false">IF('Peak Revenue'!$A$1="BL","-",IF(Peak!T201&gt;Peak!$G201,N$8*$X200,0))</f>
        <v>0</v>
      </c>
      <c r="O200" s="432" t="n">
        <f aca="false">IF('Peak Revenue'!$A$1="BL","-",IF(Peak!U201&gt;Peak!$G201,O$8*$X200,0))</f>
        <v>0</v>
      </c>
      <c r="P200" s="432" t="n">
        <f aca="false">IF('Peak Revenue'!$A$1="BL","-",IF(Peak!V201&gt;Peak!$G201,P$8*$X200,0))</f>
        <v>0</v>
      </c>
      <c r="Q200" s="432" t="n">
        <f aca="false">IF('Peak Revenue'!$A$1="BL","-",IF(Peak!W201&gt;Peak!$G201,Q$8*$X200,0))</f>
        <v>0</v>
      </c>
      <c r="R200" s="432" t="n">
        <f aca="false">IF('Peak Revenue'!$A$1="BL","-",IF(Peak!X201&gt;Peak!$G201,R$8*$X200,0))</f>
        <v>0</v>
      </c>
      <c r="S200" s="432" t="n">
        <f aca="false">IF('Peak Revenue'!$A$1="BL","-",IF(Peak!Y201&gt;Peak!$G201,S$8*$X200,0))</f>
        <v>0</v>
      </c>
      <c r="T200" s="432" t="n">
        <f aca="false">IF('Peak Revenue'!$A$1="BL","-",IF(Peak!Z201&gt;Peak!$G201,T$8*$X200,0))</f>
        <v>0</v>
      </c>
      <c r="U200" s="432" t="n">
        <f aca="false">IF('Peak Revenue'!$A$1="BL","-",IF(Peak!AA201&gt;Peak!$G201,U$8*$X200,0))</f>
        <v>0</v>
      </c>
      <c r="V200" s="441" t="n">
        <f aca="false">SUM(B200:U200)</f>
        <v>247</v>
      </c>
      <c r="W200" s="442"/>
      <c r="X200" s="439" t="n">
        <f aca="false">CHOOSE(QUOTIENT(MONTH($A200),3)+1,Peak!$AM$11,Peak!$AN$11,Peak!$AL$11,Peak!$AO$11,Peak!$AM$11)</f>
        <v>0.95</v>
      </c>
      <c r="Y200" s="440" t="n">
        <f aca="false">CHOOSE(QUOTIENT(MONTH($A200),3)+1,Peak!$AM$17,Peak!$AN$17,Peak!$AL$17,Peak!$AO$17,Peak!$AM$17)</f>
        <v>705</v>
      </c>
    </row>
    <row r="201" customFormat="false" ht="12.75" hidden="false" customHeight="false" outlineLevel="0" collapsed="false">
      <c r="A201" s="400" t="n">
        <f aca="false">A200+30.417</f>
        <v>42349.647</v>
      </c>
      <c r="B201" s="432" t="n">
        <f aca="false">IF('Peak Revenue'!$A$1="BL","-",IF(Peak!H202&gt;Peak!$G202,B$8*$X201,0))</f>
        <v>4.62138309393059</v>
      </c>
      <c r="C201" s="432" t="n">
        <f aca="false">IF('Peak Revenue'!$A$1="BL","-",IF(Peak!I202&gt;Peak!$G202,C$8*$X201,0))</f>
        <v>4.62138309393059</v>
      </c>
      <c r="D201" s="432" t="n">
        <f aca="false">IF('Peak Revenue'!$A$1="BL","-",IF(Peak!J202&gt;Peak!$G202,D$8*$X201,0))</f>
        <v>9.24276618786118</v>
      </c>
      <c r="E201" s="432" t="n">
        <f aca="false">IF('Peak Revenue'!$A$1="BL","-",IF(Peak!K202&gt;Peak!$G202,E$8*$X201,0))</f>
        <v>18.4855323757224</v>
      </c>
      <c r="F201" s="432" t="n">
        <f aca="false">IF('Peak Revenue'!$A$1="BL","-",IF(Peak!L202&gt;Peak!$G202,F$8*$X201,0))</f>
        <v>18.4855323757224</v>
      </c>
      <c r="G201" s="432" t="n">
        <f aca="false">IF('Peak Revenue'!$A$1="BL","-",IF(Peak!M202&gt;Peak!$G202,G$8*$X201,0))</f>
        <v>36.9710647514447</v>
      </c>
      <c r="H201" s="432" t="n">
        <f aca="false">IF('Peak Revenue'!$A$1="BL","-",IF(Peak!N202&gt;Peak!$G202,H$8*$X201,0))</f>
        <v>36.9710647514447</v>
      </c>
      <c r="I201" s="432" t="n">
        <f aca="false">IF('Peak Revenue'!$A$1="BL","-",IF(Peak!O202&gt;Peak!$G202,I$8*$X201,0))</f>
        <v>36.9710647514447</v>
      </c>
      <c r="J201" s="432" t="n">
        <f aca="false">IF('Peak Revenue'!$A$1="BL","-",IF(Peak!P202&gt;Peak!$G202,J$8*$X201,0))</f>
        <v>36.9710647514447</v>
      </c>
      <c r="K201" s="432" t="n">
        <f aca="false">IF('Peak Revenue'!$A$1="BL","-",IF(Peak!Q202&gt;Peak!$G202,K$8*$X201,0))</f>
        <v>36.9710647514447</v>
      </c>
      <c r="L201" s="432" t="n">
        <f aca="false">IF('Peak Revenue'!$A$1="BL","-",IF(Peak!R202&gt;Peak!$G202,L$8*$X201,0))</f>
        <v>0</v>
      </c>
      <c r="M201" s="432" t="n">
        <f aca="false">IF('Peak Revenue'!$A$1="BL","-",IF(Peak!S202&gt;Peak!$G202,M$8*$X201,0))</f>
        <v>0</v>
      </c>
      <c r="N201" s="432" t="n">
        <f aca="false">IF('Peak Revenue'!$A$1="BL","-",IF(Peak!T202&gt;Peak!$G202,N$8*$X201,0))</f>
        <v>0</v>
      </c>
      <c r="O201" s="432" t="n">
        <f aca="false">IF('Peak Revenue'!$A$1="BL","-",IF(Peak!U202&gt;Peak!$G202,O$8*$X201,0))</f>
        <v>0</v>
      </c>
      <c r="P201" s="432" t="n">
        <f aca="false">IF('Peak Revenue'!$A$1="BL","-",IF(Peak!V202&gt;Peak!$G202,P$8*$X201,0))</f>
        <v>0</v>
      </c>
      <c r="Q201" s="432" t="n">
        <f aca="false">IF('Peak Revenue'!$A$1="BL","-",IF(Peak!W202&gt;Peak!$G202,Q$8*$X201,0))</f>
        <v>0</v>
      </c>
      <c r="R201" s="432" t="n">
        <f aca="false">IF('Peak Revenue'!$A$1="BL","-",IF(Peak!X202&gt;Peak!$G202,R$8*$X201,0))</f>
        <v>0</v>
      </c>
      <c r="S201" s="432" t="n">
        <f aca="false">IF('Peak Revenue'!$A$1="BL","-",IF(Peak!Y202&gt;Peak!$G202,S$8*$X201,0))</f>
        <v>0</v>
      </c>
      <c r="T201" s="432" t="n">
        <f aca="false">IF('Peak Revenue'!$A$1="BL","-",IF(Peak!Z202&gt;Peak!$G202,T$8*$X201,0))</f>
        <v>0</v>
      </c>
      <c r="U201" s="432" t="n">
        <f aca="false">IF('Peak Revenue'!$A$1="BL","-",IF(Peak!AA202&gt;Peak!$G202,U$8*$X201,0))</f>
        <v>0</v>
      </c>
      <c r="V201" s="441" t="n">
        <f aca="false">SUM(B201:U201)</f>
        <v>240.311920884391</v>
      </c>
      <c r="W201" s="443" t="n">
        <f aca="false">SUM(V190:V201)</f>
        <v>3300.4449858392</v>
      </c>
      <c r="X201" s="439" t="n">
        <f aca="false">CHOOSE(QUOTIENT(MONTH($A201),3)+1,Peak!$AM$11,Peak!$AN$11,Peak!$AL$11,Peak!$AO$11,Peak!$AM$11)</f>
        <v>0.924276618786118</v>
      </c>
      <c r="Y201" s="440" t="n">
        <f aca="false">CHOOSE(QUOTIENT(MONTH($A201),3)+1,Peak!$AM$17,Peak!$AN$17,Peak!$AL$17,Peak!$AO$17,Peak!$AM$17)</f>
        <v>705</v>
      </c>
    </row>
    <row r="202" customFormat="false" ht="12.75" hidden="false" customHeight="false" outlineLevel="0" collapsed="false">
      <c r="A202" s="400" t="n">
        <f aca="false">A201+30.417</f>
        <v>42380.064</v>
      </c>
      <c r="B202" s="432" t="n">
        <f aca="false">IF('Peak Revenue'!$A$1="BL","-",IF(Peak!H203&gt;Peak!$G203,B$8*$X202,0))</f>
        <v>4.62138309393059</v>
      </c>
      <c r="C202" s="432" t="n">
        <f aca="false">IF('Peak Revenue'!$A$1="BL","-",IF(Peak!I203&gt;Peak!$G203,C$8*$X202,0))</f>
        <v>4.62138309393059</v>
      </c>
      <c r="D202" s="432" t="n">
        <f aca="false">IF('Peak Revenue'!$A$1="BL","-",IF(Peak!J203&gt;Peak!$G203,D$8*$X202,0))</f>
        <v>9.24276618786118</v>
      </c>
      <c r="E202" s="432" t="n">
        <f aca="false">IF('Peak Revenue'!$A$1="BL","-",IF(Peak!K203&gt;Peak!$G203,E$8*$X202,0))</f>
        <v>18.4855323757224</v>
      </c>
      <c r="F202" s="432" t="n">
        <f aca="false">IF('Peak Revenue'!$A$1="BL","-",IF(Peak!L203&gt;Peak!$G203,F$8*$X202,0))</f>
        <v>18.4855323757224</v>
      </c>
      <c r="G202" s="432" t="n">
        <f aca="false">IF('Peak Revenue'!$A$1="BL","-",IF(Peak!M203&gt;Peak!$G203,G$8*$X202,0))</f>
        <v>36.9710647514447</v>
      </c>
      <c r="H202" s="432" t="n">
        <f aca="false">IF('Peak Revenue'!$A$1="BL","-",IF(Peak!N203&gt;Peak!$G203,H$8*$X202,0))</f>
        <v>36.9710647514447</v>
      </c>
      <c r="I202" s="432" t="n">
        <f aca="false">IF('Peak Revenue'!$A$1="BL","-",IF(Peak!O203&gt;Peak!$G203,I$8*$X202,0))</f>
        <v>36.9710647514447</v>
      </c>
      <c r="J202" s="432" t="n">
        <f aca="false">IF('Peak Revenue'!$A$1="BL","-",IF(Peak!P203&gt;Peak!$G203,J$8*$X202,0))</f>
        <v>0</v>
      </c>
      <c r="K202" s="432" t="n">
        <f aca="false">IF('Peak Revenue'!$A$1="BL","-",IF(Peak!Q203&gt;Peak!$G203,K$8*$X202,0))</f>
        <v>0</v>
      </c>
      <c r="L202" s="432" t="n">
        <f aca="false">IF('Peak Revenue'!$A$1="BL","-",IF(Peak!R203&gt;Peak!$G203,L$8*$X202,0))</f>
        <v>0</v>
      </c>
      <c r="M202" s="432" t="n">
        <f aca="false">IF('Peak Revenue'!$A$1="BL","-",IF(Peak!S203&gt;Peak!$G203,M$8*$X202,0))</f>
        <v>0</v>
      </c>
      <c r="N202" s="432" t="n">
        <f aca="false">IF('Peak Revenue'!$A$1="BL","-",IF(Peak!T203&gt;Peak!$G203,N$8*$X202,0))</f>
        <v>0</v>
      </c>
      <c r="O202" s="432" t="n">
        <f aca="false">IF('Peak Revenue'!$A$1="BL","-",IF(Peak!U203&gt;Peak!$G203,O$8*$X202,0))</f>
        <v>0</v>
      </c>
      <c r="P202" s="432" t="n">
        <f aca="false">IF('Peak Revenue'!$A$1="BL","-",IF(Peak!V203&gt;Peak!$G203,P$8*$X202,0))</f>
        <v>0</v>
      </c>
      <c r="Q202" s="432" t="n">
        <f aca="false">IF('Peak Revenue'!$A$1="BL","-",IF(Peak!W203&gt;Peak!$G203,Q$8*$X202,0))</f>
        <v>0</v>
      </c>
      <c r="R202" s="432" t="n">
        <f aca="false">IF('Peak Revenue'!$A$1="BL","-",IF(Peak!X203&gt;Peak!$G203,R$8*$X202,0))</f>
        <v>0</v>
      </c>
      <c r="S202" s="432" t="n">
        <f aca="false">IF('Peak Revenue'!$A$1="BL","-",IF(Peak!Y203&gt;Peak!$G203,S$8*$X202,0))</f>
        <v>0</v>
      </c>
      <c r="T202" s="432" t="n">
        <f aca="false">IF('Peak Revenue'!$A$1="BL","-",IF(Peak!Z203&gt;Peak!$G203,T$8*$X202,0))</f>
        <v>0</v>
      </c>
      <c r="U202" s="432" t="n">
        <f aca="false">IF('Peak Revenue'!$A$1="BL","-",IF(Peak!AA203&gt;Peak!$G203,U$8*$X202,0))</f>
        <v>0</v>
      </c>
      <c r="V202" s="441" t="n">
        <f aca="false">SUM(B202:U202)</f>
        <v>166.369791381501</v>
      </c>
      <c r="W202" s="442"/>
      <c r="X202" s="439" t="n">
        <f aca="false">CHOOSE(QUOTIENT(MONTH($A202),3)+1,Peak!$AM$11,Peak!$AN$11,Peak!$AL$11,Peak!$AO$11,Peak!$AM$11)</f>
        <v>0.924276618786118</v>
      </c>
      <c r="Y202" s="440" t="n">
        <f aca="false">CHOOSE(QUOTIENT(MONTH($A202),3)+1,Peak!$AM$17,Peak!$AN$17,Peak!$AL$17,Peak!$AO$17,Peak!$AM$17)</f>
        <v>705</v>
      </c>
    </row>
    <row r="203" customFormat="false" ht="12.75" hidden="false" customHeight="false" outlineLevel="0" collapsed="false">
      <c r="A203" s="400" t="n">
        <f aca="false">A202+30.417</f>
        <v>42410.481</v>
      </c>
      <c r="B203" s="432" t="n">
        <f aca="false">IF('Peak Revenue'!$A$1="BL","-",IF(Peak!H204&gt;Peak!$G204,B$8*$X203,0))</f>
        <v>4.62138309393059</v>
      </c>
      <c r="C203" s="432" t="n">
        <f aca="false">IF('Peak Revenue'!$A$1="BL","-",IF(Peak!I204&gt;Peak!$G204,C$8*$X203,0))</f>
        <v>4.62138309393059</v>
      </c>
      <c r="D203" s="432" t="n">
        <f aca="false">IF('Peak Revenue'!$A$1="BL","-",IF(Peak!J204&gt;Peak!$G204,D$8*$X203,0))</f>
        <v>9.24276618786118</v>
      </c>
      <c r="E203" s="432" t="n">
        <f aca="false">IF('Peak Revenue'!$A$1="BL","-",IF(Peak!K204&gt;Peak!$G204,E$8*$X203,0))</f>
        <v>18.4855323757224</v>
      </c>
      <c r="F203" s="432" t="n">
        <f aca="false">IF('Peak Revenue'!$A$1="BL","-",IF(Peak!L204&gt;Peak!$G204,F$8*$X203,0))</f>
        <v>18.4855323757224</v>
      </c>
      <c r="G203" s="432" t="n">
        <f aca="false">IF('Peak Revenue'!$A$1="BL","-",IF(Peak!M204&gt;Peak!$G204,G$8*$X203,0))</f>
        <v>36.9710647514447</v>
      </c>
      <c r="H203" s="432" t="n">
        <f aca="false">IF('Peak Revenue'!$A$1="BL","-",IF(Peak!N204&gt;Peak!$G204,H$8*$X203,0))</f>
        <v>36.9710647514447</v>
      </c>
      <c r="I203" s="432" t="n">
        <f aca="false">IF('Peak Revenue'!$A$1="BL","-",IF(Peak!O204&gt;Peak!$G204,I$8*$X203,0))</f>
        <v>36.9710647514447</v>
      </c>
      <c r="J203" s="432" t="n">
        <f aca="false">IF('Peak Revenue'!$A$1="BL","-",IF(Peak!P204&gt;Peak!$G204,J$8*$X203,0))</f>
        <v>36.9710647514447</v>
      </c>
      <c r="K203" s="432" t="n">
        <f aca="false">IF('Peak Revenue'!$A$1="BL","-",IF(Peak!Q204&gt;Peak!$G204,K$8*$X203,0))</f>
        <v>36.9710647514447</v>
      </c>
      <c r="L203" s="432" t="n">
        <f aca="false">IF('Peak Revenue'!$A$1="BL","-",IF(Peak!R204&gt;Peak!$G204,L$8*$X203,0))</f>
        <v>0</v>
      </c>
      <c r="M203" s="432" t="n">
        <f aca="false">IF('Peak Revenue'!$A$1="BL","-",IF(Peak!S204&gt;Peak!$G204,M$8*$X203,0))</f>
        <v>0</v>
      </c>
      <c r="N203" s="432" t="n">
        <f aca="false">IF('Peak Revenue'!$A$1="BL","-",IF(Peak!T204&gt;Peak!$G204,N$8*$X203,0))</f>
        <v>0</v>
      </c>
      <c r="O203" s="432" t="n">
        <f aca="false">IF('Peak Revenue'!$A$1="BL","-",IF(Peak!U204&gt;Peak!$G204,O$8*$X203,0))</f>
        <v>0</v>
      </c>
      <c r="P203" s="432" t="n">
        <f aca="false">IF('Peak Revenue'!$A$1="BL","-",IF(Peak!V204&gt;Peak!$G204,P$8*$X203,0))</f>
        <v>0</v>
      </c>
      <c r="Q203" s="432" t="n">
        <f aca="false">IF('Peak Revenue'!$A$1="BL","-",IF(Peak!W204&gt;Peak!$G204,Q$8*$X203,0))</f>
        <v>0</v>
      </c>
      <c r="R203" s="432" t="n">
        <f aca="false">IF('Peak Revenue'!$A$1="BL","-",IF(Peak!X204&gt;Peak!$G204,R$8*$X203,0))</f>
        <v>0</v>
      </c>
      <c r="S203" s="432" t="n">
        <f aca="false">IF('Peak Revenue'!$A$1="BL","-",IF(Peak!Y204&gt;Peak!$G204,S$8*$X203,0))</f>
        <v>0</v>
      </c>
      <c r="T203" s="432" t="n">
        <f aca="false">IF('Peak Revenue'!$A$1="BL","-",IF(Peak!Z204&gt;Peak!$G204,T$8*$X203,0))</f>
        <v>0</v>
      </c>
      <c r="U203" s="432" t="n">
        <f aca="false">IF('Peak Revenue'!$A$1="BL","-",IF(Peak!AA204&gt;Peak!$G204,U$8*$X203,0))</f>
        <v>0</v>
      </c>
      <c r="V203" s="441" t="n">
        <f aca="false">SUM(B203:U203)</f>
        <v>240.311920884391</v>
      </c>
      <c r="W203" s="442"/>
      <c r="X203" s="439" t="n">
        <f aca="false">CHOOSE(QUOTIENT(MONTH($A203),3)+1,Peak!$AM$11,Peak!$AN$11,Peak!$AL$11,Peak!$AO$11,Peak!$AM$11)</f>
        <v>0.924276618786118</v>
      </c>
      <c r="Y203" s="440" t="n">
        <f aca="false">CHOOSE(QUOTIENT(MONTH($A203),3)+1,Peak!$AM$17,Peak!$AN$17,Peak!$AL$17,Peak!$AO$17,Peak!$AM$17)</f>
        <v>705</v>
      </c>
    </row>
    <row r="204" customFormat="false" ht="12.75" hidden="false" customHeight="false" outlineLevel="0" collapsed="false">
      <c r="A204" s="400" t="n">
        <f aca="false">A203+30.417</f>
        <v>42440.898</v>
      </c>
      <c r="B204" s="432" t="n">
        <f aca="false">IF('Peak Revenue'!$A$1="BL","-",IF(Peak!H205&gt;Peak!$G205,B$8*$X204,0))</f>
        <v>4.75</v>
      </c>
      <c r="C204" s="432" t="n">
        <f aca="false">IF('Peak Revenue'!$A$1="BL","-",IF(Peak!I205&gt;Peak!$G205,C$8*$X204,0))</f>
        <v>4.75</v>
      </c>
      <c r="D204" s="432" t="n">
        <f aca="false">IF('Peak Revenue'!$A$1="BL","-",IF(Peak!J205&gt;Peak!$G205,D$8*$X204,0))</f>
        <v>9.5</v>
      </c>
      <c r="E204" s="432" t="n">
        <f aca="false">IF('Peak Revenue'!$A$1="BL","-",IF(Peak!K205&gt;Peak!$G205,E$8*$X204,0))</f>
        <v>19</v>
      </c>
      <c r="F204" s="432" t="n">
        <f aca="false">IF('Peak Revenue'!$A$1="BL","-",IF(Peak!L205&gt;Peak!$G205,F$8*$X204,0))</f>
        <v>19</v>
      </c>
      <c r="G204" s="432" t="n">
        <f aca="false">IF('Peak Revenue'!$A$1="BL","-",IF(Peak!M205&gt;Peak!$G205,G$8*$X204,0))</f>
        <v>38</v>
      </c>
      <c r="H204" s="432" t="n">
        <f aca="false">IF('Peak Revenue'!$A$1="BL","-",IF(Peak!N205&gt;Peak!$G205,H$8*$X204,0))</f>
        <v>38</v>
      </c>
      <c r="I204" s="432" t="n">
        <f aca="false">IF('Peak Revenue'!$A$1="BL","-",IF(Peak!O205&gt;Peak!$G205,I$8*$X204,0))</f>
        <v>38</v>
      </c>
      <c r="J204" s="432" t="n">
        <f aca="false">IF('Peak Revenue'!$A$1="BL","-",IF(Peak!P205&gt;Peak!$G205,J$8*$X204,0))</f>
        <v>38</v>
      </c>
      <c r="K204" s="432" t="n">
        <f aca="false">IF('Peak Revenue'!$A$1="BL","-",IF(Peak!Q205&gt;Peak!$G205,K$8*$X204,0))</f>
        <v>38</v>
      </c>
      <c r="L204" s="432" t="n">
        <f aca="false">IF('Peak Revenue'!$A$1="BL","-",IF(Peak!R205&gt;Peak!$G205,L$8*$X204,0))</f>
        <v>0</v>
      </c>
      <c r="M204" s="432" t="n">
        <f aca="false">IF('Peak Revenue'!$A$1="BL","-",IF(Peak!S205&gt;Peak!$G205,M$8*$X204,0))</f>
        <v>0</v>
      </c>
      <c r="N204" s="432" t="n">
        <f aca="false">IF('Peak Revenue'!$A$1="BL","-",IF(Peak!T205&gt;Peak!$G205,N$8*$X204,0))</f>
        <v>0</v>
      </c>
      <c r="O204" s="432" t="n">
        <f aca="false">IF('Peak Revenue'!$A$1="BL","-",IF(Peak!U205&gt;Peak!$G205,O$8*$X204,0))</f>
        <v>0</v>
      </c>
      <c r="P204" s="432" t="n">
        <f aca="false">IF('Peak Revenue'!$A$1="BL","-",IF(Peak!V205&gt;Peak!$G205,P$8*$X204,0))</f>
        <v>0</v>
      </c>
      <c r="Q204" s="432" t="n">
        <f aca="false">IF('Peak Revenue'!$A$1="BL","-",IF(Peak!W205&gt;Peak!$G205,Q$8*$X204,0))</f>
        <v>0</v>
      </c>
      <c r="R204" s="432" t="n">
        <f aca="false">IF('Peak Revenue'!$A$1="BL","-",IF(Peak!X205&gt;Peak!$G205,R$8*$X204,0))</f>
        <v>0</v>
      </c>
      <c r="S204" s="432" t="n">
        <f aca="false">IF('Peak Revenue'!$A$1="BL","-",IF(Peak!Y205&gt;Peak!$G205,S$8*$X204,0))</f>
        <v>0</v>
      </c>
      <c r="T204" s="432" t="n">
        <f aca="false">IF('Peak Revenue'!$A$1="BL","-",IF(Peak!Z205&gt;Peak!$G205,T$8*$X204,0))</f>
        <v>0</v>
      </c>
      <c r="U204" s="432" t="n">
        <f aca="false">IF('Peak Revenue'!$A$1="BL","-",IF(Peak!AA205&gt;Peak!$G205,U$8*$X204,0))</f>
        <v>0</v>
      </c>
      <c r="V204" s="441" t="n">
        <f aca="false">SUM(B204:U204)</f>
        <v>247</v>
      </c>
      <c r="W204" s="442"/>
      <c r="X204" s="439" t="n">
        <f aca="false">CHOOSE(QUOTIENT(MONTH($A204),3)+1,Peak!$AM$11,Peak!$AN$11,Peak!$AL$11,Peak!$AO$11,Peak!$AM$11)</f>
        <v>0.95</v>
      </c>
      <c r="Y204" s="440" t="n">
        <f aca="false">CHOOSE(QUOTIENT(MONTH($A204),3)+1,Peak!$AM$17,Peak!$AN$17,Peak!$AL$17,Peak!$AO$17,Peak!$AM$17)</f>
        <v>705</v>
      </c>
    </row>
    <row r="205" customFormat="false" ht="12.75" hidden="false" customHeight="false" outlineLevel="0" collapsed="false">
      <c r="A205" s="400" t="n">
        <f aca="false">A204+30.417</f>
        <v>42471.315</v>
      </c>
      <c r="B205" s="432" t="n">
        <f aca="false">IF('Peak Revenue'!$A$1="BL","-",IF(Peak!H206&gt;Peak!$G206,B$8*$X205,0))</f>
        <v>4.75</v>
      </c>
      <c r="C205" s="432" t="n">
        <f aca="false">IF('Peak Revenue'!$A$1="BL","-",IF(Peak!I206&gt;Peak!$G206,C$8*$X205,0))</f>
        <v>4.75</v>
      </c>
      <c r="D205" s="432" t="n">
        <f aca="false">IF('Peak Revenue'!$A$1="BL","-",IF(Peak!J206&gt;Peak!$G206,D$8*$X205,0))</f>
        <v>9.5</v>
      </c>
      <c r="E205" s="432" t="n">
        <f aca="false">IF('Peak Revenue'!$A$1="BL","-",IF(Peak!K206&gt;Peak!$G206,E$8*$X205,0))</f>
        <v>19</v>
      </c>
      <c r="F205" s="432" t="n">
        <f aca="false">IF('Peak Revenue'!$A$1="BL","-",IF(Peak!L206&gt;Peak!$G206,F$8*$X205,0))</f>
        <v>19</v>
      </c>
      <c r="G205" s="432" t="n">
        <f aca="false">IF('Peak Revenue'!$A$1="BL","-",IF(Peak!M206&gt;Peak!$G206,G$8*$X205,0))</f>
        <v>38</v>
      </c>
      <c r="H205" s="432" t="n">
        <f aca="false">IF('Peak Revenue'!$A$1="BL","-",IF(Peak!N206&gt;Peak!$G206,H$8*$X205,0))</f>
        <v>38</v>
      </c>
      <c r="I205" s="432" t="n">
        <f aca="false">IF('Peak Revenue'!$A$1="BL","-",IF(Peak!O206&gt;Peak!$G206,I$8*$X205,0))</f>
        <v>0</v>
      </c>
      <c r="J205" s="432" t="n">
        <f aca="false">IF('Peak Revenue'!$A$1="BL","-",IF(Peak!P206&gt;Peak!$G206,J$8*$X205,0))</f>
        <v>0</v>
      </c>
      <c r="K205" s="432" t="n">
        <f aca="false">IF('Peak Revenue'!$A$1="BL","-",IF(Peak!Q206&gt;Peak!$G206,K$8*$X205,0))</f>
        <v>0</v>
      </c>
      <c r="L205" s="432" t="n">
        <f aca="false">IF('Peak Revenue'!$A$1="BL","-",IF(Peak!R206&gt;Peak!$G206,L$8*$X205,0))</f>
        <v>0</v>
      </c>
      <c r="M205" s="432" t="n">
        <f aca="false">IF('Peak Revenue'!$A$1="BL","-",IF(Peak!S206&gt;Peak!$G206,M$8*$X205,0))</f>
        <v>0</v>
      </c>
      <c r="N205" s="432" t="n">
        <f aca="false">IF('Peak Revenue'!$A$1="BL","-",IF(Peak!T206&gt;Peak!$G206,N$8*$X205,0))</f>
        <v>0</v>
      </c>
      <c r="O205" s="432" t="n">
        <f aca="false">IF('Peak Revenue'!$A$1="BL","-",IF(Peak!U206&gt;Peak!$G206,O$8*$X205,0))</f>
        <v>0</v>
      </c>
      <c r="P205" s="432" t="n">
        <f aca="false">IF('Peak Revenue'!$A$1="BL","-",IF(Peak!V206&gt;Peak!$G206,P$8*$X205,0))</f>
        <v>0</v>
      </c>
      <c r="Q205" s="432" t="n">
        <f aca="false">IF('Peak Revenue'!$A$1="BL","-",IF(Peak!W206&gt;Peak!$G206,Q$8*$X205,0))</f>
        <v>0</v>
      </c>
      <c r="R205" s="432" t="n">
        <f aca="false">IF('Peak Revenue'!$A$1="BL","-",IF(Peak!X206&gt;Peak!$G206,R$8*$X205,0))</f>
        <v>0</v>
      </c>
      <c r="S205" s="432" t="n">
        <f aca="false">IF('Peak Revenue'!$A$1="BL","-",IF(Peak!Y206&gt;Peak!$G206,S$8*$X205,0))</f>
        <v>0</v>
      </c>
      <c r="T205" s="432" t="n">
        <f aca="false">IF('Peak Revenue'!$A$1="BL","-",IF(Peak!Z206&gt;Peak!$G206,T$8*$X205,0))</f>
        <v>0</v>
      </c>
      <c r="U205" s="432" t="n">
        <f aca="false">IF('Peak Revenue'!$A$1="BL","-",IF(Peak!AA206&gt;Peak!$G206,U$8*$X205,0))</f>
        <v>0</v>
      </c>
      <c r="V205" s="441" t="n">
        <f aca="false">SUM(B205:U205)</f>
        <v>133</v>
      </c>
      <c r="W205" s="442"/>
      <c r="X205" s="439" t="n">
        <f aca="false">CHOOSE(QUOTIENT(MONTH($A205),3)+1,Peak!$AM$11,Peak!$AN$11,Peak!$AL$11,Peak!$AO$11,Peak!$AM$11)</f>
        <v>0.95</v>
      </c>
      <c r="Y205" s="440" t="n">
        <f aca="false">CHOOSE(QUOTIENT(MONTH($A205),3)+1,Peak!$AM$17,Peak!$AN$17,Peak!$AL$17,Peak!$AO$17,Peak!$AM$17)</f>
        <v>705</v>
      </c>
    </row>
    <row r="206" customFormat="false" ht="12.75" hidden="false" customHeight="false" outlineLevel="0" collapsed="false">
      <c r="A206" s="400" t="n">
        <f aca="false">A205+30.417</f>
        <v>42501.732</v>
      </c>
      <c r="B206" s="432" t="n">
        <f aca="false">IF('Peak Revenue'!$A$1="BL","-",IF(Peak!H207&gt;Peak!$G207,B$8*$X206,0))</f>
        <v>4.75</v>
      </c>
      <c r="C206" s="432" t="n">
        <f aca="false">IF('Peak Revenue'!$A$1="BL","-",IF(Peak!I207&gt;Peak!$G207,C$8*$X206,0))</f>
        <v>4.75</v>
      </c>
      <c r="D206" s="432" t="n">
        <f aca="false">IF('Peak Revenue'!$A$1="BL","-",IF(Peak!J207&gt;Peak!$G207,D$8*$X206,0))</f>
        <v>9.5</v>
      </c>
      <c r="E206" s="432" t="n">
        <f aca="false">IF('Peak Revenue'!$A$1="BL","-",IF(Peak!K207&gt;Peak!$G207,E$8*$X206,0))</f>
        <v>19</v>
      </c>
      <c r="F206" s="432" t="n">
        <f aca="false">IF('Peak Revenue'!$A$1="BL","-",IF(Peak!L207&gt;Peak!$G207,F$8*$X206,0))</f>
        <v>19</v>
      </c>
      <c r="G206" s="432" t="n">
        <f aca="false">IF('Peak Revenue'!$A$1="BL","-",IF(Peak!M207&gt;Peak!$G207,G$8*$X206,0))</f>
        <v>38</v>
      </c>
      <c r="H206" s="432" t="n">
        <f aca="false">IF('Peak Revenue'!$A$1="BL","-",IF(Peak!N207&gt;Peak!$G207,H$8*$X206,0))</f>
        <v>38</v>
      </c>
      <c r="I206" s="432" t="n">
        <f aca="false">IF('Peak Revenue'!$A$1="BL","-",IF(Peak!O207&gt;Peak!$G207,I$8*$X206,0))</f>
        <v>38</v>
      </c>
      <c r="J206" s="432" t="n">
        <f aca="false">IF('Peak Revenue'!$A$1="BL","-",IF(Peak!P207&gt;Peak!$G207,J$8*$X206,0))</f>
        <v>38</v>
      </c>
      <c r="K206" s="432" t="n">
        <f aca="false">IF('Peak Revenue'!$A$1="BL","-",IF(Peak!Q207&gt;Peak!$G207,K$8*$X206,0))</f>
        <v>38</v>
      </c>
      <c r="L206" s="432" t="n">
        <f aca="false">IF('Peak Revenue'!$A$1="BL","-",IF(Peak!R207&gt;Peak!$G207,L$8*$X206,0))</f>
        <v>0</v>
      </c>
      <c r="M206" s="432" t="n">
        <f aca="false">IF('Peak Revenue'!$A$1="BL","-",IF(Peak!S207&gt;Peak!$G207,M$8*$X206,0))</f>
        <v>0</v>
      </c>
      <c r="N206" s="432" t="n">
        <f aca="false">IF('Peak Revenue'!$A$1="BL","-",IF(Peak!T207&gt;Peak!$G207,N$8*$X206,0))</f>
        <v>0</v>
      </c>
      <c r="O206" s="432" t="n">
        <f aca="false">IF('Peak Revenue'!$A$1="BL","-",IF(Peak!U207&gt;Peak!$G207,O$8*$X206,0))</f>
        <v>0</v>
      </c>
      <c r="P206" s="432" t="n">
        <f aca="false">IF('Peak Revenue'!$A$1="BL","-",IF(Peak!V207&gt;Peak!$G207,P$8*$X206,0))</f>
        <v>0</v>
      </c>
      <c r="Q206" s="432" t="n">
        <f aca="false">IF('Peak Revenue'!$A$1="BL","-",IF(Peak!W207&gt;Peak!$G207,Q$8*$X206,0))</f>
        <v>0</v>
      </c>
      <c r="R206" s="432" t="n">
        <f aca="false">IF('Peak Revenue'!$A$1="BL","-",IF(Peak!X207&gt;Peak!$G207,R$8*$X206,0))</f>
        <v>0</v>
      </c>
      <c r="S206" s="432" t="n">
        <f aca="false">IF('Peak Revenue'!$A$1="BL","-",IF(Peak!Y207&gt;Peak!$G207,S$8*$X206,0))</f>
        <v>0</v>
      </c>
      <c r="T206" s="432" t="n">
        <f aca="false">IF('Peak Revenue'!$A$1="BL","-",IF(Peak!Z207&gt;Peak!$G207,T$8*$X206,0))</f>
        <v>0</v>
      </c>
      <c r="U206" s="432" t="n">
        <f aca="false">IF('Peak Revenue'!$A$1="BL","-",IF(Peak!AA207&gt;Peak!$G207,U$8*$X206,0))</f>
        <v>0</v>
      </c>
      <c r="V206" s="441" t="n">
        <f aca="false">SUM(B206:U206)</f>
        <v>247</v>
      </c>
      <c r="W206" s="442"/>
      <c r="X206" s="439" t="n">
        <f aca="false">CHOOSE(QUOTIENT(MONTH($A206),3)+1,Peak!$AM$11,Peak!$AN$11,Peak!$AL$11,Peak!$AO$11,Peak!$AM$11)</f>
        <v>0.95</v>
      </c>
      <c r="Y206" s="440" t="n">
        <f aca="false">CHOOSE(QUOTIENT(MONTH($A206),3)+1,Peak!$AM$17,Peak!$AN$17,Peak!$AL$17,Peak!$AO$17,Peak!$AM$17)</f>
        <v>705</v>
      </c>
    </row>
    <row r="207" customFormat="false" ht="12.75" hidden="false" customHeight="false" outlineLevel="0" collapsed="false">
      <c r="A207" s="400" t="n">
        <f aca="false">A206+30.417</f>
        <v>42532.149</v>
      </c>
      <c r="B207" s="432" t="n">
        <f aca="false">IF('Peak Revenue'!$A$1="BL","-",IF(Peak!H208&gt;Peak!$G208,B$8*$X207,0))</f>
        <v>4.83060679547793</v>
      </c>
      <c r="C207" s="432" t="n">
        <f aca="false">IF('Peak Revenue'!$A$1="BL","-",IF(Peak!I208&gt;Peak!$G208,C$8*$X207,0))</f>
        <v>4.83060679547793</v>
      </c>
      <c r="D207" s="432" t="n">
        <f aca="false">IF('Peak Revenue'!$A$1="BL","-",IF(Peak!J208&gt;Peak!$G208,D$8*$X207,0))</f>
        <v>9.66121359095586</v>
      </c>
      <c r="E207" s="432" t="n">
        <f aca="false">IF('Peak Revenue'!$A$1="BL","-",IF(Peak!K208&gt;Peak!$G208,E$8*$X207,0))</f>
        <v>19.3224271819117</v>
      </c>
      <c r="F207" s="432" t="n">
        <f aca="false">IF('Peak Revenue'!$A$1="BL","-",IF(Peak!L208&gt;Peak!$G208,F$8*$X207,0))</f>
        <v>19.3224271819117</v>
      </c>
      <c r="G207" s="432" t="n">
        <f aca="false">IF('Peak Revenue'!$A$1="BL","-",IF(Peak!M208&gt;Peak!$G208,G$8*$X207,0))</f>
        <v>38.6448543638234</v>
      </c>
      <c r="H207" s="432" t="n">
        <f aca="false">IF('Peak Revenue'!$A$1="BL","-",IF(Peak!N208&gt;Peak!$G208,H$8*$X207,0))</f>
        <v>38.6448543638234</v>
      </c>
      <c r="I207" s="432" t="n">
        <f aca="false">IF('Peak Revenue'!$A$1="BL","-",IF(Peak!O208&gt;Peak!$G208,I$8*$X207,0))</f>
        <v>38.6448543638234</v>
      </c>
      <c r="J207" s="432" t="n">
        <f aca="false">IF('Peak Revenue'!$A$1="BL","-",IF(Peak!P208&gt;Peak!$G208,J$8*$X207,0))</f>
        <v>0</v>
      </c>
      <c r="K207" s="432" t="n">
        <f aca="false">IF('Peak Revenue'!$A$1="BL","-",IF(Peak!Q208&gt;Peak!$G208,K$8*$X207,0))</f>
        <v>0</v>
      </c>
      <c r="L207" s="432" t="n">
        <f aca="false">IF('Peak Revenue'!$A$1="BL","-",IF(Peak!R208&gt;Peak!$G208,L$8*$X207,0))</f>
        <v>0</v>
      </c>
      <c r="M207" s="432" t="n">
        <f aca="false">IF('Peak Revenue'!$A$1="BL","-",IF(Peak!S208&gt;Peak!$G208,M$8*$X207,0))</f>
        <v>0</v>
      </c>
      <c r="N207" s="432" t="n">
        <f aca="false">IF('Peak Revenue'!$A$1="BL","-",IF(Peak!T208&gt;Peak!$G208,N$8*$X207,0))</f>
        <v>0</v>
      </c>
      <c r="O207" s="432" t="n">
        <f aca="false">IF('Peak Revenue'!$A$1="BL","-",IF(Peak!U208&gt;Peak!$G208,O$8*$X207,0))</f>
        <v>0</v>
      </c>
      <c r="P207" s="432" t="n">
        <f aca="false">IF('Peak Revenue'!$A$1="BL","-",IF(Peak!V208&gt;Peak!$G208,P$8*$X207,0))</f>
        <v>0</v>
      </c>
      <c r="Q207" s="432" t="n">
        <f aca="false">IF('Peak Revenue'!$A$1="BL","-",IF(Peak!W208&gt;Peak!$G208,Q$8*$X207,0))</f>
        <v>0</v>
      </c>
      <c r="R207" s="432" t="n">
        <f aca="false">IF('Peak Revenue'!$A$1="BL","-",IF(Peak!X208&gt;Peak!$G208,R$8*$X207,0))</f>
        <v>0</v>
      </c>
      <c r="S207" s="432" t="n">
        <f aca="false">IF('Peak Revenue'!$A$1="BL","-",IF(Peak!Y208&gt;Peak!$G208,S$8*$X207,0))</f>
        <v>0</v>
      </c>
      <c r="T207" s="432" t="n">
        <f aca="false">IF('Peak Revenue'!$A$1="BL","-",IF(Peak!Z208&gt;Peak!$G208,T$8*$X207,0))</f>
        <v>0</v>
      </c>
      <c r="U207" s="432" t="n">
        <f aca="false">IF('Peak Revenue'!$A$1="BL","-",IF(Peak!AA208&gt;Peak!$G208,U$8*$X207,0))</f>
        <v>0</v>
      </c>
      <c r="V207" s="441" t="n">
        <f aca="false">SUM(B207:U207)</f>
        <v>173.901844637205</v>
      </c>
      <c r="W207" s="442"/>
      <c r="X207" s="439" t="n">
        <f aca="false">CHOOSE(QUOTIENT(MONTH($A207),3)+1,Peak!$AM$11,Peak!$AN$11,Peak!$AL$11,Peak!$AO$11,Peak!$AM$11)</f>
        <v>0.966121359095586</v>
      </c>
      <c r="Y207" s="440" t="n">
        <f aca="false">CHOOSE(QUOTIENT(MONTH($A207),3)+1,Peak!$AM$17,Peak!$AN$17,Peak!$AL$17,Peak!$AO$17,Peak!$AM$17)</f>
        <v>705</v>
      </c>
    </row>
    <row r="208" customFormat="false" ht="12.75" hidden="false" customHeight="false" outlineLevel="0" collapsed="false">
      <c r="A208" s="400" t="n">
        <f aca="false">A207+30.417</f>
        <v>42562.566</v>
      </c>
      <c r="B208" s="432" t="n">
        <f aca="false">IF('Peak Revenue'!$A$1="BL","-",IF(Peak!H209&gt;Peak!$G209,B$8*$X208,0))</f>
        <v>4.83060679547793</v>
      </c>
      <c r="C208" s="432" t="n">
        <f aca="false">IF('Peak Revenue'!$A$1="BL","-",IF(Peak!I209&gt;Peak!$G209,C$8*$X208,0))</f>
        <v>4.83060679547793</v>
      </c>
      <c r="D208" s="432" t="n">
        <f aca="false">IF('Peak Revenue'!$A$1="BL","-",IF(Peak!J209&gt;Peak!$G209,D$8*$X208,0))</f>
        <v>9.66121359095586</v>
      </c>
      <c r="E208" s="432" t="n">
        <f aca="false">IF('Peak Revenue'!$A$1="BL","-",IF(Peak!K209&gt;Peak!$G209,E$8*$X208,0))</f>
        <v>19.3224271819117</v>
      </c>
      <c r="F208" s="432" t="n">
        <f aca="false">IF('Peak Revenue'!$A$1="BL","-",IF(Peak!L209&gt;Peak!$G209,F$8*$X208,0))</f>
        <v>19.3224271819117</v>
      </c>
      <c r="G208" s="432" t="n">
        <f aca="false">IF('Peak Revenue'!$A$1="BL","-",IF(Peak!M209&gt;Peak!$G209,G$8*$X208,0))</f>
        <v>38.6448543638234</v>
      </c>
      <c r="H208" s="432" t="n">
        <f aca="false">IF('Peak Revenue'!$A$1="BL","-",IF(Peak!N209&gt;Peak!$G209,H$8*$X208,0))</f>
        <v>38.6448543638234</v>
      </c>
      <c r="I208" s="432" t="n">
        <f aca="false">IF('Peak Revenue'!$A$1="BL","-",IF(Peak!O209&gt;Peak!$G209,I$8*$X208,0))</f>
        <v>38.6448543638234</v>
      </c>
      <c r="J208" s="432" t="n">
        <f aca="false">IF('Peak Revenue'!$A$1="BL","-",IF(Peak!P209&gt;Peak!$G209,J$8*$X208,0))</f>
        <v>38.6448543638234</v>
      </c>
      <c r="K208" s="432" t="n">
        <f aca="false">IF('Peak Revenue'!$A$1="BL","-",IF(Peak!Q209&gt;Peak!$G209,K$8*$X208,0))</f>
        <v>38.6448543638234</v>
      </c>
      <c r="L208" s="432" t="n">
        <f aca="false">IF('Peak Revenue'!$A$1="BL","-",IF(Peak!R209&gt;Peak!$G209,L$8*$X208,0))</f>
        <v>38.6448543638234</v>
      </c>
      <c r="M208" s="432" t="n">
        <f aca="false">IF('Peak Revenue'!$A$1="BL","-",IF(Peak!S209&gt;Peak!$G209,M$8*$X208,0))</f>
        <v>38.6448543638234</v>
      </c>
      <c r="N208" s="432" t="n">
        <f aca="false">IF('Peak Revenue'!$A$1="BL","-",IF(Peak!T209&gt;Peak!$G209,N$8*$X208,0))</f>
        <v>38.6448543638234</v>
      </c>
      <c r="O208" s="432" t="n">
        <f aca="false">IF('Peak Revenue'!$A$1="BL","-",IF(Peak!U209&gt;Peak!$G209,O$8*$X208,0))</f>
        <v>38.6448543638234</v>
      </c>
      <c r="P208" s="432" t="n">
        <f aca="false">IF('Peak Revenue'!$A$1="BL","-",IF(Peak!V209&gt;Peak!$G209,P$8*$X208,0))</f>
        <v>38.6448543638234</v>
      </c>
      <c r="Q208" s="432" t="n">
        <f aca="false">IF('Peak Revenue'!$A$1="BL","-",IF(Peak!W209&gt;Peak!$G209,Q$8*$X208,0))</f>
        <v>38.6448543638234</v>
      </c>
      <c r="R208" s="432" t="n">
        <f aca="false">IF('Peak Revenue'!$A$1="BL","-",IF(Peak!X209&gt;Peak!$G209,R$8*$X208,0))</f>
        <v>0</v>
      </c>
      <c r="S208" s="432" t="n">
        <f aca="false">IF('Peak Revenue'!$A$1="BL","-",IF(Peak!Y209&gt;Peak!$G209,S$8*$X208,0))</f>
        <v>0</v>
      </c>
      <c r="T208" s="432" t="n">
        <f aca="false">IF('Peak Revenue'!$A$1="BL","-",IF(Peak!Z209&gt;Peak!$G209,T$8*$X208,0))</f>
        <v>0</v>
      </c>
      <c r="U208" s="432" t="n">
        <f aca="false">IF('Peak Revenue'!$A$1="BL","-",IF(Peak!AA209&gt;Peak!$G209,U$8*$X208,0))</f>
        <v>0</v>
      </c>
      <c r="V208" s="441" t="n">
        <f aca="false">SUM(B208:U208)</f>
        <v>483.060679547793</v>
      </c>
      <c r="W208" s="442"/>
      <c r="X208" s="439" t="n">
        <f aca="false">CHOOSE(QUOTIENT(MONTH($A208),3)+1,Peak!$AM$11,Peak!$AN$11,Peak!$AL$11,Peak!$AO$11,Peak!$AM$11)</f>
        <v>0.966121359095586</v>
      </c>
      <c r="Y208" s="440" t="n">
        <f aca="false">CHOOSE(QUOTIENT(MONTH($A208),3)+1,Peak!$AM$17,Peak!$AN$17,Peak!$AL$17,Peak!$AO$17,Peak!$AM$17)</f>
        <v>705</v>
      </c>
    </row>
    <row r="209" customFormat="false" ht="12.75" hidden="false" customHeight="false" outlineLevel="0" collapsed="false">
      <c r="A209" s="400" t="n">
        <f aca="false">A208+30.417</f>
        <v>42592.983</v>
      </c>
      <c r="B209" s="432" t="n">
        <f aca="false">IF('Peak Revenue'!$A$1="BL","-",IF(Peak!H210&gt;Peak!$G210,B$8*$X209,0))</f>
        <v>4.83060679547793</v>
      </c>
      <c r="C209" s="432" t="n">
        <f aca="false">IF('Peak Revenue'!$A$1="BL","-",IF(Peak!I210&gt;Peak!$G210,C$8*$X209,0))</f>
        <v>4.83060679547793</v>
      </c>
      <c r="D209" s="432" t="n">
        <f aca="false">IF('Peak Revenue'!$A$1="BL","-",IF(Peak!J210&gt;Peak!$G210,D$8*$X209,0))</f>
        <v>9.66121359095586</v>
      </c>
      <c r="E209" s="432" t="n">
        <f aca="false">IF('Peak Revenue'!$A$1="BL","-",IF(Peak!K210&gt;Peak!$G210,E$8*$X209,0))</f>
        <v>19.3224271819117</v>
      </c>
      <c r="F209" s="432" t="n">
        <f aca="false">IF('Peak Revenue'!$A$1="BL","-",IF(Peak!L210&gt;Peak!$G210,F$8*$X209,0))</f>
        <v>19.3224271819117</v>
      </c>
      <c r="G209" s="432" t="n">
        <f aca="false">IF('Peak Revenue'!$A$1="BL","-",IF(Peak!M210&gt;Peak!$G210,G$8*$X209,0))</f>
        <v>38.6448543638234</v>
      </c>
      <c r="H209" s="432" t="n">
        <f aca="false">IF('Peak Revenue'!$A$1="BL","-",IF(Peak!N210&gt;Peak!$G210,H$8*$X209,0))</f>
        <v>38.6448543638234</v>
      </c>
      <c r="I209" s="432" t="n">
        <f aca="false">IF('Peak Revenue'!$A$1="BL","-",IF(Peak!O210&gt;Peak!$G210,I$8*$X209,0))</f>
        <v>38.6448543638234</v>
      </c>
      <c r="J209" s="432" t="n">
        <f aca="false">IF('Peak Revenue'!$A$1="BL","-",IF(Peak!P210&gt;Peak!$G210,J$8*$X209,0))</f>
        <v>38.6448543638234</v>
      </c>
      <c r="K209" s="432" t="n">
        <f aca="false">IF('Peak Revenue'!$A$1="BL","-",IF(Peak!Q210&gt;Peak!$G210,K$8*$X209,0))</f>
        <v>38.6448543638234</v>
      </c>
      <c r="L209" s="432" t="n">
        <f aca="false">IF('Peak Revenue'!$A$1="BL","-",IF(Peak!R210&gt;Peak!$G210,L$8*$X209,0))</f>
        <v>0</v>
      </c>
      <c r="M209" s="432" t="n">
        <f aca="false">IF('Peak Revenue'!$A$1="BL","-",IF(Peak!S210&gt;Peak!$G210,M$8*$X209,0))</f>
        <v>0</v>
      </c>
      <c r="N209" s="432" t="n">
        <f aca="false">IF('Peak Revenue'!$A$1="BL","-",IF(Peak!T210&gt;Peak!$G210,N$8*$X209,0))</f>
        <v>0</v>
      </c>
      <c r="O209" s="432" t="n">
        <f aca="false">IF('Peak Revenue'!$A$1="BL","-",IF(Peak!U210&gt;Peak!$G210,O$8*$X209,0))</f>
        <v>0</v>
      </c>
      <c r="P209" s="432" t="n">
        <f aca="false">IF('Peak Revenue'!$A$1="BL","-",IF(Peak!V210&gt;Peak!$G210,P$8*$X209,0))</f>
        <v>0</v>
      </c>
      <c r="Q209" s="432" t="n">
        <f aca="false">IF('Peak Revenue'!$A$1="BL","-",IF(Peak!W210&gt;Peak!$G210,Q$8*$X209,0))</f>
        <v>0</v>
      </c>
      <c r="R209" s="432" t="n">
        <f aca="false">IF('Peak Revenue'!$A$1="BL","-",IF(Peak!X210&gt;Peak!$G210,R$8*$X209,0))</f>
        <v>0</v>
      </c>
      <c r="S209" s="432" t="n">
        <f aca="false">IF('Peak Revenue'!$A$1="BL","-",IF(Peak!Y210&gt;Peak!$G210,S$8*$X209,0))</f>
        <v>0</v>
      </c>
      <c r="T209" s="432" t="n">
        <f aca="false">IF('Peak Revenue'!$A$1="BL","-",IF(Peak!Z210&gt;Peak!$G210,T$8*$X209,0))</f>
        <v>0</v>
      </c>
      <c r="U209" s="432" t="n">
        <f aca="false">IF('Peak Revenue'!$A$1="BL","-",IF(Peak!AA210&gt;Peak!$G210,U$8*$X209,0))</f>
        <v>0</v>
      </c>
      <c r="V209" s="441" t="n">
        <f aca="false">SUM(B209:U209)</f>
        <v>251.191553364852</v>
      </c>
      <c r="W209" s="442"/>
      <c r="X209" s="439" t="n">
        <f aca="false">CHOOSE(QUOTIENT(MONTH($A209),3)+1,Peak!$AM$11,Peak!$AN$11,Peak!$AL$11,Peak!$AO$11,Peak!$AM$11)</f>
        <v>0.966121359095586</v>
      </c>
      <c r="Y209" s="440" t="n">
        <f aca="false">CHOOSE(QUOTIENT(MONTH($A209),3)+1,Peak!$AM$17,Peak!$AN$17,Peak!$AL$17,Peak!$AO$17,Peak!$AM$17)</f>
        <v>705</v>
      </c>
    </row>
    <row r="210" customFormat="false" ht="12.75" hidden="false" customHeight="false" outlineLevel="0" collapsed="false">
      <c r="A210" s="400" t="n">
        <f aca="false">A209+30.417</f>
        <v>42623.4</v>
      </c>
      <c r="B210" s="432" t="n">
        <f aca="false">IF('Peak Revenue'!$A$1="BL","-",IF(Peak!H211&gt;Peak!$G211,B$8*$X210,0))</f>
        <v>4.75</v>
      </c>
      <c r="C210" s="432" t="n">
        <f aca="false">IF('Peak Revenue'!$A$1="BL","-",IF(Peak!I211&gt;Peak!$G211,C$8*$X210,0))</f>
        <v>4.75</v>
      </c>
      <c r="D210" s="432" t="n">
        <f aca="false">IF('Peak Revenue'!$A$1="BL","-",IF(Peak!J211&gt;Peak!$G211,D$8*$X210,0))</f>
        <v>9.5</v>
      </c>
      <c r="E210" s="432" t="n">
        <f aca="false">IF('Peak Revenue'!$A$1="BL","-",IF(Peak!K211&gt;Peak!$G211,E$8*$X210,0))</f>
        <v>19</v>
      </c>
      <c r="F210" s="432" t="n">
        <f aca="false">IF('Peak Revenue'!$A$1="BL","-",IF(Peak!L211&gt;Peak!$G211,F$8*$X210,0))</f>
        <v>19</v>
      </c>
      <c r="G210" s="432" t="n">
        <f aca="false">IF('Peak Revenue'!$A$1="BL","-",IF(Peak!M211&gt;Peak!$G211,G$8*$X210,0))</f>
        <v>38</v>
      </c>
      <c r="H210" s="432" t="n">
        <f aca="false">IF('Peak Revenue'!$A$1="BL","-",IF(Peak!N211&gt;Peak!$G211,H$8*$X210,0))</f>
        <v>38</v>
      </c>
      <c r="I210" s="432" t="n">
        <f aca="false">IF('Peak Revenue'!$A$1="BL","-",IF(Peak!O211&gt;Peak!$G211,I$8*$X210,0))</f>
        <v>38</v>
      </c>
      <c r="J210" s="432" t="n">
        <f aca="false">IF('Peak Revenue'!$A$1="BL","-",IF(Peak!P211&gt;Peak!$G211,J$8*$X210,0))</f>
        <v>38</v>
      </c>
      <c r="K210" s="432" t="n">
        <f aca="false">IF('Peak Revenue'!$A$1="BL","-",IF(Peak!Q211&gt;Peak!$G211,K$8*$X210,0))</f>
        <v>0</v>
      </c>
      <c r="L210" s="432" t="n">
        <f aca="false">IF('Peak Revenue'!$A$1="BL","-",IF(Peak!R211&gt;Peak!$G211,L$8*$X210,0))</f>
        <v>0</v>
      </c>
      <c r="M210" s="432" t="n">
        <f aca="false">IF('Peak Revenue'!$A$1="BL","-",IF(Peak!S211&gt;Peak!$G211,M$8*$X210,0))</f>
        <v>0</v>
      </c>
      <c r="N210" s="432" t="n">
        <f aca="false">IF('Peak Revenue'!$A$1="BL","-",IF(Peak!T211&gt;Peak!$G211,N$8*$X210,0))</f>
        <v>0</v>
      </c>
      <c r="O210" s="432" t="n">
        <f aca="false">IF('Peak Revenue'!$A$1="BL","-",IF(Peak!U211&gt;Peak!$G211,O$8*$X210,0))</f>
        <v>0</v>
      </c>
      <c r="P210" s="432" t="n">
        <f aca="false">IF('Peak Revenue'!$A$1="BL","-",IF(Peak!V211&gt;Peak!$G211,P$8*$X210,0))</f>
        <v>0</v>
      </c>
      <c r="Q210" s="432" t="n">
        <f aca="false">IF('Peak Revenue'!$A$1="BL","-",IF(Peak!W211&gt;Peak!$G211,Q$8*$X210,0))</f>
        <v>0</v>
      </c>
      <c r="R210" s="432" t="n">
        <f aca="false">IF('Peak Revenue'!$A$1="BL","-",IF(Peak!X211&gt;Peak!$G211,R$8*$X210,0))</f>
        <v>0</v>
      </c>
      <c r="S210" s="432" t="n">
        <f aca="false">IF('Peak Revenue'!$A$1="BL","-",IF(Peak!Y211&gt;Peak!$G211,S$8*$X210,0))</f>
        <v>0</v>
      </c>
      <c r="T210" s="432" t="n">
        <f aca="false">IF('Peak Revenue'!$A$1="BL","-",IF(Peak!Z211&gt;Peak!$G211,T$8*$X210,0))</f>
        <v>0</v>
      </c>
      <c r="U210" s="432" t="n">
        <f aca="false">IF('Peak Revenue'!$A$1="BL","-",IF(Peak!AA211&gt;Peak!$G211,U$8*$X210,0))</f>
        <v>0</v>
      </c>
      <c r="V210" s="441" t="n">
        <f aca="false">SUM(B210:U210)</f>
        <v>209</v>
      </c>
      <c r="W210" s="442"/>
      <c r="X210" s="439" t="n">
        <f aca="false">CHOOSE(QUOTIENT(MONTH($A210),3)+1,Peak!$AM$11,Peak!$AN$11,Peak!$AL$11,Peak!$AO$11,Peak!$AM$11)</f>
        <v>0.95</v>
      </c>
      <c r="Y210" s="440" t="n">
        <f aca="false">CHOOSE(QUOTIENT(MONTH($A210),3)+1,Peak!$AM$17,Peak!$AN$17,Peak!$AL$17,Peak!$AO$17,Peak!$AM$17)</f>
        <v>705</v>
      </c>
    </row>
    <row r="211" customFormat="false" ht="12.75" hidden="false" customHeight="false" outlineLevel="0" collapsed="false">
      <c r="A211" s="400" t="n">
        <f aca="false">A210+30.417</f>
        <v>42653.817</v>
      </c>
      <c r="B211" s="432" t="n">
        <f aca="false">IF('Peak Revenue'!$A$1="BL","-",IF(Peak!H212&gt;Peak!$G212,B$8*$X211,0))</f>
        <v>4.75</v>
      </c>
      <c r="C211" s="432" t="n">
        <f aca="false">IF('Peak Revenue'!$A$1="BL","-",IF(Peak!I212&gt;Peak!$G212,C$8*$X211,0))</f>
        <v>4.75</v>
      </c>
      <c r="D211" s="432" t="n">
        <f aca="false">IF('Peak Revenue'!$A$1="BL","-",IF(Peak!J212&gt;Peak!$G212,D$8*$X211,0))</f>
        <v>9.5</v>
      </c>
      <c r="E211" s="432" t="n">
        <f aca="false">IF('Peak Revenue'!$A$1="BL","-",IF(Peak!K212&gt;Peak!$G212,E$8*$X211,0))</f>
        <v>19</v>
      </c>
      <c r="F211" s="432" t="n">
        <f aca="false">IF('Peak Revenue'!$A$1="BL","-",IF(Peak!L212&gt;Peak!$G212,F$8*$X211,0))</f>
        <v>19</v>
      </c>
      <c r="G211" s="432" t="n">
        <f aca="false">IF('Peak Revenue'!$A$1="BL","-",IF(Peak!M212&gt;Peak!$G212,G$8*$X211,0))</f>
        <v>38</v>
      </c>
      <c r="H211" s="432" t="n">
        <f aca="false">IF('Peak Revenue'!$A$1="BL","-",IF(Peak!N212&gt;Peak!$G212,H$8*$X211,0))</f>
        <v>38</v>
      </c>
      <c r="I211" s="432" t="n">
        <f aca="false">IF('Peak Revenue'!$A$1="BL","-",IF(Peak!O212&gt;Peak!$G212,I$8*$X211,0))</f>
        <v>38</v>
      </c>
      <c r="J211" s="432" t="n">
        <f aca="false">IF('Peak Revenue'!$A$1="BL","-",IF(Peak!P212&gt;Peak!$G212,J$8*$X211,0))</f>
        <v>0</v>
      </c>
      <c r="K211" s="432" t="n">
        <f aca="false">IF('Peak Revenue'!$A$1="BL","-",IF(Peak!Q212&gt;Peak!$G212,K$8*$X211,0))</f>
        <v>0</v>
      </c>
      <c r="L211" s="432" t="n">
        <f aca="false">IF('Peak Revenue'!$A$1="BL","-",IF(Peak!R212&gt;Peak!$G212,L$8*$X211,0))</f>
        <v>0</v>
      </c>
      <c r="M211" s="432" t="n">
        <f aca="false">IF('Peak Revenue'!$A$1="BL","-",IF(Peak!S212&gt;Peak!$G212,M$8*$X211,0))</f>
        <v>0</v>
      </c>
      <c r="N211" s="432" t="n">
        <f aca="false">IF('Peak Revenue'!$A$1="BL","-",IF(Peak!T212&gt;Peak!$G212,N$8*$X211,0))</f>
        <v>0</v>
      </c>
      <c r="O211" s="432" t="n">
        <f aca="false">IF('Peak Revenue'!$A$1="BL","-",IF(Peak!U212&gt;Peak!$G212,O$8*$X211,0))</f>
        <v>0</v>
      </c>
      <c r="P211" s="432" t="n">
        <f aca="false">IF('Peak Revenue'!$A$1="BL","-",IF(Peak!V212&gt;Peak!$G212,P$8*$X211,0))</f>
        <v>0</v>
      </c>
      <c r="Q211" s="432" t="n">
        <f aca="false">IF('Peak Revenue'!$A$1="BL","-",IF(Peak!W212&gt;Peak!$G212,Q$8*$X211,0))</f>
        <v>0</v>
      </c>
      <c r="R211" s="432" t="n">
        <f aca="false">IF('Peak Revenue'!$A$1="BL","-",IF(Peak!X212&gt;Peak!$G212,R$8*$X211,0))</f>
        <v>0</v>
      </c>
      <c r="S211" s="432" t="n">
        <f aca="false">IF('Peak Revenue'!$A$1="BL","-",IF(Peak!Y212&gt;Peak!$G212,S$8*$X211,0))</f>
        <v>0</v>
      </c>
      <c r="T211" s="432" t="n">
        <f aca="false">IF('Peak Revenue'!$A$1="BL","-",IF(Peak!Z212&gt;Peak!$G212,T$8*$X211,0))</f>
        <v>0</v>
      </c>
      <c r="U211" s="432" t="n">
        <f aca="false">IF('Peak Revenue'!$A$1="BL","-",IF(Peak!AA212&gt;Peak!$G212,U$8*$X211,0))</f>
        <v>0</v>
      </c>
      <c r="V211" s="441" t="n">
        <f aca="false">SUM(B211:U211)</f>
        <v>171</v>
      </c>
      <c r="W211" s="442"/>
      <c r="X211" s="439" t="n">
        <f aca="false">CHOOSE(QUOTIENT(MONTH($A211),3)+1,Peak!$AM$11,Peak!$AN$11,Peak!$AL$11,Peak!$AO$11,Peak!$AM$11)</f>
        <v>0.95</v>
      </c>
      <c r="Y211" s="440" t="n">
        <f aca="false">CHOOSE(QUOTIENT(MONTH($A211),3)+1,Peak!$AM$17,Peak!$AN$17,Peak!$AL$17,Peak!$AO$17,Peak!$AM$17)</f>
        <v>705</v>
      </c>
    </row>
    <row r="212" customFormat="false" ht="12.75" hidden="false" customHeight="false" outlineLevel="0" collapsed="false">
      <c r="A212" s="400" t="n">
        <f aca="false">A211+30.417</f>
        <v>42684.234</v>
      </c>
      <c r="B212" s="432" t="n">
        <f aca="false">IF('Peak Revenue'!$A$1="BL","-",IF(Peak!H213&gt;Peak!$G213,B$8*$X212,0))</f>
        <v>4.75</v>
      </c>
      <c r="C212" s="432" t="n">
        <f aca="false">IF('Peak Revenue'!$A$1="BL","-",IF(Peak!I213&gt;Peak!$G213,C$8*$X212,0))</f>
        <v>4.75</v>
      </c>
      <c r="D212" s="432" t="n">
        <f aca="false">IF('Peak Revenue'!$A$1="BL","-",IF(Peak!J213&gt;Peak!$G213,D$8*$X212,0))</f>
        <v>9.5</v>
      </c>
      <c r="E212" s="432" t="n">
        <f aca="false">IF('Peak Revenue'!$A$1="BL","-",IF(Peak!K213&gt;Peak!$G213,E$8*$X212,0))</f>
        <v>19</v>
      </c>
      <c r="F212" s="432" t="n">
        <f aca="false">IF('Peak Revenue'!$A$1="BL","-",IF(Peak!L213&gt;Peak!$G213,F$8*$X212,0))</f>
        <v>19</v>
      </c>
      <c r="G212" s="432" t="n">
        <f aca="false">IF('Peak Revenue'!$A$1="BL","-",IF(Peak!M213&gt;Peak!$G213,G$8*$X212,0))</f>
        <v>38</v>
      </c>
      <c r="H212" s="432" t="n">
        <f aca="false">IF('Peak Revenue'!$A$1="BL","-",IF(Peak!N213&gt;Peak!$G213,H$8*$X212,0))</f>
        <v>38</v>
      </c>
      <c r="I212" s="432" t="n">
        <f aca="false">IF('Peak Revenue'!$A$1="BL","-",IF(Peak!O213&gt;Peak!$G213,I$8*$X212,0))</f>
        <v>38</v>
      </c>
      <c r="J212" s="432" t="n">
        <f aca="false">IF('Peak Revenue'!$A$1="BL","-",IF(Peak!P213&gt;Peak!$G213,J$8*$X212,0))</f>
        <v>0</v>
      </c>
      <c r="K212" s="432" t="n">
        <f aca="false">IF('Peak Revenue'!$A$1="BL","-",IF(Peak!Q213&gt;Peak!$G213,K$8*$X212,0))</f>
        <v>0</v>
      </c>
      <c r="L212" s="432" t="n">
        <f aca="false">IF('Peak Revenue'!$A$1="BL","-",IF(Peak!R213&gt;Peak!$G213,L$8*$X212,0))</f>
        <v>0</v>
      </c>
      <c r="M212" s="432" t="n">
        <f aca="false">IF('Peak Revenue'!$A$1="BL","-",IF(Peak!S213&gt;Peak!$G213,M$8*$X212,0))</f>
        <v>0</v>
      </c>
      <c r="N212" s="432" t="n">
        <f aca="false">IF('Peak Revenue'!$A$1="BL","-",IF(Peak!T213&gt;Peak!$G213,N$8*$X212,0))</f>
        <v>0</v>
      </c>
      <c r="O212" s="432" t="n">
        <f aca="false">IF('Peak Revenue'!$A$1="BL","-",IF(Peak!U213&gt;Peak!$G213,O$8*$X212,0))</f>
        <v>0</v>
      </c>
      <c r="P212" s="432" t="n">
        <f aca="false">IF('Peak Revenue'!$A$1="BL","-",IF(Peak!V213&gt;Peak!$G213,P$8*$X212,0))</f>
        <v>0</v>
      </c>
      <c r="Q212" s="432" t="n">
        <f aca="false">IF('Peak Revenue'!$A$1="BL","-",IF(Peak!W213&gt;Peak!$G213,Q$8*$X212,0))</f>
        <v>0</v>
      </c>
      <c r="R212" s="432" t="n">
        <f aca="false">IF('Peak Revenue'!$A$1="BL","-",IF(Peak!X213&gt;Peak!$G213,R$8*$X212,0))</f>
        <v>0</v>
      </c>
      <c r="S212" s="432" t="n">
        <f aca="false">IF('Peak Revenue'!$A$1="BL","-",IF(Peak!Y213&gt;Peak!$G213,S$8*$X212,0))</f>
        <v>0</v>
      </c>
      <c r="T212" s="432" t="n">
        <f aca="false">IF('Peak Revenue'!$A$1="BL","-",IF(Peak!Z213&gt;Peak!$G213,T$8*$X212,0))</f>
        <v>0</v>
      </c>
      <c r="U212" s="432" t="n">
        <f aca="false">IF('Peak Revenue'!$A$1="BL","-",IF(Peak!AA213&gt;Peak!$G213,U$8*$X212,0))</f>
        <v>0</v>
      </c>
      <c r="V212" s="441" t="n">
        <f aca="false">SUM(B212:U212)</f>
        <v>171</v>
      </c>
      <c r="W212" s="443"/>
      <c r="X212" s="439" t="n">
        <f aca="false">CHOOSE(QUOTIENT(MONTH($A212),3)+1,Peak!$AM$11,Peak!$AN$11,Peak!$AL$11,Peak!$AO$11,Peak!$AM$11)</f>
        <v>0.95</v>
      </c>
      <c r="Y212" s="440" t="n">
        <f aca="false">CHOOSE(QUOTIENT(MONTH($A212),3)+1,Peak!$AM$17,Peak!$AN$17,Peak!$AL$17,Peak!$AO$17,Peak!$AM$17)</f>
        <v>705</v>
      </c>
    </row>
    <row r="213" customFormat="false" ht="12.75" hidden="false" customHeight="false" outlineLevel="0" collapsed="false">
      <c r="A213" s="400" t="n">
        <f aca="false">A212+30.417</f>
        <v>42714.651</v>
      </c>
      <c r="B213" s="432" t="n">
        <f aca="false">IF('Peak Revenue'!$A$1="BL","-",IF(Peak!H214&gt;Peak!$G214,B$8*$X213,0))</f>
        <v>4.62138309393059</v>
      </c>
      <c r="C213" s="432" t="n">
        <f aca="false">IF('Peak Revenue'!$A$1="BL","-",IF(Peak!I214&gt;Peak!$G214,C$8*$X213,0))</f>
        <v>4.62138309393059</v>
      </c>
      <c r="D213" s="432" t="n">
        <f aca="false">IF('Peak Revenue'!$A$1="BL","-",IF(Peak!J214&gt;Peak!$G214,D$8*$X213,0))</f>
        <v>9.24276618786118</v>
      </c>
      <c r="E213" s="432" t="n">
        <f aca="false">IF('Peak Revenue'!$A$1="BL","-",IF(Peak!K214&gt;Peak!$G214,E$8*$X213,0))</f>
        <v>18.4855323757224</v>
      </c>
      <c r="F213" s="432" t="n">
        <f aca="false">IF('Peak Revenue'!$A$1="BL","-",IF(Peak!L214&gt;Peak!$G214,F$8*$X213,0))</f>
        <v>18.4855323757224</v>
      </c>
      <c r="G213" s="432" t="n">
        <f aca="false">IF('Peak Revenue'!$A$1="BL","-",IF(Peak!M214&gt;Peak!$G214,G$8*$X213,0))</f>
        <v>36.9710647514447</v>
      </c>
      <c r="H213" s="432" t="n">
        <f aca="false">IF('Peak Revenue'!$A$1="BL","-",IF(Peak!N214&gt;Peak!$G214,H$8*$X213,0))</f>
        <v>36.9710647514447</v>
      </c>
      <c r="I213" s="432" t="n">
        <f aca="false">IF('Peak Revenue'!$A$1="BL","-",IF(Peak!O214&gt;Peak!$G214,I$8*$X213,0))</f>
        <v>36.9710647514447</v>
      </c>
      <c r="J213" s="432" t="n">
        <f aca="false">IF('Peak Revenue'!$A$1="BL","-",IF(Peak!P214&gt;Peak!$G214,J$8*$X213,0))</f>
        <v>36.9710647514447</v>
      </c>
      <c r="K213" s="432" t="n">
        <f aca="false">IF('Peak Revenue'!$A$1="BL","-",IF(Peak!Q214&gt;Peak!$G214,K$8*$X213,0))</f>
        <v>0</v>
      </c>
      <c r="L213" s="432" t="n">
        <f aca="false">IF('Peak Revenue'!$A$1="BL","-",IF(Peak!R214&gt;Peak!$G214,L$8*$X213,0))</f>
        <v>0</v>
      </c>
      <c r="M213" s="432" t="n">
        <f aca="false">IF('Peak Revenue'!$A$1="BL","-",IF(Peak!S214&gt;Peak!$G214,M$8*$X213,0))</f>
        <v>0</v>
      </c>
      <c r="N213" s="432" t="n">
        <f aca="false">IF('Peak Revenue'!$A$1="BL","-",IF(Peak!T214&gt;Peak!$G214,N$8*$X213,0))</f>
        <v>0</v>
      </c>
      <c r="O213" s="432" t="n">
        <f aca="false">IF('Peak Revenue'!$A$1="BL","-",IF(Peak!U214&gt;Peak!$G214,O$8*$X213,0))</f>
        <v>0</v>
      </c>
      <c r="P213" s="432" t="n">
        <f aca="false">IF('Peak Revenue'!$A$1="BL","-",IF(Peak!V214&gt;Peak!$G214,P$8*$X213,0))</f>
        <v>0</v>
      </c>
      <c r="Q213" s="432" t="n">
        <f aca="false">IF('Peak Revenue'!$A$1="BL","-",IF(Peak!W214&gt;Peak!$G214,Q$8*$X213,0))</f>
        <v>0</v>
      </c>
      <c r="R213" s="432" t="n">
        <f aca="false">IF('Peak Revenue'!$A$1="BL","-",IF(Peak!X214&gt;Peak!$G214,R$8*$X213,0))</f>
        <v>0</v>
      </c>
      <c r="S213" s="432" t="n">
        <f aca="false">IF('Peak Revenue'!$A$1="BL","-",IF(Peak!Y214&gt;Peak!$G214,S$8*$X213,0))</f>
        <v>0</v>
      </c>
      <c r="T213" s="432" t="n">
        <f aca="false">IF('Peak Revenue'!$A$1="BL","-",IF(Peak!Z214&gt;Peak!$G214,T$8*$X213,0))</f>
        <v>0</v>
      </c>
      <c r="U213" s="432" t="n">
        <f aca="false">IF('Peak Revenue'!$A$1="BL","-",IF(Peak!AA214&gt;Peak!$G214,U$8*$X213,0))</f>
        <v>0</v>
      </c>
      <c r="V213" s="441" t="n">
        <f aca="false">SUM(B213:U213)</f>
        <v>203.340856132946</v>
      </c>
      <c r="W213" s="443" t="n">
        <f aca="false">SUM(V202:V213)</f>
        <v>2696.17664594869</v>
      </c>
      <c r="X213" s="439" t="n">
        <f aca="false">CHOOSE(QUOTIENT(MONTH($A213),3)+1,Peak!$AM$11,Peak!$AN$11,Peak!$AL$11,Peak!$AO$11,Peak!$AM$11)</f>
        <v>0.924276618786118</v>
      </c>
      <c r="Y213" s="440" t="n">
        <f aca="false">CHOOSE(QUOTIENT(MONTH($A213),3)+1,Peak!$AM$17,Peak!$AN$17,Peak!$AL$17,Peak!$AO$17,Peak!$AM$17)</f>
        <v>705</v>
      </c>
    </row>
    <row r="214" customFormat="false" ht="12.75" hidden="false" customHeight="false" outlineLevel="0" collapsed="false">
      <c r="A214" s="400" t="n">
        <f aca="false">A213+30.417</f>
        <v>42745.068</v>
      </c>
      <c r="B214" s="432" t="n">
        <f aca="false">IF('Peak Revenue'!$A$1="BL","-",IF(Peak!H215&gt;Peak!$G215,B$8*$X214,0))</f>
        <v>4.62138309393059</v>
      </c>
      <c r="C214" s="432" t="n">
        <f aca="false">IF('Peak Revenue'!$A$1="BL","-",IF(Peak!I215&gt;Peak!$G215,C$8*$X214,0))</f>
        <v>4.62138309393059</v>
      </c>
      <c r="D214" s="432" t="n">
        <f aca="false">IF('Peak Revenue'!$A$1="BL","-",IF(Peak!J215&gt;Peak!$G215,D$8*$X214,0))</f>
        <v>9.24276618786118</v>
      </c>
      <c r="E214" s="432" t="n">
        <f aca="false">IF('Peak Revenue'!$A$1="BL","-",IF(Peak!K215&gt;Peak!$G215,E$8*$X214,0))</f>
        <v>18.4855323757224</v>
      </c>
      <c r="F214" s="432" t="n">
        <f aca="false">IF('Peak Revenue'!$A$1="BL","-",IF(Peak!L215&gt;Peak!$G215,F$8*$X214,0))</f>
        <v>18.4855323757224</v>
      </c>
      <c r="G214" s="432" t="n">
        <f aca="false">IF('Peak Revenue'!$A$1="BL","-",IF(Peak!M215&gt;Peak!$G215,G$8*$X214,0))</f>
        <v>36.9710647514447</v>
      </c>
      <c r="H214" s="432" t="n">
        <f aca="false">IF('Peak Revenue'!$A$1="BL","-",IF(Peak!N215&gt;Peak!$G215,H$8*$X214,0))</f>
        <v>36.9710647514447</v>
      </c>
      <c r="I214" s="432" t="n">
        <f aca="false">IF('Peak Revenue'!$A$1="BL","-",IF(Peak!O215&gt;Peak!$G215,I$8*$X214,0))</f>
        <v>0</v>
      </c>
      <c r="J214" s="432" t="n">
        <f aca="false">IF('Peak Revenue'!$A$1="BL","-",IF(Peak!P215&gt;Peak!$G215,J$8*$X214,0))</f>
        <v>0</v>
      </c>
      <c r="K214" s="432" t="n">
        <f aca="false">IF('Peak Revenue'!$A$1="BL","-",IF(Peak!Q215&gt;Peak!$G215,K$8*$X214,0))</f>
        <v>0</v>
      </c>
      <c r="L214" s="432" t="n">
        <f aca="false">IF('Peak Revenue'!$A$1="BL","-",IF(Peak!R215&gt;Peak!$G215,L$8*$X214,0))</f>
        <v>0</v>
      </c>
      <c r="M214" s="432" t="n">
        <f aca="false">IF('Peak Revenue'!$A$1="BL","-",IF(Peak!S215&gt;Peak!$G215,M$8*$X214,0))</f>
        <v>0</v>
      </c>
      <c r="N214" s="432" t="n">
        <f aca="false">IF('Peak Revenue'!$A$1="BL","-",IF(Peak!T215&gt;Peak!$G215,N$8*$X214,0))</f>
        <v>0</v>
      </c>
      <c r="O214" s="432" t="n">
        <f aca="false">IF('Peak Revenue'!$A$1="BL","-",IF(Peak!U215&gt;Peak!$G215,O$8*$X214,0))</f>
        <v>0</v>
      </c>
      <c r="P214" s="432" t="n">
        <f aca="false">IF('Peak Revenue'!$A$1="BL","-",IF(Peak!V215&gt;Peak!$G215,P$8*$X214,0))</f>
        <v>0</v>
      </c>
      <c r="Q214" s="432" t="n">
        <f aca="false">IF('Peak Revenue'!$A$1="BL","-",IF(Peak!W215&gt;Peak!$G215,Q$8*$X214,0))</f>
        <v>0</v>
      </c>
      <c r="R214" s="432" t="n">
        <f aca="false">IF('Peak Revenue'!$A$1="BL","-",IF(Peak!X215&gt;Peak!$G215,R$8*$X214,0))</f>
        <v>0</v>
      </c>
      <c r="S214" s="432" t="n">
        <f aca="false">IF('Peak Revenue'!$A$1="BL","-",IF(Peak!Y215&gt;Peak!$G215,S$8*$X214,0))</f>
        <v>0</v>
      </c>
      <c r="T214" s="432" t="n">
        <f aca="false">IF('Peak Revenue'!$A$1="BL","-",IF(Peak!Z215&gt;Peak!$G215,T$8*$X214,0))</f>
        <v>0</v>
      </c>
      <c r="U214" s="432" t="n">
        <f aca="false">IF('Peak Revenue'!$A$1="BL","-",IF(Peak!AA215&gt;Peak!$G215,U$8*$X214,0))</f>
        <v>0</v>
      </c>
      <c r="V214" s="441" t="n">
        <f aca="false">SUM(B214:U214)</f>
        <v>129.398726630056</v>
      </c>
      <c r="W214" s="442"/>
      <c r="X214" s="439" t="n">
        <f aca="false">CHOOSE(QUOTIENT(MONTH($A214),3)+1,Peak!$AM$11,Peak!$AN$11,Peak!$AL$11,Peak!$AO$11,Peak!$AM$11)</f>
        <v>0.924276618786118</v>
      </c>
      <c r="Y214" s="440" t="n">
        <f aca="false">CHOOSE(QUOTIENT(MONTH($A214),3)+1,Peak!$AM$17,Peak!$AN$17,Peak!$AL$17,Peak!$AO$17,Peak!$AM$17)</f>
        <v>705</v>
      </c>
    </row>
    <row r="215" customFormat="false" ht="12.75" hidden="false" customHeight="false" outlineLevel="0" collapsed="false">
      <c r="A215" s="400" t="n">
        <f aca="false">A214+30.417</f>
        <v>42775.485</v>
      </c>
      <c r="B215" s="432" t="n">
        <f aca="false">IF('Peak Revenue'!$A$1="BL","-",IF(Peak!H216&gt;Peak!$G216,B$8*$X215,0))</f>
        <v>4.62138309393059</v>
      </c>
      <c r="C215" s="432" t="n">
        <f aca="false">IF('Peak Revenue'!$A$1="BL","-",IF(Peak!I216&gt;Peak!$G216,C$8*$X215,0))</f>
        <v>4.62138309393059</v>
      </c>
      <c r="D215" s="432" t="n">
        <f aca="false">IF('Peak Revenue'!$A$1="BL","-",IF(Peak!J216&gt;Peak!$G216,D$8*$X215,0))</f>
        <v>9.24276618786118</v>
      </c>
      <c r="E215" s="432" t="n">
        <f aca="false">IF('Peak Revenue'!$A$1="BL","-",IF(Peak!K216&gt;Peak!$G216,E$8*$X215,0))</f>
        <v>18.4855323757224</v>
      </c>
      <c r="F215" s="432" t="n">
        <f aca="false">IF('Peak Revenue'!$A$1="BL","-",IF(Peak!L216&gt;Peak!$G216,F$8*$X215,0))</f>
        <v>18.4855323757224</v>
      </c>
      <c r="G215" s="432" t="n">
        <f aca="false">IF('Peak Revenue'!$A$1="BL","-",IF(Peak!M216&gt;Peak!$G216,G$8*$X215,0))</f>
        <v>36.9710647514447</v>
      </c>
      <c r="H215" s="432" t="n">
        <f aca="false">IF('Peak Revenue'!$A$1="BL","-",IF(Peak!N216&gt;Peak!$G216,H$8*$X215,0))</f>
        <v>36.9710647514447</v>
      </c>
      <c r="I215" s="432" t="n">
        <f aca="false">IF('Peak Revenue'!$A$1="BL","-",IF(Peak!O216&gt;Peak!$G216,I$8*$X215,0))</f>
        <v>36.9710647514447</v>
      </c>
      <c r="J215" s="432" t="n">
        <f aca="false">IF('Peak Revenue'!$A$1="BL","-",IF(Peak!P216&gt;Peak!$G216,J$8*$X215,0))</f>
        <v>36.9710647514447</v>
      </c>
      <c r="K215" s="432" t="n">
        <f aca="false">IF('Peak Revenue'!$A$1="BL","-",IF(Peak!Q216&gt;Peak!$G216,K$8*$X215,0))</f>
        <v>0</v>
      </c>
      <c r="L215" s="432" t="n">
        <f aca="false">IF('Peak Revenue'!$A$1="BL","-",IF(Peak!R216&gt;Peak!$G216,L$8*$X215,0))</f>
        <v>0</v>
      </c>
      <c r="M215" s="432" t="n">
        <f aca="false">IF('Peak Revenue'!$A$1="BL","-",IF(Peak!S216&gt;Peak!$G216,M$8*$X215,0))</f>
        <v>0</v>
      </c>
      <c r="N215" s="432" t="n">
        <f aca="false">IF('Peak Revenue'!$A$1="BL","-",IF(Peak!T216&gt;Peak!$G216,N$8*$X215,0))</f>
        <v>0</v>
      </c>
      <c r="O215" s="432" t="n">
        <f aca="false">IF('Peak Revenue'!$A$1="BL","-",IF(Peak!U216&gt;Peak!$G216,O$8*$X215,0))</f>
        <v>0</v>
      </c>
      <c r="P215" s="432" t="n">
        <f aca="false">IF('Peak Revenue'!$A$1="BL","-",IF(Peak!V216&gt;Peak!$G216,P$8*$X215,0))</f>
        <v>0</v>
      </c>
      <c r="Q215" s="432" t="n">
        <f aca="false">IF('Peak Revenue'!$A$1="BL","-",IF(Peak!W216&gt;Peak!$G216,Q$8*$X215,0))</f>
        <v>0</v>
      </c>
      <c r="R215" s="432" t="n">
        <f aca="false">IF('Peak Revenue'!$A$1="BL","-",IF(Peak!X216&gt;Peak!$G216,R$8*$X215,0))</f>
        <v>0</v>
      </c>
      <c r="S215" s="432" t="n">
        <f aca="false">IF('Peak Revenue'!$A$1="BL","-",IF(Peak!Y216&gt;Peak!$G216,S$8*$X215,0))</f>
        <v>0</v>
      </c>
      <c r="T215" s="432" t="n">
        <f aca="false">IF('Peak Revenue'!$A$1="BL","-",IF(Peak!Z216&gt;Peak!$G216,T$8*$X215,0))</f>
        <v>0</v>
      </c>
      <c r="U215" s="432" t="n">
        <f aca="false">IF('Peak Revenue'!$A$1="BL","-",IF(Peak!AA216&gt;Peak!$G216,U$8*$X215,0))</f>
        <v>0</v>
      </c>
      <c r="V215" s="441" t="n">
        <f aca="false">SUM(B215:U215)</f>
        <v>203.340856132946</v>
      </c>
      <c r="W215" s="442"/>
      <c r="X215" s="439" t="n">
        <f aca="false">CHOOSE(QUOTIENT(MONTH($A215),3)+1,Peak!$AM$11,Peak!$AN$11,Peak!$AL$11,Peak!$AO$11,Peak!$AM$11)</f>
        <v>0.924276618786118</v>
      </c>
      <c r="Y215" s="440" t="n">
        <f aca="false">CHOOSE(QUOTIENT(MONTH($A215),3)+1,Peak!$AM$17,Peak!$AN$17,Peak!$AL$17,Peak!$AO$17,Peak!$AM$17)</f>
        <v>705</v>
      </c>
    </row>
    <row r="216" customFormat="false" ht="12.75" hidden="false" customHeight="false" outlineLevel="0" collapsed="false">
      <c r="A216" s="400" t="n">
        <f aca="false">A215+30.417</f>
        <v>42805.902</v>
      </c>
      <c r="B216" s="432" t="n">
        <f aca="false">IF('Peak Revenue'!$A$1="BL","-",IF(Peak!H217&gt;Peak!$G217,B$8*$X216,0))</f>
        <v>4.75</v>
      </c>
      <c r="C216" s="432" t="n">
        <f aca="false">IF('Peak Revenue'!$A$1="BL","-",IF(Peak!I217&gt;Peak!$G217,C$8*$X216,0))</f>
        <v>4.75</v>
      </c>
      <c r="D216" s="432" t="n">
        <f aca="false">IF('Peak Revenue'!$A$1="BL","-",IF(Peak!J217&gt;Peak!$G217,D$8*$X216,0))</f>
        <v>9.5</v>
      </c>
      <c r="E216" s="432" t="n">
        <f aca="false">IF('Peak Revenue'!$A$1="BL","-",IF(Peak!K217&gt;Peak!$G217,E$8*$X216,0))</f>
        <v>19</v>
      </c>
      <c r="F216" s="432" t="n">
        <f aca="false">IF('Peak Revenue'!$A$1="BL","-",IF(Peak!L217&gt;Peak!$G217,F$8*$X216,0))</f>
        <v>19</v>
      </c>
      <c r="G216" s="432" t="n">
        <f aca="false">IF('Peak Revenue'!$A$1="BL","-",IF(Peak!M217&gt;Peak!$G217,G$8*$X216,0))</f>
        <v>38</v>
      </c>
      <c r="H216" s="432" t="n">
        <f aca="false">IF('Peak Revenue'!$A$1="BL","-",IF(Peak!N217&gt;Peak!$G217,H$8*$X216,0))</f>
        <v>38</v>
      </c>
      <c r="I216" s="432" t="n">
        <f aca="false">IF('Peak Revenue'!$A$1="BL","-",IF(Peak!O217&gt;Peak!$G217,I$8*$X216,0))</f>
        <v>38</v>
      </c>
      <c r="J216" s="432" t="n">
        <f aca="false">IF('Peak Revenue'!$A$1="BL","-",IF(Peak!P217&gt;Peak!$G217,J$8*$X216,0))</f>
        <v>0</v>
      </c>
      <c r="K216" s="432" t="n">
        <f aca="false">IF('Peak Revenue'!$A$1="BL","-",IF(Peak!Q217&gt;Peak!$G217,K$8*$X216,0))</f>
        <v>0</v>
      </c>
      <c r="L216" s="432" t="n">
        <f aca="false">IF('Peak Revenue'!$A$1="BL","-",IF(Peak!R217&gt;Peak!$G217,L$8*$X216,0))</f>
        <v>0</v>
      </c>
      <c r="M216" s="432" t="n">
        <f aca="false">IF('Peak Revenue'!$A$1="BL","-",IF(Peak!S217&gt;Peak!$G217,M$8*$X216,0))</f>
        <v>0</v>
      </c>
      <c r="N216" s="432" t="n">
        <f aca="false">IF('Peak Revenue'!$A$1="BL","-",IF(Peak!T217&gt;Peak!$G217,N$8*$X216,0))</f>
        <v>0</v>
      </c>
      <c r="O216" s="432" t="n">
        <f aca="false">IF('Peak Revenue'!$A$1="BL","-",IF(Peak!U217&gt;Peak!$G217,O$8*$X216,0))</f>
        <v>0</v>
      </c>
      <c r="P216" s="432" t="n">
        <f aca="false">IF('Peak Revenue'!$A$1="BL","-",IF(Peak!V217&gt;Peak!$G217,P$8*$X216,0))</f>
        <v>0</v>
      </c>
      <c r="Q216" s="432" t="n">
        <f aca="false">IF('Peak Revenue'!$A$1="BL","-",IF(Peak!W217&gt;Peak!$G217,Q$8*$X216,0))</f>
        <v>0</v>
      </c>
      <c r="R216" s="432" t="n">
        <f aca="false">IF('Peak Revenue'!$A$1="BL","-",IF(Peak!X217&gt;Peak!$G217,R$8*$X216,0))</f>
        <v>0</v>
      </c>
      <c r="S216" s="432" t="n">
        <f aca="false">IF('Peak Revenue'!$A$1="BL","-",IF(Peak!Y217&gt;Peak!$G217,S$8*$X216,0))</f>
        <v>0</v>
      </c>
      <c r="T216" s="432" t="n">
        <f aca="false">IF('Peak Revenue'!$A$1="BL","-",IF(Peak!Z217&gt;Peak!$G217,T$8*$X216,0))</f>
        <v>0</v>
      </c>
      <c r="U216" s="432" t="n">
        <f aca="false">IF('Peak Revenue'!$A$1="BL","-",IF(Peak!AA217&gt;Peak!$G217,U$8*$X216,0))</f>
        <v>0</v>
      </c>
      <c r="V216" s="441" t="n">
        <f aca="false">SUM(B216:U216)</f>
        <v>171</v>
      </c>
      <c r="W216" s="442"/>
      <c r="X216" s="439" t="n">
        <f aca="false">CHOOSE(QUOTIENT(MONTH($A216),3)+1,Peak!$AM$11,Peak!$AN$11,Peak!$AL$11,Peak!$AO$11,Peak!$AM$11)</f>
        <v>0.95</v>
      </c>
      <c r="Y216" s="440" t="n">
        <f aca="false">CHOOSE(QUOTIENT(MONTH($A216),3)+1,Peak!$AM$17,Peak!$AN$17,Peak!$AL$17,Peak!$AO$17,Peak!$AM$17)</f>
        <v>705</v>
      </c>
    </row>
    <row r="217" customFormat="false" ht="12.75" hidden="false" customHeight="false" outlineLevel="0" collapsed="false">
      <c r="A217" s="400" t="n">
        <f aca="false">A216+30.417</f>
        <v>42836.319</v>
      </c>
      <c r="B217" s="432" t="n">
        <f aca="false">IF('Peak Revenue'!$A$1="BL","-",IF(Peak!H218&gt;Peak!$G218,B$8*$X217,0))</f>
        <v>4.75</v>
      </c>
      <c r="C217" s="432" t="n">
        <f aca="false">IF('Peak Revenue'!$A$1="BL","-",IF(Peak!I218&gt;Peak!$G218,C$8*$X217,0))</f>
        <v>4.75</v>
      </c>
      <c r="D217" s="432" t="n">
        <f aca="false">IF('Peak Revenue'!$A$1="BL","-",IF(Peak!J218&gt;Peak!$G218,D$8*$X217,0))</f>
        <v>9.5</v>
      </c>
      <c r="E217" s="432" t="n">
        <f aca="false">IF('Peak Revenue'!$A$1="BL","-",IF(Peak!K218&gt;Peak!$G218,E$8*$X217,0))</f>
        <v>19</v>
      </c>
      <c r="F217" s="432" t="n">
        <f aca="false">IF('Peak Revenue'!$A$1="BL","-",IF(Peak!L218&gt;Peak!$G218,F$8*$X217,0))</f>
        <v>19</v>
      </c>
      <c r="G217" s="432" t="n">
        <f aca="false">IF('Peak Revenue'!$A$1="BL","-",IF(Peak!M218&gt;Peak!$G218,G$8*$X217,0))</f>
        <v>38</v>
      </c>
      <c r="H217" s="432" t="n">
        <f aca="false">IF('Peak Revenue'!$A$1="BL","-",IF(Peak!N218&gt;Peak!$G218,H$8*$X217,0))</f>
        <v>38</v>
      </c>
      <c r="I217" s="432" t="n">
        <f aca="false">IF('Peak Revenue'!$A$1="BL","-",IF(Peak!O218&gt;Peak!$G218,I$8*$X217,0))</f>
        <v>0</v>
      </c>
      <c r="J217" s="432" t="n">
        <f aca="false">IF('Peak Revenue'!$A$1="BL","-",IF(Peak!P218&gt;Peak!$G218,J$8*$X217,0))</f>
        <v>0</v>
      </c>
      <c r="K217" s="432" t="n">
        <f aca="false">IF('Peak Revenue'!$A$1="BL","-",IF(Peak!Q218&gt;Peak!$G218,K$8*$X217,0))</f>
        <v>0</v>
      </c>
      <c r="L217" s="432" t="n">
        <f aca="false">IF('Peak Revenue'!$A$1="BL","-",IF(Peak!R218&gt;Peak!$G218,L$8*$X217,0))</f>
        <v>0</v>
      </c>
      <c r="M217" s="432" t="n">
        <f aca="false">IF('Peak Revenue'!$A$1="BL","-",IF(Peak!S218&gt;Peak!$G218,M$8*$X217,0))</f>
        <v>0</v>
      </c>
      <c r="N217" s="432" t="n">
        <f aca="false">IF('Peak Revenue'!$A$1="BL","-",IF(Peak!T218&gt;Peak!$G218,N$8*$X217,0))</f>
        <v>0</v>
      </c>
      <c r="O217" s="432" t="n">
        <f aca="false">IF('Peak Revenue'!$A$1="BL","-",IF(Peak!U218&gt;Peak!$G218,O$8*$X217,0))</f>
        <v>0</v>
      </c>
      <c r="P217" s="432" t="n">
        <f aca="false">IF('Peak Revenue'!$A$1="BL","-",IF(Peak!V218&gt;Peak!$G218,P$8*$X217,0))</f>
        <v>0</v>
      </c>
      <c r="Q217" s="432" t="n">
        <f aca="false">IF('Peak Revenue'!$A$1="BL","-",IF(Peak!W218&gt;Peak!$G218,Q$8*$X217,0))</f>
        <v>0</v>
      </c>
      <c r="R217" s="432" t="n">
        <f aca="false">IF('Peak Revenue'!$A$1="BL","-",IF(Peak!X218&gt;Peak!$G218,R$8*$X217,0))</f>
        <v>0</v>
      </c>
      <c r="S217" s="432" t="n">
        <f aca="false">IF('Peak Revenue'!$A$1="BL","-",IF(Peak!Y218&gt;Peak!$G218,S$8*$X217,0))</f>
        <v>0</v>
      </c>
      <c r="T217" s="432" t="n">
        <f aca="false">IF('Peak Revenue'!$A$1="BL","-",IF(Peak!Z218&gt;Peak!$G218,T$8*$X217,0))</f>
        <v>0</v>
      </c>
      <c r="U217" s="432" t="n">
        <f aca="false">IF('Peak Revenue'!$A$1="BL","-",IF(Peak!AA218&gt;Peak!$G218,U$8*$X217,0))</f>
        <v>0</v>
      </c>
      <c r="V217" s="441" t="n">
        <f aca="false">SUM(B217:U217)</f>
        <v>133</v>
      </c>
      <c r="W217" s="442"/>
      <c r="X217" s="439" t="n">
        <f aca="false">CHOOSE(QUOTIENT(MONTH($A217),3)+1,Peak!$AM$11,Peak!$AN$11,Peak!$AL$11,Peak!$AO$11,Peak!$AM$11)</f>
        <v>0.95</v>
      </c>
      <c r="Y217" s="440" t="n">
        <f aca="false">CHOOSE(QUOTIENT(MONTH($A217),3)+1,Peak!$AM$17,Peak!$AN$17,Peak!$AL$17,Peak!$AO$17,Peak!$AM$17)</f>
        <v>705</v>
      </c>
    </row>
    <row r="218" customFormat="false" ht="12.75" hidden="false" customHeight="false" outlineLevel="0" collapsed="false">
      <c r="A218" s="400" t="n">
        <f aca="false">A217+30.417</f>
        <v>42866.736</v>
      </c>
      <c r="B218" s="432" t="n">
        <f aca="false">IF('Peak Revenue'!$A$1="BL","-",IF(Peak!H219&gt;Peak!$G219,B$8*$X218,0))</f>
        <v>4.75</v>
      </c>
      <c r="C218" s="432" t="n">
        <f aca="false">IF('Peak Revenue'!$A$1="BL","-",IF(Peak!I219&gt;Peak!$G219,C$8*$X218,0))</f>
        <v>4.75</v>
      </c>
      <c r="D218" s="432" t="n">
        <f aca="false">IF('Peak Revenue'!$A$1="BL","-",IF(Peak!J219&gt;Peak!$G219,D$8*$X218,0))</f>
        <v>9.5</v>
      </c>
      <c r="E218" s="432" t="n">
        <f aca="false">IF('Peak Revenue'!$A$1="BL","-",IF(Peak!K219&gt;Peak!$G219,E$8*$X218,0))</f>
        <v>19</v>
      </c>
      <c r="F218" s="432" t="n">
        <f aca="false">IF('Peak Revenue'!$A$1="BL","-",IF(Peak!L219&gt;Peak!$G219,F$8*$X218,0))</f>
        <v>19</v>
      </c>
      <c r="G218" s="432" t="n">
        <f aca="false">IF('Peak Revenue'!$A$1="BL","-",IF(Peak!M219&gt;Peak!$G219,G$8*$X218,0))</f>
        <v>38</v>
      </c>
      <c r="H218" s="432" t="n">
        <f aca="false">IF('Peak Revenue'!$A$1="BL","-",IF(Peak!N219&gt;Peak!$G219,H$8*$X218,0))</f>
        <v>38</v>
      </c>
      <c r="I218" s="432" t="n">
        <f aca="false">IF('Peak Revenue'!$A$1="BL","-",IF(Peak!O219&gt;Peak!$G219,I$8*$X218,0))</f>
        <v>0</v>
      </c>
      <c r="J218" s="432" t="n">
        <f aca="false">IF('Peak Revenue'!$A$1="BL","-",IF(Peak!P219&gt;Peak!$G219,J$8*$X218,0))</f>
        <v>0</v>
      </c>
      <c r="K218" s="432" t="n">
        <f aca="false">IF('Peak Revenue'!$A$1="BL","-",IF(Peak!Q219&gt;Peak!$G219,K$8*$X218,0))</f>
        <v>0</v>
      </c>
      <c r="L218" s="432" t="n">
        <f aca="false">IF('Peak Revenue'!$A$1="BL","-",IF(Peak!R219&gt;Peak!$G219,L$8*$X218,0))</f>
        <v>0</v>
      </c>
      <c r="M218" s="432" t="n">
        <f aca="false">IF('Peak Revenue'!$A$1="BL","-",IF(Peak!S219&gt;Peak!$G219,M$8*$X218,0))</f>
        <v>0</v>
      </c>
      <c r="N218" s="432" t="n">
        <f aca="false">IF('Peak Revenue'!$A$1="BL","-",IF(Peak!T219&gt;Peak!$G219,N$8*$X218,0))</f>
        <v>0</v>
      </c>
      <c r="O218" s="432" t="n">
        <f aca="false">IF('Peak Revenue'!$A$1="BL","-",IF(Peak!U219&gt;Peak!$G219,O$8*$X218,0))</f>
        <v>0</v>
      </c>
      <c r="P218" s="432" t="n">
        <f aca="false">IF('Peak Revenue'!$A$1="BL","-",IF(Peak!V219&gt;Peak!$G219,P$8*$X218,0))</f>
        <v>0</v>
      </c>
      <c r="Q218" s="432" t="n">
        <f aca="false">IF('Peak Revenue'!$A$1="BL","-",IF(Peak!W219&gt;Peak!$G219,Q$8*$X218,0))</f>
        <v>0</v>
      </c>
      <c r="R218" s="432" t="n">
        <f aca="false">IF('Peak Revenue'!$A$1="BL","-",IF(Peak!X219&gt;Peak!$G219,R$8*$X218,0))</f>
        <v>0</v>
      </c>
      <c r="S218" s="432" t="n">
        <f aca="false">IF('Peak Revenue'!$A$1="BL","-",IF(Peak!Y219&gt;Peak!$G219,S$8*$X218,0))</f>
        <v>0</v>
      </c>
      <c r="T218" s="432" t="n">
        <f aca="false">IF('Peak Revenue'!$A$1="BL","-",IF(Peak!Z219&gt;Peak!$G219,T$8*$X218,0))</f>
        <v>0</v>
      </c>
      <c r="U218" s="432" t="n">
        <f aca="false">IF('Peak Revenue'!$A$1="BL","-",IF(Peak!AA219&gt;Peak!$G219,U$8*$X218,0))</f>
        <v>0</v>
      </c>
      <c r="V218" s="441" t="n">
        <f aca="false">SUM(B218:U218)</f>
        <v>133</v>
      </c>
      <c r="W218" s="442"/>
      <c r="X218" s="439" t="n">
        <f aca="false">CHOOSE(QUOTIENT(MONTH($A218),3)+1,Peak!$AM$11,Peak!$AN$11,Peak!$AL$11,Peak!$AO$11,Peak!$AM$11)</f>
        <v>0.95</v>
      </c>
      <c r="Y218" s="440" t="n">
        <f aca="false">CHOOSE(QUOTIENT(MONTH($A218),3)+1,Peak!$AM$17,Peak!$AN$17,Peak!$AL$17,Peak!$AO$17,Peak!$AM$17)</f>
        <v>705</v>
      </c>
    </row>
    <row r="219" customFormat="false" ht="12.75" hidden="false" customHeight="false" outlineLevel="0" collapsed="false">
      <c r="A219" s="400" t="n">
        <f aca="false">A218+30.417</f>
        <v>42897.153</v>
      </c>
      <c r="B219" s="432" t="n">
        <f aca="false">IF('Peak Revenue'!$A$1="BL","-",IF(Peak!H220&gt;Peak!$G220,B$8*$X219,0))</f>
        <v>4.83060679547793</v>
      </c>
      <c r="C219" s="432" t="n">
        <f aca="false">IF('Peak Revenue'!$A$1="BL","-",IF(Peak!I220&gt;Peak!$G220,C$8*$X219,0))</f>
        <v>4.83060679547793</v>
      </c>
      <c r="D219" s="432" t="n">
        <f aca="false">IF('Peak Revenue'!$A$1="BL","-",IF(Peak!J220&gt;Peak!$G220,D$8*$X219,0))</f>
        <v>9.66121359095586</v>
      </c>
      <c r="E219" s="432" t="n">
        <f aca="false">IF('Peak Revenue'!$A$1="BL","-",IF(Peak!K220&gt;Peak!$G220,E$8*$X219,0))</f>
        <v>19.3224271819117</v>
      </c>
      <c r="F219" s="432" t="n">
        <f aca="false">IF('Peak Revenue'!$A$1="BL","-",IF(Peak!L220&gt;Peak!$G220,F$8*$X219,0))</f>
        <v>19.3224271819117</v>
      </c>
      <c r="G219" s="432" t="n">
        <f aca="false">IF('Peak Revenue'!$A$1="BL","-",IF(Peak!M220&gt;Peak!$G220,G$8*$X219,0))</f>
        <v>38.6448543638234</v>
      </c>
      <c r="H219" s="432" t="n">
        <f aca="false">IF('Peak Revenue'!$A$1="BL","-",IF(Peak!N220&gt;Peak!$G220,H$8*$X219,0))</f>
        <v>38.6448543638234</v>
      </c>
      <c r="I219" s="432" t="n">
        <f aca="false">IF('Peak Revenue'!$A$1="BL","-",IF(Peak!O220&gt;Peak!$G220,I$8*$X219,0))</f>
        <v>38.6448543638234</v>
      </c>
      <c r="J219" s="432" t="n">
        <f aca="false">IF('Peak Revenue'!$A$1="BL","-",IF(Peak!P220&gt;Peak!$G220,J$8*$X219,0))</f>
        <v>38.6448543638234</v>
      </c>
      <c r="K219" s="432" t="n">
        <f aca="false">IF('Peak Revenue'!$A$1="BL","-",IF(Peak!Q220&gt;Peak!$G220,K$8*$X219,0))</f>
        <v>38.6448543638234</v>
      </c>
      <c r="L219" s="432" t="n">
        <f aca="false">IF('Peak Revenue'!$A$1="BL","-",IF(Peak!R220&gt;Peak!$G220,L$8*$X219,0))</f>
        <v>38.6448543638234</v>
      </c>
      <c r="M219" s="432" t="n">
        <f aca="false">IF('Peak Revenue'!$A$1="BL","-",IF(Peak!S220&gt;Peak!$G220,M$8*$X219,0))</f>
        <v>0</v>
      </c>
      <c r="N219" s="432" t="n">
        <f aca="false">IF('Peak Revenue'!$A$1="BL","-",IF(Peak!T220&gt;Peak!$G220,N$8*$X219,0))</f>
        <v>0</v>
      </c>
      <c r="O219" s="432" t="n">
        <f aca="false">IF('Peak Revenue'!$A$1="BL","-",IF(Peak!U220&gt;Peak!$G220,O$8*$X219,0))</f>
        <v>0</v>
      </c>
      <c r="P219" s="432" t="n">
        <f aca="false">IF('Peak Revenue'!$A$1="BL","-",IF(Peak!V220&gt;Peak!$G220,P$8*$X219,0))</f>
        <v>0</v>
      </c>
      <c r="Q219" s="432" t="n">
        <f aca="false">IF('Peak Revenue'!$A$1="BL","-",IF(Peak!W220&gt;Peak!$G220,Q$8*$X219,0))</f>
        <v>0</v>
      </c>
      <c r="R219" s="432" t="n">
        <f aca="false">IF('Peak Revenue'!$A$1="BL","-",IF(Peak!X220&gt;Peak!$G220,R$8*$X219,0))</f>
        <v>0</v>
      </c>
      <c r="S219" s="432" t="n">
        <f aca="false">IF('Peak Revenue'!$A$1="BL","-",IF(Peak!Y220&gt;Peak!$G220,S$8*$X219,0))</f>
        <v>0</v>
      </c>
      <c r="T219" s="432" t="n">
        <f aca="false">IF('Peak Revenue'!$A$1="BL","-",IF(Peak!Z220&gt;Peak!$G220,T$8*$X219,0))</f>
        <v>0</v>
      </c>
      <c r="U219" s="432" t="n">
        <f aca="false">IF('Peak Revenue'!$A$1="BL","-",IF(Peak!AA220&gt;Peak!$G220,U$8*$X219,0))</f>
        <v>0</v>
      </c>
      <c r="V219" s="441" t="n">
        <f aca="false">SUM(B219:U219)</f>
        <v>289.836407728676</v>
      </c>
      <c r="W219" s="442"/>
      <c r="X219" s="439" t="n">
        <f aca="false">CHOOSE(QUOTIENT(MONTH($A219),3)+1,Peak!$AM$11,Peak!$AN$11,Peak!$AL$11,Peak!$AO$11,Peak!$AM$11)</f>
        <v>0.966121359095586</v>
      </c>
      <c r="Y219" s="440" t="n">
        <f aca="false">CHOOSE(QUOTIENT(MONTH($A219),3)+1,Peak!$AM$17,Peak!$AN$17,Peak!$AL$17,Peak!$AO$17,Peak!$AM$17)</f>
        <v>705</v>
      </c>
    </row>
    <row r="220" customFormat="false" ht="12.75" hidden="false" customHeight="false" outlineLevel="0" collapsed="false">
      <c r="A220" s="400" t="n">
        <f aca="false">A219+30.417</f>
        <v>42927.57</v>
      </c>
      <c r="B220" s="432" t="n">
        <f aca="false">IF('Peak Revenue'!$A$1="BL","-",IF(Peak!H221&gt;Peak!$G221,B$8*$X220,0))</f>
        <v>4.83060679547793</v>
      </c>
      <c r="C220" s="432" t="n">
        <f aca="false">IF('Peak Revenue'!$A$1="BL","-",IF(Peak!I221&gt;Peak!$G221,C$8*$X220,0))</f>
        <v>4.83060679547793</v>
      </c>
      <c r="D220" s="432" t="n">
        <f aca="false">IF('Peak Revenue'!$A$1="BL","-",IF(Peak!J221&gt;Peak!$G221,D$8*$X220,0))</f>
        <v>9.66121359095586</v>
      </c>
      <c r="E220" s="432" t="n">
        <f aca="false">IF('Peak Revenue'!$A$1="BL","-",IF(Peak!K221&gt;Peak!$G221,E$8*$X220,0))</f>
        <v>19.3224271819117</v>
      </c>
      <c r="F220" s="432" t="n">
        <f aca="false">IF('Peak Revenue'!$A$1="BL","-",IF(Peak!L221&gt;Peak!$G221,F$8*$X220,0))</f>
        <v>19.3224271819117</v>
      </c>
      <c r="G220" s="432" t="n">
        <f aca="false">IF('Peak Revenue'!$A$1="BL","-",IF(Peak!M221&gt;Peak!$G221,G$8*$X220,0))</f>
        <v>38.6448543638234</v>
      </c>
      <c r="H220" s="432" t="n">
        <f aca="false">IF('Peak Revenue'!$A$1="BL","-",IF(Peak!N221&gt;Peak!$G221,H$8*$X220,0))</f>
        <v>38.6448543638234</v>
      </c>
      <c r="I220" s="432" t="n">
        <f aca="false">IF('Peak Revenue'!$A$1="BL","-",IF(Peak!O221&gt;Peak!$G221,I$8*$X220,0))</f>
        <v>38.6448543638234</v>
      </c>
      <c r="J220" s="432" t="n">
        <f aca="false">IF('Peak Revenue'!$A$1="BL","-",IF(Peak!P221&gt;Peak!$G221,J$8*$X220,0))</f>
        <v>0</v>
      </c>
      <c r="K220" s="432" t="n">
        <f aca="false">IF('Peak Revenue'!$A$1="BL","-",IF(Peak!Q221&gt;Peak!$G221,K$8*$X220,0))</f>
        <v>0</v>
      </c>
      <c r="L220" s="432" t="n">
        <f aca="false">IF('Peak Revenue'!$A$1="BL","-",IF(Peak!R221&gt;Peak!$G221,L$8*$X220,0))</f>
        <v>0</v>
      </c>
      <c r="M220" s="432" t="n">
        <f aca="false">IF('Peak Revenue'!$A$1="BL","-",IF(Peak!S221&gt;Peak!$G221,M$8*$X220,0))</f>
        <v>0</v>
      </c>
      <c r="N220" s="432" t="n">
        <f aca="false">IF('Peak Revenue'!$A$1="BL","-",IF(Peak!T221&gt;Peak!$G221,N$8*$X220,0))</f>
        <v>0</v>
      </c>
      <c r="O220" s="432" t="n">
        <f aca="false">IF('Peak Revenue'!$A$1="BL","-",IF(Peak!U221&gt;Peak!$G221,O$8*$X220,0))</f>
        <v>0</v>
      </c>
      <c r="P220" s="432" t="n">
        <f aca="false">IF('Peak Revenue'!$A$1="BL","-",IF(Peak!V221&gt;Peak!$G221,P$8*$X220,0))</f>
        <v>0</v>
      </c>
      <c r="Q220" s="432" t="n">
        <f aca="false">IF('Peak Revenue'!$A$1="BL","-",IF(Peak!W221&gt;Peak!$G221,Q$8*$X220,0))</f>
        <v>0</v>
      </c>
      <c r="R220" s="432" t="n">
        <f aca="false">IF('Peak Revenue'!$A$1="BL","-",IF(Peak!X221&gt;Peak!$G221,R$8*$X220,0))</f>
        <v>0</v>
      </c>
      <c r="S220" s="432" t="n">
        <f aca="false">IF('Peak Revenue'!$A$1="BL","-",IF(Peak!Y221&gt;Peak!$G221,S$8*$X220,0))</f>
        <v>0</v>
      </c>
      <c r="T220" s="432" t="n">
        <f aca="false">IF('Peak Revenue'!$A$1="BL","-",IF(Peak!Z221&gt;Peak!$G221,T$8*$X220,0))</f>
        <v>0</v>
      </c>
      <c r="U220" s="432" t="n">
        <f aca="false">IF('Peak Revenue'!$A$1="BL","-",IF(Peak!AA221&gt;Peak!$G221,U$8*$X220,0))</f>
        <v>0</v>
      </c>
      <c r="V220" s="441" t="n">
        <f aca="false">SUM(B220:U220)</f>
        <v>173.901844637205</v>
      </c>
      <c r="W220" s="442"/>
      <c r="X220" s="439" t="n">
        <f aca="false">CHOOSE(QUOTIENT(MONTH($A220),3)+1,Peak!$AM$11,Peak!$AN$11,Peak!$AL$11,Peak!$AO$11,Peak!$AM$11)</f>
        <v>0.966121359095586</v>
      </c>
      <c r="Y220" s="440" t="n">
        <f aca="false">CHOOSE(QUOTIENT(MONTH($A220),3)+1,Peak!$AM$17,Peak!$AN$17,Peak!$AL$17,Peak!$AO$17,Peak!$AM$17)</f>
        <v>705</v>
      </c>
    </row>
    <row r="221" customFormat="false" ht="12.75" hidden="false" customHeight="false" outlineLevel="0" collapsed="false">
      <c r="A221" s="400" t="n">
        <f aca="false">A220+30.417</f>
        <v>42957.987</v>
      </c>
      <c r="B221" s="432" t="n">
        <f aca="false">IF('Peak Revenue'!$A$1="BL","-",IF(Peak!H222&gt;Peak!$G222,B$8*$X221,0))</f>
        <v>4.83060679547793</v>
      </c>
      <c r="C221" s="432" t="n">
        <f aca="false">IF('Peak Revenue'!$A$1="BL","-",IF(Peak!I222&gt;Peak!$G222,C$8*$X221,0))</f>
        <v>4.83060679547793</v>
      </c>
      <c r="D221" s="432" t="n">
        <f aca="false">IF('Peak Revenue'!$A$1="BL","-",IF(Peak!J222&gt;Peak!$G222,D$8*$X221,0))</f>
        <v>9.66121359095586</v>
      </c>
      <c r="E221" s="432" t="n">
        <f aca="false">IF('Peak Revenue'!$A$1="BL","-",IF(Peak!K222&gt;Peak!$G222,E$8*$X221,0))</f>
        <v>19.3224271819117</v>
      </c>
      <c r="F221" s="432" t="n">
        <f aca="false">IF('Peak Revenue'!$A$1="BL","-",IF(Peak!L222&gt;Peak!$G222,F$8*$X221,0))</f>
        <v>19.3224271819117</v>
      </c>
      <c r="G221" s="432" t="n">
        <f aca="false">IF('Peak Revenue'!$A$1="BL","-",IF(Peak!M222&gt;Peak!$G222,G$8*$X221,0))</f>
        <v>38.6448543638234</v>
      </c>
      <c r="H221" s="432" t="n">
        <f aca="false">IF('Peak Revenue'!$A$1="BL","-",IF(Peak!N222&gt;Peak!$G222,H$8*$X221,0))</f>
        <v>38.6448543638234</v>
      </c>
      <c r="I221" s="432" t="n">
        <f aca="false">IF('Peak Revenue'!$A$1="BL","-",IF(Peak!O222&gt;Peak!$G222,I$8*$X221,0))</f>
        <v>38.6448543638234</v>
      </c>
      <c r="J221" s="432" t="n">
        <f aca="false">IF('Peak Revenue'!$A$1="BL","-",IF(Peak!P222&gt;Peak!$G222,J$8*$X221,0))</f>
        <v>38.6448543638234</v>
      </c>
      <c r="K221" s="432" t="n">
        <f aca="false">IF('Peak Revenue'!$A$1="BL","-",IF(Peak!Q222&gt;Peak!$G222,K$8*$X221,0))</f>
        <v>38.6448543638234</v>
      </c>
      <c r="L221" s="432" t="n">
        <f aca="false">IF('Peak Revenue'!$A$1="BL","-",IF(Peak!R222&gt;Peak!$G222,L$8*$X221,0))</f>
        <v>0</v>
      </c>
      <c r="M221" s="432" t="n">
        <f aca="false">IF('Peak Revenue'!$A$1="BL","-",IF(Peak!S222&gt;Peak!$G222,M$8*$X221,0))</f>
        <v>0</v>
      </c>
      <c r="N221" s="432" t="n">
        <f aca="false">IF('Peak Revenue'!$A$1="BL","-",IF(Peak!T222&gt;Peak!$G222,N$8*$X221,0))</f>
        <v>0</v>
      </c>
      <c r="O221" s="432" t="n">
        <f aca="false">IF('Peak Revenue'!$A$1="BL","-",IF(Peak!U222&gt;Peak!$G222,O$8*$X221,0))</f>
        <v>0</v>
      </c>
      <c r="P221" s="432" t="n">
        <f aca="false">IF('Peak Revenue'!$A$1="BL","-",IF(Peak!V222&gt;Peak!$G222,P$8*$X221,0))</f>
        <v>0</v>
      </c>
      <c r="Q221" s="432" t="n">
        <f aca="false">IF('Peak Revenue'!$A$1="BL","-",IF(Peak!W222&gt;Peak!$G222,Q$8*$X221,0))</f>
        <v>0</v>
      </c>
      <c r="R221" s="432" t="n">
        <f aca="false">IF('Peak Revenue'!$A$1="BL","-",IF(Peak!X222&gt;Peak!$G222,R$8*$X221,0))</f>
        <v>0</v>
      </c>
      <c r="S221" s="432" t="n">
        <f aca="false">IF('Peak Revenue'!$A$1="BL","-",IF(Peak!Y222&gt;Peak!$G222,S$8*$X221,0))</f>
        <v>0</v>
      </c>
      <c r="T221" s="432" t="n">
        <f aca="false">IF('Peak Revenue'!$A$1="BL","-",IF(Peak!Z222&gt;Peak!$G222,T$8*$X221,0))</f>
        <v>0</v>
      </c>
      <c r="U221" s="432" t="n">
        <f aca="false">IF('Peak Revenue'!$A$1="BL","-",IF(Peak!AA222&gt;Peak!$G222,U$8*$X221,0))</f>
        <v>0</v>
      </c>
      <c r="V221" s="441" t="n">
        <f aca="false">SUM(B221:U221)</f>
        <v>251.191553364852</v>
      </c>
      <c r="W221" s="442"/>
      <c r="X221" s="439" t="n">
        <f aca="false">CHOOSE(QUOTIENT(MONTH($A221),3)+1,Peak!$AM$11,Peak!$AN$11,Peak!$AL$11,Peak!$AO$11,Peak!$AM$11)</f>
        <v>0.966121359095586</v>
      </c>
      <c r="Y221" s="440" t="n">
        <f aca="false">CHOOSE(QUOTIENT(MONTH($A221),3)+1,Peak!$AM$17,Peak!$AN$17,Peak!$AL$17,Peak!$AO$17,Peak!$AM$17)</f>
        <v>705</v>
      </c>
    </row>
    <row r="222" customFormat="false" ht="12.75" hidden="false" customHeight="false" outlineLevel="0" collapsed="false">
      <c r="A222" s="400" t="n">
        <f aca="false">A221+30.417</f>
        <v>42988.404</v>
      </c>
      <c r="B222" s="432" t="n">
        <f aca="false">IF('Peak Revenue'!$A$1="BL","-",IF(Peak!H223&gt;Peak!$G223,B$8*$X222,0))</f>
        <v>4.75</v>
      </c>
      <c r="C222" s="432" t="n">
        <f aca="false">IF('Peak Revenue'!$A$1="BL","-",IF(Peak!I223&gt;Peak!$G223,C$8*$X222,0))</f>
        <v>4.75</v>
      </c>
      <c r="D222" s="432" t="n">
        <f aca="false">IF('Peak Revenue'!$A$1="BL","-",IF(Peak!J223&gt;Peak!$G223,D$8*$X222,0))</f>
        <v>9.5</v>
      </c>
      <c r="E222" s="432" t="n">
        <f aca="false">IF('Peak Revenue'!$A$1="BL","-",IF(Peak!K223&gt;Peak!$G223,E$8*$X222,0))</f>
        <v>19</v>
      </c>
      <c r="F222" s="432" t="n">
        <f aca="false">IF('Peak Revenue'!$A$1="BL","-",IF(Peak!L223&gt;Peak!$G223,F$8*$X222,0))</f>
        <v>19</v>
      </c>
      <c r="G222" s="432" t="n">
        <f aca="false">IF('Peak Revenue'!$A$1="BL","-",IF(Peak!M223&gt;Peak!$G223,G$8*$X222,0))</f>
        <v>38</v>
      </c>
      <c r="H222" s="432" t="n">
        <f aca="false">IF('Peak Revenue'!$A$1="BL","-",IF(Peak!N223&gt;Peak!$G223,H$8*$X222,0))</f>
        <v>38</v>
      </c>
      <c r="I222" s="432" t="n">
        <f aca="false">IF('Peak Revenue'!$A$1="BL","-",IF(Peak!O223&gt;Peak!$G223,I$8*$X222,0))</f>
        <v>38</v>
      </c>
      <c r="J222" s="432" t="n">
        <f aca="false">IF('Peak Revenue'!$A$1="BL","-",IF(Peak!P223&gt;Peak!$G223,J$8*$X222,0))</f>
        <v>0</v>
      </c>
      <c r="K222" s="432" t="n">
        <f aca="false">IF('Peak Revenue'!$A$1="BL","-",IF(Peak!Q223&gt;Peak!$G223,K$8*$X222,0))</f>
        <v>0</v>
      </c>
      <c r="L222" s="432" t="n">
        <f aca="false">IF('Peak Revenue'!$A$1="BL","-",IF(Peak!R223&gt;Peak!$G223,L$8*$X222,0))</f>
        <v>0</v>
      </c>
      <c r="M222" s="432" t="n">
        <f aca="false">IF('Peak Revenue'!$A$1="BL","-",IF(Peak!S223&gt;Peak!$G223,M$8*$X222,0))</f>
        <v>0</v>
      </c>
      <c r="N222" s="432" t="n">
        <f aca="false">IF('Peak Revenue'!$A$1="BL","-",IF(Peak!T223&gt;Peak!$G223,N$8*$X222,0))</f>
        <v>0</v>
      </c>
      <c r="O222" s="432" t="n">
        <f aca="false">IF('Peak Revenue'!$A$1="BL","-",IF(Peak!U223&gt;Peak!$G223,O$8*$X222,0))</f>
        <v>0</v>
      </c>
      <c r="P222" s="432" t="n">
        <f aca="false">IF('Peak Revenue'!$A$1="BL","-",IF(Peak!V223&gt;Peak!$G223,P$8*$X222,0))</f>
        <v>0</v>
      </c>
      <c r="Q222" s="432" t="n">
        <f aca="false">IF('Peak Revenue'!$A$1="BL","-",IF(Peak!W223&gt;Peak!$G223,Q$8*$X222,0))</f>
        <v>0</v>
      </c>
      <c r="R222" s="432" t="n">
        <f aca="false">IF('Peak Revenue'!$A$1="BL","-",IF(Peak!X223&gt;Peak!$G223,R$8*$X222,0))</f>
        <v>0</v>
      </c>
      <c r="S222" s="432" t="n">
        <f aca="false">IF('Peak Revenue'!$A$1="BL","-",IF(Peak!Y223&gt;Peak!$G223,S$8*$X222,0))</f>
        <v>0</v>
      </c>
      <c r="T222" s="432" t="n">
        <f aca="false">IF('Peak Revenue'!$A$1="BL","-",IF(Peak!Z223&gt;Peak!$G223,T$8*$X222,0))</f>
        <v>0</v>
      </c>
      <c r="U222" s="432" t="n">
        <f aca="false">IF('Peak Revenue'!$A$1="BL","-",IF(Peak!AA223&gt;Peak!$G223,U$8*$X222,0))</f>
        <v>0</v>
      </c>
      <c r="V222" s="441" t="n">
        <f aca="false">SUM(B222:U222)</f>
        <v>171</v>
      </c>
      <c r="W222" s="442"/>
      <c r="X222" s="439" t="n">
        <f aca="false">CHOOSE(QUOTIENT(MONTH($A222),3)+1,Peak!$AM$11,Peak!$AN$11,Peak!$AL$11,Peak!$AO$11,Peak!$AM$11)</f>
        <v>0.95</v>
      </c>
      <c r="Y222" s="440" t="n">
        <f aca="false">CHOOSE(QUOTIENT(MONTH($A222),3)+1,Peak!$AM$17,Peak!$AN$17,Peak!$AL$17,Peak!$AO$17,Peak!$AM$17)</f>
        <v>705</v>
      </c>
    </row>
    <row r="223" customFormat="false" ht="12.75" hidden="false" customHeight="false" outlineLevel="0" collapsed="false">
      <c r="A223" s="400" t="n">
        <f aca="false">A222+30.417</f>
        <v>43018.821</v>
      </c>
      <c r="B223" s="432" t="n">
        <f aca="false">IF('Peak Revenue'!$A$1="BL","-",IF(Peak!H224&gt;Peak!$G224,B$8*$X223,0))</f>
        <v>4.75</v>
      </c>
      <c r="C223" s="432" t="n">
        <f aca="false">IF('Peak Revenue'!$A$1="BL","-",IF(Peak!I224&gt;Peak!$G224,C$8*$X223,0))</f>
        <v>4.75</v>
      </c>
      <c r="D223" s="432" t="n">
        <f aca="false">IF('Peak Revenue'!$A$1="BL","-",IF(Peak!J224&gt;Peak!$G224,D$8*$X223,0))</f>
        <v>9.5</v>
      </c>
      <c r="E223" s="432" t="n">
        <f aca="false">IF('Peak Revenue'!$A$1="BL","-",IF(Peak!K224&gt;Peak!$G224,E$8*$X223,0))</f>
        <v>19</v>
      </c>
      <c r="F223" s="432" t="n">
        <f aca="false">IF('Peak Revenue'!$A$1="BL","-",IF(Peak!L224&gt;Peak!$G224,F$8*$X223,0))</f>
        <v>19</v>
      </c>
      <c r="G223" s="432" t="n">
        <f aca="false">IF('Peak Revenue'!$A$1="BL","-",IF(Peak!M224&gt;Peak!$G224,G$8*$X223,0))</f>
        <v>38</v>
      </c>
      <c r="H223" s="432" t="n">
        <f aca="false">IF('Peak Revenue'!$A$1="BL","-",IF(Peak!N224&gt;Peak!$G224,H$8*$X223,0))</f>
        <v>38</v>
      </c>
      <c r="I223" s="432" t="n">
        <f aca="false">IF('Peak Revenue'!$A$1="BL","-",IF(Peak!O224&gt;Peak!$G224,I$8*$X223,0))</f>
        <v>38</v>
      </c>
      <c r="J223" s="432" t="n">
        <f aca="false">IF('Peak Revenue'!$A$1="BL","-",IF(Peak!P224&gt;Peak!$G224,J$8*$X223,0))</f>
        <v>38</v>
      </c>
      <c r="K223" s="432" t="n">
        <f aca="false">IF('Peak Revenue'!$A$1="BL","-",IF(Peak!Q224&gt;Peak!$G224,K$8*$X223,0))</f>
        <v>0</v>
      </c>
      <c r="L223" s="432" t="n">
        <f aca="false">IF('Peak Revenue'!$A$1="BL","-",IF(Peak!R224&gt;Peak!$G224,L$8*$X223,0))</f>
        <v>0</v>
      </c>
      <c r="M223" s="432" t="n">
        <f aca="false">IF('Peak Revenue'!$A$1="BL","-",IF(Peak!S224&gt;Peak!$G224,M$8*$X223,0))</f>
        <v>0</v>
      </c>
      <c r="N223" s="432" t="n">
        <f aca="false">IF('Peak Revenue'!$A$1="BL","-",IF(Peak!T224&gt;Peak!$G224,N$8*$X223,0))</f>
        <v>0</v>
      </c>
      <c r="O223" s="432" t="n">
        <f aca="false">IF('Peak Revenue'!$A$1="BL","-",IF(Peak!U224&gt;Peak!$G224,O$8*$X223,0))</f>
        <v>0</v>
      </c>
      <c r="P223" s="432" t="n">
        <f aca="false">IF('Peak Revenue'!$A$1="BL","-",IF(Peak!V224&gt;Peak!$G224,P$8*$X223,0))</f>
        <v>0</v>
      </c>
      <c r="Q223" s="432" t="n">
        <f aca="false">IF('Peak Revenue'!$A$1="BL","-",IF(Peak!W224&gt;Peak!$G224,Q$8*$X223,0))</f>
        <v>0</v>
      </c>
      <c r="R223" s="432" t="n">
        <f aca="false">IF('Peak Revenue'!$A$1="BL","-",IF(Peak!X224&gt;Peak!$G224,R$8*$X223,0))</f>
        <v>0</v>
      </c>
      <c r="S223" s="432" t="n">
        <f aca="false">IF('Peak Revenue'!$A$1="BL","-",IF(Peak!Y224&gt;Peak!$G224,S$8*$X223,0))</f>
        <v>0</v>
      </c>
      <c r="T223" s="432" t="n">
        <f aca="false">IF('Peak Revenue'!$A$1="BL","-",IF(Peak!Z224&gt;Peak!$G224,T$8*$X223,0))</f>
        <v>0</v>
      </c>
      <c r="U223" s="432" t="n">
        <f aca="false">IF('Peak Revenue'!$A$1="BL","-",IF(Peak!AA224&gt;Peak!$G224,U$8*$X223,0))</f>
        <v>0</v>
      </c>
      <c r="V223" s="441" t="n">
        <f aca="false">SUM(B223:U223)</f>
        <v>209</v>
      </c>
      <c r="W223" s="442"/>
      <c r="X223" s="439" t="n">
        <f aca="false">CHOOSE(QUOTIENT(MONTH($A223),3)+1,Peak!$AM$11,Peak!$AN$11,Peak!$AL$11,Peak!$AO$11,Peak!$AM$11)</f>
        <v>0.95</v>
      </c>
      <c r="Y223" s="440" t="n">
        <f aca="false">CHOOSE(QUOTIENT(MONTH($A223),3)+1,Peak!$AM$17,Peak!$AN$17,Peak!$AL$17,Peak!$AO$17,Peak!$AM$17)</f>
        <v>705</v>
      </c>
    </row>
    <row r="224" customFormat="false" ht="12.75" hidden="false" customHeight="false" outlineLevel="0" collapsed="false">
      <c r="A224" s="400" t="n">
        <f aca="false">A223+30.417</f>
        <v>43049.238</v>
      </c>
      <c r="B224" s="432" t="n">
        <f aca="false">IF('Peak Revenue'!$A$1="BL","-",IF(Peak!H225&gt;Peak!$G225,B$8*$X224,0))</f>
        <v>4.75</v>
      </c>
      <c r="C224" s="432" t="n">
        <f aca="false">IF('Peak Revenue'!$A$1="BL","-",IF(Peak!I225&gt;Peak!$G225,C$8*$X224,0))</f>
        <v>4.75</v>
      </c>
      <c r="D224" s="432" t="n">
        <f aca="false">IF('Peak Revenue'!$A$1="BL","-",IF(Peak!J225&gt;Peak!$G225,D$8*$X224,0))</f>
        <v>9.5</v>
      </c>
      <c r="E224" s="432" t="n">
        <f aca="false">IF('Peak Revenue'!$A$1="BL","-",IF(Peak!K225&gt;Peak!$G225,E$8*$X224,0))</f>
        <v>19</v>
      </c>
      <c r="F224" s="432" t="n">
        <f aca="false">IF('Peak Revenue'!$A$1="BL","-",IF(Peak!L225&gt;Peak!$G225,F$8*$X224,0))</f>
        <v>19</v>
      </c>
      <c r="G224" s="432" t="n">
        <f aca="false">IF('Peak Revenue'!$A$1="BL","-",IF(Peak!M225&gt;Peak!$G225,G$8*$X224,0))</f>
        <v>38</v>
      </c>
      <c r="H224" s="432" t="n">
        <f aca="false">IF('Peak Revenue'!$A$1="BL","-",IF(Peak!N225&gt;Peak!$G225,H$8*$X224,0))</f>
        <v>38</v>
      </c>
      <c r="I224" s="432" t="n">
        <f aca="false">IF('Peak Revenue'!$A$1="BL","-",IF(Peak!O225&gt;Peak!$G225,I$8*$X224,0))</f>
        <v>38</v>
      </c>
      <c r="J224" s="432" t="n">
        <f aca="false">IF('Peak Revenue'!$A$1="BL","-",IF(Peak!P225&gt;Peak!$G225,J$8*$X224,0))</f>
        <v>0</v>
      </c>
      <c r="K224" s="432" t="n">
        <f aca="false">IF('Peak Revenue'!$A$1="BL","-",IF(Peak!Q225&gt;Peak!$G225,K$8*$X224,0))</f>
        <v>0</v>
      </c>
      <c r="L224" s="432" t="n">
        <f aca="false">IF('Peak Revenue'!$A$1="BL","-",IF(Peak!R225&gt;Peak!$G225,L$8*$X224,0))</f>
        <v>0</v>
      </c>
      <c r="M224" s="432" t="n">
        <f aca="false">IF('Peak Revenue'!$A$1="BL","-",IF(Peak!S225&gt;Peak!$G225,M$8*$X224,0))</f>
        <v>0</v>
      </c>
      <c r="N224" s="432" t="n">
        <f aca="false">IF('Peak Revenue'!$A$1="BL","-",IF(Peak!T225&gt;Peak!$G225,N$8*$X224,0))</f>
        <v>0</v>
      </c>
      <c r="O224" s="432" t="n">
        <f aca="false">IF('Peak Revenue'!$A$1="BL","-",IF(Peak!U225&gt;Peak!$G225,O$8*$X224,0))</f>
        <v>0</v>
      </c>
      <c r="P224" s="432" t="n">
        <f aca="false">IF('Peak Revenue'!$A$1="BL","-",IF(Peak!V225&gt;Peak!$G225,P$8*$X224,0))</f>
        <v>0</v>
      </c>
      <c r="Q224" s="432" t="n">
        <f aca="false">IF('Peak Revenue'!$A$1="BL","-",IF(Peak!W225&gt;Peak!$G225,Q$8*$X224,0))</f>
        <v>0</v>
      </c>
      <c r="R224" s="432" t="n">
        <f aca="false">IF('Peak Revenue'!$A$1="BL","-",IF(Peak!X225&gt;Peak!$G225,R$8*$X224,0))</f>
        <v>0</v>
      </c>
      <c r="S224" s="432" t="n">
        <f aca="false">IF('Peak Revenue'!$A$1="BL","-",IF(Peak!Y225&gt;Peak!$G225,S$8*$X224,0))</f>
        <v>0</v>
      </c>
      <c r="T224" s="432" t="n">
        <f aca="false">IF('Peak Revenue'!$A$1="BL","-",IF(Peak!Z225&gt;Peak!$G225,T$8*$X224,0))</f>
        <v>0</v>
      </c>
      <c r="U224" s="432" t="n">
        <f aca="false">IF('Peak Revenue'!$A$1="BL","-",IF(Peak!AA225&gt;Peak!$G225,U$8*$X224,0))</f>
        <v>0</v>
      </c>
      <c r="V224" s="441" t="n">
        <f aca="false">SUM(B224:U224)</f>
        <v>171</v>
      </c>
      <c r="W224" s="442"/>
      <c r="X224" s="439" t="n">
        <f aca="false">CHOOSE(QUOTIENT(MONTH($A224),3)+1,Peak!$AM$11,Peak!$AN$11,Peak!$AL$11,Peak!$AO$11,Peak!$AM$11)</f>
        <v>0.95</v>
      </c>
      <c r="Y224" s="440" t="n">
        <f aca="false">CHOOSE(QUOTIENT(MONTH($A224),3)+1,Peak!$AM$17,Peak!$AN$17,Peak!$AL$17,Peak!$AO$17,Peak!$AM$17)</f>
        <v>705</v>
      </c>
    </row>
    <row r="225" customFormat="false" ht="12.75" hidden="false" customHeight="false" outlineLevel="0" collapsed="false">
      <c r="A225" s="400" t="n">
        <f aca="false">A224+30.417</f>
        <v>43079.655</v>
      </c>
      <c r="B225" s="432" t="n">
        <f aca="false">IF('Peak Revenue'!$A$1="BL","-",IF(Peak!H226&gt;Peak!$G226,B$8*$X225,0))</f>
        <v>4.62138309393059</v>
      </c>
      <c r="C225" s="432" t="n">
        <f aca="false">IF('Peak Revenue'!$A$1="BL","-",IF(Peak!I226&gt;Peak!$G226,C$8*$X225,0))</f>
        <v>4.62138309393059</v>
      </c>
      <c r="D225" s="432" t="n">
        <f aca="false">IF('Peak Revenue'!$A$1="BL","-",IF(Peak!J226&gt;Peak!$G226,D$8*$X225,0))</f>
        <v>9.24276618786118</v>
      </c>
      <c r="E225" s="432" t="n">
        <f aca="false">IF('Peak Revenue'!$A$1="BL","-",IF(Peak!K226&gt;Peak!$G226,E$8*$X225,0))</f>
        <v>18.4855323757224</v>
      </c>
      <c r="F225" s="432" t="n">
        <f aca="false">IF('Peak Revenue'!$A$1="BL","-",IF(Peak!L226&gt;Peak!$G226,F$8*$X225,0))</f>
        <v>18.4855323757224</v>
      </c>
      <c r="G225" s="432" t="n">
        <f aca="false">IF('Peak Revenue'!$A$1="BL","-",IF(Peak!M226&gt;Peak!$G226,G$8*$X225,0))</f>
        <v>36.9710647514447</v>
      </c>
      <c r="H225" s="432" t="n">
        <f aca="false">IF('Peak Revenue'!$A$1="BL","-",IF(Peak!N226&gt;Peak!$G226,H$8*$X225,0))</f>
        <v>36.9710647514447</v>
      </c>
      <c r="I225" s="432" t="n">
        <f aca="false">IF('Peak Revenue'!$A$1="BL","-",IF(Peak!O226&gt;Peak!$G226,I$8*$X225,0))</f>
        <v>36.9710647514447</v>
      </c>
      <c r="J225" s="432" t="n">
        <f aca="false">IF('Peak Revenue'!$A$1="BL","-",IF(Peak!P226&gt;Peak!$G226,J$8*$X225,0))</f>
        <v>36.9710647514447</v>
      </c>
      <c r="K225" s="432" t="n">
        <f aca="false">IF('Peak Revenue'!$A$1="BL","-",IF(Peak!Q226&gt;Peak!$G226,K$8*$X225,0))</f>
        <v>36.9710647514447</v>
      </c>
      <c r="L225" s="432" t="n">
        <f aca="false">IF('Peak Revenue'!$A$1="BL","-",IF(Peak!R226&gt;Peak!$G226,L$8*$X225,0))</f>
        <v>36.9710647514447</v>
      </c>
      <c r="M225" s="432" t="n">
        <f aca="false">IF('Peak Revenue'!$A$1="BL","-",IF(Peak!S226&gt;Peak!$G226,M$8*$X225,0))</f>
        <v>36.9710647514447</v>
      </c>
      <c r="N225" s="432" t="n">
        <f aca="false">IF('Peak Revenue'!$A$1="BL","-",IF(Peak!T226&gt;Peak!$G226,N$8*$X225,0))</f>
        <v>36.9710647514447</v>
      </c>
      <c r="O225" s="432" t="n">
        <f aca="false">IF('Peak Revenue'!$A$1="BL","-",IF(Peak!U226&gt;Peak!$G226,O$8*$X225,0))</f>
        <v>36.9710647514447</v>
      </c>
      <c r="P225" s="432" t="n">
        <f aca="false">IF('Peak Revenue'!$A$1="BL","-",IF(Peak!V226&gt;Peak!$G226,P$8*$X225,0))</f>
        <v>0</v>
      </c>
      <c r="Q225" s="432" t="n">
        <f aca="false">IF('Peak Revenue'!$A$1="BL","-",IF(Peak!W226&gt;Peak!$G226,Q$8*$X225,0))</f>
        <v>0</v>
      </c>
      <c r="R225" s="432" t="n">
        <f aca="false">IF('Peak Revenue'!$A$1="BL","-",IF(Peak!X226&gt;Peak!$G226,R$8*$X225,0))</f>
        <v>0</v>
      </c>
      <c r="S225" s="432" t="n">
        <f aca="false">IF('Peak Revenue'!$A$1="BL","-",IF(Peak!Y226&gt;Peak!$G226,S$8*$X225,0))</f>
        <v>0</v>
      </c>
      <c r="T225" s="432" t="n">
        <f aca="false">IF('Peak Revenue'!$A$1="BL","-",IF(Peak!Z226&gt;Peak!$G226,T$8*$X225,0))</f>
        <v>0</v>
      </c>
      <c r="U225" s="432" t="n">
        <f aca="false">IF('Peak Revenue'!$A$1="BL","-",IF(Peak!AA226&gt;Peak!$G226,U$8*$X225,0))</f>
        <v>0</v>
      </c>
      <c r="V225" s="441" t="n">
        <f aca="false">SUM(B225:U225)</f>
        <v>388.196179890169</v>
      </c>
      <c r="W225" s="443" t="n">
        <f aca="false">SUM(V214:V225)</f>
        <v>2423.86556838391</v>
      </c>
      <c r="X225" s="439" t="n">
        <f aca="false">CHOOSE(QUOTIENT(MONTH($A225),3)+1,Peak!$AM$11,Peak!$AN$11,Peak!$AL$11,Peak!$AO$11,Peak!$AM$11)</f>
        <v>0.924276618786118</v>
      </c>
      <c r="Y225" s="440" t="n">
        <f aca="false">CHOOSE(QUOTIENT(MONTH($A225),3)+1,Peak!$AM$17,Peak!$AN$17,Peak!$AL$17,Peak!$AO$17,Peak!$AM$17)</f>
        <v>705</v>
      </c>
    </row>
    <row r="226" customFormat="false" ht="12.75" hidden="false" customHeight="false" outlineLevel="0" collapsed="false">
      <c r="A226" s="400" t="n">
        <f aca="false">A225+30.417</f>
        <v>43110.072</v>
      </c>
      <c r="B226" s="432" t="n">
        <f aca="false">IF('Peak Revenue'!$A$1="BL","-",IF(Peak!H227&gt;Peak!$G227,B$8*$X226,0))</f>
        <v>4.62138309393059</v>
      </c>
      <c r="C226" s="432" t="n">
        <f aca="false">IF('Peak Revenue'!$A$1="BL","-",IF(Peak!I227&gt;Peak!$G227,C$8*$X226,0))</f>
        <v>4.62138309393059</v>
      </c>
      <c r="D226" s="432" t="n">
        <f aca="false">IF('Peak Revenue'!$A$1="BL","-",IF(Peak!J227&gt;Peak!$G227,D$8*$X226,0))</f>
        <v>9.24276618786118</v>
      </c>
      <c r="E226" s="432" t="n">
        <f aca="false">IF('Peak Revenue'!$A$1="BL","-",IF(Peak!K227&gt;Peak!$G227,E$8*$X226,0))</f>
        <v>18.4855323757224</v>
      </c>
      <c r="F226" s="432" t="n">
        <f aca="false">IF('Peak Revenue'!$A$1="BL","-",IF(Peak!L227&gt;Peak!$G227,F$8*$X226,0))</f>
        <v>18.4855323757224</v>
      </c>
      <c r="G226" s="432" t="n">
        <f aca="false">IF('Peak Revenue'!$A$1="BL","-",IF(Peak!M227&gt;Peak!$G227,G$8*$X226,0))</f>
        <v>36.9710647514447</v>
      </c>
      <c r="H226" s="432" t="n">
        <f aca="false">IF('Peak Revenue'!$A$1="BL","-",IF(Peak!N227&gt;Peak!$G227,H$8*$X226,0))</f>
        <v>36.9710647514447</v>
      </c>
      <c r="I226" s="432" t="n">
        <f aca="false">IF('Peak Revenue'!$A$1="BL","-",IF(Peak!O227&gt;Peak!$G227,I$8*$X226,0))</f>
        <v>0</v>
      </c>
      <c r="J226" s="432" t="n">
        <f aca="false">IF('Peak Revenue'!$A$1="BL","-",IF(Peak!P227&gt;Peak!$G227,J$8*$X226,0))</f>
        <v>0</v>
      </c>
      <c r="K226" s="432" t="n">
        <f aca="false">IF('Peak Revenue'!$A$1="BL","-",IF(Peak!Q227&gt;Peak!$G227,K$8*$X226,0))</f>
        <v>0</v>
      </c>
      <c r="L226" s="432" t="n">
        <f aca="false">IF('Peak Revenue'!$A$1="BL","-",IF(Peak!R227&gt;Peak!$G227,L$8*$X226,0))</f>
        <v>0</v>
      </c>
      <c r="M226" s="432" t="n">
        <f aca="false">IF('Peak Revenue'!$A$1="BL","-",IF(Peak!S227&gt;Peak!$G227,M$8*$X226,0))</f>
        <v>0</v>
      </c>
      <c r="N226" s="432" t="n">
        <f aca="false">IF('Peak Revenue'!$A$1="BL","-",IF(Peak!T227&gt;Peak!$G227,N$8*$X226,0))</f>
        <v>0</v>
      </c>
      <c r="O226" s="432" t="n">
        <f aca="false">IF('Peak Revenue'!$A$1="BL","-",IF(Peak!U227&gt;Peak!$G227,O$8*$X226,0))</f>
        <v>0</v>
      </c>
      <c r="P226" s="432" t="n">
        <f aca="false">IF('Peak Revenue'!$A$1="BL","-",IF(Peak!V227&gt;Peak!$G227,P$8*$X226,0))</f>
        <v>0</v>
      </c>
      <c r="Q226" s="432" t="n">
        <f aca="false">IF('Peak Revenue'!$A$1="BL","-",IF(Peak!W227&gt;Peak!$G227,Q$8*$X226,0))</f>
        <v>0</v>
      </c>
      <c r="R226" s="432" t="n">
        <f aca="false">IF('Peak Revenue'!$A$1="BL","-",IF(Peak!X227&gt;Peak!$G227,R$8*$X226,0))</f>
        <v>0</v>
      </c>
      <c r="S226" s="432" t="n">
        <f aca="false">IF('Peak Revenue'!$A$1="BL","-",IF(Peak!Y227&gt;Peak!$G227,S$8*$X226,0))</f>
        <v>0</v>
      </c>
      <c r="T226" s="432" t="n">
        <f aca="false">IF('Peak Revenue'!$A$1="BL","-",IF(Peak!Z227&gt;Peak!$G227,T$8*$X226,0))</f>
        <v>0</v>
      </c>
      <c r="U226" s="432" t="n">
        <f aca="false">IF('Peak Revenue'!$A$1="BL","-",IF(Peak!AA227&gt;Peak!$G227,U$8*$X226,0))</f>
        <v>0</v>
      </c>
      <c r="V226" s="441" t="n">
        <f aca="false">SUM(B226:U226)</f>
        <v>129.398726630056</v>
      </c>
      <c r="W226" s="442"/>
      <c r="X226" s="439" t="n">
        <f aca="false">CHOOSE(QUOTIENT(MONTH($A226),3)+1,Peak!$AM$11,Peak!$AN$11,Peak!$AL$11,Peak!$AO$11,Peak!$AM$11)</f>
        <v>0.924276618786118</v>
      </c>
      <c r="Y226" s="440" t="n">
        <f aca="false">CHOOSE(QUOTIENT(MONTH($A226),3)+1,Peak!$AM$17,Peak!$AN$17,Peak!$AL$17,Peak!$AO$17,Peak!$AM$17)</f>
        <v>705</v>
      </c>
    </row>
    <row r="227" customFormat="false" ht="12.75" hidden="false" customHeight="false" outlineLevel="0" collapsed="false">
      <c r="A227" s="400" t="n">
        <f aca="false">A226+30.417</f>
        <v>43140.489</v>
      </c>
      <c r="B227" s="432" t="n">
        <f aca="false">IF('Peak Revenue'!$A$1="BL","-",IF(Peak!H228&gt;Peak!$G228,B$8*$X227,0))</f>
        <v>4.62138309393059</v>
      </c>
      <c r="C227" s="432" t="n">
        <f aca="false">IF('Peak Revenue'!$A$1="BL","-",IF(Peak!I228&gt;Peak!$G228,C$8*$X227,0))</f>
        <v>4.62138309393059</v>
      </c>
      <c r="D227" s="432" t="n">
        <f aca="false">IF('Peak Revenue'!$A$1="BL","-",IF(Peak!J228&gt;Peak!$G228,D$8*$X227,0))</f>
        <v>9.24276618786118</v>
      </c>
      <c r="E227" s="432" t="n">
        <f aca="false">IF('Peak Revenue'!$A$1="BL","-",IF(Peak!K228&gt;Peak!$G228,E$8*$X227,0))</f>
        <v>18.4855323757224</v>
      </c>
      <c r="F227" s="432" t="n">
        <f aca="false">IF('Peak Revenue'!$A$1="BL","-",IF(Peak!L228&gt;Peak!$G228,F$8*$X227,0))</f>
        <v>18.4855323757224</v>
      </c>
      <c r="G227" s="432" t="n">
        <f aca="false">IF('Peak Revenue'!$A$1="BL","-",IF(Peak!M228&gt;Peak!$G228,G$8*$X227,0))</f>
        <v>36.9710647514447</v>
      </c>
      <c r="H227" s="432" t="n">
        <f aca="false">IF('Peak Revenue'!$A$1="BL","-",IF(Peak!N228&gt;Peak!$G228,H$8*$X227,0))</f>
        <v>36.9710647514447</v>
      </c>
      <c r="I227" s="432" t="n">
        <f aca="false">IF('Peak Revenue'!$A$1="BL","-",IF(Peak!O228&gt;Peak!$G228,I$8*$X227,0))</f>
        <v>36.9710647514447</v>
      </c>
      <c r="J227" s="432" t="n">
        <f aca="false">IF('Peak Revenue'!$A$1="BL","-",IF(Peak!P228&gt;Peak!$G228,J$8*$X227,0))</f>
        <v>36.9710647514447</v>
      </c>
      <c r="K227" s="432" t="n">
        <f aca="false">IF('Peak Revenue'!$A$1="BL","-",IF(Peak!Q228&gt;Peak!$G228,K$8*$X227,0))</f>
        <v>36.9710647514447</v>
      </c>
      <c r="L227" s="432" t="n">
        <f aca="false">IF('Peak Revenue'!$A$1="BL","-",IF(Peak!R228&gt;Peak!$G228,L$8*$X227,0))</f>
        <v>0</v>
      </c>
      <c r="M227" s="432" t="n">
        <f aca="false">IF('Peak Revenue'!$A$1="BL","-",IF(Peak!S228&gt;Peak!$G228,M$8*$X227,0))</f>
        <v>0</v>
      </c>
      <c r="N227" s="432" t="n">
        <f aca="false">IF('Peak Revenue'!$A$1="BL","-",IF(Peak!T228&gt;Peak!$G228,N$8*$X227,0))</f>
        <v>0</v>
      </c>
      <c r="O227" s="432" t="n">
        <f aca="false">IF('Peak Revenue'!$A$1="BL","-",IF(Peak!U228&gt;Peak!$G228,O$8*$X227,0))</f>
        <v>0</v>
      </c>
      <c r="P227" s="432" t="n">
        <f aca="false">IF('Peak Revenue'!$A$1="BL","-",IF(Peak!V228&gt;Peak!$G228,P$8*$X227,0))</f>
        <v>0</v>
      </c>
      <c r="Q227" s="432" t="n">
        <f aca="false">IF('Peak Revenue'!$A$1="BL","-",IF(Peak!W228&gt;Peak!$G228,Q$8*$X227,0))</f>
        <v>0</v>
      </c>
      <c r="R227" s="432" t="n">
        <f aca="false">IF('Peak Revenue'!$A$1="BL","-",IF(Peak!X228&gt;Peak!$G228,R$8*$X227,0))</f>
        <v>0</v>
      </c>
      <c r="S227" s="432" t="n">
        <f aca="false">IF('Peak Revenue'!$A$1="BL","-",IF(Peak!Y228&gt;Peak!$G228,S$8*$X227,0))</f>
        <v>0</v>
      </c>
      <c r="T227" s="432" t="n">
        <f aca="false">IF('Peak Revenue'!$A$1="BL","-",IF(Peak!Z228&gt;Peak!$G228,T$8*$X227,0))</f>
        <v>0</v>
      </c>
      <c r="U227" s="432" t="n">
        <f aca="false">IF('Peak Revenue'!$A$1="BL","-",IF(Peak!AA228&gt;Peak!$G228,U$8*$X227,0))</f>
        <v>0</v>
      </c>
      <c r="V227" s="441" t="n">
        <f aca="false">SUM(B227:U227)</f>
        <v>240.311920884391</v>
      </c>
      <c r="W227" s="442"/>
      <c r="X227" s="439" t="n">
        <f aca="false">CHOOSE(QUOTIENT(MONTH($A227),3)+1,Peak!$AM$11,Peak!$AN$11,Peak!$AL$11,Peak!$AO$11,Peak!$AM$11)</f>
        <v>0.924276618786118</v>
      </c>
      <c r="Y227" s="440" t="n">
        <f aca="false">CHOOSE(QUOTIENT(MONTH($A227),3)+1,Peak!$AM$17,Peak!$AN$17,Peak!$AL$17,Peak!$AO$17,Peak!$AM$17)</f>
        <v>705</v>
      </c>
    </row>
    <row r="228" customFormat="false" ht="12.75" hidden="false" customHeight="false" outlineLevel="0" collapsed="false">
      <c r="A228" s="400" t="n">
        <f aca="false">A227+30.417</f>
        <v>43170.906</v>
      </c>
      <c r="B228" s="432" t="n">
        <f aca="false">IF('Peak Revenue'!$A$1="BL","-",IF(Peak!H229&gt;Peak!$G229,B$8*$X228,0))</f>
        <v>4.75</v>
      </c>
      <c r="C228" s="432" t="n">
        <f aca="false">IF('Peak Revenue'!$A$1="BL","-",IF(Peak!I229&gt;Peak!$G229,C$8*$X228,0))</f>
        <v>4.75</v>
      </c>
      <c r="D228" s="432" t="n">
        <f aca="false">IF('Peak Revenue'!$A$1="BL","-",IF(Peak!J229&gt;Peak!$G229,D$8*$X228,0))</f>
        <v>9.5</v>
      </c>
      <c r="E228" s="432" t="n">
        <f aca="false">IF('Peak Revenue'!$A$1="BL","-",IF(Peak!K229&gt;Peak!$G229,E$8*$X228,0))</f>
        <v>19</v>
      </c>
      <c r="F228" s="432" t="n">
        <f aca="false">IF('Peak Revenue'!$A$1="BL","-",IF(Peak!L229&gt;Peak!$G229,F$8*$X228,0))</f>
        <v>19</v>
      </c>
      <c r="G228" s="432" t="n">
        <f aca="false">IF('Peak Revenue'!$A$1="BL","-",IF(Peak!M229&gt;Peak!$G229,G$8*$X228,0))</f>
        <v>38</v>
      </c>
      <c r="H228" s="432" t="n">
        <f aca="false">IF('Peak Revenue'!$A$1="BL","-",IF(Peak!N229&gt;Peak!$G229,H$8*$X228,0))</f>
        <v>38</v>
      </c>
      <c r="I228" s="432" t="n">
        <f aca="false">IF('Peak Revenue'!$A$1="BL","-",IF(Peak!O229&gt;Peak!$G229,I$8*$X228,0))</f>
        <v>38</v>
      </c>
      <c r="J228" s="432" t="n">
        <f aca="false">IF('Peak Revenue'!$A$1="BL","-",IF(Peak!P229&gt;Peak!$G229,J$8*$X228,0))</f>
        <v>38</v>
      </c>
      <c r="K228" s="432" t="n">
        <f aca="false">IF('Peak Revenue'!$A$1="BL","-",IF(Peak!Q229&gt;Peak!$G229,K$8*$X228,0))</f>
        <v>0</v>
      </c>
      <c r="L228" s="432" t="n">
        <f aca="false">IF('Peak Revenue'!$A$1="BL","-",IF(Peak!R229&gt;Peak!$G229,L$8*$X228,0))</f>
        <v>0</v>
      </c>
      <c r="M228" s="432" t="n">
        <f aca="false">IF('Peak Revenue'!$A$1="BL","-",IF(Peak!S229&gt;Peak!$G229,M$8*$X228,0))</f>
        <v>0</v>
      </c>
      <c r="N228" s="432" t="n">
        <f aca="false">IF('Peak Revenue'!$A$1="BL","-",IF(Peak!T229&gt;Peak!$G229,N$8*$X228,0))</f>
        <v>0</v>
      </c>
      <c r="O228" s="432" t="n">
        <f aca="false">IF('Peak Revenue'!$A$1="BL","-",IF(Peak!U229&gt;Peak!$G229,O$8*$X228,0))</f>
        <v>0</v>
      </c>
      <c r="P228" s="432" t="n">
        <f aca="false">IF('Peak Revenue'!$A$1="BL","-",IF(Peak!V229&gt;Peak!$G229,P$8*$X228,0))</f>
        <v>0</v>
      </c>
      <c r="Q228" s="432" t="n">
        <f aca="false">IF('Peak Revenue'!$A$1="BL","-",IF(Peak!W229&gt;Peak!$G229,Q$8*$X228,0))</f>
        <v>0</v>
      </c>
      <c r="R228" s="432" t="n">
        <f aca="false">IF('Peak Revenue'!$A$1="BL","-",IF(Peak!X229&gt;Peak!$G229,R$8*$X228,0))</f>
        <v>0</v>
      </c>
      <c r="S228" s="432" t="n">
        <f aca="false">IF('Peak Revenue'!$A$1="BL","-",IF(Peak!Y229&gt;Peak!$G229,S$8*$X228,0))</f>
        <v>0</v>
      </c>
      <c r="T228" s="432" t="n">
        <f aca="false">IF('Peak Revenue'!$A$1="BL","-",IF(Peak!Z229&gt;Peak!$G229,T$8*$X228,0))</f>
        <v>0</v>
      </c>
      <c r="U228" s="432" t="n">
        <f aca="false">IF('Peak Revenue'!$A$1="BL","-",IF(Peak!AA229&gt;Peak!$G229,U$8*$X228,0))</f>
        <v>0</v>
      </c>
      <c r="V228" s="441" t="n">
        <f aca="false">SUM(B228:U228)</f>
        <v>209</v>
      </c>
      <c r="W228" s="442"/>
      <c r="X228" s="439" t="n">
        <f aca="false">CHOOSE(QUOTIENT(MONTH($A228),3)+1,Peak!$AM$11,Peak!$AN$11,Peak!$AL$11,Peak!$AO$11,Peak!$AM$11)</f>
        <v>0.95</v>
      </c>
      <c r="Y228" s="440" t="n">
        <f aca="false">CHOOSE(QUOTIENT(MONTH($A228),3)+1,Peak!$AM$17,Peak!$AN$17,Peak!$AL$17,Peak!$AO$17,Peak!$AM$17)</f>
        <v>705</v>
      </c>
    </row>
    <row r="229" customFormat="false" ht="12.75" hidden="false" customHeight="false" outlineLevel="0" collapsed="false">
      <c r="A229" s="400" t="n">
        <f aca="false">A228+30.417</f>
        <v>43201.323</v>
      </c>
      <c r="B229" s="432" t="n">
        <f aca="false">IF('Peak Revenue'!$A$1="BL","-",IF(Peak!H230&gt;Peak!$G230,B$8*$X229,0))</f>
        <v>4.75</v>
      </c>
      <c r="C229" s="432" t="n">
        <f aca="false">IF('Peak Revenue'!$A$1="BL","-",IF(Peak!I230&gt;Peak!$G230,C$8*$X229,0))</f>
        <v>4.75</v>
      </c>
      <c r="D229" s="432" t="n">
        <f aca="false">IF('Peak Revenue'!$A$1="BL","-",IF(Peak!J230&gt;Peak!$G230,D$8*$X229,0))</f>
        <v>9.5</v>
      </c>
      <c r="E229" s="432" t="n">
        <f aca="false">IF('Peak Revenue'!$A$1="BL","-",IF(Peak!K230&gt;Peak!$G230,E$8*$X229,0))</f>
        <v>19</v>
      </c>
      <c r="F229" s="432" t="n">
        <f aca="false">IF('Peak Revenue'!$A$1="BL","-",IF(Peak!L230&gt;Peak!$G230,F$8*$X229,0))</f>
        <v>19</v>
      </c>
      <c r="G229" s="432" t="n">
        <f aca="false">IF('Peak Revenue'!$A$1="BL","-",IF(Peak!M230&gt;Peak!$G230,G$8*$X229,0))</f>
        <v>38</v>
      </c>
      <c r="H229" s="432" t="n">
        <f aca="false">IF('Peak Revenue'!$A$1="BL","-",IF(Peak!N230&gt;Peak!$G230,H$8*$X229,0))</f>
        <v>38</v>
      </c>
      <c r="I229" s="432" t="n">
        <f aca="false">IF('Peak Revenue'!$A$1="BL","-",IF(Peak!O230&gt;Peak!$G230,I$8*$X229,0))</f>
        <v>0</v>
      </c>
      <c r="J229" s="432" t="n">
        <f aca="false">IF('Peak Revenue'!$A$1="BL","-",IF(Peak!P230&gt;Peak!$G230,J$8*$X229,0))</f>
        <v>0</v>
      </c>
      <c r="K229" s="432" t="n">
        <f aca="false">IF('Peak Revenue'!$A$1="BL","-",IF(Peak!Q230&gt;Peak!$G230,K$8*$X229,0))</f>
        <v>0</v>
      </c>
      <c r="L229" s="432" t="n">
        <f aca="false">IF('Peak Revenue'!$A$1="BL","-",IF(Peak!R230&gt;Peak!$G230,L$8*$X229,0))</f>
        <v>0</v>
      </c>
      <c r="M229" s="432" t="n">
        <f aca="false">IF('Peak Revenue'!$A$1="BL","-",IF(Peak!S230&gt;Peak!$G230,M$8*$X229,0))</f>
        <v>0</v>
      </c>
      <c r="N229" s="432" t="n">
        <f aca="false">IF('Peak Revenue'!$A$1="BL","-",IF(Peak!T230&gt;Peak!$G230,N$8*$X229,0))</f>
        <v>0</v>
      </c>
      <c r="O229" s="432" t="n">
        <f aca="false">IF('Peak Revenue'!$A$1="BL","-",IF(Peak!U230&gt;Peak!$G230,O$8*$X229,0))</f>
        <v>0</v>
      </c>
      <c r="P229" s="432" t="n">
        <f aca="false">IF('Peak Revenue'!$A$1="BL","-",IF(Peak!V230&gt;Peak!$G230,P$8*$X229,0))</f>
        <v>0</v>
      </c>
      <c r="Q229" s="432" t="n">
        <f aca="false">IF('Peak Revenue'!$A$1="BL","-",IF(Peak!W230&gt;Peak!$G230,Q$8*$X229,0))</f>
        <v>0</v>
      </c>
      <c r="R229" s="432" t="n">
        <f aca="false">IF('Peak Revenue'!$A$1="BL","-",IF(Peak!X230&gt;Peak!$G230,R$8*$X229,0))</f>
        <v>0</v>
      </c>
      <c r="S229" s="432" t="n">
        <f aca="false">IF('Peak Revenue'!$A$1="BL","-",IF(Peak!Y230&gt;Peak!$G230,S$8*$X229,0))</f>
        <v>0</v>
      </c>
      <c r="T229" s="432" t="n">
        <f aca="false">IF('Peak Revenue'!$A$1="BL","-",IF(Peak!Z230&gt;Peak!$G230,T$8*$X229,0))</f>
        <v>0</v>
      </c>
      <c r="U229" s="432" t="n">
        <f aca="false">IF('Peak Revenue'!$A$1="BL","-",IF(Peak!AA230&gt;Peak!$G230,U$8*$X229,0))</f>
        <v>0</v>
      </c>
      <c r="V229" s="441" t="n">
        <f aca="false">SUM(B229:U229)</f>
        <v>133</v>
      </c>
      <c r="W229" s="442"/>
      <c r="X229" s="439" t="n">
        <f aca="false">CHOOSE(QUOTIENT(MONTH($A229),3)+1,Peak!$AM$11,Peak!$AN$11,Peak!$AL$11,Peak!$AO$11,Peak!$AM$11)</f>
        <v>0.95</v>
      </c>
      <c r="Y229" s="440" t="n">
        <f aca="false">CHOOSE(QUOTIENT(MONTH($A229),3)+1,Peak!$AM$17,Peak!$AN$17,Peak!$AL$17,Peak!$AO$17,Peak!$AM$17)</f>
        <v>705</v>
      </c>
    </row>
    <row r="230" customFormat="false" ht="12.75" hidden="false" customHeight="false" outlineLevel="0" collapsed="false">
      <c r="A230" s="400" t="n">
        <f aca="false">A229+30.417</f>
        <v>43231.74</v>
      </c>
      <c r="B230" s="432" t="n">
        <f aca="false">IF('Peak Revenue'!$A$1="BL","-",IF(Peak!H231&gt;Peak!$G231,B$8*$X230,0))</f>
        <v>4.75</v>
      </c>
      <c r="C230" s="432" t="n">
        <f aca="false">IF('Peak Revenue'!$A$1="BL","-",IF(Peak!I231&gt;Peak!$G231,C$8*$X230,0))</f>
        <v>4.75</v>
      </c>
      <c r="D230" s="432" t="n">
        <f aca="false">IF('Peak Revenue'!$A$1="BL","-",IF(Peak!J231&gt;Peak!$G231,D$8*$X230,0))</f>
        <v>9.5</v>
      </c>
      <c r="E230" s="432" t="n">
        <f aca="false">IF('Peak Revenue'!$A$1="BL","-",IF(Peak!K231&gt;Peak!$G231,E$8*$X230,0))</f>
        <v>19</v>
      </c>
      <c r="F230" s="432" t="n">
        <f aca="false">IF('Peak Revenue'!$A$1="BL","-",IF(Peak!L231&gt;Peak!$G231,F$8*$X230,0))</f>
        <v>19</v>
      </c>
      <c r="G230" s="432" t="n">
        <f aca="false">IF('Peak Revenue'!$A$1="BL","-",IF(Peak!M231&gt;Peak!$G231,G$8*$X230,0))</f>
        <v>38</v>
      </c>
      <c r="H230" s="432" t="n">
        <f aca="false">IF('Peak Revenue'!$A$1="BL","-",IF(Peak!N231&gt;Peak!$G231,H$8*$X230,0))</f>
        <v>0</v>
      </c>
      <c r="I230" s="432" t="n">
        <f aca="false">IF('Peak Revenue'!$A$1="BL","-",IF(Peak!O231&gt;Peak!$G231,I$8*$X230,0))</f>
        <v>0</v>
      </c>
      <c r="J230" s="432" t="n">
        <f aca="false">IF('Peak Revenue'!$A$1="BL","-",IF(Peak!P231&gt;Peak!$G231,J$8*$X230,0))</f>
        <v>0</v>
      </c>
      <c r="K230" s="432" t="n">
        <f aca="false">IF('Peak Revenue'!$A$1="BL","-",IF(Peak!Q231&gt;Peak!$G231,K$8*$X230,0))</f>
        <v>0</v>
      </c>
      <c r="L230" s="432" t="n">
        <f aca="false">IF('Peak Revenue'!$A$1="BL","-",IF(Peak!R231&gt;Peak!$G231,L$8*$X230,0))</f>
        <v>0</v>
      </c>
      <c r="M230" s="432" t="n">
        <f aca="false">IF('Peak Revenue'!$A$1="BL","-",IF(Peak!S231&gt;Peak!$G231,M$8*$X230,0))</f>
        <v>0</v>
      </c>
      <c r="N230" s="432" t="n">
        <f aca="false">IF('Peak Revenue'!$A$1="BL","-",IF(Peak!T231&gt;Peak!$G231,N$8*$X230,0))</f>
        <v>0</v>
      </c>
      <c r="O230" s="432" t="n">
        <f aca="false">IF('Peak Revenue'!$A$1="BL","-",IF(Peak!U231&gt;Peak!$G231,O$8*$X230,0))</f>
        <v>0</v>
      </c>
      <c r="P230" s="432" t="n">
        <f aca="false">IF('Peak Revenue'!$A$1="BL","-",IF(Peak!V231&gt;Peak!$G231,P$8*$X230,0))</f>
        <v>0</v>
      </c>
      <c r="Q230" s="432" t="n">
        <f aca="false">IF('Peak Revenue'!$A$1="BL","-",IF(Peak!W231&gt;Peak!$G231,Q$8*$X230,0))</f>
        <v>0</v>
      </c>
      <c r="R230" s="432" t="n">
        <f aca="false">IF('Peak Revenue'!$A$1="BL","-",IF(Peak!X231&gt;Peak!$G231,R$8*$X230,0))</f>
        <v>0</v>
      </c>
      <c r="S230" s="432" t="n">
        <f aca="false">IF('Peak Revenue'!$A$1="BL","-",IF(Peak!Y231&gt;Peak!$G231,S$8*$X230,0))</f>
        <v>0</v>
      </c>
      <c r="T230" s="432" t="n">
        <f aca="false">IF('Peak Revenue'!$A$1="BL","-",IF(Peak!Z231&gt;Peak!$G231,T$8*$X230,0))</f>
        <v>0</v>
      </c>
      <c r="U230" s="432" t="n">
        <f aca="false">IF('Peak Revenue'!$A$1="BL","-",IF(Peak!AA231&gt;Peak!$G231,U$8*$X230,0))</f>
        <v>0</v>
      </c>
      <c r="V230" s="441" t="n">
        <f aca="false">SUM(B230:U230)</f>
        <v>95</v>
      </c>
      <c r="W230" s="442"/>
      <c r="X230" s="439" t="n">
        <f aca="false">CHOOSE(QUOTIENT(MONTH($A230),3)+1,Peak!$AM$11,Peak!$AN$11,Peak!$AL$11,Peak!$AO$11,Peak!$AM$11)</f>
        <v>0.95</v>
      </c>
      <c r="Y230" s="440" t="n">
        <f aca="false">CHOOSE(QUOTIENT(MONTH($A230),3)+1,Peak!$AM$17,Peak!$AN$17,Peak!$AL$17,Peak!$AO$17,Peak!$AM$17)</f>
        <v>705</v>
      </c>
    </row>
    <row r="231" customFormat="false" ht="12.75" hidden="false" customHeight="false" outlineLevel="0" collapsed="false">
      <c r="A231" s="400" t="n">
        <f aca="false">A230+30.417</f>
        <v>43262.157</v>
      </c>
      <c r="B231" s="432" t="n">
        <f aca="false">IF('Peak Revenue'!$A$1="BL","-",IF(Peak!H232&gt;Peak!$G232,B$8*$X231,0))</f>
        <v>4.83060679547793</v>
      </c>
      <c r="C231" s="432" t="n">
        <f aca="false">IF('Peak Revenue'!$A$1="BL","-",IF(Peak!I232&gt;Peak!$G232,C$8*$X231,0))</f>
        <v>4.83060679547793</v>
      </c>
      <c r="D231" s="432" t="n">
        <f aca="false">IF('Peak Revenue'!$A$1="BL","-",IF(Peak!J232&gt;Peak!$G232,D$8*$X231,0))</f>
        <v>9.66121359095586</v>
      </c>
      <c r="E231" s="432" t="n">
        <f aca="false">IF('Peak Revenue'!$A$1="BL","-",IF(Peak!K232&gt;Peak!$G232,E$8*$X231,0))</f>
        <v>19.3224271819117</v>
      </c>
      <c r="F231" s="432" t="n">
        <f aca="false">IF('Peak Revenue'!$A$1="BL","-",IF(Peak!L232&gt;Peak!$G232,F$8*$X231,0))</f>
        <v>19.3224271819117</v>
      </c>
      <c r="G231" s="432" t="n">
        <f aca="false">IF('Peak Revenue'!$A$1="BL","-",IF(Peak!M232&gt;Peak!$G232,G$8*$X231,0))</f>
        <v>38.6448543638234</v>
      </c>
      <c r="H231" s="432" t="n">
        <f aca="false">IF('Peak Revenue'!$A$1="BL","-",IF(Peak!N232&gt;Peak!$G232,H$8*$X231,0))</f>
        <v>38.6448543638234</v>
      </c>
      <c r="I231" s="432" t="n">
        <f aca="false">IF('Peak Revenue'!$A$1="BL","-",IF(Peak!O232&gt;Peak!$G232,I$8*$X231,0))</f>
        <v>38.6448543638234</v>
      </c>
      <c r="J231" s="432" t="n">
        <f aca="false">IF('Peak Revenue'!$A$1="BL","-",IF(Peak!P232&gt;Peak!$G232,J$8*$X231,0))</f>
        <v>38.6448543638234</v>
      </c>
      <c r="K231" s="432" t="n">
        <f aca="false">IF('Peak Revenue'!$A$1="BL","-",IF(Peak!Q232&gt;Peak!$G232,K$8*$X231,0))</f>
        <v>0</v>
      </c>
      <c r="L231" s="432" t="n">
        <f aca="false">IF('Peak Revenue'!$A$1="BL","-",IF(Peak!R232&gt;Peak!$G232,L$8*$X231,0))</f>
        <v>0</v>
      </c>
      <c r="M231" s="432" t="n">
        <f aca="false">IF('Peak Revenue'!$A$1="BL","-",IF(Peak!S232&gt;Peak!$G232,M$8*$X231,0))</f>
        <v>0</v>
      </c>
      <c r="N231" s="432" t="n">
        <f aca="false">IF('Peak Revenue'!$A$1="BL","-",IF(Peak!T232&gt;Peak!$G232,N$8*$X231,0))</f>
        <v>0</v>
      </c>
      <c r="O231" s="432" t="n">
        <f aca="false">IF('Peak Revenue'!$A$1="BL","-",IF(Peak!U232&gt;Peak!$G232,O$8*$X231,0))</f>
        <v>0</v>
      </c>
      <c r="P231" s="432" t="n">
        <f aca="false">IF('Peak Revenue'!$A$1="BL","-",IF(Peak!V232&gt;Peak!$G232,P$8*$X231,0))</f>
        <v>0</v>
      </c>
      <c r="Q231" s="432" t="n">
        <f aca="false">IF('Peak Revenue'!$A$1="BL","-",IF(Peak!W232&gt;Peak!$G232,Q$8*$X231,0))</f>
        <v>0</v>
      </c>
      <c r="R231" s="432" t="n">
        <f aca="false">IF('Peak Revenue'!$A$1="BL","-",IF(Peak!X232&gt;Peak!$G232,R$8*$X231,0))</f>
        <v>0</v>
      </c>
      <c r="S231" s="432" t="n">
        <f aca="false">IF('Peak Revenue'!$A$1="BL","-",IF(Peak!Y232&gt;Peak!$G232,S$8*$X231,0))</f>
        <v>0</v>
      </c>
      <c r="T231" s="432" t="n">
        <f aca="false">IF('Peak Revenue'!$A$1="BL","-",IF(Peak!Z232&gt;Peak!$G232,T$8*$X231,0))</f>
        <v>0</v>
      </c>
      <c r="U231" s="432" t="n">
        <f aca="false">IF('Peak Revenue'!$A$1="BL","-",IF(Peak!AA232&gt;Peak!$G232,U$8*$X231,0))</f>
        <v>0</v>
      </c>
      <c r="V231" s="441" t="n">
        <f aca="false">SUM(B231:U231)</f>
        <v>212.546699001029</v>
      </c>
      <c r="W231" s="442"/>
      <c r="X231" s="439" t="n">
        <f aca="false">CHOOSE(QUOTIENT(MONTH($A231),3)+1,Peak!$AM$11,Peak!$AN$11,Peak!$AL$11,Peak!$AO$11,Peak!$AM$11)</f>
        <v>0.966121359095586</v>
      </c>
      <c r="Y231" s="440" t="n">
        <f aca="false">CHOOSE(QUOTIENT(MONTH($A231),3)+1,Peak!$AM$17,Peak!$AN$17,Peak!$AL$17,Peak!$AO$17,Peak!$AM$17)</f>
        <v>705</v>
      </c>
    </row>
    <row r="232" customFormat="false" ht="12.75" hidden="false" customHeight="false" outlineLevel="0" collapsed="false">
      <c r="A232" s="400" t="n">
        <f aca="false">A231+30.417</f>
        <v>43292.574</v>
      </c>
      <c r="B232" s="432" t="n">
        <f aca="false">IF('Peak Revenue'!$A$1="BL","-",IF(Peak!H233&gt;Peak!$G233,B$8*$X232,0))</f>
        <v>4.83060679547793</v>
      </c>
      <c r="C232" s="432" t="n">
        <f aca="false">IF('Peak Revenue'!$A$1="BL","-",IF(Peak!I233&gt;Peak!$G233,C$8*$X232,0))</f>
        <v>4.83060679547793</v>
      </c>
      <c r="D232" s="432" t="n">
        <f aca="false">IF('Peak Revenue'!$A$1="BL","-",IF(Peak!J233&gt;Peak!$G233,D$8*$X232,0))</f>
        <v>9.66121359095586</v>
      </c>
      <c r="E232" s="432" t="n">
        <f aca="false">IF('Peak Revenue'!$A$1="BL","-",IF(Peak!K233&gt;Peak!$G233,E$8*$X232,0))</f>
        <v>19.3224271819117</v>
      </c>
      <c r="F232" s="432" t="n">
        <f aca="false">IF('Peak Revenue'!$A$1="BL","-",IF(Peak!L233&gt;Peak!$G233,F$8*$X232,0))</f>
        <v>19.3224271819117</v>
      </c>
      <c r="G232" s="432" t="n">
        <f aca="false">IF('Peak Revenue'!$A$1="BL","-",IF(Peak!M233&gt;Peak!$G233,G$8*$X232,0))</f>
        <v>38.6448543638234</v>
      </c>
      <c r="H232" s="432" t="n">
        <f aca="false">IF('Peak Revenue'!$A$1="BL","-",IF(Peak!N233&gt;Peak!$G233,H$8*$X232,0))</f>
        <v>38.6448543638234</v>
      </c>
      <c r="I232" s="432" t="n">
        <f aca="false">IF('Peak Revenue'!$A$1="BL","-",IF(Peak!O233&gt;Peak!$G233,I$8*$X232,0))</f>
        <v>38.6448543638234</v>
      </c>
      <c r="J232" s="432" t="n">
        <f aca="false">IF('Peak Revenue'!$A$1="BL","-",IF(Peak!P233&gt;Peak!$G233,J$8*$X232,0))</f>
        <v>38.6448543638234</v>
      </c>
      <c r="K232" s="432" t="n">
        <f aca="false">IF('Peak Revenue'!$A$1="BL","-",IF(Peak!Q233&gt;Peak!$G233,K$8*$X232,0))</f>
        <v>38.6448543638234</v>
      </c>
      <c r="L232" s="432" t="n">
        <f aca="false">IF('Peak Revenue'!$A$1="BL","-",IF(Peak!R233&gt;Peak!$G233,L$8*$X232,0))</f>
        <v>0</v>
      </c>
      <c r="M232" s="432" t="n">
        <f aca="false">IF('Peak Revenue'!$A$1="BL","-",IF(Peak!S233&gt;Peak!$G233,M$8*$X232,0))</f>
        <v>0</v>
      </c>
      <c r="N232" s="432" t="n">
        <f aca="false">IF('Peak Revenue'!$A$1="BL","-",IF(Peak!T233&gt;Peak!$G233,N$8*$X232,0))</f>
        <v>0</v>
      </c>
      <c r="O232" s="432" t="n">
        <f aca="false">IF('Peak Revenue'!$A$1="BL","-",IF(Peak!U233&gt;Peak!$G233,O$8*$X232,0))</f>
        <v>0</v>
      </c>
      <c r="P232" s="432" t="n">
        <f aca="false">IF('Peak Revenue'!$A$1="BL","-",IF(Peak!V233&gt;Peak!$G233,P$8*$X232,0))</f>
        <v>0</v>
      </c>
      <c r="Q232" s="432" t="n">
        <f aca="false">IF('Peak Revenue'!$A$1="BL","-",IF(Peak!W233&gt;Peak!$G233,Q$8*$X232,0))</f>
        <v>0</v>
      </c>
      <c r="R232" s="432" t="n">
        <f aca="false">IF('Peak Revenue'!$A$1="BL","-",IF(Peak!X233&gt;Peak!$G233,R$8*$X232,0))</f>
        <v>0</v>
      </c>
      <c r="S232" s="432" t="n">
        <f aca="false">IF('Peak Revenue'!$A$1="BL","-",IF(Peak!Y233&gt;Peak!$G233,S$8*$X232,0))</f>
        <v>0</v>
      </c>
      <c r="T232" s="432" t="n">
        <f aca="false">IF('Peak Revenue'!$A$1="BL","-",IF(Peak!Z233&gt;Peak!$G233,T$8*$X232,0))</f>
        <v>0</v>
      </c>
      <c r="U232" s="432" t="n">
        <f aca="false">IF('Peak Revenue'!$A$1="BL","-",IF(Peak!AA233&gt;Peak!$G233,U$8*$X232,0))</f>
        <v>0</v>
      </c>
      <c r="V232" s="441" t="n">
        <f aca="false">SUM(B232:U232)</f>
        <v>251.191553364852</v>
      </c>
      <c r="W232" s="442"/>
      <c r="X232" s="439" t="n">
        <f aca="false">CHOOSE(QUOTIENT(MONTH($A232),3)+1,Peak!$AM$11,Peak!$AN$11,Peak!$AL$11,Peak!$AO$11,Peak!$AM$11)</f>
        <v>0.966121359095586</v>
      </c>
      <c r="Y232" s="440" t="n">
        <f aca="false">CHOOSE(QUOTIENT(MONTH($A232),3)+1,Peak!$AM$17,Peak!$AN$17,Peak!$AL$17,Peak!$AO$17,Peak!$AM$17)</f>
        <v>705</v>
      </c>
    </row>
    <row r="233" customFormat="false" ht="12.75" hidden="false" customHeight="false" outlineLevel="0" collapsed="false">
      <c r="A233" s="400" t="n">
        <f aca="false">A232+30.417</f>
        <v>43322.991</v>
      </c>
      <c r="B233" s="432" t="n">
        <f aca="false">IF('Peak Revenue'!$A$1="BL","-",IF(Peak!H234&gt;Peak!$G234,B$8*$X233,0))</f>
        <v>4.83060679547793</v>
      </c>
      <c r="C233" s="432" t="n">
        <f aca="false">IF('Peak Revenue'!$A$1="BL","-",IF(Peak!I234&gt;Peak!$G234,C$8*$X233,0))</f>
        <v>4.83060679547793</v>
      </c>
      <c r="D233" s="432" t="n">
        <f aca="false">IF('Peak Revenue'!$A$1="BL","-",IF(Peak!J234&gt;Peak!$G234,D$8*$X233,0))</f>
        <v>9.66121359095586</v>
      </c>
      <c r="E233" s="432" t="n">
        <f aca="false">IF('Peak Revenue'!$A$1="BL","-",IF(Peak!K234&gt;Peak!$G234,E$8*$X233,0))</f>
        <v>19.3224271819117</v>
      </c>
      <c r="F233" s="432" t="n">
        <f aca="false">IF('Peak Revenue'!$A$1="BL","-",IF(Peak!L234&gt;Peak!$G234,F$8*$X233,0))</f>
        <v>19.3224271819117</v>
      </c>
      <c r="G233" s="432" t="n">
        <f aca="false">IF('Peak Revenue'!$A$1="BL","-",IF(Peak!M234&gt;Peak!$G234,G$8*$X233,0))</f>
        <v>38.6448543638234</v>
      </c>
      <c r="H233" s="432" t="n">
        <f aca="false">IF('Peak Revenue'!$A$1="BL","-",IF(Peak!N234&gt;Peak!$G234,H$8*$X233,0))</f>
        <v>38.6448543638234</v>
      </c>
      <c r="I233" s="432" t="n">
        <f aca="false">IF('Peak Revenue'!$A$1="BL","-",IF(Peak!O234&gt;Peak!$G234,I$8*$X233,0))</f>
        <v>38.6448543638234</v>
      </c>
      <c r="J233" s="432" t="n">
        <f aca="false">IF('Peak Revenue'!$A$1="BL","-",IF(Peak!P234&gt;Peak!$G234,J$8*$X233,0))</f>
        <v>0</v>
      </c>
      <c r="K233" s="432" t="n">
        <f aca="false">IF('Peak Revenue'!$A$1="BL","-",IF(Peak!Q234&gt;Peak!$G234,K$8*$X233,0))</f>
        <v>0</v>
      </c>
      <c r="L233" s="432" t="n">
        <f aca="false">IF('Peak Revenue'!$A$1="BL","-",IF(Peak!R234&gt;Peak!$G234,L$8*$X233,0))</f>
        <v>0</v>
      </c>
      <c r="M233" s="432" t="n">
        <f aca="false">IF('Peak Revenue'!$A$1="BL","-",IF(Peak!S234&gt;Peak!$G234,M$8*$X233,0))</f>
        <v>0</v>
      </c>
      <c r="N233" s="432" t="n">
        <f aca="false">IF('Peak Revenue'!$A$1="BL","-",IF(Peak!T234&gt;Peak!$G234,N$8*$X233,0))</f>
        <v>0</v>
      </c>
      <c r="O233" s="432" t="n">
        <f aca="false">IF('Peak Revenue'!$A$1="BL","-",IF(Peak!U234&gt;Peak!$G234,O$8*$X233,0))</f>
        <v>0</v>
      </c>
      <c r="P233" s="432" t="n">
        <f aca="false">IF('Peak Revenue'!$A$1="BL","-",IF(Peak!V234&gt;Peak!$G234,P$8*$X233,0))</f>
        <v>0</v>
      </c>
      <c r="Q233" s="432" t="n">
        <f aca="false">IF('Peak Revenue'!$A$1="BL","-",IF(Peak!W234&gt;Peak!$G234,Q$8*$X233,0))</f>
        <v>0</v>
      </c>
      <c r="R233" s="432" t="n">
        <f aca="false">IF('Peak Revenue'!$A$1="BL","-",IF(Peak!X234&gt;Peak!$G234,R$8*$X233,0))</f>
        <v>0</v>
      </c>
      <c r="S233" s="432" t="n">
        <f aca="false">IF('Peak Revenue'!$A$1="BL","-",IF(Peak!Y234&gt;Peak!$G234,S$8*$X233,0))</f>
        <v>0</v>
      </c>
      <c r="T233" s="432" t="n">
        <f aca="false">IF('Peak Revenue'!$A$1="BL","-",IF(Peak!Z234&gt;Peak!$G234,T$8*$X233,0))</f>
        <v>0</v>
      </c>
      <c r="U233" s="432" t="n">
        <f aca="false">IF('Peak Revenue'!$A$1="BL","-",IF(Peak!AA234&gt;Peak!$G234,U$8*$X233,0))</f>
        <v>0</v>
      </c>
      <c r="V233" s="441" t="n">
        <f aca="false">SUM(B233:U233)</f>
        <v>173.901844637205</v>
      </c>
      <c r="W233" s="442"/>
      <c r="X233" s="439" t="n">
        <f aca="false">CHOOSE(QUOTIENT(MONTH($A233),3)+1,Peak!$AM$11,Peak!$AN$11,Peak!$AL$11,Peak!$AO$11,Peak!$AM$11)</f>
        <v>0.966121359095586</v>
      </c>
      <c r="Y233" s="440" t="n">
        <f aca="false">CHOOSE(QUOTIENT(MONTH($A233),3)+1,Peak!$AM$17,Peak!$AN$17,Peak!$AL$17,Peak!$AO$17,Peak!$AM$17)</f>
        <v>705</v>
      </c>
    </row>
    <row r="234" customFormat="false" ht="12.75" hidden="false" customHeight="false" outlineLevel="0" collapsed="false">
      <c r="A234" s="400" t="n">
        <f aca="false">A233+30.417</f>
        <v>43353.408</v>
      </c>
      <c r="B234" s="432" t="n">
        <f aca="false">IF('Peak Revenue'!$A$1="BL","-",IF(Peak!H235&gt;Peak!$G235,B$8*$X234,0))</f>
        <v>4.75</v>
      </c>
      <c r="C234" s="432" t="n">
        <f aca="false">IF('Peak Revenue'!$A$1="BL","-",IF(Peak!I235&gt;Peak!$G235,C$8*$X234,0))</f>
        <v>4.75</v>
      </c>
      <c r="D234" s="432" t="n">
        <f aca="false">IF('Peak Revenue'!$A$1="BL","-",IF(Peak!J235&gt;Peak!$G235,D$8*$X234,0))</f>
        <v>9.5</v>
      </c>
      <c r="E234" s="432" t="n">
        <f aca="false">IF('Peak Revenue'!$A$1="BL","-",IF(Peak!K235&gt;Peak!$G235,E$8*$X234,0))</f>
        <v>19</v>
      </c>
      <c r="F234" s="432" t="n">
        <f aca="false">IF('Peak Revenue'!$A$1="BL","-",IF(Peak!L235&gt;Peak!$G235,F$8*$X234,0))</f>
        <v>19</v>
      </c>
      <c r="G234" s="432" t="n">
        <f aca="false">IF('Peak Revenue'!$A$1="BL","-",IF(Peak!M235&gt;Peak!$G235,G$8*$X234,0))</f>
        <v>38</v>
      </c>
      <c r="H234" s="432" t="n">
        <f aca="false">IF('Peak Revenue'!$A$1="BL","-",IF(Peak!N235&gt;Peak!$G235,H$8*$X234,0))</f>
        <v>38</v>
      </c>
      <c r="I234" s="432" t="n">
        <f aca="false">IF('Peak Revenue'!$A$1="BL","-",IF(Peak!O235&gt;Peak!$G235,I$8*$X234,0))</f>
        <v>0</v>
      </c>
      <c r="J234" s="432" t="n">
        <f aca="false">IF('Peak Revenue'!$A$1="BL","-",IF(Peak!P235&gt;Peak!$G235,J$8*$X234,0))</f>
        <v>0</v>
      </c>
      <c r="K234" s="432" t="n">
        <f aca="false">IF('Peak Revenue'!$A$1="BL","-",IF(Peak!Q235&gt;Peak!$G235,K$8*$X234,0))</f>
        <v>0</v>
      </c>
      <c r="L234" s="432" t="n">
        <f aca="false">IF('Peak Revenue'!$A$1="BL","-",IF(Peak!R235&gt;Peak!$G235,L$8*$X234,0))</f>
        <v>0</v>
      </c>
      <c r="M234" s="432" t="n">
        <f aca="false">IF('Peak Revenue'!$A$1="BL","-",IF(Peak!S235&gt;Peak!$G235,M$8*$X234,0))</f>
        <v>0</v>
      </c>
      <c r="N234" s="432" t="n">
        <f aca="false">IF('Peak Revenue'!$A$1="BL","-",IF(Peak!T235&gt;Peak!$G235,N$8*$X234,0))</f>
        <v>0</v>
      </c>
      <c r="O234" s="432" t="n">
        <f aca="false">IF('Peak Revenue'!$A$1="BL","-",IF(Peak!U235&gt;Peak!$G235,O$8*$X234,0))</f>
        <v>0</v>
      </c>
      <c r="P234" s="432" t="n">
        <f aca="false">IF('Peak Revenue'!$A$1="BL","-",IF(Peak!V235&gt;Peak!$G235,P$8*$X234,0))</f>
        <v>0</v>
      </c>
      <c r="Q234" s="432" t="n">
        <f aca="false">IF('Peak Revenue'!$A$1="BL","-",IF(Peak!W235&gt;Peak!$G235,Q$8*$X234,0))</f>
        <v>0</v>
      </c>
      <c r="R234" s="432" t="n">
        <f aca="false">IF('Peak Revenue'!$A$1="BL","-",IF(Peak!X235&gt;Peak!$G235,R$8*$X234,0))</f>
        <v>0</v>
      </c>
      <c r="S234" s="432" t="n">
        <f aca="false">IF('Peak Revenue'!$A$1="BL","-",IF(Peak!Y235&gt;Peak!$G235,S$8*$X234,0))</f>
        <v>0</v>
      </c>
      <c r="T234" s="432" t="n">
        <f aca="false">IF('Peak Revenue'!$A$1="BL","-",IF(Peak!Z235&gt;Peak!$G235,T$8*$X234,0))</f>
        <v>0</v>
      </c>
      <c r="U234" s="432" t="n">
        <f aca="false">IF('Peak Revenue'!$A$1="BL","-",IF(Peak!AA235&gt;Peak!$G235,U$8*$X234,0))</f>
        <v>0</v>
      </c>
      <c r="V234" s="441" t="n">
        <f aca="false">SUM(B234:U234)</f>
        <v>133</v>
      </c>
      <c r="W234" s="442"/>
      <c r="X234" s="439" t="n">
        <f aca="false">CHOOSE(QUOTIENT(MONTH($A234),3)+1,Peak!$AM$11,Peak!$AN$11,Peak!$AL$11,Peak!$AO$11,Peak!$AM$11)</f>
        <v>0.95</v>
      </c>
      <c r="Y234" s="440" t="n">
        <f aca="false">CHOOSE(QUOTIENT(MONTH($A234),3)+1,Peak!$AM$17,Peak!$AN$17,Peak!$AL$17,Peak!$AO$17,Peak!$AM$17)</f>
        <v>705</v>
      </c>
    </row>
    <row r="235" customFormat="false" ht="12.75" hidden="false" customHeight="false" outlineLevel="0" collapsed="false">
      <c r="A235" s="400" t="n">
        <f aca="false">A234+30.417</f>
        <v>43383.825</v>
      </c>
      <c r="B235" s="432" t="n">
        <f aca="false">IF('Peak Revenue'!$A$1="BL","-",IF(Peak!H236&gt;Peak!$G236,B$8*$X235,0))</f>
        <v>4.75</v>
      </c>
      <c r="C235" s="432" t="n">
        <f aca="false">IF('Peak Revenue'!$A$1="BL","-",IF(Peak!I236&gt;Peak!$G236,C$8*$X235,0))</f>
        <v>4.75</v>
      </c>
      <c r="D235" s="432" t="n">
        <f aca="false">IF('Peak Revenue'!$A$1="BL","-",IF(Peak!J236&gt;Peak!$G236,D$8*$X235,0))</f>
        <v>9.5</v>
      </c>
      <c r="E235" s="432" t="n">
        <f aca="false">IF('Peak Revenue'!$A$1="BL","-",IF(Peak!K236&gt;Peak!$G236,E$8*$X235,0))</f>
        <v>19</v>
      </c>
      <c r="F235" s="432" t="n">
        <f aca="false">IF('Peak Revenue'!$A$1="BL","-",IF(Peak!L236&gt;Peak!$G236,F$8*$X235,0))</f>
        <v>19</v>
      </c>
      <c r="G235" s="432" t="n">
        <f aca="false">IF('Peak Revenue'!$A$1="BL","-",IF(Peak!M236&gt;Peak!$G236,G$8*$X235,0))</f>
        <v>38</v>
      </c>
      <c r="H235" s="432" t="n">
        <f aca="false">IF('Peak Revenue'!$A$1="BL","-",IF(Peak!N236&gt;Peak!$G236,H$8*$X235,0))</f>
        <v>38</v>
      </c>
      <c r="I235" s="432" t="n">
        <f aca="false">IF('Peak Revenue'!$A$1="BL","-",IF(Peak!O236&gt;Peak!$G236,I$8*$X235,0))</f>
        <v>0</v>
      </c>
      <c r="J235" s="432" t="n">
        <f aca="false">IF('Peak Revenue'!$A$1="BL","-",IF(Peak!P236&gt;Peak!$G236,J$8*$X235,0))</f>
        <v>0</v>
      </c>
      <c r="K235" s="432" t="n">
        <f aca="false">IF('Peak Revenue'!$A$1="BL","-",IF(Peak!Q236&gt;Peak!$G236,K$8*$X235,0))</f>
        <v>0</v>
      </c>
      <c r="L235" s="432" t="n">
        <f aca="false">IF('Peak Revenue'!$A$1="BL","-",IF(Peak!R236&gt;Peak!$G236,L$8*$X235,0))</f>
        <v>0</v>
      </c>
      <c r="M235" s="432" t="n">
        <f aca="false">IF('Peak Revenue'!$A$1="BL","-",IF(Peak!S236&gt;Peak!$G236,M$8*$X235,0))</f>
        <v>0</v>
      </c>
      <c r="N235" s="432" t="n">
        <f aca="false">IF('Peak Revenue'!$A$1="BL","-",IF(Peak!T236&gt;Peak!$G236,N$8*$X235,0))</f>
        <v>0</v>
      </c>
      <c r="O235" s="432" t="n">
        <f aca="false">IF('Peak Revenue'!$A$1="BL","-",IF(Peak!U236&gt;Peak!$G236,O$8*$X235,0))</f>
        <v>0</v>
      </c>
      <c r="P235" s="432" t="n">
        <f aca="false">IF('Peak Revenue'!$A$1="BL","-",IF(Peak!V236&gt;Peak!$G236,P$8*$X235,0))</f>
        <v>0</v>
      </c>
      <c r="Q235" s="432" t="n">
        <f aca="false">IF('Peak Revenue'!$A$1="BL","-",IF(Peak!W236&gt;Peak!$G236,Q$8*$X235,0))</f>
        <v>0</v>
      </c>
      <c r="R235" s="432" t="n">
        <f aca="false">IF('Peak Revenue'!$A$1="BL","-",IF(Peak!X236&gt;Peak!$G236,R$8*$X235,0))</f>
        <v>0</v>
      </c>
      <c r="S235" s="432" t="n">
        <f aca="false">IF('Peak Revenue'!$A$1="BL","-",IF(Peak!Y236&gt;Peak!$G236,S$8*$X235,0))</f>
        <v>0</v>
      </c>
      <c r="T235" s="432" t="n">
        <f aca="false">IF('Peak Revenue'!$A$1="BL","-",IF(Peak!Z236&gt;Peak!$G236,T$8*$X235,0))</f>
        <v>0</v>
      </c>
      <c r="U235" s="432" t="n">
        <f aca="false">IF('Peak Revenue'!$A$1="BL","-",IF(Peak!AA236&gt;Peak!$G236,U$8*$X235,0))</f>
        <v>0</v>
      </c>
      <c r="V235" s="441" t="n">
        <f aca="false">SUM(B235:U235)</f>
        <v>133</v>
      </c>
      <c r="W235" s="442"/>
      <c r="X235" s="439" t="n">
        <f aca="false">CHOOSE(QUOTIENT(MONTH($A235),3)+1,Peak!$AM$11,Peak!$AN$11,Peak!$AL$11,Peak!$AO$11,Peak!$AM$11)</f>
        <v>0.95</v>
      </c>
      <c r="Y235" s="440" t="n">
        <f aca="false">CHOOSE(QUOTIENT(MONTH($A235),3)+1,Peak!$AM$17,Peak!$AN$17,Peak!$AL$17,Peak!$AO$17,Peak!$AM$17)</f>
        <v>705</v>
      </c>
    </row>
    <row r="236" customFormat="false" ht="12.75" hidden="false" customHeight="false" outlineLevel="0" collapsed="false">
      <c r="A236" s="400" t="n">
        <f aca="false">A235+30.417</f>
        <v>43414.242</v>
      </c>
      <c r="B236" s="432" t="n">
        <f aca="false">IF('Peak Revenue'!$A$1="BL","-",IF(Peak!H237&gt;Peak!$G237,B$8*$X236,0))</f>
        <v>4.75</v>
      </c>
      <c r="C236" s="432" t="n">
        <f aca="false">IF('Peak Revenue'!$A$1="BL","-",IF(Peak!I237&gt;Peak!$G237,C$8*$X236,0))</f>
        <v>4.75</v>
      </c>
      <c r="D236" s="432" t="n">
        <f aca="false">IF('Peak Revenue'!$A$1="BL","-",IF(Peak!J237&gt;Peak!$G237,D$8*$X236,0))</f>
        <v>9.5</v>
      </c>
      <c r="E236" s="432" t="n">
        <f aca="false">IF('Peak Revenue'!$A$1="BL","-",IF(Peak!K237&gt;Peak!$G237,E$8*$X236,0))</f>
        <v>19</v>
      </c>
      <c r="F236" s="432" t="n">
        <f aca="false">IF('Peak Revenue'!$A$1="BL","-",IF(Peak!L237&gt;Peak!$G237,F$8*$X236,0))</f>
        <v>19</v>
      </c>
      <c r="G236" s="432" t="n">
        <f aca="false">IF('Peak Revenue'!$A$1="BL","-",IF(Peak!M237&gt;Peak!$G237,G$8*$X236,0))</f>
        <v>38</v>
      </c>
      <c r="H236" s="432" t="n">
        <f aca="false">IF('Peak Revenue'!$A$1="BL","-",IF(Peak!N237&gt;Peak!$G237,H$8*$X236,0))</f>
        <v>38</v>
      </c>
      <c r="I236" s="432" t="n">
        <f aca="false">IF('Peak Revenue'!$A$1="BL","-",IF(Peak!O237&gt;Peak!$G237,I$8*$X236,0))</f>
        <v>38</v>
      </c>
      <c r="J236" s="432" t="n">
        <f aca="false">IF('Peak Revenue'!$A$1="BL","-",IF(Peak!P237&gt;Peak!$G237,J$8*$X236,0))</f>
        <v>38</v>
      </c>
      <c r="K236" s="432" t="n">
        <f aca="false">IF('Peak Revenue'!$A$1="BL","-",IF(Peak!Q237&gt;Peak!$G237,K$8*$X236,0))</f>
        <v>38</v>
      </c>
      <c r="L236" s="432" t="n">
        <f aca="false">IF('Peak Revenue'!$A$1="BL","-",IF(Peak!R237&gt;Peak!$G237,L$8*$X236,0))</f>
        <v>38</v>
      </c>
      <c r="M236" s="432" t="n">
        <f aca="false">IF('Peak Revenue'!$A$1="BL","-",IF(Peak!S237&gt;Peak!$G237,M$8*$X236,0))</f>
        <v>0</v>
      </c>
      <c r="N236" s="432" t="n">
        <f aca="false">IF('Peak Revenue'!$A$1="BL","-",IF(Peak!T237&gt;Peak!$G237,N$8*$X236,0))</f>
        <v>0</v>
      </c>
      <c r="O236" s="432" t="n">
        <f aca="false">IF('Peak Revenue'!$A$1="BL","-",IF(Peak!U237&gt;Peak!$G237,O$8*$X236,0))</f>
        <v>0</v>
      </c>
      <c r="P236" s="432" t="n">
        <f aca="false">IF('Peak Revenue'!$A$1="BL","-",IF(Peak!V237&gt;Peak!$G237,P$8*$X236,0))</f>
        <v>0</v>
      </c>
      <c r="Q236" s="432" t="n">
        <f aca="false">IF('Peak Revenue'!$A$1="BL","-",IF(Peak!W237&gt;Peak!$G237,Q$8*$X236,0))</f>
        <v>0</v>
      </c>
      <c r="R236" s="432" t="n">
        <f aca="false">IF('Peak Revenue'!$A$1="BL","-",IF(Peak!X237&gt;Peak!$G237,R$8*$X236,0))</f>
        <v>0</v>
      </c>
      <c r="S236" s="432" t="n">
        <f aca="false">IF('Peak Revenue'!$A$1="BL","-",IF(Peak!Y237&gt;Peak!$G237,S$8*$X236,0))</f>
        <v>0</v>
      </c>
      <c r="T236" s="432" t="n">
        <f aca="false">IF('Peak Revenue'!$A$1="BL","-",IF(Peak!Z237&gt;Peak!$G237,T$8*$X236,0))</f>
        <v>0</v>
      </c>
      <c r="U236" s="432" t="n">
        <f aca="false">IF('Peak Revenue'!$A$1="BL","-",IF(Peak!AA237&gt;Peak!$G237,U$8*$X236,0))</f>
        <v>0</v>
      </c>
      <c r="V236" s="441" t="n">
        <f aca="false">SUM(B236:U236)</f>
        <v>285</v>
      </c>
      <c r="W236" s="442"/>
      <c r="X236" s="439" t="n">
        <f aca="false">CHOOSE(QUOTIENT(MONTH($A236),3)+1,Peak!$AM$11,Peak!$AN$11,Peak!$AL$11,Peak!$AO$11,Peak!$AM$11)</f>
        <v>0.95</v>
      </c>
      <c r="Y236" s="440" t="n">
        <f aca="false">CHOOSE(QUOTIENT(MONTH($A236),3)+1,Peak!$AM$17,Peak!$AN$17,Peak!$AL$17,Peak!$AO$17,Peak!$AM$17)</f>
        <v>705</v>
      </c>
    </row>
    <row r="237" customFormat="false" ht="12.75" hidden="false" customHeight="false" outlineLevel="0" collapsed="false">
      <c r="A237" s="400" t="n">
        <f aca="false">A236+30.417</f>
        <v>43444.659</v>
      </c>
      <c r="B237" s="432" t="n">
        <f aca="false">IF('Peak Revenue'!$A$1="BL","-",IF(Peak!H238&gt;Peak!$G238,B$8*$X237,0))</f>
        <v>4.62138309393059</v>
      </c>
      <c r="C237" s="432" t="n">
        <f aca="false">IF('Peak Revenue'!$A$1="BL","-",IF(Peak!I238&gt;Peak!$G238,C$8*$X237,0))</f>
        <v>4.62138309393059</v>
      </c>
      <c r="D237" s="432" t="n">
        <f aca="false">IF('Peak Revenue'!$A$1="BL","-",IF(Peak!J238&gt;Peak!$G238,D$8*$X237,0))</f>
        <v>9.24276618786118</v>
      </c>
      <c r="E237" s="432" t="n">
        <f aca="false">IF('Peak Revenue'!$A$1="BL","-",IF(Peak!K238&gt;Peak!$G238,E$8*$X237,0))</f>
        <v>18.4855323757224</v>
      </c>
      <c r="F237" s="432" t="n">
        <f aca="false">IF('Peak Revenue'!$A$1="BL","-",IF(Peak!L238&gt;Peak!$G238,F$8*$X237,0))</f>
        <v>18.4855323757224</v>
      </c>
      <c r="G237" s="432" t="n">
        <f aca="false">IF('Peak Revenue'!$A$1="BL","-",IF(Peak!M238&gt;Peak!$G238,G$8*$X237,0))</f>
        <v>36.9710647514447</v>
      </c>
      <c r="H237" s="432" t="n">
        <f aca="false">IF('Peak Revenue'!$A$1="BL","-",IF(Peak!N238&gt;Peak!$G238,H$8*$X237,0))</f>
        <v>36.9710647514447</v>
      </c>
      <c r="I237" s="432" t="n">
        <f aca="false">IF('Peak Revenue'!$A$1="BL","-",IF(Peak!O238&gt;Peak!$G238,I$8*$X237,0))</f>
        <v>36.9710647514447</v>
      </c>
      <c r="J237" s="432" t="n">
        <f aca="false">IF('Peak Revenue'!$A$1="BL","-",IF(Peak!P238&gt;Peak!$G238,J$8*$X237,0))</f>
        <v>36.9710647514447</v>
      </c>
      <c r="K237" s="432" t="n">
        <f aca="false">IF('Peak Revenue'!$A$1="BL","-",IF(Peak!Q238&gt;Peak!$G238,K$8*$X237,0))</f>
        <v>0</v>
      </c>
      <c r="L237" s="432" t="n">
        <f aca="false">IF('Peak Revenue'!$A$1="BL","-",IF(Peak!R238&gt;Peak!$G238,L$8*$X237,0))</f>
        <v>0</v>
      </c>
      <c r="M237" s="432" t="n">
        <f aca="false">IF('Peak Revenue'!$A$1="BL","-",IF(Peak!S238&gt;Peak!$G238,M$8*$X237,0))</f>
        <v>0</v>
      </c>
      <c r="N237" s="432" t="n">
        <f aca="false">IF('Peak Revenue'!$A$1="BL","-",IF(Peak!T238&gt;Peak!$G238,N$8*$X237,0))</f>
        <v>0</v>
      </c>
      <c r="O237" s="432" t="n">
        <f aca="false">IF('Peak Revenue'!$A$1="BL","-",IF(Peak!U238&gt;Peak!$G238,O$8*$X237,0))</f>
        <v>0</v>
      </c>
      <c r="P237" s="432" t="n">
        <f aca="false">IF('Peak Revenue'!$A$1="BL","-",IF(Peak!V238&gt;Peak!$G238,P$8*$X237,0))</f>
        <v>0</v>
      </c>
      <c r="Q237" s="432" t="n">
        <f aca="false">IF('Peak Revenue'!$A$1="BL","-",IF(Peak!W238&gt;Peak!$G238,Q$8*$X237,0))</f>
        <v>0</v>
      </c>
      <c r="R237" s="432" t="n">
        <f aca="false">IF('Peak Revenue'!$A$1="BL","-",IF(Peak!X238&gt;Peak!$G238,R$8*$X237,0))</f>
        <v>0</v>
      </c>
      <c r="S237" s="432" t="n">
        <f aca="false">IF('Peak Revenue'!$A$1="BL","-",IF(Peak!Y238&gt;Peak!$G238,S$8*$X237,0))</f>
        <v>0</v>
      </c>
      <c r="T237" s="432" t="n">
        <f aca="false">IF('Peak Revenue'!$A$1="BL","-",IF(Peak!Z238&gt;Peak!$G238,T$8*$X237,0))</f>
        <v>0</v>
      </c>
      <c r="U237" s="432" t="n">
        <f aca="false">IF('Peak Revenue'!$A$1="BL","-",IF(Peak!AA238&gt;Peak!$G238,U$8*$X237,0))</f>
        <v>0</v>
      </c>
      <c r="V237" s="441" t="n">
        <f aca="false">SUM(B237:U237)</f>
        <v>203.340856132946</v>
      </c>
      <c r="W237" s="443" t="n">
        <f aca="false">SUM(V226:V237)</f>
        <v>2198.69160065048</v>
      </c>
      <c r="X237" s="439" t="n">
        <f aca="false">CHOOSE(QUOTIENT(MONTH($A237),3)+1,Peak!$AM$11,Peak!$AN$11,Peak!$AL$11,Peak!$AO$11,Peak!$AM$11)</f>
        <v>0.924276618786118</v>
      </c>
      <c r="Y237" s="440" t="n">
        <f aca="false">CHOOSE(QUOTIENT(MONTH($A237),3)+1,Peak!$AM$17,Peak!$AN$17,Peak!$AL$17,Peak!$AO$17,Peak!$AM$17)</f>
        <v>705</v>
      </c>
    </row>
    <row r="238" customFormat="false" ht="12.75" hidden="false" customHeight="false" outlineLevel="0" collapsed="false">
      <c r="A238" s="400" t="n">
        <f aca="false">A237+30.417</f>
        <v>43475.076</v>
      </c>
      <c r="B238" s="432" t="n">
        <f aca="false">IF('Peak Revenue'!$A$1="BL","-",IF(Peak!H239&gt;Peak!$G239,B$8*$X238,0))</f>
        <v>4.62138309393059</v>
      </c>
      <c r="C238" s="432" t="n">
        <f aca="false">IF('Peak Revenue'!$A$1="BL","-",IF(Peak!I239&gt;Peak!$G239,C$8*$X238,0))</f>
        <v>4.62138309393059</v>
      </c>
      <c r="D238" s="432" t="n">
        <f aca="false">IF('Peak Revenue'!$A$1="BL","-",IF(Peak!J239&gt;Peak!$G239,D$8*$X238,0))</f>
        <v>9.24276618786118</v>
      </c>
      <c r="E238" s="432" t="n">
        <f aca="false">IF('Peak Revenue'!$A$1="BL","-",IF(Peak!K239&gt;Peak!$G239,E$8*$X238,0))</f>
        <v>18.4855323757224</v>
      </c>
      <c r="F238" s="432" t="n">
        <f aca="false">IF('Peak Revenue'!$A$1="BL","-",IF(Peak!L239&gt;Peak!$G239,F$8*$X238,0))</f>
        <v>18.4855323757224</v>
      </c>
      <c r="G238" s="432" t="n">
        <f aca="false">IF('Peak Revenue'!$A$1="BL","-",IF(Peak!M239&gt;Peak!$G239,G$8*$X238,0))</f>
        <v>36.9710647514447</v>
      </c>
      <c r="H238" s="432" t="n">
        <f aca="false">IF('Peak Revenue'!$A$1="BL","-",IF(Peak!N239&gt;Peak!$G239,H$8*$X238,0))</f>
        <v>36.9710647514447</v>
      </c>
      <c r="I238" s="432" t="n">
        <f aca="false">IF('Peak Revenue'!$A$1="BL","-",IF(Peak!O239&gt;Peak!$G239,I$8*$X238,0))</f>
        <v>0</v>
      </c>
      <c r="J238" s="432" t="n">
        <f aca="false">IF('Peak Revenue'!$A$1="BL","-",IF(Peak!P239&gt;Peak!$G239,J$8*$X238,0))</f>
        <v>0</v>
      </c>
      <c r="K238" s="432" t="n">
        <f aca="false">IF('Peak Revenue'!$A$1="BL","-",IF(Peak!Q239&gt;Peak!$G239,K$8*$X238,0))</f>
        <v>0</v>
      </c>
      <c r="L238" s="432" t="n">
        <f aca="false">IF('Peak Revenue'!$A$1="BL","-",IF(Peak!R239&gt;Peak!$G239,L$8*$X238,0))</f>
        <v>0</v>
      </c>
      <c r="M238" s="432" t="n">
        <f aca="false">IF('Peak Revenue'!$A$1="BL","-",IF(Peak!S239&gt;Peak!$G239,M$8*$X238,0))</f>
        <v>0</v>
      </c>
      <c r="N238" s="432" t="n">
        <f aca="false">IF('Peak Revenue'!$A$1="BL","-",IF(Peak!T239&gt;Peak!$G239,N$8*$X238,0))</f>
        <v>0</v>
      </c>
      <c r="O238" s="432" t="n">
        <f aca="false">IF('Peak Revenue'!$A$1="BL","-",IF(Peak!U239&gt;Peak!$G239,O$8*$X238,0))</f>
        <v>0</v>
      </c>
      <c r="P238" s="432" t="n">
        <f aca="false">IF('Peak Revenue'!$A$1="BL","-",IF(Peak!V239&gt;Peak!$G239,P$8*$X238,0))</f>
        <v>0</v>
      </c>
      <c r="Q238" s="432" t="n">
        <f aca="false">IF('Peak Revenue'!$A$1="BL","-",IF(Peak!W239&gt;Peak!$G239,Q$8*$X238,0))</f>
        <v>0</v>
      </c>
      <c r="R238" s="432" t="n">
        <f aca="false">IF('Peak Revenue'!$A$1="BL","-",IF(Peak!X239&gt;Peak!$G239,R$8*$X238,0))</f>
        <v>0</v>
      </c>
      <c r="S238" s="432" t="n">
        <f aca="false">IF('Peak Revenue'!$A$1="BL","-",IF(Peak!Y239&gt;Peak!$G239,S$8*$X238,0))</f>
        <v>0</v>
      </c>
      <c r="T238" s="432" t="n">
        <f aca="false">IF('Peak Revenue'!$A$1="BL","-",IF(Peak!Z239&gt;Peak!$G239,T$8*$X238,0))</f>
        <v>0</v>
      </c>
      <c r="U238" s="432" t="n">
        <f aca="false">IF('Peak Revenue'!$A$1="BL","-",IF(Peak!AA239&gt;Peak!$G239,U$8*$X238,0))</f>
        <v>0</v>
      </c>
      <c r="V238" s="441" t="n">
        <f aca="false">SUM(B238:U238)</f>
        <v>129.398726630056</v>
      </c>
      <c r="W238" s="442"/>
      <c r="X238" s="439" t="n">
        <f aca="false">CHOOSE(QUOTIENT(MONTH($A238),3)+1,Peak!$AM$11,Peak!$AN$11,Peak!$AL$11,Peak!$AO$11,Peak!$AM$11)</f>
        <v>0.924276618786118</v>
      </c>
      <c r="Y238" s="440" t="n">
        <f aca="false">CHOOSE(QUOTIENT(MONTH($A238),3)+1,Peak!$AM$17,Peak!$AN$17,Peak!$AL$17,Peak!$AO$17,Peak!$AM$17)</f>
        <v>705</v>
      </c>
    </row>
    <row r="239" customFormat="false" ht="12.75" hidden="false" customHeight="false" outlineLevel="0" collapsed="false">
      <c r="A239" s="400" t="n">
        <f aca="false">A238+30.417</f>
        <v>43505.493</v>
      </c>
      <c r="B239" s="432" t="n">
        <f aca="false">IF('Peak Revenue'!$A$1="BL","-",IF(Peak!H240&gt;Peak!$G240,B$8*$X239,0))</f>
        <v>4.62138309393059</v>
      </c>
      <c r="C239" s="432" t="n">
        <f aca="false">IF('Peak Revenue'!$A$1="BL","-",IF(Peak!I240&gt;Peak!$G240,C$8*$X239,0))</f>
        <v>4.62138309393059</v>
      </c>
      <c r="D239" s="432" t="n">
        <f aca="false">IF('Peak Revenue'!$A$1="BL","-",IF(Peak!J240&gt;Peak!$G240,D$8*$X239,0))</f>
        <v>9.24276618786118</v>
      </c>
      <c r="E239" s="432" t="n">
        <f aca="false">IF('Peak Revenue'!$A$1="BL","-",IF(Peak!K240&gt;Peak!$G240,E$8*$X239,0))</f>
        <v>18.4855323757224</v>
      </c>
      <c r="F239" s="432" t="n">
        <f aca="false">IF('Peak Revenue'!$A$1="BL","-",IF(Peak!L240&gt;Peak!$G240,F$8*$X239,0))</f>
        <v>18.4855323757224</v>
      </c>
      <c r="G239" s="432" t="n">
        <f aca="false">IF('Peak Revenue'!$A$1="BL","-",IF(Peak!M240&gt;Peak!$G240,G$8*$X239,0))</f>
        <v>36.9710647514447</v>
      </c>
      <c r="H239" s="432" t="n">
        <f aca="false">IF('Peak Revenue'!$A$1="BL","-",IF(Peak!N240&gt;Peak!$G240,H$8*$X239,0))</f>
        <v>36.9710647514447</v>
      </c>
      <c r="I239" s="432" t="n">
        <f aca="false">IF('Peak Revenue'!$A$1="BL","-",IF(Peak!O240&gt;Peak!$G240,I$8*$X239,0))</f>
        <v>36.9710647514447</v>
      </c>
      <c r="J239" s="432" t="n">
        <f aca="false">IF('Peak Revenue'!$A$1="BL","-",IF(Peak!P240&gt;Peak!$G240,J$8*$X239,0))</f>
        <v>36.9710647514447</v>
      </c>
      <c r="K239" s="432" t="n">
        <f aca="false">IF('Peak Revenue'!$A$1="BL","-",IF(Peak!Q240&gt;Peak!$G240,K$8*$X239,0))</f>
        <v>36.9710647514447</v>
      </c>
      <c r="L239" s="432" t="n">
        <f aca="false">IF('Peak Revenue'!$A$1="BL","-",IF(Peak!R240&gt;Peak!$G240,L$8*$X239,0))</f>
        <v>0</v>
      </c>
      <c r="M239" s="432" t="n">
        <f aca="false">IF('Peak Revenue'!$A$1="BL","-",IF(Peak!S240&gt;Peak!$G240,M$8*$X239,0))</f>
        <v>0</v>
      </c>
      <c r="N239" s="432" t="n">
        <f aca="false">IF('Peak Revenue'!$A$1="BL","-",IF(Peak!T240&gt;Peak!$G240,N$8*$X239,0))</f>
        <v>0</v>
      </c>
      <c r="O239" s="432" t="n">
        <f aca="false">IF('Peak Revenue'!$A$1="BL","-",IF(Peak!U240&gt;Peak!$G240,O$8*$X239,0))</f>
        <v>0</v>
      </c>
      <c r="P239" s="432" t="n">
        <f aca="false">IF('Peak Revenue'!$A$1="BL","-",IF(Peak!V240&gt;Peak!$G240,P$8*$X239,0))</f>
        <v>0</v>
      </c>
      <c r="Q239" s="432" t="n">
        <f aca="false">IF('Peak Revenue'!$A$1="BL","-",IF(Peak!W240&gt;Peak!$G240,Q$8*$X239,0))</f>
        <v>0</v>
      </c>
      <c r="R239" s="432" t="n">
        <f aca="false">IF('Peak Revenue'!$A$1="BL","-",IF(Peak!X240&gt;Peak!$G240,R$8*$X239,0))</f>
        <v>0</v>
      </c>
      <c r="S239" s="432" t="n">
        <f aca="false">IF('Peak Revenue'!$A$1="BL","-",IF(Peak!Y240&gt;Peak!$G240,S$8*$X239,0))</f>
        <v>0</v>
      </c>
      <c r="T239" s="432" t="n">
        <f aca="false">IF('Peak Revenue'!$A$1="BL","-",IF(Peak!Z240&gt;Peak!$G240,T$8*$X239,0))</f>
        <v>0</v>
      </c>
      <c r="U239" s="432" t="n">
        <f aca="false">IF('Peak Revenue'!$A$1="BL","-",IF(Peak!AA240&gt;Peak!$G240,U$8*$X239,0))</f>
        <v>0</v>
      </c>
      <c r="V239" s="441" t="n">
        <f aca="false">SUM(B239:U239)</f>
        <v>240.311920884391</v>
      </c>
      <c r="W239" s="442"/>
      <c r="X239" s="439" t="n">
        <f aca="false">CHOOSE(QUOTIENT(MONTH($A239),3)+1,Peak!$AM$11,Peak!$AN$11,Peak!$AL$11,Peak!$AO$11,Peak!$AM$11)</f>
        <v>0.924276618786118</v>
      </c>
      <c r="Y239" s="440" t="n">
        <f aca="false">CHOOSE(QUOTIENT(MONTH($A239),3)+1,Peak!$AM$17,Peak!$AN$17,Peak!$AL$17,Peak!$AO$17,Peak!$AM$17)</f>
        <v>705</v>
      </c>
    </row>
    <row r="240" customFormat="false" ht="12.75" hidden="false" customHeight="false" outlineLevel="0" collapsed="false">
      <c r="A240" s="400" t="n">
        <f aca="false">A239+30.417</f>
        <v>43535.91</v>
      </c>
      <c r="B240" s="432" t="n">
        <f aca="false">IF('Peak Revenue'!$A$1="BL","-",IF(Peak!H241&gt;Peak!$G241,B$8*$X240,0))</f>
        <v>4.75</v>
      </c>
      <c r="C240" s="432" t="n">
        <f aca="false">IF('Peak Revenue'!$A$1="BL","-",IF(Peak!I241&gt;Peak!$G241,C$8*$X240,0))</f>
        <v>4.75</v>
      </c>
      <c r="D240" s="432" t="n">
        <f aca="false">IF('Peak Revenue'!$A$1="BL","-",IF(Peak!J241&gt;Peak!$G241,D$8*$X240,0))</f>
        <v>9.5</v>
      </c>
      <c r="E240" s="432" t="n">
        <f aca="false">IF('Peak Revenue'!$A$1="BL","-",IF(Peak!K241&gt;Peak!$G241,E$8*$X240,0))</f>
        <v>19</v>
      </c>
      <c r="F240" s="432" t="n">
        <f aca="false">IF('Peak Revenue'!$A$1="BL","-",IF(Peak!L241&gt;Peak!$G241,F$8*$X240,0))</f>
        <v>19</v>
      </c>
      <c r="G240" s="432" t="n">
        <f aca="false">IF('Peak Revenue'!$A$1="BL","-",IF(Peak!M241&gt;Peak!$G241,G$8*$X240,0))</f>
        <v>38</v>
      </c>
      <c r="H240" s="432" t="n">
        <f aca="false">IF('Peak Revenue'!$A$1="BL","-",IF(Peak!N241&gt;Peak!$G241,H$8*$X240,0))</f>
        <v>38</v>
      </c>
      <c r="I240" s="432" t="n">
        <f aca="false">IF('Peak Revenue'!$A$1="BL","-",IF(Peak!O241&gt;Peak!$G241,I$8*$X240,0))</f>
        <v>38</v>
      </c>
      <c r="J240" s="432" t="n">
        <f aca="false">IF('Peak Revenue'!$A$1="BL","-",IF(Peak!P241&gt;Peak!$G241,J$8*$X240,0))</f>
        <v>38</v>
      </c>
      <c r="K240" s="432" t="n">
        <f aca="false">IF('Peak Revenue'!$A$1="BL","-",IF(Peak!Q241&gt;Peak!$G241,K$8*$X240,0))</f>
        <v>38</v>
      </c>
      <c r="L240" s="432" t="n">
        <f aca="false">IF('Peak Revenue'!$A$1="BL","-",IF(Peak!R241&gt;Peak!$G241,L$8*$X240,0))</f>
        <v>38</v>
      </c>
      <c r="M240" s="432" t="n">
        <f aca="false">IF('Peak Revenue'!$A$1="BL","-",IF(Peak!S241&gt;Peak!$G241,M$8*$X240,0))</f>
        <v>0</v>
      </c>
      <c r="N240" s="432" t="n">
        <f aca="false">IF('Peak Revenue'!$A$1="BL","-",IF(Peak!T241&gt;Peak!$G241,N$8*$X240,0))</f>
        <v>0</v>
      </c>
      <c r="O240" s="432" t="n">
        <f aca="false">IF('Peak Revenue'!$A$1="BL","-",IF(Peak!U241&gt;Peak!$G241,O$8*$X240,0))</f>
        <v>0</v>
      </c>
      <c r="P240" s="432" t="n">
        <f aca="false">IF('Peak Revenue'!$A$1="BL","-",IF(Peak!V241&gt;Peak!$G241,P$8*$X240,0))</f>
        <v>0</v>
      </c>
      <c r="Q240" s="432" t="n">
        <f aca="false">IF('Peak Revenue'!$A$1="BL","-",IF(Peak!W241&gt;Peak!$G241,Q$8*$X240,0))</f>
        <v>0</v>
      </c>
      <c r="R240" s="432" t="n">
        <f aca="false">IF('Peak Revenue'!$A$1="BL","-",IF(Peak!X241&gt;Peak!$G241,R$8*$X240,0))</f>
        <v>0</v>
      </c>
      <c r="S240" s="432" t="n">
        <f aca="false">IF('Peak Revenue'!$A$1="BL","-",IF(Peak!Y241&gt;Peak!$G241,S$8*$X240,0))</f>
        <v>0</v>
      </c>
      <c r="T240" s="432" t="n">
        <f aca="false">IF('Peak Revenue'!$A$1="BL","-",IF(Peak!Z241&gt;Peak!$G241,T$8*$X240,0))</f>
        <v>0</v>
      </c>
      <c r="U240" s="432" t="n">
        <f aca="false">IF('Peak Revenue'!$A$1="BL","-",IF(Peak!AA241&gt;Peak!$G241,U$8*$X240,0))</f>
        <v>0</v>
      </c>
      <c r="V240" s="441" t="n">
        <f aca="false">SUM(B240:U240)</f>
        <v>285</v>
      </c>
      <c r="W240" s="442"/>
      <c r="X240" s="439" t="n">
        <f aca="false">CHOOSE(QUOTIENT(MONTH($A240),3)+1,Peak!$AM$11,Peak!$AN$11,Peak!$AL$11,Peak!$AO$11,Peak!$AM$11)</f>
        <v>0.95</v>
      </c>
      <c r="Y240" s="440" t="n">
        <f aca="false">CHOOSE(QUOTIENT(MONTH($A240),3)+1,Peak!$AM$17,Peak!$AN$17,Peak!$AL$17,Peak!$AO$17,Peak!$AM$17)</f>
        <v>705</v>
      </c>
    </row>
    <row r="241" customFormat="false" ht="12.75" hidden="false" customHeight="false" outlineLevel="0" collapsed="false">
      <c r="A241" s="400" t="n">
        <f aca="false">A240+30.417</f>
        <v>43566.327</v>
      </c>
      <c r="B241" s="432" t="n">
        <f aca="false">IF('Peak Revenue'!$A$1="BL","-",IF(Peak!H242&gt;Peak!$G242,B$8*$X241,0))</f>
        <v>4.75</v>
      </c>
      <c r="C241" s="432" t="n">
        <f aca="false">IF('Peak Revenue'!$A$1="BL","-",IF(Peak!I242&gt;Peak!$G242,C$8*$X241,0))</f>
        <v>4.75</v>
      </c>
      <c r="D241" s="432" t="n">
        <f aca="false">IF('Peak Revenue'!$A$1="BL","-",IF(Peak!J242&gt;Peak!$G242,D$8*$X241,0))</f>
        <v>9.5</v>
      </c>
      <c r="E241" s="432" t="n">
        <f aca="false">IF('Peak Revenue'!$A$1="BL","-",IF(Peak!K242&gt;Peak!$G242,E$8*$X241,0))</f>
        <v>19</v>
      </c>
      <c r="F241" s="432" t="n">
        <f aca="false">IF('Peak Revenue'!$A$1="BL","-",IF(Peak!L242&gt;Peak!$G242,F$8*$X241,0))</f>
        <v>19</v>
      </c>
      <c r="G241" s="432" t="n">
        <f aca="false">IF('Peak Revenue'!$A$1="BL","-",IF(Peak!M242&gt;Peak!$G242,G$8*$X241,0))</f>
        <v>38</v>
      </c>
      <c r="H241" s="432" t="n">
        <f aca="false">IF('Peak Revenue'!$A$1="BL","-",IF(Peak!N242&gt;Peak!$G242,H$8*$X241,0))</f>
        <v>38</v>
      </c>
      <c r="I241" s="432" t="n">
        <f aca="false">IF('Peak Revenue'!$A$1="BL","-",IF(Peak!O242&gt;Peak!$G242,I$8*$X241,0))</f>
        <v>38</v>
      </c>
      <c r="J241" s="432" t="n">
        <f aca="false">IF('Peak Revenue'!$A$1="BL","-",IF(Peak!P242&gt;Peak!$G242,J$8*$X241,0))</f>
        <v>38</v>
      </c>
      <c r="K241" s="432" t="n">
        <f aca="false">IF('Peak Revenue'!$A$1="BL","-",IF(Peak!Q242&gt;Peak!$G242,K$8*$X241,0))</f>
        <v>38</v>
      </c>
      <c r="L241" s="432" t="n">
        <f aca="false">IF('Peak Revenue'!$A$1="BL","-",IF(Peak!R242&gt;Peak!$G242,L$8*$X241,0))</f>
        <v>0</v>
      </c>
      <c r="M241" s="432" t="n">
        <f aca="false">IF('Peak Revenue'!$A$1="BL","-",IF(Peak!S242&gt;Peak!$G242,M$8*$X241,0))</f>
        <v>0</v>
      </c>
      <c r="N241" s="432" t="n">
        <f aca="false">IF('Peak Revenue'!$A$1="BL","-",IF(Peak!T242&gt;Peak!$G242,N$8*$X241,0))</f>
        <v>0</v>
      </c>
      <c r="O241" s="432" t="n">
        <f aca="false">IF('Peak Revenue'!$A$1="BL","-",IF(Peak!U242&gt;Peak!$G242,O$8*$X241,0))</f>
        <v>0</v>
      </c>
      <c r="P241" s="432" t="n">
        <f aca="false">IF('Peak Revenue'!$A$1="BL","-",IF(Peak!V242&gt;Peak!$G242,P$8*$X241,0))</f>
        <v>0</v>
      </c>
      <c r="Q241" s="432" t="n">
        <f aca="false">IF('Peak Revenue'!$A$1="BL","-",IF(Peak!W242&gt;Peak!$G242,Q$8*$X241,0))</f>
        <v>0</v>
      </c>
      <c r="R241" s="432" t="n">
        <f aca="false">IF('Peak Revenue'!$A$1="BL","-",IF(Peak!X242&gt;Peak!$G242,R$8*$X241,0))</f>
        <v>0</v>
      </c>
      <c r="S241" s="432" t="n">
        <f aca="false">IF('Peak Revenue'!$A$1="BL","-",IF(Peak!Y242&gt;Peak!$G242,S$8*$X241,0))</f>
        <v>0</v>
      </c>
      <c r="T241" s="432" t="n">
        <f aca="false">IF('Peak Revenue'!$A$1="BL","-",IF(Peak!Z242&gt;Peak!$G242,T$8*$X241,0))</f>
        <v>0</v>
      </c>
      <c r="U241" s="432" t="n">
        <f aca="false">IF('Peak Revenue'!$A$1="BL","-",IF(Peak!AA242&gt;Peak!$G242,U$8*$X241,0))</f>
        <v>0</v>
      </c>
      <c r="V241" s="441" t="n">
        <f aca="false">SUM(B241:U241)</f>
        <v>247</v>
      </c>
      <c r="W241" s="442"/>
      <c r="X241" s="439" t="n">
        <f aca="false">CHOOSE(QUOTIENT(MONTH($A241),3)+1,Peak!$AM$11,Peak!$AN$11,Peak!$AL$11,Peak!$AO$11,Peak!$AM$11)</f>
        <v>0.95</v>
      </c>
      <c r="Y241" s="440" t="n">
        <f aca="false">CHOOSE(QUOTIENT(MONTH($A241),3)+1,Peak!$AM$17,Peak!$AN$17,Peak!$AL$17,Peak!$AO$17,Peak!$AM$17)</f>
        <v>705</v>
      </c>
    </row>
    <row r="242" customFormat="false" ht="12.75" hidden="false" customHeight="false" outlineLevel="0" collapsed="false">
      <c r="A242" s="400" t="n">
        <f aca="false">A241+30.417</f>
        <v>43596.744</v>
      </c>
      <c r="B242" s="432" t="n">
        <f aca="false">IF('Peak Revenue'!$A$1="BL","-",IF(Peak!H243&gt;Peak!$G243,B$8*$X242,0))</f>
        <v>4.75</v>
      </c>
      <c r="C242" s="432" t="n">
        <f aca="false">IF('Peak Revenue'!$A$1="BL","-",IF(Peak!I243&gt;Peak!$G243,C$8*$X242,0))</f>
        <v>4.75</v>
      </c>
      <c r="D242" s="432" t="n">
        <f aca="false">IF('Peak Revenue'!$A$1="BL","-",IF(Peak!J243&gt;Peak!$G243,D$8*$X242,0))</f>
        <v>9.5</v>
      </c>
      <c r="E242" s="432" t="n">
        <f aca="false">IF('Peak Revenue'!$A$1="BL","-",IF(Peak!K243&gt;Peak!$G243,E$8*$X242,0))</f>
        <v>19</v>
      </c>
      <c r="F242" s="432" t="n">
        <f aca="false">IF('Peak Revenue'!$A$1="BL","-",IF(Peak!L243&gt;Peak!$G243,F$8*$X242,0))</f>
        <v>19</v>
      </c>
      <c r="G242" s="432" t="n">
        <f aca="false">IF('Peak Revenue'!$A$1="BL","-",IF(Peak!M243&gt;Peak!$G243,G$8*$X242,0))</f>
        <v>38</v>
      </c>
      <c r="H242" s="432" t="n">
        <f aca="false">IF('Peak Revenue'!$A$1="BL","-",IF(Peak!N243&gt;Peak!$G243,H$8*$X242,0))</f>
        <v>38</v>
      </c>
      <c r="I242" s="432" t="n">
        <f aca="false">IF('Peak Revenue'!$A$1="BL","-",IF(Peak!O243&gt;Peak!$G243,I$8*$X242,0))</f>
        <v>0</v>
      </c>
      <c r="J242" s="432" t="n">
        <f aca="false">IF('Peak Revenue'!$A$1="BL","-",IF(Peak!P243&gt;Peak!$G243,J$8*$X242,0))</f>
        <v>0</v>
      </c>
      <c r="K242" s="432" t="n">
        <f aca="false">IF('Peak Revenue'!$A$1="BL","-",IF(Peak!Q243&gt;Peak!$G243,K$8*$X242,0))</f>
        <v>0</v>
      </c>
      <c r="L242" s="432" t="n">
        <f aca="false">IF('Peak Revenue'!$A$1="BL","-",IF(Peak!R243&gt;Peak!$G243,L$8*$X242,0))</f>
        <v>0</v>
      </c>
      <c r="M242" s="432" t="n">
        <f aca="false">IF('Peak Revenue'!$A$1="BL","-",IF(Peak!S243&gt;Peak!$G243,M$8*$X242,0))</f>
        <v>0</v>
      </c>
      <c r="N242" s="432" t="n">
        <f aca="false">IF('Peak Revenue'!$A$1="BL","-",IF(Peak!T243&gt;Peak!$G243,N$8*$X242,0))</f>
        <v>0</v>
      </c>
      <c r="O242" s="432" t="n">
        <f aca="false">IF('Peak Revenue'!$A$1="BL","-",IF(Peak!U243&gt;Peak!$G243,O$8*$X242,0))</f>
        <v>0</v>
      </c>
      <c r="P242" s="432" t="n">
        <f aca="false">IF('Peak Revenue'!$A$1="BL","-",IF(Peak!V243&gt;Peak!$G243,P$8*$X242,0))</f>
        <v>0</v>
      </c>
      <c r="Q242" s="432" t="n">
        <f aca="false">IF('Peak Revenue'!$A$1="BL","-",IF(Peak!W243&gt;Peak!$G243,Q$8*$X242,0))</f>
        <v>0</v>
      </c>
      <c r="R242" s="432" t="n">
        <f aca="false">IF('Peak Revenue'!$A$1="BL","-",IF(Peak!X243&gt;Peak!$G243,R$8*$X242,0))</f>
        <v>0</v>
      </c>
      <c r="S242" s="432" t="n">
        <f aca="false">IF('Peak Revenue'!$A$1="BL","-",IF(Peak!Y243&gt;Peak!$G243,S$8*$X242,0))</f>
        <v>0</v>
      </c>
      <c r="T242" s="432" t="n">
        <f aca="false">IF('Peak Revenue'!$A$1="BL","-",IF(Peak!Z243&gt;Peak!$G243,T$8*$X242,0))</f>
        <v>0</v>
      </c>
      <c r="U242" s="432" t="n">
        <f aca="false">IF('Peak Revenue'!$A$1="BL","-",IF(Peak!AA243&gt;Peak!$G243,U$8*$X242,0))</f>
        <v>0</v>
      </c>
      <c r="V242" s="441" t="n">
        <f aca="false">SUM(B242:U242)</f>
        <v>133</v>
      </c>
      <c r="W242" s="442"/>
      <c r="X242" s="439" t="n">
        <f aca="false">CHOOSE(QUOTIENT(MONTH($A242),3)+1,Peak!$AM$11,Peak!$AN$11,Peak!$AL$11,Peak!$AO$11,Peak!$AM$11)</f>
        <v>0.95</v>
      </c>
      <c r="Y242" s="440" t="n">
        <f aca="false">CHOOSE(QUOTIENT(MONTH($A242),3)+1,Peak!$AM$17,Peak!$AN$17,Peak!$AL$17,Peak!$AO$17,Peak!$AM$17)</f>
        <v>705</v>
      </c>
    </row>
    <row r="243" customFormat="false" ht="12.75" hidden="false" customHeight="false" outlineLevel="0" collapsed="false">
      <c r="A243" s="400" t="n">
        <f aca="false">A242+30.417</f>
        <v>43627.161</v>
      </c>
      <c r="B243" s="432" t="n">
        <f aca="false">IF('Peak Revenue'!$A$1="BL","-",IF(Peak!H244&gt;Peak!$G244,B$8*$X243,0))</f>
        <v>4.83060679547793</v>
      </c>
      <c r="C243" s="432" t="n">
        <f aca="false">IF('Peak Revenue'!$A$1="BL","-",IF(Peak!I244&gt;Peak!$G244,C$8*$X243,0))</f>
        <v>4.83060679547793</v>
      </c>
      <c r="D243" s="432" t="n">
        <f aca="false">IF('Peak Revenue'!$A$1="BL","-",IF(Peak!J244&gt;Peak!$G244,D$8*$X243,0))</f>
        <v>9.66121359095586</v>
      </c>
      <c r="E243" s="432" t="n">
        <f aca="false">IF('Peak Revenue'!$A$1="BL","-",IF(Peak!K244&gt;Peak!$G244,E$8*$X243,0))</f>
        <v>19.3224271819117</v>
      </c>
      <c r="F243" s="432" t="n">
        <f aca="false">IF('Peak Revenue'!$A$1="BL","-",IF(Peak!L244&gt;Peak!$G244,F$8*$X243,0))</f>
        <v>19.3224271819117</v>
      </c>
      <c r="G243" s="432" t="n">
        <f aca="false">IF('Peak Revenue'!$A$1="BL","-",IF(Peak!M244&gt;Peak!$G244,G$8*$X243,0))</f>
        <v>38.6448543638234</v>
      </c>
      <c r="H243" s="432" t="n">
        <f aca="false">IF('Peak Revenue'!$A$1="BL","-",IF(Peak!N244&gt;Peak!$G244,H$8*$X243,0))</f>
        <v>38.6448543638234</v>
      </c>
      <c r="I243" s="432" t="n">
        <f aca="false">IF('Peak Revenue'!$A$1="BL","-",IF(Peak!O244&gt;Peak!$G244,I$8*$X243,0))</f>
        <v>38.6448543638234</v>
      </c>
      <c r="J243" s="432" t="n">
        <f aca="false">IF('Peak Revenue'!$A$1="BL","-",IF(Peak!P244&gt;Peak!$G244,J$8*$X243,0))</f>
        <v>38.6448543638234</v>
      </c>
      <c r="K243" s="432" t="n">
        <f aca="false">IF('Peak Revenue'!$A$1="BL","-",IF(Peak!Q244&gt;Peak!$G244,K$8*$X243,0))</f>
        <v>38.6448543638234</v>
      </c>
      <c r="L243" s="432" t="n">
        <f aca="false">IF('Peak Revenue'!$A$1="BL","-",IF(Peak!R244&gt;Peak!$G244,L$8*$X243,0))</f>
        <v>0</v>
      </c>
      <c r="M243" s="432" t="n">
        <f aca="false">IF('Peak Revenue'!$A$1="BL","-",IF(Peak!S244&gt;Peak!$G244,M$8*$X243,0))</f>
        <v>0</v>
      </c>
      <c r="N243" s="432" t="n">
        <f aca="false">IF('Peak Revenue'!$A$1="BL","-",IF(Peak!T244&gt;Peak!$G244,N$8*$X243,0))</f>
        <v>0</v>
      </c>
      <c r="O243" s="432" t="n">
        <f aca="false">IF('Peak Revenue'!$A$1="BL","-",IF(Peak!U244&gt;Peak!$G244,O$8*$X243,0))</f>
        <v>0</v>
      </c>
      <c r="P243" s="432" t="n">
        <f aca="false">IF('Peak Revenue'!$A$1="BL","-",IF(Peak!V244&gt;Peak!$G244,P$8*$X243,0))</f>
        <v>0</v>
      </c>
      <c r="Q243" s="432" t="n">
        <f aca="false">IF('Peak Revenue'!$A$1="BL","-",IF(Peak!W244&gt;Peak!$G244,Q$8*$X243,0))</f>
        <v>0</v>
      </c>
      <c r="R243" s="432" t="n">
        <f aca="false">IF('Peak Revenue'!$A$1="BL","-",IF(Peak!X244&gt;Peak!$G244,R$8*$X243,0))</f>
        <v>0</v>
      </c>
      <c r="S243" s="432" t="n">
        <f aca="false">IF('Peak Revenue'!$A$1="BL","-",IF(Peak!Y244&gt;Peak!$G244,S$8*$X243,0))</f>
        <v>0</v>
      </c>
      <c r="T243" s="432" t="n">
        <f aca="false">IF('Peak Revenue'!$A$1="BL","-",IF(Peak!Z244&gt;Peak!$G244,T$8*$X243,0))</f>
        <v>0</v>
      </c>
      <c r="U243" s="432" t="n">
        <f aca="false">IF('Peak Revenue'!$A$1="BL","-",IF(Peak!AA244&gt;Peak!$G244,U$8*$X243,0))</f>
        <v>0</v>
      </c>
      <c r="V243" s="441" t="n">
        <f aca="false">SUM(B243:U243)</f>
        <v>251.191553364852</v>
      </c>
      <c r="W243" s="442"/>
      <c r="X243" s="439" t="n">
        <f aca="false">CHOOSE(QUOTIENT(MONTH($A243),3)+1,Peak!$AM$11,Peak!$AN$11,Peak!$AL$11,Peak!$AO$11,Peak!$AM$11)</f>
        <v>0.966121359095586</v>
      </c>
      <c r="Y243" s="440" t="n">
        <f aca="false">CHOOSE(QUOTIENT(MONTH($A243),3)+1,Peak!$AM$17,Peak!$AN$17,Peak!$AL$17,Peak!$AO$17,Peak!$AM$17)</f>
        <v>705</v>
      </c>
    </row>
    <row r="244" customFormat="false" ht="12.75" hidden="false" customHeight="false" outlineLevel="0" collapsed="false">
      <c r="A244" s="400" t="n">
        <f aca="false">A243+30.417</f>
        <v>43657.578</v>
      </c>
      <c r="B244" s="432" t="n">
        <f aca="false">IF('Peak Revenue'!$A$1="BL","-",IF(Peak!H245&gt;Peak!$G245,B$8*$X244,0))</f>
        <v>4.83060679547793</v>
      </c>
      <c r="C244" s="432" t="n">
        <f aca="false">IF('Peak Revenue'!$A$1="BL","-",IF(Peak!I245&gt;Peak!$G245,C$8*$X244,0))</f>
        <v>4.83060679547793</v>
      </c>
      <c r="D244" s="432" t="n">
        <f aca="false">IF('Peak Revenue'!$A$1="BL","-",IF(Peak!J245&gt;Peak!$G245,D$8*$X244,0))</f>
        <v>9.66121359095586</v>
      </c>
      <c r="E244" s="432" t="n">
        <f aca="false">IF('Peak Revenue'!$A$1="BL","-",IF(Peak!K245&gt;Peak!$G245,E$8*$X244,0))</f>
        <v>19.3224271819117</v>
      </c>
      <c r="F244" s="432" t="n">
        <f aca="false">IF('Peak Revenue'!$A$1="BL","-",IF(Peak!L245&gt;Peak!$G245,F$8*$X244,0))</f>
        <v>19.3224271819117</v>
      </c>
      <c r="G244" s="432" t="n">
        <f aca="false">IF('Peak Revenue'!$A$1="BL","-",IF(Peak!M245&gt;Peak!$G245,G$8*$X244,0))</f>
        <v>38.6448543638234</v>
      </c>
      <c r="H244" s="432" t="n">
        <f aca="false">IF('Peak Revenue'!$A$1="BL","-",IF(Peak!N245&gt;Peak!$G245,H$8*$X244,0))</f>
        <v>38.6448543638234</v>
      </c>
      <c r="I244" s="432" t="n">
        <f aca="false">IF('Peak Revenue'!$A$1="BL","-",IF(Peak!O245&gt;Peak!$G245,I$8*$X244,0))</f>
        <v>38.6448543638234</v>
      </c>
      <c r="J244" s="432" t="n">
        <f aca="false">IF('Peak Revenue'!$A$1="BL","-",IF(Peak!P245&gt;Peak!$G245,J$8*$X244,0))</f>
        <v>38.6448543638234</v>
      </c>
      <c r="K244" s="432" t="n">
        <f aca="false">IF('Peak Revenue'!$A$1="BL","-",IF(Peak!Q245&gt;Peak!$G245,K$8*$X244,0))</f>
        <v>38.6448543638234</v>
      </c>
      <c r="L244" s="432" t="n">
        <f aca="false">IF('Peak Revenue'!$A$1="BL","-",IF(Peak!R245&gt;Peak!$G245,L$8*$X244,0))</f>
        <v>38.6448543638234</v>
      </c>
      <c r="M244" s="432" t="n">
        <f aca="false">IF('Peak Revenue'!$A$1="BL","-",IF(Peak!S245&gt;Peak!$G245,M$8*$X244,0))</f>
        <v>0</v>
      </c>
      <c r="N244" s="432" t="n">
        <f aca="false">IF('Peak Revenue'!$A$1="BL","-",IF(Peak!T245&gt;Peak!$G245,N$8*$X244,0))</f>
        <v>0</v>
      </c>
      <c r="O244" s="432" t="n">
        <f aca="false">IF('Peak Revenue'!$A$1="BL","-",IF(Peak!U245&gt;Peak!$G245,O$8*$X244,0))</f>
        <v>0</v>
      </c>
      <c r="P244" s="432" t="n">
        <f aca="false">IF('Peak Revenue'!$A$1="BL","-",IF(Peak!V245&gt;Peak!$G245,P$8*$X244,0))</f>
        <v>0</v>
      </c>
      <c r="Q244" s="432" t="n">
        <f aca="false">IF('Peak Revenue'!$A$1="BL","-",IF(Peak!W245&gt;Peak!$G245,Q$8*$X244,0))</f>
        <v>0</v>
      </c>
      <c r="R244" s="432" t="n">
        <f aca="false">IF('Peak Revenue'!$A$1="BL","-",IF(Peak!X245&gt;Peak!$G245,R$8*$X244,0))</f>
        <v>0</v>
      </c>
      <c r="S244" s="432" t="n">
        <f aca="false">IF('Peak Revenue'!$A$1="BL","-",IF(Peak!Y245&gt;Peak!$G245,S$8*$X244,0))</f>
        <v>0</v>
      </c>
      <c r="T244" s="432" t="n">
        <f aca="false">IF('Peak Revenue'!$A$1="BL","-",IF(Peak!Z245&gt;Peak!$G245,T$8*$X244,0))</f>
        <v>0</v>
      </c>
      <c r="U244" s="432" t="n">
        <f aca="false">IF('Peak Revenue'!$A$1="BL","-",IF(Peak!AA245&gt;Peak!$G245,U$8*$X244,0))</f>
        <v>0</v>
      </c>
      <c r="V244" s="441" t="n">
        <f aca="false">SUM(B244:U244)</f>
        <v>289.836407728676</v>
      </c>
      <c r="W244" s="442"/>
      <c r="X244" s="439" t="n">
        <f aca="false">CHOOSE(QUOTIENT(MONTH($A244),3)+1,Peak!$AM$11,Peak!$AN$11,Peak!$AL$11,Peak!$AO$11,Peak!$AM$11)</f>
        <v>0.966121359095586</v>
      </c>
      <c r="Y244" s="440" t="n">
        <f aca="false">CHOOSE(QUOTIENT(MONTH($A244),3)+1,Peak!$AM$17,Peak!$AN$17,Peak!$AL$17,Peak!$AO$17,Peak!$AM$17)</f>
        <v>705</v>
      </c>
    </row>
    <row r="245" customFormat="false" ht="12.75" hidden="false" customHeight="false" outlineLevel="0" collapsed="false">
      <c r="A245" s="400" t="n">
        <f aca="false">A244+30.417</f>
        <v>43687.995</v>
      </c>
      <c r="B245" s="432" t="n">
        <f aca="false">IF('Peak Revenue'!$A$1="BL","-",IF(Peak!H246&gt;Peak!$G246,B$8*$X245,0))</f>
        <v>4.83060679547793</v>
      </c>
      <c r="C245" s="432" t="n">
        <f aca="false">IF('Peak Revenue'!$A$1="BL","-",IF(Peak!I246&gt;Peak!$G246,C$8*$X245,0))</f>
        <v>4.83060679547793</v>
      </c>
      <c r="D245" s="432" t="n">
        <f aca="false">IF('Peak Revenue'!$A$1="BL","-",IF(Peak!J246&gt;Peak!$G246,D$8*$X245,0))</f>
        <v>9.66121359095586</v>
      </c>
      <c r="E245" s="432" t="n">
        <f aca="false">IF('Peak Revenue'!$A$1="BL","-",IF(Peak!K246&gt;Peak!$G246,E$8*$X245,0))</f>
        <v>19.3224271819117</v>
      </c>
      <c r="F245" s="432" t="n">
        <f aca="false">IF('Peak Revenue'!$A$1="BL","-",IF(Peak!L246&gt;Peak!$G246,F$8*$X245,0))</f>
        <v>19.3224271819117</v>
      </c>
      <c r="G245" s="432" t="n">
        <f aca="false">IF('Peak Revenue'!$A$1="BL","-",IF(Peak!M246&gt;Peak!$G246,G$8*$X245,0))</f>
        <v>38.6448543638234</v>
      </c>
      <c r="H245" s="432" t="n">
        <f aca="false">IF('Peak Revenue'!$A$1="BL","-",IF(Peak!N246&gt;Peak!$G246,H$8*$X245,0))</f>
        <v>38.6448543638234</v>
      </c>
      <c r="I245" s="432" t="n">
        <f aca="false">IF('Peak Revenue'!$A$1="BL","-",IF(Peak!O246&gt;Peak!$G246,I$8*$X245,0))</f>
        <v>38.6448543638234</v>
      </c>
      <c r="J245" s="432" t="n">
        <f aca="false">IF('Peak Revenue'!$A$1="BL","-",IF(Peak!P246&gt;Peak!$G246,J$8*$X245,0))</f>
        <v>38.6448543638234</v>
      </c>
      <c r="K245" s="432" t="n">
        <f aca="false">IF('Peak Revenue'!$A$1="BL","-",IF(Peak!Q246&gt;Peak!$G246,K$8*$X245,0))</f>
        <v>38.6448543638234</v>
      </c>
      <c r="L245" s="432" t="n">
        <f aca="false">IF('Peak Revenue'!$A$1="BL","-",IF(Peak!R246&gt;Peak!$G246,L$8*$X245,0))</f>
        <v>38.6448543638234</v>
      </c>
      <c r="M245" s="432" t="n">
        <f aca="false">IF('Peak Revenue'!$A$1="BL","-",IF(Peak!S246&gt;Peak!$G246,M$8*$X245,0))</f>
        <v>38.6448543638234</v>
      </c>
      <c r="N245" s="432" t="n">
        <f aca="false">IF('Peak Revenue'!$A$1="BL","-",IF(Peak!T246&gt;Peak!$G246,N$8*$X245,0))</f>
        <v>0</v>
      </c>
      <c r="O245" s="432" t="n">
        <f aca="false">IF('Peak Revenue'!$A$1="BL","-",IF(Peak!U246&gt;Peak!$G246,O$8*$X245,0))</f>
        <v>0</v>
      </c>
      <c r="P245" s="432" t="n">
        <f aca="false">IF('Peak Revenue'!$A$1="BL","-",IF(Peak!V246&gt;Peak!$G246,P$8*$X245,0))</f>
        <v>0</v>
      </c>
      <c r="Q245" s="432" t="n">
        <f aca="false">IF('Peak Revenue'!$A$1="BL","-",IF(Peak!W246&gt;Peak!$G246,Q$8*$X245,0))</f>
        <v>0</v>
      </c>
      <c r="R245" s="432" t="n">
        <f aca="false">IF('Peak Revenue'!$A$1="BL","-",IF(Peak!X246&gt;Peak!$G246,R$8*$X245,0))</f>
        <v>0</v>
      </c>
      <c r="S245" s="432" t="n">
        <f aca="false">IF('Peak Revenue'!$A$1="BL","-",IF(Peak!Y246&gt;Peak!$G246,S$8*$X245,0))</f>
        <v>0</v>
      </c>
      <c r="T245" s="432" t="n">
        <f aca="false">IF('Peak Revenue'!$A$1="BL","-",IF(Peak!Z246&gt;Peak!$G246,T$8*$X245,0))</f>
        <v>0</v>
      </c>
      <c r="U245" s="432" t="n">
        <f aca="false">IF('Peak Revenue'!$A$1="BL","-",IF(Peak!AA246&gt;Peak!$G246,U$8*$X245,0))</f>
        <v>0</v>
      </c>
      <c r="V245" s="441" t="n">
        <f aca="false">SUM(B245:U245)</f>
        <v>328.481262092499</v>
      </c>
      <c r="W245" s="442"/>
      <c r="X245" s="439" t="n">
        <f aca="false">CHOOSE(QUOTIENT(MONTH($A245),3)+1,Peak!$AM$11,Peak!$AN$11,Peak!$AL$11,Peak!$AO$11,Peak!$AM$11)</f>
        <v>0.966121359095586</v>
      </c>
      <c r="Y245" s="440" t="n">
        <f aca="false">CHOOSE(QUOTIENT(MONTH($A245),3)+1,Peak!$AM$17,Peak!$AN$17,Peak!$AL$17,Peak!$AO$17,Peak!$AM$17)</f>
        <v>705</v>
      </c>
    </row>
    <row r="246" customFormat="false" ht="12.75" hidden="false" customHeight="false" outlineLevel="0" collapsed="false">
      <c r="A246" s="400" t="n">
        <f aca="false">A245+30.417</f>
        <v>43718.412</v>
      </c>
      <c r="B246" s="432" t="n">
        <f aca="false">IF('Peak Revenue'!$A$1="BL","-",IF(Peak!H247&gt;Peak!$G247,B$8*$X246,0))</f>
        <v>4.75</v>
      </c>
      <c r="C246" s="432" t="n">
        <f aca="false">IF('Peak Revenue'!$A$1="BL","-",IF(Peak!I247&gt;Peak!$G247,C$8*$X246,0))</f>
        <v>4.75</v>
      </c>
      <c r="D246" s="432" t="n">
        <f aca="false">IF('Peak Revenue'!$A$1="BL","-",IF(Peak!J247&gt;Peak!$G247,D$8*$X246,0))</f>
        <v>9.5</v>
      </c>
      <c r="E246" s="432" t="n">
        <f aca="false">IF('Peak Revenue'!$A$1="BL","-",IF(Peak!K247&gt;Peak!$G247,E$8*$X246,0))</f>
        <v>19</v>
      </c>
      <c r="F246" s="432" t="n">
        <f aca="false">IF('Peak Revenue'!$A$1="BL","-",IF(Peak!L247&gt;Peak!$G247,F$8*$X246,0))</f>
        <v>19</v>
      </c>
      <c r="G246" s="432" t="n">
        <f aca="false">IF('Peak Revenue'!$A$1="BL","-",IF(Peak!M247&gt;Peak!$G247,G$8*$X246,0))</f>
        <v>38</v>
      </c>
      <c r="H246" s="432" t="n">
        <f aca="false">IF('Peak Revenue'!$A$1="BL","-",IF(Peak!N247&gt;Peak!$G247,H$8*$X246,0))</f>
        <v>38</v>
      </c>
      <c r="I246" s="432" t="n">
        <f aca="false">IF('Peak Revenue'!$A$1="BL","-",IF(Peak!O247&gt;Peak!$G247,I$8*$X246,0))</f>
        <v>38</v>
      </c>
      <c r="J246" s="432" t="n">
        <f aca="false">IF('Peak Revenue'!$A$1="BL","-",IF(Peak!P247&gt;Peak!$G247,J$8*$X246,0))</f>
        <v>38</v>
      </c>
      <c r="K246" s="432" t="n">
        <f aca="false">IF('Peak Revenue'!$A$1="BL","-",IF(Peak!Q247&gt;Peak!$G247,K$8*$X246,0))</f>
        <v>0</v>
      </c>
      <c r="L246" s="432" t="n">
        <f aca="false">IF('Peak Revenue'!$A$1="BL","-",IF(Peak!R247&gt;Peak!$G247,L$8*$X246,0))</f>
        <v>0</v>
      </c>
      <c r="M246" s="432" t="n">
        <f aca="false">IF('Peak Revenue'!$A$1="BL","-",IF(Peak!S247&gt;Peak!$G247,M$8*$X246,0))</f>
        <v>0</v>
      </c>
      <c r="N246" s="432" t="n">
        <f aca="false">IF('Peak Revenue'!$A$1="BL","-",IF(Peak!T247&gt;Peak!$G247,N$8*$X246,0))</f>
        <v>0</v>
      </c>
      <c r="O246" s="432" t="n">
        <f aca="false">IF('Peak Revenue'!$A$1="BL","-",IF(Peak!U247&gt;Peak!$G247,O$8*$X246,0))</f>
        <v>0</v>
      </c>
      <c r="P246" s="432" t="n">
        <f aca="false">IF('Peak Revenue'!$A$1="BL","-",IF(Peak!V247&gt;Peak!$G247,P$8*$X246,0))</f>
        <v>0</v>
      </c>
      <c r="Q246" s="432" t="n">
        <f aca="false">IF('Peak Revenue'!$A$1="BL","-",IF(Peak!W247&gt;Peak!$G247,Q$8*$X246,0))</f>
        <v>0</v>
      </c>
      <c r="R246" s="432" t="n">
        <f aca="false">IF('Peak Revenue'!$A$1="BL","-",IF(Peak!X247&gt;Peak!$G247,R$8*$X246,0))</f>
        <v>0</v>
      </c>
      <c r="S246" s="432" t="n">
        <f aca="false">IF('Peak Revenue'!$A$1="BL","-",IF(Peak!Y247&gt;Peak!$G247,S$8*$X246,0))</f>
        <v>0</v>
      </c>
      <c r="T246" s="432" t="n">
        <f aca="false">IF('Peak Revenue'!$A$1="BL","-",IF(Peak!Z247&gt;Peak!$G247,T$8*$X246,0))</f>
        <v>0</v>
      </c>
      <c r="U246" s="432" t="n">
        <f aca="false">IF('Peak Revenue'!$A$1="BL","-",IF(Peak!AA247&gt;Peak!$G247,U$8*$X246,0))</f>
        <v>0</v>
      </c>
      <c r="V246" s="441" t="n">
        <f aca="false">SUM(B246:U246)</f>
        <v>209</v>
      </c>
      <c r="W246" s="442"/>
      <c r="X246" s="439" t="n">
        <f aca="false">CHOOSE(QUOTIENT(MONTH($A246),3)+1,Peak!$AM$11,Peak!$AN$11,Peak!$AL$11,Peak!$AO$11,Peak!$AM$11)</f>
        <v>0.95</v>
      </c>
      <c r="Y246" s="440" t="n">
        <f aca="false">CHOOSE(QUOTIENT(MONTH($A246),3)+1,Peak!$AM$17,Peak!$AN$17,Peak!$AL$17,Peak!$AO$17,Peak!$AM$17)</f>
        <v>705</v>
      </c>
    </row>
    <row r="247" customFormat="false" ht="12.75" hidden="false" customHeight="false" outlineLevel="0" collapsed="false">
      <c r="A247" s="400" t="n">
        <f aca="false">A246+30.417</f>
        <v>43748.829</v>
      </c>
      <c r="B247" s="432" t="n">
        <f aca="false">IF('Peak Revenue'!$A$1="BL","-",IF(Peak!H248&gt;Peak!$G248,B$8*$X247,0))</f>
        <v>4.75</v>
      </c>
      <c r="C247" s="432" t="n">
        <f aca="false">IF('Peak Revenue'!$A$1="BL","-",IF(Peak!I248&gt;Peak!$G248,C$8*$X247,0))</f>
        <v>4.75</v>
      </c>
      <c r="D247" s="432" t="n">
        <f aca="false">IF('Peak Revenue'!$A$1="BL","-",IF(Peak!J248&gt;Peak!$G248,D$8*$X247,0))</f>
        <v>9.5</v>
      </c>
      <c r="E247" s="432" t="n">
        <f aca="false">IF('Peak Revenue'!$A$1="BL","-",IF(Peak!K248&gt;Peak!$G248,E$8*$X247,0))</f>
        <v>19</v>
      </c>
      <c r="F247" s="432" t="n">
        <f aca="false">IF('Peak Revenue'!$A$1="BL","-",IF(Peak!L248&gt;Peak!$G248,F$8*$X247,0))</f>
        <v>19</v>
      </c>
      <c r="G247" s="432" t="n">
        <f aca="false">IF('Peak Revenue'!$A$1="BL","-",IF(Peak!M248&gt;Peak!$G248,G$8*$X247,0))</f>
        <v>38</v>
      </c>
      <c r="H247" s="432" t="n">
        <f aca="false">IF('Peak Revenue'!$A$1="BL","-",IF(Peak!N248&gt;Peak!$G248,H$8*$X247,0))</f>
        <v>38</v>
      </c>
      <c r="I247" s="432" t="n">
        <f aca="false">IF('Peak Revenue'!$A$1="BL","-",IF(Peak!O248&gt;Peak!$G248,I$8*$X247,0))</f>
        <v>38</v>
      </c>
      <c r="J247" s="432" t="n">
        <f aca="false">IF('Peak Revenue'!$A$1="BL","-",IF(Peak!P248&gt;Peak!$G248,J$8*$X247,0))</f>
        <v>0</v>
      </c>
      <c r="K247" s="432" t="n">
        <f aca="false">IF('Peak Revenue'!$A$1="BL","-",IF(Peak!Q248&gt;Peak!$G248,K$8*$X247,0))</f>
        <v>0</v>
      </c>
      <c r="L247" s="432" t="n">
        <f aca="false">IF('Peak Revenue'!$A$1="BL","-",IF(Peak!R248&gt;Peak!$G248,L$8*$X247,0))</f>
        <v>0</v>
      </c>
      <c r="M247" s="432" t="n">
        <f aca="false">IF('Peak Revenue'!$A$1="BL","-",IF(Peak!S248&gt;Peak!$G248,M$8*$X247,0))</f>
        <v>0</v>
      </c>
      <c r="N247" s="432" t="n">
        <f aca="false">IF('Peak Revenue'!$A$1="BL","-",IF(Peak!T248&gt;Peak!$G248,N$8*$X247,0))</f>
        <v>0</v>
      </c>
      <c r="O247" s="432" t="n">
        <f aca="false">IF('Peak Revenue'!$A$1="BL","-",IF(Peak!U248&gt;Peak!$G248,O$8*$X247,0))</f>
        <v>0</v>
      </c>
      <c r="P247" s="432" t="n">
        <f aca="false">IF('Peak Revenue'!$A$1="BL","-",IF(Peak!V248&gt;Peak!$G248,P$8*$X247,0))</f>
        <v>0</v>
      </c>
      <c r="Q247" s="432" t="n">
        <f aca="false">IF('Peak Revenue'!$A$1="BL","-",IF(Peak!W248&gt;Peak!$G248,Q$8*$X247,0))</f>
        <v>0</v>
      </c>
      <c r="R247" s="432" t="n">
        <f aca="false">IF('Peak Revenue'!$A$1="BL","-",IF(Peak!X248&gt;Peak!$G248,R$8*$X247,0))</f>
        <v>0</v>
      </c>
      <c r="S247" s="432" t="n">
        <f aca="false">IF('Peak Revenue'!$A$1="BL","-",IF(Peak!Y248&gt;Peak!$G248,S$8*$X247,0))</f>
        <v>0</v>
      </c>
      <c r="T247" s="432" t="n">
        <f aca="false">IF('Peak Revenue'!$A$1="BL","-",IF(Peak!Z248&gt;Peak!$G248,T$8*$X247,0))</f>
        <v>0</v>
      </c>
      <c r="U247" s="432" t="n">
        <f aca="false">IF('Peak Revenue'!$A$1="BL","-",IF(Peak!AA248&gt;Peak!$G248,U$8*$X247,0))</f>
        <v>0</v>
      </c>
      <c r="V247" s="441" t="n">
        <f aca="false">SUM(B247:U247)</f>
        <v>171</v>
      </c>
      <c r="W247" s="442"/>
      <c r="X247" s="439" t="n">
        <f aca="false">CHOOSE(QUOTIENT(MONTH($A247),3)+1,Peak!$AM$11,Peak!$AN$11,Peak!$AL$11,Peak!$AO$11,Peak!$AM$11)</f>
        <v>0.95</v>
      </c>
      <c r="Y247" s="440" t="n">
        <f aca="false">CHOOSE(QUOTIENT(MONTH($A247),3)+1,Peak!$AM$17,Peak!$AN$17,Peak!$AL$17,Peak!$AO$17,Peak!$AM$17)</f>
        <v>705</v>
      </c>
    </row>
    <row r="248" customFormat="false" ht="12.75" hidden="false" customHeight="false" outlineLevel="0" collapsed="false">
      <c r="A248" s="400" t="n">
        <f aca="false">A247+30.417</f>
        <v>43779.246</v>
      </c>
      <c r="B248" s="432" t="n">
        <f aca="false">IF('Peak Revenue'!$A$1="BL","-",IF(Peak!H249&gt;Peak!$G249,B$8*$X248,0))</f>
        <v>4.75</v>
      </c>
      <c r="C248" s="432" t="n">
        <f aca="false">IF('Peak Revenue'!$A$1="BL","-",IF(Peak!I249&gt;Peak!$G249,C$8*$X248,0))</f>
        <v>4.75</v>
      </c>
      <c r="D248" s="432" t="n">
        <f aca="false">IF('Peak Revenue'!$A$1="BL","-",IF(Peak!J249&gt;Peak!$G249,D$8*$X248,0))</f>
        <v>9.5</v>
      </c>
      <c r="E248" s="432" t="n">
        <f aca="false">IF('Peak Revenue'!$A$1="BL","-",IF(Peak!K249&gt;Peak!$G249,E$8*$X248,0))</f>
        <v>19</v>
      </c>
      <c r="F248" s="432" t="n">
        <f aca="false">IF('Peak Revenue'!$A$1="BL","-",IF(Peak!L249&gt;Peak!$G249,F$8*$X248,0))</f>
        <v>19</v>
      </c>
      <c r="G248" s="432" t="n">
        <f aca="false">IF('Peak Revenue'!$A$1="BL","-",IF(Peak!M249&gt;Peak!$G249,G$8*$X248,0))</f>
        <v>38</v>
      </c>
      <c r="H248" s="432" t="n">
        <f aca="false">IF('Peak Revenue'!$A$1="BL","-",IF(Peak!N249&gt;Peak!$G249,H$8*$X248,0))</f>
        <v>38</v>
      </c>
      <c r="I248" s="432" t="n">
        <f aca="false">IF('Peak Revenue'!$A$1="BL","-",IF(Peak!O249&gt;Peak!$G249,I$8*$X248,0))</f>
        <v>38</v>
      </c>
      <c r="J248" s="432" t="n">
        <f aca="false">IF('Peak Revenue'!$A$1="BL","-",IF(Peak!P249&gt;Peak!$G249,J$8*$X248,0))</f>
        <v>0</v>
      </c>
      <c r="K248" s="432" t="n">
        <f aca="false">IF('Peak Revenue'!$A$1="BL","-",IF(Peak!Q249&gt;Peak!$G249,K$8*$X248,0))</f>
        <v>0</v>
      </c>
      <c r="L248" s="432" t="n">
        <f aca="false">IF('Peak Revenue'!$A$1="BL","-",IF(Peak!R249&gt;Peak!$G249,L$8*$X248,0))</f>
        <v>0</v>
      </c>
      <c r="M248" s="432" t="n">
        <f aca="false">IF('Peak Revenue'!$A$1="BL","-",IF(Peak!S249&gt;Peak!$G249,M$8*$X248,0))</f>
        <v>0</v>
      </c>
      <c r="N248" s="432" t="n">
        <f aca="false">IF('Peak Revenue'!$A$1="BL","-",IF(Peak!T249&gt;Peak!$G249,N$8*$X248,0))</f>
        <v>0</v>
      </c>
      <c r="O248" s="432" t="n">
        <f aca="false">IF('Peak Revenue'!$A$1="BL","-",IF(Peak!U249&gt;Peak!$G249,O$8*$X248,0))</f>
        <v>0</v>
      </c>
      <c r="P248" s="432" t="n">
        <f aca="false">IF('Peak Revenue'!$A$1="BL","-",IF(Peak!V249&gt;Peak!$G249,P$8*$X248,0))</f>
        <v>0</v>
      </c>
      <c r="Q248" s="432" t="n">
        <f aca="false">IF('Peak Revenue'!$A$1="BL","-",IF(Peak!W249&gt;Peak!$G249,Q$8*$X248,0))</f>
        <v>0</v>
      </c>
      <c r="R248" s="432" t="n">
        <f aca="false">IF('Peak Revenue'!$A$1="BL","-",IF(Peak!X249&gt;Peak!$G249,R$8*$X248,0))</f>
        <v>0</v>
      </c>
      <c r="S248" s="432" t="n">
        <f aca="false">IF('Peak Revenue'!$A$1="BL","-",IF(Peak!Y249&gt;Peak!$G249,S$8*$X248,0))</f>
        <v>0</v>
      </c>
      <c r="T248" s="432" t="n">
        <f aca="false">IF('Peak Revenue'!$A$1="BL","-",IF(Peak!Z249&gt;Peak!$G249,T$8*$X248,0))</f>
        <v>0</v>
      </c>
      <c r="U248" s="432" t="n">
        <f aca="false">IF('Peak Revenue'!$A$1="BL","-",IF(Peak!AA249&gt;Peak!$G249,U$8*$X248,0))</f>
        <v>0</v>
      </c>
      <c r="V248" s="441" t="n">
        <f aca="false">SUM(B248:U248)</f>
        <v>171</v>
      </c>
      <c r="W248" s="442"/>
      <c r="X248" s="439" t="n">
        <f aca="false">CHOOSE(QUOTIENT(MONTH($A248),3)+1,Peak!$AM$11,Peak!$AN$11,Peak!$AL$11,Peak!$AO$11,Peak!$AM$11)</f>
        <v>0.95</v>
      </c>
      <c r="Y248" s="440" t="n">
        <f aca="false">CHOOSE(QUOTIENT(MONTH($A248),3)+1,Peak!$AM$17,Peak!$AN$17,Peak!$AL$17,Peak!$AO$17,Peak!$AM$17)</f>
        <v>705</v>
      </c>
    </row>
    <row r="249" customFormat="false" ht="12.75" hidden="false" customHeight="false" outlineLevel="0" collapsed="false">
      <c r="A249" s="400" t="n">
        <f aca="false">A248+30.417</f>
        <v>43809.663</v>
      </c>
      <c r="B249" s="432" t="n">
        <f aca="false">IF('Peak Revenue'!$A$1="BL","-",IF(Peak!H250&gt;Peak!$G250,B$8*$X249,0))</f>
        <v>4.62138309393059</v>
      </c>
      <c r="C249" s="432" t="n">
        <f aca="false">IF('Peak Revenue'!$A$1="BL","-",IF(Peak!I250&gt;Peak!$G250,C$8*$X249,0))</f>
        <v>4.62138309393059</v>
      </c>
      <c r="D249" s="432" t="n">
        <f aca="false">IF('Peak Revenue'!$A$1="BL","-",IF(Peak!J250&gt;Peak!$G250,D$8*$X249,0))</f>
        <v>9.24276618786118</v>
      </c>
      <c r="E249" s="432" t="n">
        <f aca="false">IF('Peak Revenue'!$A$1="BL","-",IF(Peak!K250&gt;Peak!$G250,E$8*$X249,0))</f>
        <v>18.4855323757224</v>
      </c>
      <c r="F249" s="432" t="n">
        <f aca="false">IF('Peak Revenue'!$A$1="BL","-",IF(Peak!L250&gt;Peak!$G250,F$8*$X249,0))</f>
        <v>18.4855323757224</v>
      </c>
      <c r="G249" s="432" t="n">
        <f aca="false">IF('Peak Revenue'!$A$1="BL","-",IF(Peak!M250&gt;Peak!$G250,G$8*$X249,0))</f>
        <v>36.9710647514447</v>
      </c>
      <c r="H249" s="432" t="n">
        <f aca="false">IF('Peak Revenue'!$A$1="BL","-",IF(Peak!N250&gt;Peak!$G250,H$8*$X249,0))</f>
        <v>36.9710647514447</v>
      </c>
      <c r="I249" s="432" t="n">
        <f aca="false">IF('Peak Revenue'!$A$1="BL","-",IF(Peak!O250&gt;Peak!$G250,I$8*$X249,0))</f>
        <v>36.9710647514447</v>
      </c>
      <c r="J249" s="432" t="n">
        <f aca="false">IF('Peak Revenue'!$A$1="BL","-",IF(Peak!P250&gt;Peak!$G250,J$8*$X249,0))</f>
        <v>36.9710647514447</v>
      </c>
      <c r="K249" s="432" t="n">
        <f aca="false">IF('Peak Revenue'!$A$1="BL","-",IF(Peak!Q250&gt;Peak!$G250,K$8*$X249,0))</f>
        <v>0</v>
      </c>
      <c r="L249" s="432" t="n">
        <f aca="false">IF('Peak Revenue'!$A$1="BL","-",IF(Peak!R250&gt;Peak!$G250,L$8*$X249,0))</f>
        <v>0</v>
      </c>
      <c r="M249" s="432" t="n">
        <f aca="false">IF('Peak Revenue'!$A$1="BL","-",IF(Peak!S250&gt;Peak!$G250,M$8*$X249,0))</f>
        <v>0</v>
      </c>
      <c r="N249" s="432" t="n">
        <f aca="false">IF('Peak Revenue'!$A$1="BL","-",IF(Peak!T250&gt;Peak!$G250,N$8*$X249,0))</f>
        <v>0</v>
      </c>
      <c r="O249" s="432" t="n">
        <f aca="false">IF('Peak Revenue'!$A$1="BL","-",IF(Peak!U250&gt;Peak!$G250,O$8*$X249,0))</f>
        <v>0</v>
      </c>
      <c r="P249" s="432" t="n">
        <f aca="false">IF('Peak Revenue'!$A$1="BL","-",IF(Peak!V250&gt;Peak!$G250,P$8*$X249,0))</f>
        <v>0</v>
      </c>
      <c r="Q249" s="432" t="n">
        <f aca="false">IF('Peak Revenue'!$A$1="BL","-",IF(Peak!W250&gt;Peak!$G250,Q$8*$X249,0))</f>
        <v>0</v>
      </c>
      <c r="R249" s="432" t="n">
        <f aca="false">IF('Peak Revenue'!$A$1="BL","-",IF(Peak!X250&gt;Peak!$G250,R$8*$X249,0))</f>
        <v>0</v>
      </c>
      <c r="S249" s="432" t="n">
        <f aca="false">IF('Peak Revenue'!$A$1="BL","-",IF(Peak!Y250&gt;Peak!$G250,S$8*$X249,0))</f>
        <v>0</v>
      </c>
      <c r="T249" s="432" t="n">
        <f aca="false">IF('Peak Revenue'!$A$1="BL","-",IF(Peak!Z250&gt;Peak!$G250,T$8*$X249,0))</f>
        <v>0</v>
      </c>
      <c r="U249" s="432" t="n">
        <f aca="false">IF('Peak Revenue'!$A$1="BL","-",IF(Peak!AA250&gt;Peak!$G250,U$8*$X249,0))</f>
        <v>0</v>
      </c>
      <c r="V249" s="441" t="n">
        <f aca="false">SUM(B249:U249)</f>
        <v>203.340856132946</v>
      </c>
      <c r="W249" s="443" t="n">
        <f aca="false">SUM(V238:V249)</f>
        <v>2658.56072683342</v>
      </c>
      <c r="X249" s="439" t="n">
        <f aca="false">CHOOSE(QUOTIENT(MONTH($A249),3)+1,Peak!$AM$11,Peak!$AN$11,Peak!$AL$11,Peak!$AO$11,Peak!$AM$11)</f>
        <v>0.924276618786118</v>
      </c>
      <c r="Y249" s="440" t="n">
        <f aca="false">CHOOSE(QUOTIENT(MONTH($A249),3)+1,Peak!$AM$17,Peak!$AN$17,Peak!$AL$17,Peak!$AO$17,Peak!$AM$17)</f>
        <v>705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9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6" activeCellId="0" sqref="A6:W6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14"/>
    <col collapsed="false" customWidth="true" hidden="false" outlineLevel="0" max="2" min="2" style="1" width="25.41"/>
    <col collapsed="false" customWidth="true" hidden="false" outlineLevel="0" max="3" min="3" style="0" width="17.85"/>
    <col collapsed="false" customWidth="true" hidden="false" outlineLevel="0" max="4" min="4" style="0" width="16.84"/>
    <col collapsed="false" customWidth="true" hidden="false" outlineLevel="0" max="6" min="5" style="0" width="16.56"/>
    <col collapsed="false" customWidth="true" hidden="false" outlineLevel="0" max="7" min="7" style="0" width="17.99"/>
    <col collapsed="false" customWidth="true" hidden="false" outlineLevel="0" max="8" min="8" style="0" width="15.99"/>
    <col collapsed="false" customWidth="true" hidden="false" outlineLevel="0" max="9" min="9" style="0" width="16.7"/>
    <col collapsed="false" customWidth="true" hidden="false" outlineLevel="0" max="10" min="10" style="0" width="16.28"/>
    <col collapsed="false" customWidth="true" hidden="false" outlineLevel="0" max="11" min="11" style="0" width="16.7"/>
    <col collapsed="false" customWidth="true" hidden="false" outlineLevel="0" max="12" min="12" style="0" width="16.28"/>
    <col collapsed="false" customWidth="true" hidden="false" outlineLevel="0" max="14" min="13" style="0" width="16.13"/>
    <col collapsed="false" customWidth="true" hidden="false" outlineLevel="0" max="15" min="15" style="0" width="16.7"/>
    <col collapsed="false" customWidth="true" hidden="false" outlineLevel="0" max="16" min="16" style="0" width="16.13"/>
    <col collapsed="false" customWidth="true" hidden="false" outlineLevel="0" max="17" min="17" style="0" width="17.14"/>
    <col collapsed="false" customWidth="true" hidden="false" outlineLevel="0" max="18" min="18" style="0" width="16.7"/>
    <col collapsed="false" customWidth="true" hidden="false" outlineLevel="0" max="19" min="19" style="0" width="16.56"/>
    <col collapsed="false" customWidth="true" hidden="false" outlineLevel="0" max="20" min="20" style="0" width="15.99"/>
    <col collapsed="false" customWidth="true" hidden="false" outlineLevel="0" max="21" min="21" style="0" width="16.28"/>
    <col collapsed="false" customWidth="true" hidden="false" outlineLevel="0" max="22" min="22" style="0" width="11.28"/>
    <col collapsed="false" customWidth="true" hidden="false" outlineLevel="0" max="23" min="23" style="0" width="11.56"/>
  </cols>
  <sheetData>
    <row r="1" customFormat="false" ht="12.75" hidden="false" customHeight="false" outlineLevel="0" collapsed="false">
      <c r="A1" s="52" t="s">
        <v>102</v>
      </c>
      <c r="B1" s="176" t="n">
        <v>33</v>
      </c>
      <c r="C1" s="177" t="s">
        <v>103</v>
      </c>
      <c r="D1" s="2"/>
      <c r="E1" s="2"/>
      <c r="F1" s="51" t="s">
        <v>15</v>
      </c>
      <c r="G1" s="51"/>
      <c r="H1" s="51"/>
      <c r="I1" s="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customFormat="false" ht="12.75" hidden="false" customHeight="false" outlineLevel="0" collapsed="false">
      <c r="A2" s="52" t="s">
        <v>5</v>
      </c>
      <c r="B2" s="176" t="n">
        <f aca="false">VLOOKUP($B$1,UnitData,3)</f>
        <v>705</v>
      </c>
      <c r="C2" s="54" t="str">
        <f aca="false">VLOOKUP($B$1,UnitData,15)</f>
        <v>Peak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customFormat="false" ht="12.75" hidden="false" customHeight="false" outlineLevel="0" collapsed="false">
      <c r="A3" s="52" t="s">
        <v>16</v>
      </c>
      <c r="B3" s="178" t="n">
        <f aca="false">Assumptions!L16</f>
        <v>0.1</v>
      </c>
      <c r="C3" s="179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customFormat="false" ht="12.75" hidden="false" customHeight="false" outlineLevel="0" collapsed="false">
      <c r="A4" s="52" t="s">
        <v>104</v>
      </c>
      <c r="B4" s="176" t="n">
        <f aca="false">VLOOKUP($B$1,UnitData,14)</f>
        <v>30</v>
      </c>
      <c r="C4" s="17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customFormat="false" ht="12.75" hidden="false" customHeight="false" outlineLevel="0" collapsed="false">
      <c r="A5" s="2"/>
      <c r="B5" s="31"/>
      <c r="C5" s="180"/>
      <c r="D5" s="180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customFormat="false" ht="15.75" hidden="false" customHeight="false" outlineLevel="0" collapsed="false">
      <c r="A6" s="48" t="s">
        <v>17</v>
      </c>
      <c r="B6" s="57" t="str">
        <f aca="false">VLOOKUP($B$1,UnitData,2)</f>
        <v>VMC</v>
      </c>
      <c r="C6" s="58" t="n">
        <v>2000</v>
      </c>
      <c r="D6" s="58" t="n">
        <v>2001</v>
      </c>
      <c r="E6" s="58" t="n">
        <v>2002</v>
      </c>
      <c r="F6" s="58" t="n">
        <v>2003</v>
      </c>
      <c r="G6" s="58" t="n">
        <v>2004</v>
      </c>
      <c r="H6" s="58" t="n">
        <v>2005</v>
      </c>
      <c r="I6" s="58" t="n">
        <v>2006</v>
      </c>
      <c r="J6" s="58" t="n">
        <v>2007</v>
      </c>
      <c r="K6" s="58" t="n">
        <v>2008</v>
      </c>
      <c r="L6" s="58" t="n">
        <v>2009</v>
      </c>
      <c r="M6" s="58" t="n">
        <v>2010</v>
      </c>
      <c r="N6" s="58" t="n">
        <v>2011</v>
      </c>
      <c r="O6" s="58" t="n">
        <v>2012</v>
      </c>
      <c r="P6" s="58" t="n">
        <v>2013</v>
      </c>
      <c r="Q6" s="58" t="n">
        <v>2014</v>
      </c>
      <c r="R6" s="58" t="n">
        <v>2015</v>
      </c>
      <c r="S6" s="58" t="n">
        <v>2016</v>
      </c>
      <c r="T6" s="58" t="n">
        <v>2017</v>
      </c>
      <c r="U6" s="58" t="n">
        <v>2018</v>
      </c>
      <c r="V6" s="58" t="n">
        <v>2019</v>
      </c>
      <c r="W6" s="58" t="s">
        <v>19</v>
      </c>
    </row>
    <row r="7" customFormat="false" ht="12.75" hidden="false" customHeight="false" outlineLevel="0" collapsed="false">
      <c r="A7" s="48" t="s">
        <v>5</v>
      </c>
      <c r="B7" s="49" t="n">
        <f aca="false">VLOOKUP($B$1,UnitData,3)</f>
        <v>705</v>
      </c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</row>
    <row r="8" customFormat="false" ht="12.75" hidden="false" customHeight="false" outlineLevel="0" collapsed="false">
      <c r="A8" s="2"/>
      <c r="B8" s="117" t="s">
        <v>20</v>
      </c>
      <c r="C8" s="118" t="n">
        <v>0</v>
      </c>
      <c r="D8" s="64" t="n">
        <f aca="false">IF($C$2="BL",'Base Revenue'!$Y$33,'Peak Revenue'!$V$33)</f>
        <v>120377710.54243</v>
      </c>
      <c r="E8" s="64" t="n">
        <f aca="false">IF($C$2="BL",'Base Revenue'!$Y$45,'Peak Revenue'!$V$45)</f>
        <v>117550058.879554</v>
      </c>
      <c r="F8" s="64" t="n">
        <f aca="false">IF($C$2="BL",'Base Revenue'!$Y$57,'Peak Revenue'!$V$57)</f>
        <v>128518742.129845</v>
      </c>
      <c r="G8" s="64" t="n">
        <f aca="false">IF($C$2="BL",'Base Revenue'!$Y$69,'Peak Revenue'!$V$69)</f>
        <v>104186860.255342</v>
      </c>
      <c r="H8" s="64" t="n">
        <f aca="false">IF($C$2="BL",'Base Revenue'!$Y$81,'Peak Revenue'!$V$81)</f>
        <v>109276259.301946</v>
      </c>
      <c r="I8" s="64" t="n">
        <f aca="false">IF($C$2="BL",'Base Revenue'!$Y$93,'Peak Revenue'!$V$93)</f>
        <v>126403348.780194</v>
      </c>
      <c r="J8" s="64" t="n">
        <f aca="false">IF($C$2="BL",'Base Revenue'!$Y$105,'Peak Revenue'!$V$105)</f>
        <v>138612873.427859</v>
      </c>
      <c r="K8" s="64" t="n">
        <f aca="false">IF($C$2="BL",'Base Revenue'!$Y$117,'Peak Revenue'!$V$117)</f>
        <v>160241383.9346</v>
      </c>
      <c r="L8" s="64" t="n">
        <f aca="false">IF($C$2="BL",'Base Revenue'!$Y$129,'Peak Revenue'!$V$129)</f>
        <v>158167046.644632</v>
      </c>
      <c r="M8" s="64" t="n">
        <f aca="false">IF($C$2="BL",'Base Revenue'!$Y$141,'Peak Revenue'!$V$141)</f>
        <v>145972996.686761</v>
      </c>
      <c r="N8" s="64" t="n">
        <f aca="false">IF($C$2="BL",'Base Revenue'!$Y$153,'Peak Revenue'!$V$153)</f>
        <v>157796271.57159</v>
      </c>
      <c r="O8" s="64" t="n">
        <f aca="false">IF($C$2="BL",'Base Revenue'!$Y$165,'Peak Revenue'!$V$165)</f>
        <v>149704969.237769</v>
      </c>
      <c r="P8" s="64" t="n">
        <f aca="false">IF($C$2="BL",'Base Revenue'!$Y$177,'Peak Revenue'!$V$177)</f>
        <v>151331084.278785</v>
      </c>
      <c r="Q8" s="64" t="n">
        <f aca="false">IF($C$2="BL",'Base Revenue'!$Y$189,'Peak Revenue'!$V$189)</f>
        <v>165717611.827753</v>
      </c>
      <c r="R8" s="64" t="n">
        <f aca="false">IF($C$2="BL",'Base Revenue'!$Y$201,'Peak Revenue'!$V$201)</f>
        <v>176489496.354912</v>
      </c>
      <c r="S8" s="64" t="n">
        <f aca="false">IF($C$2="BL",'Base Revenue'!$Y$213,'Peak Revenue'!$V$213)</f>
        <v>154172018.605188</v>
      </c>
      <c r="T8" s="64" t="n">
        <f aca="false">IF($C$2="BL",'Base Revenue'!$Y$225,'Peak Revenue'!$V$225)</f>
        <v>150840898.81053</v>
      </c>
      <c r="U8" s="64" t="n">
        <f aca="false">IF($C$2="BL",'Base Revenue'!$Y$237,'Peak Revenue'!$V$237)</f>
        <v>151684851.301135</v>
      </c>
      <c r="V8" s="64" t="n">
        <f aca="false">IF($C$2="BL",'Base Revenue'!$Y$249,'Peak Revenue'!$V$249)</f>
        <v>168908307.033138</v>
      </c>
      <c r="W8" s="65"/>
    </row>
    <row r="9" customFormat="false" ht="12.75" hidden="false" customHeight="false" outlineLevel="0" collapsed="false">
      <c r="A9" s="2"/>
      <c r="B9" s="117" t="s">
        <v>21</v>
      </c>
      <c r="C9" s="118" t="n">
        <v>0</v>
      </c>
      <c r="D9" s="64" t="n">
        <f aca="false">IF($C$2="BL",'Base Revenue'!$AA$33,'Peak Revenue'!$X$33)</f>
        <v>-58074337.2357087</v>
      </c>
      <c r="E9" s="64" t="n">
        <f aca="false">IF($C$2="BL",'Base Revenue'!$AA$45,'Peak Revenue'!$X$45)</f>
        <v>-63426607.7426945</v>
      </c>
      <c r="F9" s="64" t="n">
        <f aca="false">IF($C$2="BL",'Base Revenue'!$AA$57,'Peak Revenue'!$X$57)</f>
        <v>-73979802.7863865</v>
      </c>
      <c r="G9" s="64" t="n">
        <f aca="false">IF($C$2="BL",'Base Revenue'!$AA$69,'Peak Revenue'!$X$69)</f>
        <v>-58708561.3824979</v>
      </c>
      <c r="H9" s="64" t="n">
        <f aca="false">IF($C$2="BL",'Base Revenue'!$AA$81,'Peak Revenue'!$X$81)</f>
        <v>-62532308.3546261</v>
      </c>
      <c r="I9" s="64" t="n">
        <f aca="false">IF($C$2="BL",'Base Revenue'!$AA$93,'Peak Revenue'!$X$93)</f>
        <v>-77290926.6203685</v>
      </c>
      <c r="J9" s="64" t="n">
        <f aca="false">IF($C$2="BL",'Base Revenue'!$AA$105,'Peak Revenue'!$X$105)</f>
        <v>-83281850.042701</v>
      </c>
      <c r="K9" s="64" t="n">
        <f aca="false">IF($C$2="BL",'Base Revenue'!$AA$117,'Peak Revenue'!$X$117)</f>
        <v>-92558008.9526294</v>
      </c>
      <c r="L9" s="64" t="n">
        <f aca="false">IF($C$2="BL",'Base Revenue'!$AA$129,'Peak Revenue'!$X$129)</f>
        <v>-92194228.2611532</v>
      </c>
      <c r="M9" s="64" t="n">
        <f aca="false">IF($C$2="BL",'Base Revenue'!$AA$141,'Peak Revenue'!$X$141)</f>
        <v>-82359172.7095415</v>
      </c>
      <c r="N9" s="64" t="n">
        <f aca="false">IF($C$2="BL",'Base Revenue'!$AA$153,'Peak Revenue'!$X$153)</f>
        <v>-96395067.7244668</v>
      </c>
      <c r="O9" s="64" t="n">
        <f aca="false">IF($C$2="BL",'Base Revenue'!$AA$165,'Peak Revenue'!$X$165)</f>
        <v>-87589725.4663329</v>
      </c>
      <c r="P9" s="64" t="n">
        <f aca="false">IF($C$2="BL",'Base Revenue'!$AA$177,'Peak Revenue'!$X$177)</f>
        <v>-89899624.5486301</v>
      </c>
      <c r="Q9" s="64" t="n">
        <f aca="false">IF($C$2="BL",'Base Revenue'!$AA$189,'Peak Revenue'!$X$189)</f>
        <v>-96769735.4517889</v>
      </c>
      <c r="R9" s="64" t="n">
        <f aca="false">IF($C$2="BL",'Base Revenue'!$AA$201,'Peak Revenue'!$X$201)</f>
        <v>-111731236.854137</v>
      </c>
      <c r="S9" s="64" t="n">
        <f aca="false">IF($C$2="BL",'Base Revenue'!$AA$213,'Peak Revenue'!$X$213)</f>
        <v>-95866462.7815741</v>
      </c>
      <c r="T9" s="64" t="n">
        <f aca="false">IF($C$2="BL",'Base Revenue'!$AA$225,'Peak Revenue'!$X$225)</f>
        <v>-90504686.1600811</v>
      </c>
      <c r="U9" s="64" t="n">
        <f aca="false">IF($C$2="BL",'Base Revenue'!$AA$237,'Peak Revenue'!$X$237)</f>
        <v>-86418779.3594488</v>
      </c>
      <c r="V9" s="64" t="n">
        <f aca="false">IF($C$2="BL",'Base Revenue'!$AA$249,'Peak Revenue'!$X$249)</f>
        <v>-103582712.878329</v>
      </c>
      <c r="W9" s="65"/>
    </row>
    <row r="10" customFormat="false" ht="12.75" hidden="false" customHeight="false" outlineLevel="0" collapsed="false">
      <c r="A10" s="2"/>
      <c r="B10" s="117" t="s">
        <v>22</v>
      </c>
      <c r="C10" s="118" t="n">
        <v>0</v>
      </c>
      <c r="D10" s="64" t="n">
        <f aca="false">IF($C$2="BL",'Base Revenue'!$AC$33,'Peak Revenue'!$Z$33)</f>
        <v>-779656.834451611</v>
      </c>
      <c r="E10" s="64" t="n">
        <f aca="false">IF($C$2="BL",'Base Revenue'!$AC$45,'Peak Revenue'!$Z$45)</f>
        <v>-964911.02386395</v>
      </c>
      <c r="F10" s="64" t="n">
        <f aca="false">IF($C$2="BL",'Base Revenue'!$AC$57,'Peak Revenue'!$Z$57)</f>
        <v>-1211779.4455034</v>
      </c>
      <c r="G10" s="64" t="n">
        <f aca="false">IF($C$2="BL",'Base Revenue'!$AC$69,'Peak Revenue'!$Z$69)</f>
        <v>-970917.973559286</v>
      </c>
      <c r="H10" s="64" t="n">
        <f aca="false">IF($C$2="BL",'Base Revenue'!$AC$81,'Peak Revenue'!$Z$81)</f>
        <v>-1044934.5559592</v>
      </c>
      <c r="I10" s="64" t="n">
        <f aca="false">IF($C$2="BL",'Base Revenue'!$AC$93,'Peak Revenue'!$Z$93)</f>
        <v>-1304686.01753818</v>
      </c>
      <c r="J10" s="64" t="n">
        <f aca="false">IF($C$2="BL",'Base Revenue'!$AC$105,'Peak Revenue'!$Z$105)</f>
        <v>-1424641.46386179</v>
      </c>
      <c r="K10" s="64" t="n">
        <f aca="false">IF($C$2="BL",'Base Revenue'!$AC$117,'Peak Revenue'!$Z$117)</f>
        <v>-1717117.86176933</v>
      </c>
      <c r="L10" s="64" t="n">
        <f aca="false">IF($C$2="BL",'Base Revenue'!$AC$129,'Peak Revenue'!$Z$129)</f>
        <v>-1695930.87091327</v>
      </c>
      <c r="M10" s="64" t="n">
        <f aca="false">IF($C$2="BL",'Base Revenue'!$AC$141,'Peak Revenue'!$Z$141)</f>
        <v>-1472182.3608346</v>
      </c>
      <c r="N10" s="64" t="n">
        <f aca="false">IF($C$2="BL",'Base Revenue'!$AC$153,'Peak Revenue'!$Z$153)</f>
        <v>-1746246.28780384</v>
      </c>
      <c r="O10" s="64" t="n">
        <f aca="false">IF($C$2="BL",'Base Revenue'!$AC$165,'Peak Revenue'!$Z$165)</f>
        <v>-1616025.99651886</v>
      </c>
      <c r="P10" s="64" t="n">
        <f aca="false">IF($C$2="BL",'Base Revenue'!$AC$177,'Peak Revenue'!$Z$177)</f>
        <v>-1603321.9018276</v>
      </c>
      <c r="Q10" s="64" t="n">
        <f aca="false">IF($C$2="BL",'Base Revenue'!$AC$189,'Peak Revenue'!$Z$189)</f>
        <v>-1766521.78901546</v>
      </c>
      <c r="R10" s="64" t="n">
        <f aca="false">IF($C$2="BL",'Base Revenue'!$AC$201,'Peak Revenue'!$Z$201)</f>
        <v>-1911564.61029936</v>
      </c>
      <c r="S10" s="64" t="n">
        <f aca="false">IF($C$2="BL",'Base Revenue'!$AC$213,'Peak Revenue'!$Z$213)</f>
        <v>-1592542.20697082</v>
      </c>
      <c r="T10" s="64" t="n">
        <f aca="false">IF($C$2="BL",'Base Revenue'!$AC$225,'Peak Revenue'!$Z$225)</f>
        <v>-1462251.82167321</v>
      </c>
      <c r="U10" s="64" t="n">
        <f aca="false">IF($C$2="BL",'Base Revenue'!$AC$237,'Peak Revenue'!$Z$237)</f>
        <v>-1352164.35782342</v>
      </c>
      <c r="V10" s="64" t="n">
        <f aca="false">IF($C$2="BL",'Base Revenue'!$AC$249,'Peak Revenue'!$Z$249)</f>
        <v>-1667278.02335689</v>
      </c>
      <c r="W10" s="65"/>
    </row>
    <row r="11" customFormat="false" ht="12.75" hidden="false" customHeight="false" outlineLevel="0" collapsed="false">
      <c r="A11" s="2"/>
      <c r="B11" s="117" t="s">
        <v>23</v>
      </c>
      <c r="C11" s="118" t="n">
        <v>0</v>
      </c>
      <c r="D11" s="64" t="n">
        <f aca="false">IF($C$2="BL",'Base Revenue'!$AE$33,'Peak Revenue'!$AB$33)</f>
        <v>0</v>
      </c>
      <c r="E11" s="64" t="n">
        <f aca="false">IF($C$2="BL",'Base Revenue'!$AE$45,'Peak Revenue'!$AB$45)</f>
        <v>0</v>
      </c>
      <c r="F11" s="64" t="n">
        <f aca="false">IF($C$2="BL",'Base Revenue'!$AE$57,'Peak Revenue'!$AB$57)</f>
        <v>0</v>
      </c>
      <c r="G11" s="64" t="n">
        <f aca="false">IF($C$2="BL",'Base Revenue'!$AE$69,'Peak Revenue'!$AB$69)</f>
        <v>0</v>
      </c>
      <c r="H11" s="64" t="n">
        <f aca="false">IF($C$2="BL",'Base Revenue'!$AE$81,'Peak Revenue'!$AB$81)</f>
        <v>0</v>
      </c>
      <c r="I11" s="64" t="n">
        <f aca="false">IF($C$2="BL",'Base Revenue'!$AE$93,'Peak Revenue'!$AB$93)+VLOOKUP(IS!$B$1,allotval,I6-1997)</f>
        <v>0</v>
      </c>
      <c r="J11" s="64" t="n">
        <f aca="false">IF($C$2="BL",'Base Revenue'!$AE$105,'Peak Revenue'!$AB$105)+VLOOKUP(IS!$B$1,allotval,J6-1997)</f>
        <v>0</v>
      </c>
      <c r="K11" s="64" t="n">
        <f aca="false">IF($C$2="BL",'Base Revenue'!$AE$117,'Peak Revenue'!$AB$117)+VLOOKUP(IS!$B$1,allotval,K6-1997)</f>
        <v>0</v>
      </c>
      <c r="L11" s="64" t="n">
        <f aca="false">IF($C$2="BL",'Base Revenue'!$AE$129,'Peak Revenue'!$AB$129)+VLOOKUP(IS!$B$1,allotval,L6-1997)</f>
        <v>0</v>
      </c>
      <c r="M11" s="64" t="n">
        <f aca="false">IF($C$2="BL",'Base Revenue'!$AE$141,'Peak Revenue'!$AB$141)+VLOOKUP(IS!$B$1,allotval,M6-1997)</f>
        <v>0</v>
      </c>
      <c r="N11" s="64" t="n">
        <f aca="false">IF($C$2="BL",'Base Revenue'!$AE$153,'Peak Revenue'!$AB$153)+VLOOKUP(IS!$B$1,allotval,N6-1997)</f>
        <v>0</v>
      </c>
      <c r="O11" s="64" t="n">
        <f aca="false">IF($C$2="BL",'Base Revenue'!$AE$165,'Peak Revenue'!$AB$165)+VLOOKUP(IS!$B$1,allotval,O6-1997)</f>
        <v>0</v>
      </c>
      <c r="P11" s="64" t="n">
        <f aca="false">IF($C$2="BL",'Base Revenue'!$AE$177,'Peak Revenue'!$AB$177)+VLOOKUP(IS!$B$1,allotval,P6-1997)</f>
        <v>0</v>
      </c>
      <c r="Q11" s="64" t="n">
        <f aca="false">IF($C$2="BL",'Base Revenue'!$AE$189,'Peak Revenue'!$AB$189)+VLOOKUP(IS!$B$1,allotval,Q6-1997)</f>
        <v>0</v>
      </c>
      <c r="R11" s="64" t="n">
        <f aca="false">IF($C$2="BL",'Base Revenue'!$AE$201,'Peak Revenue'!$AB$201)+VLOOKUP(IS!$B$1,allotval,R6-1997)</f>
        <v>0</v>
      </c>
      <c r="S11" s="64" t="n">
        <f aca="false">IF($C$2="BL",'Base Revenue'!$AE$213,'Peak Revenue'!$AB$213)+VLOOKUP(IS!$B$1,allotval,S6-1997)</f>
        <v>0</v>
      </c>
      <c r="T11" s="64" t="n">
        <f aca="false">IF($C$2="BL",'Base Revenue'!$AE$225,'Peak Revenue'!$AB$225)+VLOOKUP(IS!$B$1,allotval,T6-1997)</f>
        <v>0</v>
      </c>
      <c r="U11" s="64" t="n">
        <f aca="false">IF($C$2="BL",'Base Revenue'!$AE$237,'Peak Revenue'!$AB$237)+VLOOKUP(IS!$B$1,allotval,U6-1997)</f>
        <v>0</v>
      </c>
      <c r="V11" s="64" t="n">
        <f aca="false">IF($C$2="BL",'Base Revenue'!$AE$249,'Peak Revenue'!$AB$249)+VLOOKUP(IS!$B$1,allotval,V6-1997)</f>
        <v>0</v>
      </c>
      <c r="W11" s="65"/>
    </row>
    <row r="12" customFormat="false" ht="13.5" hidden="false" customHeight="false" outlineLevel="0" collapsed="false">
      <c r="A12" s="2"/>
      <c r="B12" s="119" t="s">
        <v>24</v>
      </c>
      <c r="C12" s="120" t="n">
        <v>0</v>
      </c>
      <c r="D12" s="68" t="n">
        <f aca="false">IF($C$2="BL",'Base Revenue'!$AG$33,'Peak Revenue'!$AB$33)</f>
        <v>0</v>
      </c>
      <c r="E12" s="68" t="n">
        <f aca="false">IF($C$2="BL",'Base Revenue'!$AG$45,'Peak Revenue'!$AB$45)</f>
        <v>0</v>
      </c>
      <c r="F12" s="68" t="n">
        <f aca="false">IF($C$2="BL",'Base Revenue'!$AG$57,'Peak Revenue'!$AB$57)</f>
        <v>0</v>
      </c>
      <c r="G12" s="68" t="n">
        <f aca="false">IF($C$2="BL",'Base Revenue'!$AG$69,'Peak Revenue'!$AB$69)</f>
        <v>0</v>
      </c>
      <c r="H12" s="68" t="n">
        <f aca="false">IF($C$2="BL",'Base Revenue'!$AG$81,'Peak Revenue'!$AB$81)</f>
        <v>0</v>
      </c>
      <c r="I12" s="68" t="n">
        <f aca="false">IF($C$2="BL",'Base Revenue'!$AG$93,'Peak Revenue'!$AB$93)</f>
        <v>0</v>
      </c>
      <c r="J12" s="68" t="n">
        <f aca="false">IF($C$2="BL",'Base Revenue'!$AG$105,'Peak Revenue'!$AB$105)</f>
        <v>0</v>
      </c>
      <c r="K12" s="68" t="n">
        <f aca="false">IF($C$2="BL",'Base Revenue'!$AG$117,'Peak Revenue'!$AB$117)</f>
        <v>0</v>
      </c>
      <c r="L12" s="68" t="n">
        <f aca="false">IF($C$2="BL",'Base Revenue'!$AG$129,'Peak Revenue'!$AB$129)</f>
        <v>0</v>
      </c>
      <c r="M12" s="68" t="n">
        <f aca="false">IF($C$2="BL",'Base Revenue'!$AG$141,'Peak Revenue'!$AB$141)</f>
        <v>0</v>
      </c>
      <c r="N12" s="68" t="n">
        <f aca="false">IF($C$2="BL",'Base Revenue'!$AG$153,'Peak Revenue'!$AB$153)</f>
        <v>0</v>
      </c>
      <c r="O12" s="68" t="n">
        <f aca="false">IF($C$2="BL",'Base Revenue'!$AG$165,'Peak Revenue'!$AB$165)</f>
        <v>0</v>
      </c>
      <c r="P12" s="68" t="n">
        <f aca="false">IF($C$2="BL",'Base Revenue'!$AG$177,'Peak Revenue'!$AB$177)</f>
        <v>0</v>
      </c>
      <c r="Q12" s="68" t="n">
        <f aca="false">IF($C$2="BL",'Base Revenue'!$AG$189,'Peak Revenue'!$AB$189)</f>
        <v>0</v>
      </c>
      <c r="R12" s="68" t="n">
        <f aca="false">IF($C$2="BL",'Base Revenue'!$AG$201,'Peak Revenue'!$AB$201)</f>
        <v>0</v>
      </c>
      <c r="S12" s="68" t="n">
        <f aca="false">IF($C$2="BL",'Base Revenue'!$AG$213,'Peak Revenue'!$AB$213)</f>
        <v>0</v>
      </c>
      <c r="T12" s="68" t="n">
        <f aca="false">IF($C$2="BL",'Base Revenue'!$AG$225,'Peak Revenue'!$AB$225)</f>
        <v>0</v>
      </c>
      <c r="U12" s="68" t="n">
        <f aca="false">IF($C$2="BL",'Base Revenue'!$AG$237,'Peak Revenue'!$AB$237)</f>
        <v>0</v>
      </c>
      <c r="V12" s="68" t="n">
        <f aca="false">IF($C$2="BL",'Base Revenue'!$AG$249,'Peak Revenue'!$AB$249)</f>
        <v>0</v>
      </c>
      <c r="W12" s="65"/>
    </row>
    <row r="13" customFormat="false" ht="13.5" hidden="false" customHeight="false" outlineLevel="0" collapsed="false">
      <c r="A13" s="2"/>
      <c r="B13" s="121" t="s">
        <v>25</v>
      </c>
      <c r="C13" s="122" t="n">
        <v>0</v>
      </c>
      <c r="D13" s="71" t="n">
        <f aca="false">SUM(D8:D12)</f>
        <v>61523716.4722693</v>
      </c>
      <c r="E13" s="71" t="n">
        <f aca="false">SUM(E8:E12)</f>
        <v>53158540.1129954</v>
      </c>
      <c r="F13" s="71" t="n">
        <f aca="false">SUM(F8:F12)</f>
        <v>53327159.8979547</v>
      </c>
      <c r="G13" s="71" t="n">
        <f aca="false">SUM(G8:G12)</f>
        <v>44507380.8992849</v>
      </c>
      <c r="H13" s="71" t="n">
        <f aca="false">SUM(H8:H12)</f>
        <v>45699016.3913612</v>
      </c>
      <c r="I13" s="71" t="n">
        <f aca="false">SUM(I8:I12)</f>
        <v>47807736.1422875</v>
      </c>
      <c r="J13" s="71" t="n">
        <f aca="false">SUM(J8:J12)</f>
        <v>53906381.9212961</v>
      </c>
      <c r="K13" s="71" t="n">
        <f aca="false">SUM(K8:K12)</f>
        <v>65966257.1202012</v>
      </c>
      <c r="L13" s="71" t="n">
        <f aca="false">SUM(L8:L12)</f>
        <v>64276887.5125657</v>
      </c>
      <c r="M13" s="71" t="n">
        <f aca="false">SUM(M8:M12)</f>
        <v>62141641.6163851</v>
      </c>
      <c r="N13" s="71" t="n">
        <f aca="false">SUM(N8:N12)</f>
        <v>59654957.5593196</v>
      </c>
      <c r="O13" s="71" t="n">
        <f aca="false">SUM(O8:O12)</f>
        <v>60499217.7749172</v>
      </c>
      <c r="P13" s="71" t="n">
        <f aca="false">SUM(P8:P12)</f>
        <v>59828137.8283274</v>
      </c>
      <c r="Q13" s="71" t="n">
        <f aca="false">SUM(Q8:Q12)</f>
        <v>67181354.5869488</v>
      </c>
      <c r="R13" s="71" t="n">
        <f aca="false">SUM(R8:R12)</f>
        <v>62846694.890475</v>
      </c>
      <c r="S13" s="71" t="n">
        <f aca="false">SUM(S8:S12)</f>
        <v>56713013.6166431</v>
      </c>
      <c r="T13" s="71" t="n">
        <f aca="false">SUM(T8:T12)</f>
        <v>58873960.8287759</v>
      </c>
      <c r="U13" s="71" t="n">
        <f aca="false">SUM(U8:U12)</f>
        <v>63913907.5838633</v>
      </c>
      <c r="V13" s="71" t="n">
        <f aca="false">SUM(V8:V12)</f>
        <v>63658316.1314521</v>
      </c>
      <c r="W13" s="65"/>
    </row>
    <row r="14" customFormat="false" ht="12.75" hidden="false" customHeight="false" outlineLevel="0" collapsed="false">
      <c r="A14" s="2"/>
      <c r="B14" s="117" t="s">
        <v>26</v>
      </c>
      <c r="C14" s="118" t="n">
        <v>0</v>
      </c>
      <c r="D14" s="64" t="n">
        <f aca="false">-VLOOKUP($B$1,Costs,D6-1997)-VLOOKUP($B$1,EnvFOM,D6-1997)</f>
        <v>-3235950</v>
      </c>
      <c r="E14" s="64" t="n">
        <f aca="false">-VLOOKUP($B$1,Costs,E6-1997)-VLOOKUP($B$1,EnvFOM,E6-1997)</f>
        <v>-3300669</v>
      </c>
      <c r="F14" s="64" t="n">
        <f aca="false">-VLOOKUP($B$1,Costs,F6-1997)-VLOOKUP($B$1,EnvFOM,F6-1997)</f>
        <v>-3366682.38</v>
      </c>
      <c r="G14" s="64" t="n">
        <f aca="false">-VLOOKUP($B$1,Costs,G6-1997)-VLOOKUP($B$1,EnvFOM,G6-1997)</f>
        <v>-3434016.0276</v>
      </c>
      <c r="H14" s="64" t="n">
        <f aca="false">-VLOOKUP($B$1,Costs,H6-1997)-VLOOKUP($B$1,EnvFOM,H6-1997)</f>
        <v>-3502696.348152</v>
      </c>
      <c r="I14" s="64" t="n">
        <f aca="false">-VLOOKUP($B$1,Costs,I6-1997)-VLOOKUP($B$1,EnvFOM,I6-1997)</f>
        <v>-3572750.27511504</v>
      </c>
      <c r="J14" s="64" t="n">
        <f aca="false">-VLOOKUP($B$1,Costs,J6-1997)-VLOOKUP($B$1,EnvFOM,J6-1997)</f>
        <v>-3644205.28061734</v>
      </c>
      <c r="K14" s="64" t="n">
        <f aca="false">-VLOOKUP($B$1,Costs,K6-1997)-VLOOKUP($B$1,EnvFOM,K6-1997)</f>
        <v>-3717089.38622969</v>
      </c>
      <c r="L14" s="64" t="n">
        <f aca="false">-VLOOKUP($B$1,Costs,L6-1997)-VLOOKUP($B$1,EnvFOM,L6-1997)</f>
        <v>-3791431.17395428</v>
      </c>
      <c r="M14" s="64" t="n">
        <f aca="false">-VLOOKUP($B$1,Costs,M6-1997)-VLOOKUP($B$1,EnvFOM,M6-1997)</f>
        <v>-3867259.79743337</v>
      </c>
      <c r="N14" s="64" t="n">
        <f aca="false">-VLOOKUP($B$1,Costs,N6-1997)-VLOOKUP($B$1,EnvFOM,N6-1997)</f>
        <v>-3944604.99338203</v>
      </c>
      <c r="O14" s="64" t="n">
        <f aca="false">-VLOOKUP($B$1,Costs,O6-1997)-VLOOKUP($B$1,EnvFOM,O6-1997)</f>
        <v>-4023497.09324968</v>
      </c>
      <c r="P14" s="64" t="n">
        <f aca="false">-VLOOKUP($B$1,Costs,P6-1997)-VLOOKUP($B$1,EnvFOM,P6-1997)</f>
        <v>-4103967.03511467</v>
      </c>
      <c r="Q14" s="64" t="n">
        <f aca="false">-VLOOKUP($B$1,Costs,Q6-1997)-VLOOKUP($B$1,EnvFOM,Q6-1997)</f>
        <v>-4186046.37581696</v>
      </c>
      <c r="R14" s="64" t="n">
        <f aca="false">-VLOOKUP($B$1,Costs,R6-1997)-VLOOKUP($B$1,EnvFOM,R6-1997)</f>
        <v>-4269767.3033333</v>
      </c>
      <c r="S14" s="64" t="n">
        <f aca="false">-VLOOKUP($B$1,Costs,S6-1997)-VLOOKUP($B$1,EnvFOM,S6-1997)</f>
        <v>-4355162.64939997</v>
      </c>
      <c r="T14" s="64" t="n">
        <f aca="false">-VLOOKUP($B$1,Costs,T6-1997)-VLOOKUP($B$1,EnvFOM,T6-1997)</f>
        <v>-4442265.90238797</v>
      </c>
      <c r="U14" s="64" t="n">
        <f aca="false">-VLOOKUP($B$1,Costs,U6-1997)-VLOOKUP($B$1,EnvFOM,U6-1997)</f>
        <v>-4531111.22043573</v>
      </c>
      <c r="V14" s="64" t="n">
        <f aca="false">-VLOOKUP($B$1,Costs,V6-1997)-VLOOKUP($B$1,EnvFOM,V6-1997)</f>
        <v>-4621733.44484444</v>
      </c>
      <c r="W14" s="65"/>
    </row>
    <row r="15" customFormat="false" ht="12.75" hidden="false" customHeight="false" outlineLevel="0" collapsed="false">
      <c r="A15" s="2"/>
      <c r="B15" s="117" t="s">
        <v>27</v>
      </c>
      <c r="C15" s="118" t="n">
        <v>0</v>
      </c>
      <c r="D15" s="64" t="n">
        <f aca="false">-VLOOKUP($B$1,PTax,D6-1997)</f>
        <v>-171612.579296875</v>
      </c>
      <c r="E15" s="64" t="n">
        <f aca="false">-VLOOKUP($B$1,PTax,E6-1997)</f>
        <v>-171612.579296875</v>
      </c>
      <c r="F15" s="64" t="n">
        <f aca="false">-VLOOKUP($B$1,PTax,F6-1997)</f>
        <v>-171612.579296875</v>
      </c>
      <c r="G15" s="64" t="n">
        <f aca="false">-VLOOKUP($B$1,PTax,G6-1997)</f>
        <v>-171612.579296875</v>
      </c>
      <c r="H15" s="64" t="n">
        <f aca="false">-VLOOKUP($B$1,PTax,H6-1997)</f>
        <v>-171612.579296875</v>
      </c>
      <c r="I15" s="64" t="n">
        <f aca="false">-VLOOKUP($B$1,PTax,I6-1997)</f>
        <v>-171612.579296875</v>
      </c>
      <c r="J15" s="64" t="n">
        <f aca="false">-VLOOKUP($B$1,PTax,J6-1997)</f>
        <v>-171612.579296875</v>
      </c>
      <c r="K15" s="64" t="n">
        <f aca="false">-VLOOKUP($B$1,PTax,K6-1997)</f>
        <v>-171612.579296875</v>
      </c>
      <c r="L15" s="64" t="n">
        <f aca="false">-VLOOKUP($B$1,PTax,L6-1997)</f>
        <v>-171612.579296875</v>
      </c>
      <c r="M15" s="64" t="n">
        <f aca="false">-VLOOKUP($B$1,PTax,M6-1997)</f>
        <v>-171612.579296875</v>
      </c>
      <c r="N15" s="64" t="n">
        <f aca="false">-VLOOKUP($B$1,PTax,N6-1997)</f>
        <v>-171612.579296875</v>
      </c>
      <c r="O15" s="64" t="n">
        <f aca="false">-VLOOKUP($B$1,PTax,O6-1997)</f>
        <v>-171612.579296875</v>
      </c>
      <c r="P15" s="64" t="n">
        <f aca="false">-VLOOKUP($B$1,PTax,P6-1997)</f>
        <v>-171612.579296875</v>
      </c>
      <c r="Q15" s="64" t="n">
        <f aca="false">-VLOOKUP($B$1,PTax,Q6-1997)</f>
        <v>-171612.579296875</v>
      </c>
      <c r="R15" s="64" t="n">
        <f aca="false">-VLOOKUP($B$1,PTax,R6-1997)</f>
        <v>-171612.579296875</v>
      </c>
      <c r="S15" s="64" t="n">
        <f aca="false">-VLOOKUP($B$1,PTax,S6-1997)</f>
        <v>-171612.579296875</v>
      </c>
      <c r="T15" s="64" t="n">
        <f aca="false">-VLOOKUP($B$1,PTax,T6-1997)</f>
        <v>-171612.579296875</v>
      </c>
      <c r="U15" s="64" t="n">
        <f aca="false">-VLOOKUP($B$1,PTax,U6-1997)</f>
        <v>-171612.579296875</v>
      </c>
      <c r="V15" s="64" t="n">
        <f aca="false">-VLOOKUP($B$1,PTax,V6-1997)</f>
        <v>-171612.579296875</v>
      </c>
      <c r="W15" s="65"/>
    </row>
    <row r="16" customFormat="false" ht="13.5" hidden="false" customHeight="false" outlineLevel="0" collapsed="false">
      <c r="A16" s="2"/>
      <c r="B16" s="119" t="s">
        <v>28</v>
      </c>
      <c r="C16" s="120" t="n">
        <v>0</v>
      </c>
      <c r="D16" s="68" t="n">
        <f aca="false">-VLOOKUP($B$1,AGCost,D6-1997)</f>
        <v>-374900</v>
      </c>
      <c r="E16" s="68" t="n">
        <f aca="false">-VLOOKUP($B$1,AGCost,E6-1997)</f>
        <v>-383147.8</v>
      </c>
      <c r="F16" s="68" t="n">
        <f aca="false">-VLOOKUP($B$1,AGCost,F6-1997)</f>
        <v>-391577.0516</v>
      </c>
      <c r="G16" s="68" t="n">
        <f aca="false">-VLOOKUP($B$1,AGCost,G6-1997)</f>
        <v>-400191.7467352</v>
      </c>
      <c r="H16" s="68" t="n">
        <f aca="false">-VLOOKUP($B$1,AGCost,H6-1997)</f>
        <v>-408995.965163374</v>
      </c>
      <c r="I16" s="68" t="n">
        <f aca="false">-VLOOKUP($B$1,AGCost,I6-1997)</f>
        <v>-417993.876396969</v>
      </c>
      <c r="J16" s="68" t="n">
        <f aca="false">-VLOOKUP($B$1,AGCost,J6-1997)</f>
        <v>-427189.741677702</v>
      </c>
      <c r="K16" s="68" t="n">
        <f aca="false">-VLOOKUP($B$1,AGCost,K6-1997)</f>
        <v>-436587.915994611</v>
      </c>
      <c r="L16" s="68" t="n">
        <f aca="false">-VLOOKUP($B$1,AGCost,L6-1997)</f>
        <v>-446192.850146493</v>
      </c>
      <c r="M16" s="68" t="n">
        <f aca="false">-VLOOKUP($B$1,AGCost,M6-1997)</f>
        <v>-456009.092849716</v>
      </c>
      <c r="N16" s="68" t="n">
        <f aca="false">-VLOOKUP($B$1,AGCost,N6-1997)</f>
        <v>-466041.292892409</v>
      </c>
      <c r="O16" s="68" t="n">
        <f aca="false">-VLOOKUP($B$1,AGCost,O6-1997)</f>
        <v>-476294.201336043</v>
      </c>
      <c r="P16" s="68" t="n">
        <f aca="false">-VLOOKUP($B$1,AGCost,P6-1997)</f>
        <v>-486772.673765435</v>
      </c>
      <c r="Q16" s="68" t="n">
        <f aca="false">-VLOOKUP($B$1,AGCost,Q6-1997)</f>
        <v>-497481.672588275</v>
      </c>
      <c r="R16" s="68" t="n">
        <f aca="false">-VLOOKUP($B$1,AGCost,R6-1997)</f>
        <v>-508426.269385217</v>
      </c>
      <c r="S16" s="68" t="n">
        <f aca="false">-VLOOKUP($B$1,AGCost,S6-1997)</f>
        <v>-519611.647311692</v>
      </c>
      <c r="T16" s="68" t="n">
        <f aca="false">-VLOOKUP($B$1,AGCost,T6-1997)</f>
        <v>-531043.103552549</v>
      </c>
      <c r="U16" s="68" t="n">
        <f aca="false">-VLOOKUP($B$1,AGCost,U6-1997)</f>
        <v>-542726.051830705</v>
      </c>
      <c r="V16" s="68" t="n">
        <f aca="false">-VLOOKUP($B$1,AGCost,V6-1997)</f>
        <v>-554666.024970981</v>
      </c>
      <c r="W16" s="65"/>
    </row>
    <row r="17" customFormat="false" ht="13.5" hidden="false" customHeight="false" outlineLevel="0" collapsed="false">
      <c r="A17" s="2"/>
      <c r="B17" s="121" t="s">
        <v>29</v>
      </c>
      <c r="C17" s="123" t="n">
        <v>0</v>
      </c>
      <c r="D17" s="73" t="n">
        <f aca="false">SUM(D13:D16)</f>
        <v>57741253.8929724</v>
      </c>
      <c r="E17" s="73" t="n">
        <f aca="false">SUM(E13:E16)</f>
        <v>49303110.7336985</v>
      </c>
      <c r="F17" s="73" t="n">
        <f aca="false">SUM(F13:F16)</f>
        <v>49397287.8870579</v>
      </c>
      <c r="G17" s="73" t="n">
        <f aca="false">SUM(G13:G16)</f>
        <v>40501560.5456528</v>
      </c>
      <c r="H17" s="73" t="n">
        <f aca="false">SUM(H13:H16)</f>
        <v>41615711.498749</v>
      </c>
      <c r="I17" s="73" t="n">
        <f aca="false">SUM(I13:I16)</f>
        <v>43645379.4114786</v>
      </c>
      <c r="J17" s="73" t="n">
        <f aca="false">SUM(J13:J16)</f>
        <v>49663374.3197042</v>
      </c>
      <c r="K17" s="73" t="n">
        <f aca="false">SUM(K13:K16)</f>
        <v>61640967.23868</v>
      </c>
      <c r="L17" s="73" t="n">
        <f aca="false">SUM(L13:L16)</f>
        <v>59867650.9091681</v>
      </c>
      <c r="M17" s="73" t="n">
        <f aca="false">SUM(M13:M16)</f>
        <v>57646760.1468052</v>
      </c>
      <c r="N17" s="73" t="n">
        <f aca="false">SUM(N13:N16)</f>
        <v>55072698.6937483</v>
      </c>
      <c r="O17" s="73" t="n">
        <f aca="false">SUM(O13:O16)</f>
        <v>55827813.9010346</v>
      </c>
      <c r="P17" s="73" t="n">
        <f aca="false">SUM(P13:P16)</f>
        <v>55065785.5401504</v>
      </c>
      <c r="Q17" s="73" t="n">
        <f aca="false">SUM(Q13:Q16)</f>
        <v>62326213.9592467</v>
      </c>
      <c r="R17" s="73" t="n">
        <f aca="false">SUM(R13:R16)</f>
        <v>57896888.7384596</v>
      </c>
      <c r="S17" s="73" t="n">
        <f aca="false">SUM(S13:S16)</f>
        <v>51666626.7406346</v>
      </c>
      <c r="T17" s="73" t="n">
        <f aca="false">SUM(T13:T16)</f>
        <v>53729039.2435385</v>
      </c>
      <c r="U17" s="73" t="n">
        <f aca="false">SUM(U13:U16)</f>
        <v>58668457.7323</v>
      </c>
      <c r="V17" s="73" t="n">
        <f aca="false">SUM(V13:V16)</f>
        <v>58310304.0823398</v>
      </c>
      <c r="W17" s="65"/>
    </row>
    <row r="18" customFormat="false" ht="12.75" hidden="false" customHeight="false" outlineLevel="0" collapsed="false">
      <c r="A18" s="2"/>
      <c r="B18" s="117" t="s">
        <v>30</v>
      </c>
      <c r="C18" s="118" t="n">
        <v>0</v>
      </c>
      <c r="D18" s="64" t="n">
        <f aca="false">-'Tax Depr'!D$108</f>
        <v>-32528000</v>
      </c>
      <c r="E18" s="64" t="n">
        <f aca="false">-'Tax Depr'!E$108</f>
        <v>-29275200</v>
      </c>
      <c r="F18" s="64" t="n">
        <f aca="false">-'Tax Depr'!F$108</f>
        <v>-26364800</v>
      </c>
      <c r="G18" s="64" t="n">
        <f aca="false">-'Tax Depr'!G$108</f>
        <v>-23728320</v>
      </c>
      <c r="H18" s="64" t="n">
        <f aca="false">-'Tax Depr'!H$108</f>
        <v>-21331520</v>
      </c>
      <c r="I18" s="64" t="n">
        <f aca="false">-'Tax Depr'!I$108</f>
        <v>-20201600</v>
      </c>
      <c r="J18" s="64" t="n">
        <f aca="false">-'Tax Depr'!J$108</f>
        <v>-20201600</v>
      </c>
      <c r="K18" s="64" t="n">
        <f aca="false">-'Tax Depr'!K$108</f>
        <v>-20235840</v>
      </c>
      <c r="L18" s="64" t="n">
        <f aca="false">-'Tax Depr'!L$108</f>
        <v>-20201600</v>
      </c>
      <c r="M18" s="64" t="n">
        <f aca="false">-'Tax Depr'!M$108</f>
        <v>-20235840</v>
      </c>
      <c r="N18" s="64" t="n">
        <f aca="false">-'Tax Depr'!N$108</f>
        <v>-20201600</v>
      </c>
      <c r="O18" s="64" t="n">
        <f aca="false">-'Tax Depr'!O$108</f>
        <v>-20235840</v>
      </c>
      <c r="P18" s="64" t="n">
        <f aca="false">-'Tax Depr'!P$108</f>
        <v>-20235840</v>
      </c>
      <c r="Q18" s="64" t="n">
        <f aca="false">-'Tax Depr'!Q$108</f>
        <v>-20235840</v>
      </c>
      <c r="R18" s="64" t="n">
        <f aca="false">-'Tax Depr'!R$108</f>
        <v>-10100800</v>
      </c>
      <c r="S18" s="64" t="n">
        <f aca="false">-'Tax Depr'!S$108</f>
        <v>-10846000</v>
      </c>
      <c r="T18" s="64" t="n">
        <f aca="false">-'Tax Depr'!T$108</f>
        <v>-10846000</v>
      </c>
      <c r="U18" s="64" t="n">
        <f aca="false">-'Tax Depr'!U$108</f>
        <v>-10846000</v>
      </c>
      <c r="V18" s="64" t="n">
        <f aca="false">-'Tax Depr'!V$108</f>
        <v>-10846000</v>
      </c>
      <c r="W18" s="65"/>
    </row>
    <row r="19" customFormat="false" ht="13.5" hidden="false" customHeight="false" outlineLevel="0" collapsed="false">
      <c r="A19" s="2"/>
      <c r="B19" s="119" t="s">
        <v>70</v>
      </c>
      <c r="C19" s="120" t="n">
        <v>0</v>
      </c>
      <c r="D19" s="68" t="n">
        <f aca="false">-SUM(D17:D18)*Assumptions!$L$15</f>
        <v>-10085301.557189</v>
      </c>
      <c r="E19" s="68" t="n">
        <f aca="false">-SUM(E17:E18)*Assumptions!$L$15</f>
        <v>-8011164.2934794</v>
      </c>
      <c r="F19" s="68" t="n">
        <f aca="false">-SUM(F17:F18)*Assumptions!$L$15</f>
        <v>-9212995.15482314</v>
      </c>
      <c r="G19" s="68" t="n">
        <f aca="false">-SUM(G17:G18)*Assumptions!$L$15</f>
        <v>-6709296.21826113</v>
      </c>
      <c r="H19" s="68" t="n">
        <f aca="false">-SUM(H17:H18)*Assumptions!$L$15</f>
        <v>-8113676.59949958</v>
      </c>
      <c r="I19" s="68" t="n">
        <f aca="false">-SUM(I17:I18)*Assumptions!$L$15</f>
        <v>-9377511.76459146</v>
      </c>
      <c r="J19" s="68" t="n">
        <f aca="false">-SUM(J17:J18)*Assumptions!$L$15</f>
        <v>-11784709.7278817</v>
      </c>
      <c r="K19" s="68" t="n">
        <f aca="false">-SUM(K17:K18)*Assumptions!$L$15</f>
        <v>-16562050.895472</v>
      </c>
      <c r="L19" s="68" t="n">
        <f aca="false">-SUM(L17:L18)*Assumptions!$L$15</f>
        <v>-15866420.3636672</v>
      </c>
      <c r="M19" s="68" t="n">
        <f aca="false">-SUM(M17:M18)*Assumptions!$L$15</f>
        <v>-14964368.0587221</v>
      </c>
      <c r="N19" s="68" t="n">
        <f aca="false">-SUM(N17:N18)*Assumptions!$L$15</f>
        <v>-13948439.4774993</v>
      </c>
      <c r="O19" s="68" t="n">
        <f aca="false">-SUM(O17:O18)*Assumptions!$L$15</f>
        <v>-14236789.5604138</v>
      </c>
      <c r="P19" s="68" t="n">
        <f aca="false">-SUM(P17:P18)*Assumptions!$L$15</f>
        <v>-13931978.2160602</v>
      </c>
      <c r="Q19" s="68" t="n">
        <f aca="false">-SUM(Q17:Q18)*Assumptions!$L$15</f>
        <v>-16836149.5836987</v>
      </c>
      <c r="R19" s="68" t="n">
        <f aca="false">-SUM(R17:R18)*Assumptions!$L$15</f>
        <v>-19118435.4953838</v>
      </c>
      <c r="S19" s="68" t="n">
        <f aca="false">-SUM(S17:S18)*Assumptions!$L$15</f>
        <v>-16328250.6962538</v>
      </c>
      <c r="T19" s="68" t="n">
        <f aca="false">-SUM(T17:T18)*Assumptions!$L$15</f>
        <v>-17153215.6974154</v>
      </c>
      <c r="U19" s="68" t="n">
        <f aca="false">-SUM(U17:U18)*Assumptions!$L$15</f>
        <v>-19128983.09292</v>
      </c>
      <c r="V19" s="68" t="n">
        <f aca="false">-SUM(V17:V18)*Assumptions!$L$15</f>
        <v>-18985721.6329359</v>
      </c>
      <c r="W19" s="65"/>
    </row>
    <row r="20" customFormat="false" ht="13.5" hidden="false" customHeight="false" outlineLevel="0" collapsed="false">
      <c r="A20" s="2"/>
      <c r="B20" s="121" t="s">
        <v>32</v>
      </c>
      <c r="C20" s="123" t="n">
        <v>0</v>
      </c>
      <c r="D20" s="73" t="n">
        <f aca="false">D17+D18+D19</f>
        <v>15127952.3357834</v>
      </c>
      <c r="E20" s="73" t="n">
        <f aca="false">E17+E18+E19</f>
        <v>12016746.4402191</v>
      </c>
      <c r="F20" s="73" t="n">
        <f aca="false">F17+F18+F19</f>
        <v>13819492.7322347</v>
      </c>
      <c r="G20" s="73" t="n">
        <f aca="false">G17+G18+G19</f>
        <v>10063944.3273917</v>
      </c>
      <c r="H20" s="73" t="n">
        <f aca="false">H17+H18+H19</f>
        <v>12170514.8992494</v>
      </c>
      <c r="I20" s="73" t="n">
        <f aca="false">I17+I18+I19</f>
        <v>14066267.6468872</v>
      </c>
      <c r="J20" s="73" t="n">
        <f aca="false">J17+J18+J19</f>
        <v>17677064.5918225</v>
      </c>
      <c r="K20" s="73" t="n">
        <f aca="false">K17+K18+K19</f>
        <v>24843076.343208</v>
      </c>
      <c r="L20" s="73" t="n">
        <f aca="false">L17+L18+L19</f>
        <v>23799630.5455008</v>
      </c>
      <c r="M20" s="73" t="n">
        <f aca="false">M17+M18+M19</f>
        <v>22446552.0880831</v>
      </c>
      <c r="N20" s="73" t="n">
        <f aca="false">N17+N18+N19</f>
        <v>20922659.216249</v>
      </c>
      <c r="O20" s="73" t="n">
        <f aca="false">O17+O18+O19</f>
        <v>21355184.3406208</v>
      </c>
      <c r="P20" s="73" t="n">
        <f aca="false">P17+P18+P19</f>
        <v>20897967.3240903</v>
      </c>
      <c r="Q20" s="73" t="n">
        <f aca="false">Q17+Q18+Q19</f>
        <v>25254224.375548</v>
      </c>
      <c r="R20" s="73" t="n">
        <f aca="false">R17+R18+R19</f>
        <v>28677653.2430757</v>
      </c>
      <c r="S20" s="73" t="n">
        <f aca="false">S17+S18+S19</f>
        <v>24492376.0443807</v>
      </c>
      <c r="T20" s="73" t="n">
        <f aca="false">T17+T18+T19</f>
        <v>25729823.5461231</v>
      </c>
      <c r="U20" s="73" t="n">
        <f aca="false">U17+U18+U19</f>
        <v>28693474.63938</v>
      </c>
      <c r="V20" s="73" t="n">
        <f aca="false">V17+V18+V19</f>
        <v>28478582.4494039</v>
      </c>
      <c r="W20" s="65"/>
    </row>
    <row r="21" customFormat="false" ht="12.75" hidden="false" customHeight="false" outlineLevel="0" collapsed="false">
      <c r="A21" s="2"/>
      <c r="B21" s="117" t="s">
        <v>30</v>
      </c>
      <c r="C21" s="118" t="n">
        <v>0</v>
      </c>
      <c r="D21" s="64" t="n">
        <f aca="false">-D18</f>
        <v>32528000</v>
      </c>
      <c r="E21" s="64" t="n">
        <f aca="false">-E18</f>
        <v>29275200</v>
      </c>
      <c r="F21" s="64" t="n">
        <f aca="false">-F18</f>
        <v>26364800</v>
      </c>
      <c r="G21" s="64" t="n">
        <f aca="false">-G18</f>
        <v>23728320</v>
      </c>
      <c r="H21" s="64" t="n">
        <f aca="false">-H18</f>
        <v>21331520</v>
      </c>
      <c r="I21" s="64" t="n">
        <f aca="false">-I18</f>
        <v>20201600</v>
      </c>
      <c r="J21" s="64" t="n">
        <f aca="false">-J18</f>
        <v>20201600</v>
      </c>
      <c r="K21" s="64" t="n">
        <f aca="false">-K18</f>
        <v>20235840</v>
      </c>
      <c r="L21" s="64" t="n">
        <f aca="false">-L18</f>
        <v>20201600</v>
      </c>
      <c r="M21" s="64" t="n">
        <f aca="false">-M18</f>
        <v>20235840</v>
      </c>
      <c r="N21" s="64" t="n">
        <f aca="false">-N18</f>
        <v>20201600</v>
      </c>
      <c r="O21" s="64" t="n">
        <f aca="false">-O18</f>
        <v>20235840</v>
      </c>
      <c r="P21" s="64" t="n">
        <f aca="false">-P18</f>
        <v>20235840</v>
      </c>
      <c r="Q21" s="64" t="n">
        <f aca="false">-Q18</f>
        <v>20235840</v>
      </c>
      <c r="R21" s="64" t="n">
        <f aca="false">-R18</f>
        <v>10100800</v>
      </c>
      <c r="S21" s="64" t="n">
        <f aca="false">-S18</f>
        <v>10846000</v>
      </c>
      <c r="T21" s="64" t="n">
        <f aca="false">-T18</f>
        <v>10846000</v>
      </c>
      <c r="U21" s="64" t="n">
        <f aca="false">-U18</f>
        <v>10846000</v>
      </c>
      <c r="V21" s="64" t="n">
        <f aca="false">-V18</f>
        <v>10846000</v>
      </c>
      <c r="W21" s="65"/>
    </row>
    <row r="22" customFormat="false" ht="12.75" hidden="false" customHeight="false" outlineLevel="0" collapsed="false">
      <c r="A22" s="2"/>
      <c r="B22" s="117" t="s">
        <v>33</v>
      </c>
      <c r="C22" s="118" t="n">
        <v>0</v>
      </c>
      <c r="D22" s="64" t="n">
        <f aca="false">-VLOOKUP($B$1,CapAds,D6-1997)</f>
        <v>-0</v>
      </c>
      <c r="E22" s="64" t="n">
        <f aca="false">-VLOOKUP($B$1,CapAds,E6-1997)</f>
        <v>-0</v>
      </c>
      <c r="F22" s="64" t="n">
        <f aca="false">-VLOOKUP($B$1,CapAds,F6-1997)</f>
        <v>-0</v>
      </c>
      <c r="G22" s="64" t="n">
        <f aca="false">-VLOOKUP($B$1,CapAds,G6-1997)</f>
        <v>-0</v>
      </c>
      <c r="H22" s="64" t="n">
        <f aca="false">-VLOOKUP($B$1,CapAds,H6-1997)</f>
        <v>-0</v>
      </c>
      <c r="I22" s="64" t="n">
        <f aca="false">-VLOOKUP($B$1,CapAds,I6-1997)</f>
        <v>-0</v>
      </c>
      <c r="J22" s="64" t="n">
        <f aca="false">-VLOOKUP($B$1,CapAds,J6-1997)</f>
        <v>-0</v>
      </c>
      <c r="K22" s="64" t="n">
        <f aca="false">-VLOOKUP($B$1,CapAds,K6-1997)</f>
        <v>-0</v>
      </c>
      <c r="L22" s="64" t="n">
        <f aca="false">-VLOOKUP($B$1,CapAds,L6-1997)</f>
        <v>-0</v>
      </c>
      <c r="M22" s="64" t="n">
        <f aca="false">-VLOOKUP($B$1,CapAds,M6-1997)</f>
        <v>-0</v>
      </c>
      <c r="N22" s="64" t="n">
        <f aca="false">-VLOOKUP($B$1,CapAds,N6-1997)</f>
        <v>-0</v>
      </c>
      <c r="O22" s="64" t="n">
        <f aca="false">-VLOOKUP($B$1,CapAds,O6-1997)</f>
        <v>-0</v>
      </c>
      <c r="P22" s="64" t="n">
        <f aca="false">-VLOOKUP($B$1,CapAds,P6-1997)</f>
        <v>-0</v>
      </c>
      <c r="Q22" s="64" t="n">
        <f aca="false">-VLOOKUP($B$1,CapAds,Q6-1997)</f>
        <v>-0</v>
      </c>
      <c r="R22" s="64" t="n">
        <f aca="false">-VLOOKUP($B$1,CapAds,R6-1997)</f>
        <v>-0</v>
      </c>
      <c r="S22" s="64" t="n">
        <f aca="false">-VLOOKUP($B$1,CapAds,S6-1997)</f>
        <v>-0</v>
      </c>
      <c r="T22" s="64" t="n">
        <f aca="false">-VLOOKUP($B$1,CapAds,T6-1997)</f>
        <v>-0</v>
      </c>
      <c r="U22" s="64" t="n">
        <f aca="false">-VLOOKUP($B$1,CapAds,U6-1997)</f>
        <v>-0</v>
      </c>
      <c r="V22" s="64" t="n">
        <f aca="false">-VLOOKUP($B$1,CapAds,V6-1997)</f>
        <v>-0</v>
      </c>
      <c r="W22" s="65"/>
    </row>
    <row r="23" customFormat="false" ht="13.5" hidden="false" customHeight="false" outlineLevel="0" collapsed="false">
      <c r="A23" s="2"/>
      <c r="B23" s="119" t="s">
        <v>34</v>
      </c>
      <c r="C23" s="120" t="n">
        <v>0</v>
      </c>
      <c r="D23" s="68" t="n">
        <f aca="false">-VLOOKUP($B$1,ECapAds,D6-1997)</f>
        <v>-0</v>
      </c>
      <c r="E23" s="68" t="n">
        <f aca="false">-VLOOKUP($B$1,ECapAds,E6-1997)</f>
        <v>-0</v>
      </c>
      <c r="F23" s="68" t="n">
        <f aca="false">-VLOOKUP($B$1,ECapAds,F6-1997)</f>
        <v>-0</v>
      </c>
      <c r="G23" s="68" t="n">
        <f aca="false">-VLOOKUP($B$1,ECapAds,G6-1997)</f>
        <v>-0</v>
      </c>
      <c r="H23" s="68" t="n">
        <f aca="false">-VLOOKUP($B$1,ECapAds,H6-1997)</f>
        <v>-0</v>
      </c>
      <c r="I23" s="68" t="n">
        <f aca="false">-VLOOKUP($B$1,ECapAds,I6-1997)</f>
        <v>-0</v>
      </c>
      <c r="J23" s="68" t="n">
        <f aca="false">-VLOOKUP($B$1,ECapAds,J6-1997)</f>
        <v>-0</v>
      </c>
      <c r="K23" s="68" t="n">
        <f aca="false">-VLOOKUP($B$1,ECapAds,K6-1997)</f>
        <v>-0</v>
      </c>
      <c r="L23" s="68" t="n">
        <f aca="false">-VLOOKUP($B$1,ECapAds,L6-1997)</f>
        <v>-0</v>
      </c>
      <c r="M23" s="68" t="n">
        <f aca="false">-VLOOKUP($B$1,ECapAds,M6-1997)</f>
        <v>-0</v>
      </c>
      <c r="N23" s="68" t="n">
        <f aca="false">-VLOOKUP($B$1,ECapAds,N6-1997)</f>
        <v>-0</v>
      </c>
      <c r="O23" s="68" t="n">
        <f aca="false">-VLOOKUP($B$1,ECapAds,O6-1997)</f>
        <v>-0</v>
      </c>
      <c r="P23" s="68" t="n">
        <f aca="false">-VLOOKUP($B$1,ECapAds,P6-1997)</f>
        <v>-0</v>
      </c>
      <c r="Q23" s="68" t="n">
        <f aca="false">-VLOOKUP($B$1,ECapAds,Q6-1997)</f>
        <v>-0</v>
      </c>
      <c r="R23" s="68" t="n">
        <f aca="false">-VLOOKUP($B$1,ECapAds,R6-1997)</f>
        <v>-0</v>
      </c>
      <c r="S23" s="68" t="n">
        <f aca="false">-VLOOKUP($B$1,ECapAds,S6-1997)</f>
        <v>-0</v>
      </c>
      <c r="T23" s="68" t="n">
        <f aca="false">-VLOOKUP($B$1,ECapAds,T6-1997)</f>
        <v>-0</v>
      </c>
      <c r="U23" s="68" t="n">
        <f aca="false">-VLOOKUP($B$1,ECapAds,U6-1997)</f>
        <v>-0</v>
      </c>
      <c r="V23" s="68" t="n">
        <f aca="false">-VLOOKUP($B$1,ECapAds,V6-1997)</f>
        <v>-0</v>
      </c>
      <c r="W23" s="65"/>
    </row>
    <row r="24" customFormat="false" ht="13.5" hidden="false" customHeight="false" outlineLevel="0" collapsed="false">
      <c r="A24" s="2"/>
      <c r="B24" s="117"/>
      <c r="C24" s="124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</row>
    <row r="25" customFormat="false" ht="12.75" hidden="false" customHeight="false" outlineLevel="0" collapsed="false">
      <c r="A25" s="2"/>
      <c r="B25" s="121" t="s">
        <v>35</v>
      </c>
      <c r="C25" s="123" t="n">
        <f aca="false">SUM(C20:C23)</f>
        <v>0</v>
      </c>
      <c r="D25" s="73" t="n">
        <f aca="false">SUM(D20:D23)</f>
        <v>47655952.3357834</v>
      </c>
      <c r="E25" s="73" t="n">
        <f aca="false">SUM(E20:E23)</f>
        <v>41291946.4402191</v>
      </c>
      <c r="F25" s="73" t="n">
        <f aca="false">SUM(F20:F23)</f>
        <v>40184292.7322347</v>
      </c>
      <c r="G25" s="73" t="n">
        <f aca="false">SUM(G20:G23)</f>
        <v>33792264.3273917</v>
      </c>
      <c r="H25" s="73" t="n">
        <f aca="false">SUM(H20:H23)</f>
        <v>33502034.8992494</v>
      </c>
      <c r="I25" s="73" t="n">
        <f aca="false">SUM(I20:I23)</f>
        <v>34267867.6468872</v>
      </c>
      <c r="J25" s="73" t="n">
        <f aca="false">SUM(J20:J23)</f>
        <v>37878664.5918225</v>
      </c>
      <c r="K25" s="73" t="n">
        <f aca="false">SUM(K20:K23)</f>
        <v>45078916.343208</v>
      </c>
      <c r="L25" s="73" t="n">
        <f aca="false">SUM(L20:L23)</f>
        <v>44001230.5455008</v>
      </c>
      <c r="M25" s="73" t="n">
        <f aca="false">SUM(M20:M23)</f>
        <v>42682392.0880831</v>
      </c>
      <c r="N25" s="73" t="n">
        <f aca="false">SUM(N20:N23)</f>
        <v>41124259.216249</v>
      </c>
      <c r="O25" s="73" t="n">
        <f aca="false">SUM(O20:O23)</f>
        <v>41591024.3406208</v>
      </c>
      <c r="P25" s="73" t="n">
        <f aca="false">SUM(P20:P23)</f>
        <v>41133807.3240903</v>
      </c>
      <c r="Q25" s="73" t="n">
        <f aca="false">SUM(Q20:Q23)</f>
        <v>45490064.375548</v>
      </c>
      <c r="R25" s="73" t="n">
        <f aca="false">SUM(R20:R23)</f>
        <v>38778453.2430757</v>
      </c>
      <c r="S25" s="73" t="n">
        <f aca="false">SUM(S20:S23)</f>
        <v>35338376.0443808</v>
      </c>
      <c r="T25" s="73" t="n">
        <f aca="false">SUM(T20:T23)</f>
        <v>36575823.5461231</v>
      </c>
      <c r="U25" s="73" t="n">
        <f aca="false">SUM(U20:U23)</f>
        <v>39539474.63938</v>
      </c>
      <c r="V25" s="73" t="n">
        <f aca="false">SUM(V20:V23)</f>
        <v>39324582.4494039</v>
      </c>
      <c r="W25" s="71" t="n">
        <f aca="false">(AVERAGE(M25:V25)*(1/$B$3-1/($B$3*(1+$B$3)^($B$4-20))))</f>
        <v>246752454.996874</v>
      </c>
    </row>
    <row r="26" customFormat="false" ht="12.75" hidden="false" customHeight="false" outlineLevel="0" collapsed="false">
      <c r="A26" s="2"/>
      <c r="B26" s="12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customFormat="false" ht="12.75" hidden="false" customHeight="false" outlineLevel="0" collapsed="false">
      <c r="A27" s="48" t="s">
        <v>36</v>
      </c>
      <c r="B27" s="126" t="s">
        <v>37</v>
      </c>
      <c r="C27" s="76" t="n">
        <f aca="false">NPV($B$3,D25:H25)</f>
        <v>151522921.554127</v>
      </c>
      <c r="D27" s="2"/>
      <c r="E27" s="127" t="s">
        <v>38</v>
      </c>
      <c r="F27" s="128" t="str">
        <f aca="false">B65</f>
        <v>NPV ('00-'05)</v>
      </c>
      <c r="G27" s="79" t="n">
        <f aca="false">C65</f>
        <v>151522921.554127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customFormat="false" ht="12.75" hidden="false" customHeight="false" outlineLevel="0" collapsed="false">
      <c r="A28" s="2"/>
      <c r="B28" s="126" t="s">
        <v>39</v>
      </c>
      <c r="C28" s="76" t="n">
        <f aca="false">(NPV($B$3,I25:V25)/(1+$B$3)^5)</f>
        <v>184239025.686536</v>
      </c>
      <c r="D28" s="2"/>
      <c r="E28" s="129"/>
      <c r="F28" s="128" t="str">
        <f aca="false">B66</f>
        <v>NPV ('06-'19)</v>
      </c>
      <c r="G28" s="79" t="n">
        <f aca="false">C66</f>
        <v>184239025.686536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customFormat="false" ht="13.5" hidden="false" customHeight="false" outlineLevel="0" collapsed="false">
      <c r="A29" s="2"/>
      <c r="B29" s="130" t="s">
        <v>40</v>
      </c>
      <c r="C29" s="82" t="n">
        <f aca="false">(W25/(1+$B$3)^(20))</f>
        <v>36678180.1345996</v>
      </c>
      <c r="D29" s="131"/>
      <c r="E29" s="129"/>
      <c r="F29" s="128" t="str">
        <f aca="false">B67</f>
        <v>NPV (TV)</v>
      </c>
      <c r="G29" s="79" t="n">
        <f aca="false">C67</f>
        <v>36678180.1345996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customFormat="false" ht="14.25" hidden="false" customHeight="false" outlineLevel="0" collapsed="false">
      <c r="A30" s="2"/>
      <c r="B30" s="126" t="s">
        <v>41</v>
      </c>
      <c r="C30" s="76" t="n">
        <f aca="false">NPV($B$3,D25:W25)</f>
        <v>372440127.375262</v>
      </c>
      <c r="D30" s="132"/>
      <c r="E30" s="129"/>
      <c r="F30" s="133" t="str">
        <f aca="false">B68</f>
        <v>Plus Leverage </v>
      </c>
      <c r="G30" s="85" t="n">
        <f aca="false">C68</f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customFormat="false" ht="13.5" hidden="false" customHeight="false" outlineLevel="0" collapsed="false">
      <c r="A31" s="2"/>
      <c r="B31" s="125"/>
      <c r="C31" s="134"/>
      <c r="D31" s="2"/>
      <c r="E31" s="135"/>
      <c r="F31" s="128" t="str">
        <f aca="false">B69</f>
        <v>NPV</v>
      </c>
      <c r="G31" s="79" t="n">
        <f aca="false">C69</f>
        <v>372440127.375262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customFormat="false" ht="12.75" hidden="false" customHeight="false" outlineLevel="0" collapsed="false">
      <c r="A32" s="2"/>
      <c r="B32" s="125"/>
      <c r="C32" s="134"/>
      <c r="D32" s="2"/>
      <c r="E32" s="135"/>
      <c r="F32" s="128"/>
      <c r="G32" s="13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customFormat="false" ht="12.75" hidden="false" customHeight="false" outlineLevel="0" collapsed="false">
      <c r="A33" s="2"/>
      <c r="B33" s="125"/>
      <c r="C33" s="134"/>
      <c r="D33" s="2"/>
      <c r="E33" s="135"/>
      <c r="F33" s="128"/>
      <c r="G33" s="13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customFormat="false" ht="12.75" hidden="false" customHeight="false" outlineLevel="0" collapsed="false">
      <c r="A34" s="2"/>
      <c r="B34" s="137" t="s">
        <v>43</v>
      </c>
      <c r="C34" s="134"/>
      <c r="D34" s="2"/>
      <c r="E34" s="135"/>
      <c r="F34" s="128"/>
      <c r="G34" s="13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customFormat="false" ht="12.75" hidden="false" customHeight="false" outlineLevel="0" collapsed="false">
      <c r="A35" s="87" t="s">
        <v>44</v>
      </c>
      <c r="B35" s="137" t="s">
        <v>45</v>
      </c>
      <c r="C35" s="138"/>
      <c r="D35" s="88" t="n">
        <f aca="false">D20</f>
        <v>15127952.3357834</v>
      </c>
      <c r="E35" s="88" t="n">
        <f aca="false">E20</f>
        <v>12016746.4402191</v>
      </c>
      <c r="F35" s="88" t="n">
        <f aca="false">F20</f>
        <v>13819492.7322347</v>
      </c>
      <c r="G35" s="88" t="n">
        <f aca="false">G20</f>
        <v>10063944.3273917</v>
      </c>
      <c r="H35" s="88" t="n">
        <f aca="false">H20</f>
        <v>12170514.8992494</v>
      </c>
      <c r="I35" s="88" t="n">
        <f aca="false">I20</f>
        <v>14066267.6468872</v>
      </c>
      <c r="J35" s="88" t="n">
        <f aca="false">J20</f>
        <v>17677064.5918225</v>
      </c>
      <c r="K35" s="88" t="n">
        <f aca="false">K20</f>
        <v>24843076.343208</v>
      </c>
      <c r="L35" s="88" t="n">
        <f aca="false">L20</f>
        <v>23799630.5455008</v>
      </c>
      <c r="M35" s="88" t="n">
        <f aca="false">M20</f>
        <v>22446552.0880831</v>
      </c>
      <c r="N35" s="88" t="n">
        <f aca="false">N20</f>
        <v>20922659.216249</v>
      </c>
      <c r="O35" s="88" t="n">
        <f aca="false">O20</f>
        <v>21355184.3406208</v>
      </c>
      <c r="P35" s="88" t="n">
        <f aca="false">P20</f>
        <v>20897967.3240903</v>
      </c>
      <c r="Q35" s="88" t="n">
        <f aca="false">Q20</f>
        <v>25254224.375548</v>
      </c>
      <c r="R35" s="88" t="n">
        <f aca="false">R20</f>
        <v>28677653.2430757</v>
      </c>
      <c r="S35" s="88" t="n">
        <f aca="false">S20</f>
        <v>24492376.0443807</v>
      </c>
      <c r="T35" s="88" t="n">
        <f aca="false">T20</f>
        <v>25729823.5461231</v>
      </c>
      <c r="U35" s="88" t="n">
        <f aca="false">U20</f>
        <v>28693474.63938</v>
      </c>
      <c r="V35" s="88" t="n">
        <f aca="false">V20</f>
        <v>28478582.4494039</v>
      </c>
      <c r="W35" s="2"/>
    </row>
    <row r="36" customFormat="false" ht="12.75" hidden="false" customHeight="false" outlineLevel="0" collapsed="false">
      <c r="A36" s="2"/>
      <c r="B36" s="125" t="s">
        <v>46</v>
      </c>
      <c r="C36" s="134"/>
      <c r="D36" s="65" t="n">
        <f aca="false">-D19</f>
        <v>10085301.557189</v>
      </c>
      <c r="E36" s="65" t="n">
        <f aca="false">-E19</f>
        <v>8011164.2934794</v>
      </c>
      <c r="F36" s="65" t="n">
        <f aca="false">-F19</f>
        <v>9212995.15482314</v>
      </c>
      <c r="G36" s="65" t="n">
        <f aca="false">-G19</f>
        <v>6709296.21826113</v>
      </c>
      <c r="H36" s="65" t="n">
        <f aca="false">-H19</f>
        <v>8113676.59949958</v>
      </c>
      <c r="I36" s="65" t="n">
        <f aca="false">-I19</f>
        <v>9377511.76459146</v>
      </c>
      <c r="J36" s="65" t="n">
        <f aca="false">-J19</f>
        <v>11784709.7278817</v>
      </c>
      <c r="K36" s="65" t="n">
        <f aca="false">-K19</f>
        <v>16562050.895472</v>
      </c>
      <c r="L36" s="65" t="n">
        <f aca="false">-L19</f>
        <v>15866420.3636672</v>
      </c>
      <c r="M36" s="65" t="n">
        <f aca="false">-M19</f>
        <v>14964368.0587221</v>
      </c>
      <c r="N36" s="65" t="n">
        <f aca="false">-N19</f>
        <v>13948439.4774993</v>
      </c>
      <c r="O36" s="65" t="n">
        <f aca="false">-O19</f>
        <v>14236789.5604138</v>
      </c>
      <c r="P36" s="65" t="n">
        <f aca="false">-P19</f>
        <v>13931978.2160602</v>
      </c>
      <c r="Q36" s="65" t="n">
        <f aca="false">-Q19</f>
        <v>16836149.5836987</v>
      </c>
      <c r="R36" s="65" t="n">
        <f aca="false">-R19</f>
        <v>19118435.4953838</v>
      </c>
      <c r="S36" s="65" t="n">
        <f aca="false">-S19</f>
        <v>16328250.6962538</v>
      </c>
      <c r="T36" s="65" t="n">
        <f aca="false">-T19</f>
        <v>17153215.6974154</v>
      </c>
      <c r="U36" s="65" t="n">
        <f aca="false">-U19</f>
        <v>19128983.09292</v>
      </c>
      <c r="V36" s="65" t="n">
        <f aca="false">-V19</f>
        <v>18985721.6329359</v>
      </c>
      <c r="W36" s="2"/>
    </row>
    <row r="37" customFormat="false" ht="12.75" hidden="false" customHeight="false" outlineLevel="0" collapsed="false">
      <c r="A37" s="2"/>
      <c r="B37" s="139" t="s">
        <v>47</v>
      </c>
      <c r="C37" s="140"/>
      <c r="D37" s="65" t="n">
        <f aca="false">D21</f>
        <v>32528000</v>
      </c>
      <c r="E37" s="65" t="n">
        <f aca="false">E21</f>
        <v>29275200</v>
      </c>
      <c r="F37" s="65" t="n">
        <f aca="false">F21</f>
        <v>26364800</v>
      </c>
      <c r="G37" s="65" t="n">
        <f aca="false">G21</f>
        <v>23728320</v>
      </c>
      <c r="H37" s="65" t="n">
        <f aca="false">H21</f>
        <v>21331520</v>
      </c>
      <c r="I37" s="65" t="n">
        <f aca="false">I21</f>
        <v>20201600</v>
      </c>
      <c r="J37" s="65" t="n">
        <f aca="false">J21</f>
        <v>20201600</v>
      </c>
      <c r="K37" s="65" t="n">
        <f aca="false">K21</f>
        <v>20235840</v>
      </c>
      <c r="L37" s="65" t="n">
        <f aca="false">L21</f>
        <v>20201600</v>
      </c>
      <c r="M37" s="65" t="n">
        <f aca="false">M21</f>
        <v>20235840</v>
      </c>
      <c r="N37" s="65" t="n">
        <f aca="false">N21</f>
        <v>20201600</v>
      </c>
      <c r="O37" s="65" t="n">
        <f aca="false">O21</f>
        <v>20235840</v>
      </c>
      <c r="P37" s="65" t="n">
        <f aca="false">P21</f>
        <v>20235840</v>
      </c>
      <c r="Q37" s="65" t="n">
        <f aca="false">Q21</f>
        <v>20235840</v>
      </c>
      <c r="R37" s="65" t="n">
        <f aca="false">R21</f>
        <v>10100800</v>
      </c>
      <c r="S37" s="65" t="n">
        <f aca="false">S21</f>
        <v>10846000</v>
      </c>
      <c r="T37" s="65" t="n">
        <f aca="false">T21</f>
        <v>10846000</v>
      </c>
      <c r="U37" s="65" t="n">
        <f aca="false">U21</f>
        <v>10846000</v>
      </c>
      <c r="V37" s="65" t="n">
        <f aca="false">V21</f>
        <v>10846000</v>
      </c>
      <c r="W37" s="2"/>
    </row>
    <row r="38" customFormat="false" ht="13.5" hidden="false" customHeight="false" outlineLevel="0" collapsed="false">
      <c r="A38" s="2"/>
      <c r="B38" s="141" t="s">
        <v>48</v>
      </c>
      <c r="C38" s="142"/>
      <c r="D38" s="93" t="n">
        <f aca="false">SUM(D35:D37)</f>
        <v>57741253.8929724</v>
      </c>
      <c r="E38" s="93" t="n">
        <f aca="false">SUM(E35:E37)</f>
        <v>49303110.7336985</v>
      </c>
      <c r="F38" s="93" t="n">
        <f aca="false">SUM(F35:F37)</f>
        <v>49397287.8870579</v>
      </c>
      <c r="G38" s="93" t="n">
        <f aca="false">SUM(G35:G37)</f>
        <v>40501560.5456528</v>
      </c>
      <c r="H38" s="93" t="n">
        <f aca="false">SUM(H35:H37)</f>
        <v>41615711.498749</v>
      </c>
      <c r="I38" s="93" t="n">
        <f aca="false">SUM(I35:I37)</f>
        <v>43645379.4114786</v>
      </c>
      <c r="J38" s="93" t="n">
        <f aca="false">SUM(J35:J37)</f>
        <v>49663374.3197042</v>
      </c>
      <c r="K38" s="93" t="n">
        <f aca="false">SUM(K35:K37)</f>
        <v>61640967.23868</v>
      </c>
      <c r="L38" s="93" t="n">
        <f aca="false">SUM(L35:L37)</f>
        <v>59867650.9091681</v>
      </c>
      <c r="M38" s="93" t="n">
        <f aca="false">SUM(M35:M37)</f>
        <v>57646760.1468052</v>
      </c>
      <c r="N38" s="93" t="n">
        <f aca="false">SUM(N35:N37)</f>
        <v>55072698.6937483</v>
      </c>
      <c r="O38" s="93" t="n">
        <f aca="false">SUM(O35:O37)</f>
        <v>55827813.9010346</v>
      </c>
      <c r="P38" s="93" t="n">
        <f aca="false">SUM(P35:P37)</f>
        <v>55065785.5401504</v>
      </c>
      <c r="Q38" s="93" t="n">
        <f aca="false">SUM(Q35:Q37)</f>
        <v>62326213.9592467</v>
      </c>
      <c r="R38" s="93" t="n">
        <f aca="false">SUM(R35:R37)</f>
        <v>57896888.7384596</v>
      </c>
      <c r="S38" s="93" t="n">
        <f aca="false">SUM(S35:S37)</f>
        <v>51666626.7406346</v>
      </c>
      <c r="T38" s="93" t="n">
        <f aca="false">SUM(T35:T37)</f>
        <v>53729039.2435385</v>
      </c>
      <c r="U38" s="93" t="n">
        <f aca="false">SUM(U35:U37)</f>
        <v>58668457.7323</v>
      </c>
      <c r="V38" s="93" t="n">
        <f aca="false">SUM(V35:V37)</f>
        <v>58310304.0823398</v>
      </c>
      <c r="W38" s="2"/>
    </row>
    <row r="39" customFormat="false" ht="13.5" hidden="false" customHeight="false" outlineLevel="0" collapsed="false">
      <c r="A39" s="87" t="s">
        <v>49</v>
      </c>
      <c r="B39" s="125" t="s">
        <v>50</v>
      </c>
      <c r="C39" s="134"/>
      <c r="D39" s="65" t="n">
        <f aca="false">-'Book Depr'!D114</f>
        <v>-10846000</v>
      </c>
      <c r="E39" s="65" t="n">
        <f aca="false">-'Book Depr'!E114</f>
        <v>-10846000</v>
      </c>
      <c r="F39" s="65" t="n">
        <f aca="false">-'Book Depr'!F114</f>
        <v>-10846000</v>
      </c>
      <c r="G39" s="65" t="n">
        <f aca="false">-'Book Depr'!G114</f>
        <v>-10846000</v>
      </c>
      <c r="H39" s="65" t="n">
        <f aca="false">-'Book Depr'!H114</f>
        <v>-10846000</v>
      </c>
      <c r="I39" s="65" t="n">
        <f aca="false">-'Book Depr'!I114</f>
        <v>-10846000</v>
      </c>
      <c r="J39" s="65" t="n">
        <f aca="false">-'Book Depr'!J114</f>
        <v>-10846000</v>
      </c>
      <c r="K39" s="65" t="n">
        <f aca="false">-'Book Depr'!K114</f>
        <v>-10846000</v>
      </c>
      <c r="L39" s="65" t="n">
        <f aca="false">-'Book Depr'!L114</f>
        <v>-10846000</v>
      </c>
      <c r="M39" s="65" t="n">
        <f aca="false">-'Book Depr'!M114</f>
        <v>-10846000</v>
      </c>
      <c r="N39" s="65" t="n">
        <f aca="false">-'Book Depr'!N114</f>
        <v>-10846000</v>
      </c>
      <c r="O39" s="65" t="n">
        <f aca="false">-'Book Depr'!O114</f>
        <v>-10846000</v>
      </c>
      <c r="P39" s="65" t="n">
        <f aca="false">-'Book Depr'!P114</f>
        <v>-10846000</v>
      </c>
      <c r="Q39" s="65" t="n">
        <f aca="false">-'Book Depr'!Q114</f>
        <v>-10846000</v>
      </c>
      <c r="R39" s="65" t="n">
        <f aca="false">-'Book Depr'!R114</f>
        <v>-10846000</v>
      </c>
      <c r="S39" s="65" t="n">
        <f aca="false">-'Book Depr'!S114</f>
        <v>-10846000</v>
      </c>
      <c r="T39" s="65" t="n">
        <f aca="false">-'Book Depr'!T114</f>
        <v>-10846000</v>
      </c>
      <c r="U39" s="65" t="n">
        <f aca="false">-'Book Depr'!U114</f>
        <v>-10846000</v>
      </c>
      <c r="V39" s="65" t="n">
        <f aca="false">-'Book Depr'!V114</f>
        <v>-10846000</v>
      </c>
      <c r="W39" s="2"/>
    </row>
    <row r="40" customFormat="false" ht="12.75" hidden="false" customHeight="false" outlineLevel="0" collapsed="false">
      <c r="A40" s="2"/>
      <c r="B40" s="125" t="s">
        <v>51</v>
      </c>
      <c r="C40" s="134"/>
      <c r="D40" s="65" t="n">
        <f aca="false">-D53</f>
        <v>-0</v>
      </c>
      <c r="E40" s="65" t="n">
        <f aca="false">-E53</f>
        <v>-0</v>
      </c>
      <c r="F40" s="65" t="n">
        <f aca="false">-F53</f>
        <v>-0</v>
      </c>
      <c r="G40" s="65" t="n">
        <f aca="false">-G53</f>
        <v>-0</v>
      </c>
      <c r="H40" s="65" t="n">
        <f aca="false">-H53</f>
        <v>-0</v>
      </c>
      <c r="I40" s="65" t="n">
        <f aca="false">-I53</f>
        <v>-0</v>
      </c>
      <c r="J40" s="65" t="n">
        <f aca="false">-J53</f>
        <v>-0</v>
      </c>
      <c r="K40" s="65" t="n">
        <f aca="false">-K53</f>
        <v>-0</v>
      </c>
      <c r="L40" s="65" t="n">
        <f aca="false">-L53</f>
        <v>-0</v>
      </c>
      <c r="M40" s="65" t="n">
        <f aca="false">-M53</f>
        <v>-0</v>
      </c>
      <c r="N40" s="65" t="n">
        <f aca="false">-N53</f>
        <v>-0</v>
      </c>
      <c r="O40" s="65" t="n">
        <f aca="false">-O53</f>
        <v>-0</v>
      </c>
      <c r="P40" s="65" t="n">
        <f aca="false">-P53</f>
        <v>-0</v>
      </c>
      <c r="Q40" s="65" t="n">
        <f aca="false">-Q53</f>
        <v>-0</v>
      </c>
      <c r="R40" s="65" t="n">
        <f aca="false">-R53</f>
        <v>-0</v>
      </c>
      <c r="S40" s="65" t="n">
        <f aca="false">-S53</f>
        <v>-0</v>
      </c>
      <c r="T40" s="65" t="n">
        <f aca="false">-T53</f>
        <v>-0</v>
      </c>
      <c r="U40" s="65" t="n">
        <f aca="false">-U53</f>
        <v>-0</v>
      </c>
      <c r="V40" s="65" t="n">
        <f aca="false">-V53</f>
        <v>-0</v>
      </c>
      <c r="W40" s="2"/>
    </row>
    <row r="41" customFormat="false" ht="12.75" hidden="false" customHeight="false" outlineLevel="0" collapsed="false">
      <c r="A41" s="2"/>
      <c r="B41" s="137" t="s">
        <v>52</v>
      </c>
      <c r="C41" s="138"/>
      <c r="D41" s="88" t="n">
        <f aca="false">SUM(D38:D40)</f>
        <v>46895253.8929724</v>
      </c>
      <c r="E41" s="88" t="n">
        <f aca="false">SUM(E38:E40)</f>
        <v>38457110.7336985</v>
      </c>
      <c r="F41" s="88" t="n">
        <f aca="false">SUM(F38:F40)</f>
        <v>38551287.8870579</v>
      </c>
      <c r="G41" s="88" t="n">
        <f aca="false">SUM(G38:G40)</f>
        <v>29655560.5456528</v>
      </c>
      <c r="H41" s="88" t="n">
        <f aca="false">SUM(H38:H40)</f>
        <v>30769711.498749</v>
      </c>
      <c r="I41" s="88" t="n">
        <f aca="false">SUM(I38:I40)</f>
        <v>32799379.4114786</v>
      </c>
      <c r="J41" s="88" t="n">
        <f aca="false">SUM(J38:J40)</f>
        <v>38817374.3197042</v>
      </c>
      <c r="K41" s="88" t="n">
        <f aca="false">SUM(K38:K40)</f>
        <v>50794967.23868</v>
      </c>
      <c r="L41" s="88" t="n">
        <f aca="false">SUM(L38:L40)</f>
        <v>49021650.9091681</v>
      </c>
      <c r="M41" s="88" t="n">
        <f aca="false">SUM(M38:M40)</f>
        <v>46800760.1468052</v>
      </c>
      <c r="N41" s="88" t="n">
        <f aca="false">SUM(N38:N40)</f>
        <v>44226698.6937483</v>
      </c>
      <c r="O41" s="88" t="n">
        <f aca="false">SUM(O38:O40)</f>
        <v>44981813.9010346</v>
      </c>
      <c r="P41" s="88" t="n">
        <f aca="false">SUM(P38:P40)</f>
        <v>44219785.5401504</v>
      </c>
      <c r="Q41" s="88" t="n">
        <f aca="false">SUM(Q38:Q40)</f>
        <v>51480213.9592467</v>
      </c>
      <c r="R41" s="88" t="n">
        <f aca="false">SUM(R38:R40)</f>
        <v>47050888.7384596</v>
      </c>
      <c r="S41" s="88" t="n">
        <f aca="false">SUM(S38:S40)</f>
        <v>40820626.7406346</v>
      </c>
      <c r="T41" s="88" t="n">
        <f aca="false">SUM(T38:T40)</f>
        <v>42883039.2435385</v>
      </c>
      <c r="U41" s="88" t="n">
        <f aca="false">SUM(U38:U40)</f>
        <v>47822457.7323</v>
      </c>
      <c r="V41" s="88" t="n">
        <f aca="false">SUM(V38:V40)</f>
        <v>47464304.0823398</v>
      </c>
      <c r="W41" s="2"/>
    </row>
    <row r="42" customFormat="false" ht="13.5" hidden="false" customHeight="false" outlineLevel="0" collapsed="false">
      <c r="A42" s="2"/>
      <c r="B42" s="143" t="s">
        <v>53</v>
      </c>
      <c r="C42" s="144"/>
      <c r="D42" s="96" t="n">
        <f aca="false">-D41*Assumptions!$L$15</f>
        <v>-18758101.557189</v>
      </c>
      <c r="E42" s="96" t="n">
        <f aca="false">-E41*Assumptions!$L$15</f>
        <v>-15382844.2934794</v>
      </c>
      <c r="F42" s="96" t="n">
        <f aca="false">-F41*Assumptions!$L$15</f>
        <v>-15420515.1548231</v>
      </c>
      <c r="G42" s="96" t="n">
        <f aca="false">-G41*Assumptions!$L$15</f>
        <v>-11862224.2182611</v>
      </c>
      <c r="H42" s="96" t="n">
        <f aca="false">-H41*Assumptions!$L$15</f>
        <v>-12307884.5994996</v>
      </c>
      <c r="I42" s="96" t="n">
        <f aca="false">-I41*Assumptions!$L$15</f>
        <v>-13119751.7645915</v>
      </c>
      <c r="J42" s="96" t="n">
        <f aca="false">-J41*Assumptions!$L$15</f>
        <v>-15526949.7278817</v>
      </c>
      <c r="K42" s="96" t="n">
        <f aca="false">-K41*Assumptions!$L$15</f>
        <v>-20317986.895472</v>
      </c>
      <c r="L42" s="96" t="n">
        <f aca="false">-L41*Assumptions!$L$15</f>
        <v>-19608660.3636672</v>
      </c>
      <c r="M42" s="96" t="n">
        <f aca="false">-M41*Assumptions!$L$15</f>
        <v>-18720304.0587221</v>
      </c>
      <c r="N42" s="96" t="n">
        <f aca="false">-N41*Assumptions!$L$15</f>
        <v>-17690679.4774993</v>
      </c>
      <c r="O42" s="96" t="n">
        <f aca="false">-O41*Assumptions!$L$15</f>
        <v>-17992725.5604138</v>
      </c>
      <c r="P42" s="96" t="n">
        <f aca="false">-P41*Assumptions!$L$15</f>
        <v>-17687914.2160602</v>
      </c>
      <c r="Q42" s="96" t="n">
        <f aca="false">-Q41*Assumptions!$L$15</f>
        <v>-20592085.5836987</v>
      </c>
      <c r="R42" s="96" t="n">
        <f aca="false">-R41*Assumptions!$L$15</f>
        <v>-18820355.4953838</v>
      </c>
      <c r="S42" s="96" t="n">
        <f aca="false">-S41*Assumptions!$L$15</f>
        <v>-16328250.6962538</v>
      </c>
      <c r="T42" s="96" t="n">
        <f aca="false">-T41*Assumptions!$L$15</f>
        <v>-17153215.6974154</v>
      </c>
      <c r="U42" s="96" t="n">
        <f aca="false">-U41*Assumptions!$L$15</f>
        <v>-19128983.09292</v>
      </c>
      <c r="V42" s="96" t="n">
        <f aca="false">-V41*Assumptions!$L$15</f>
        <v>-18985721.6329359</v>
      </c>
      <c r="W42" s="2"/>
    </row>
    <row r="43" customFormat="false" ht="13.5" hidden="false" customHeight="false" outlineLevel="0" collapsed="false">
      <c r="A43" s="2"/>
      <c r="B43" s="137" t="s">
        <v>54</v>
      </c>
      <c r="C43" s="138"/>
      <c r="D43" s="88" t="n">
        <f aca="false">SUM(D41:D42)</f>
        <v>28137152.3357834</v>
      </c>
      <c r="E43" s="88" t="n">
        <f aca="false">SUM(E41:E42)</f>
        <v>23074266.4402191</v>
      </c>
      <c r="F43" s="88" t="n">
        <f aca="false">SUM(F41:F42)</f>
        <v>23130772.7322347</v>
      </c>
      <c r="G43" s="88" t="n">
        <f aca="false">SUM(G41:G42)</f>
        <v>17793336.3273917</v>
      </c>
      <c r="H43" s="88" t="n">
        <f aca="false">SUM(H41:H42)</f>
        <v>18461826.8992494</v>
      </c>
      <c r="I43" s="88" t="n">
        <f aca="false">SUM(I41:I42)</f>
        <v>19679627.6468872</v>
      </c>
      <c r="J43" s="88" t="n">
        <f aca="false">SUM(J41:J42)</f>
        <v>23290424.5918225</v>
      </c>
      <c r="K43" s="88" t="n">
        <f aca="false">SUM(K41:K42)</f>
        <v>30476980.343208</v>
      </c>
      <c r="L43" s="88" t="n">
        <f aca="false">SUM(L41:L42)</f>
        <v>29412990.5455008</v>
      </c>
      <c r="M43" s="88" t="n">
        <f aca="false">SUM(M41:M42)</f>
        <v>28080456.0880831</v>
      </c>
      <c r="N43" s="88" t="n">
        <f aca="false">SUM(N41:N42)</f>
        <v>26536019.216249</v>
      </c>
      <c r="O43" s="88" t="n">
        <f aca="false">SUM(O41:O42)</f>
        <v>26989088.3406208</v>
      </c>
      <c r="P43" s="88" t="n">
        <f aca="false">SUM(P41:P42)</f>
        <v>26531871.3240903</v>
      </c>
      <c r="Q43" s="88" t="n">
        <f aca="false">SUM(Q41:Q42)</f>
        <v>30888128.375548</v>
      </c>
      <c r="R43" s="88" t="n">
        <f aca="false">SUM(R41:R42)</f>
        <v>28230533.2430757</v>
      </c>
      <c r="S43" s="88" t="n">
        <f aca="false">SUM(S41:S42)</f>
        <v>24492376.0443807</v>
      </c>
      <c r="T43" s="88" t="n">
        <f aca="false">SUM(T41:T42)</f>
        <v>25729823.5461231</v>
      </c>
      <c r="U43" s="88" t="n">
        <f aca="false">SUM(U41:U42)</f>
        <v>28693474.63938</v>
      </c>
      <c r="V43" s="88" t="n">
        <f aca="false">SUM(V41:V42)</f>
        <v>28478582.4494039</v>
      </c>
      <c r="W43" s="2"/>
    </row>
    <row r="44" customFormat="false" ht="12.75" hidden="false" customHeight="false" outlineLevel="0" collapsed="false">
      <c r="A44" s="2"/>
      <c r="B44" s="2"/>
      <c r="C44" s="134"/>
      <c r="D44" s="2"/>
      <c r="E44" s="135"/>
      <c r="F44" s="128"/>
      <c r="G44" s="13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customFormat="false" ht="15.75" hidden="false" customHeight="false" outlineLevel="0" collapsed="false">
      <c r="A45" s="97" t="s">
        <v>55</v>
      </c>
      <c r="B45" s="14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customFormat="false" ht="12.75" hidden="false" customHeight="false" outlineLevel="0" collapsed="false">
      <c r="A46" s="99" t="s">
        <v>56</v>
      </c>
      <c r="B46" s="49"/>
      <c r="C46" s="101" t="n">
        <f aca="false">Assumptions!$L$17</f>
        <v>0</v>
      </c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</row>
    <row r="47" customFormat="false" ht="12.75" hidden="false" customHeight="false" outlineLevel="0" collapsed="false">
      <c r="A47" s="99" t="s">
        <v>57</v>
      </c>
      <c r="B47" s="49"/>
      <c r="C47" s="146" t="n">
        <f aca="false">+C30*C46</f>
        <v>0</v>
      </c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</row>
    <row r="48" customFormat="false" ht="12.75" hidden="false" customHeight="false" outlineLevel="0" collapsed="false">
      <c r="A48" s="99" t="s">
        <v>58</v>
      </c>
      <c r="B48" s="49"/>
      <c r="C48" s="99" t="n">
        <f aca="false">Assumptions!$L$18</f>
        <v>15</v>
      </c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customFormat="false" ht="12.75" hidden="false" customHeight="false" outlineLevel="0" collapsed="false">
      <c r="A49" s="99" t="s">
        <v>59</v>
      </c>
      <c r="B49" s="49"/>
      <c r="C49" s="146" t="n">
        <f aca="false">C47/C48</f>
        <v>0</v>
      </c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</row>
    <row r="50" customFormat="false" ht="12.75" hidden="false" customHeight="false" outlineLevel="0" collapsed="false">
      <c r="A50" s="99" t="s">
        <v>60</v>
      </c>
      <c r="B50" s="49"/>
      <c r="C50" s="147" t="n">
        <f aca="false">Assumptions!L19</f>
        <v>0.0875</v>
      </c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customFormat="false" ht="12.75" hidden="false" customHeight="false" outlineLevel="0" collapsed="false">
      <c r="A51" s="99"/>
      <c r="B51" s="49"/>
      <c r="C51" s="107"/>
      <c r="D51" s="58" t="n">
        <f aca="false">D6</f>
        <v>2001</v>
      </c>
      <c r="E51" s="58" t="n">
        <f aca="false">E6</f>
        <v>2002</v>
      </c>
      <c r="F51" s="58" t="n">
        <f aca="false">F6</f>
        <v>2003</v>
      </c>
      <c r="G51" s="58" t="n">
        <f aca="false">G6</f>
        <v>2004</v>
      </c>
      <c r="H51" s="58" t="n">
        <f aca="false">H6</f>
        <v>2005</v>
      </c>
      <c r="I51" s="58" t="n">
        <f aca="false">I6</f>
        <v>2006</v>
      </c>
      <c r="J51" s="58" t="n">
        <f aca="false">J6</f>
        <v>2007</v>
      </c>
      <c r="K51" s="58" t="n">
        <f aca="false">K6</f>
        <v>2008</v>
      </c>
      <c r="L51" s="58" t="n">
        <f aca="false">L6</f>
        <v>2009</v>
      </c>
      <c r="M51" s="58" t="n">
        <f aca="false">M6</f>
        <v>2010</v>
      </c>
      <c r="N51" s="58" t="n">
        <f aca="false">N6</f>
        <v>2011</v>
      </c>
      <c r="O51" s="58" t="n">
        <f aca="false">O6</f>
        <v>2012</v>
      </c>
      <c r="P51" s="58" t="n">
        <f aca="false">P6</f>
        <v>2013</v>
      </c>
      <c r="Q51" s="58" t="n">
        <f aca="false">Q6</f>
        <v>2014</v>
      </c>
      <c r="R51" s="58" t="n">
        <f aca="false">R6</f>
        <v>2015</v>
      </c>
      <c r="S51" s="58" t="n">
        <f aca="false">S6</f>
        <v>2016</v>
      </c>
      <c r="T51" s="58" t="n">
        <f aca="false">T6</f>
        <v>2017</v>
      </c>
      <c r="U51" s="58" t="n">
        <f aca="false">U6</f>
        <v>2018</v>
      </c>
      <c r="V51" s="58" t="n">
        <f aca="false">V6</f>
        <v>2019</v>
      </c>
      <c r="W51" s="58" t="str">
        <f aca="false">W6</f>
        <v>TV</v>
      </c>
    </row>
    <row r="52" customFormat="false" ht="12.75" hidden="false" customHeight="false" outlineLevel="0" collapsed="false">
      <c r="A52" s="99" t="s">
        <v>61</v>
      </c>
      <c r="B52" s="49"/>
      <c r="C52" s="107"/>
      <c r="D52" s="102" t="n">
        <f aca="false">+C47</f>
        <v>0</v>
      </c>
      <c r="E52" s="102" t="n">
        <f aca="false">+D56</f>
        <v>0</v>
      </c>
      <c r="F52" s="102" t="n">
        <f aca="false">+E56</f>
        <v>0</v>
      </c>
      <c r="G52" s="102" t="n">
        <f aca="false">+F56</f>
        <v>0</v>
      </c>
      <c r="H52" s="102" t="n">
        <f aca="false">+G56</f>
        <v>0</v>
      </c>
      <c r="I52" s="102" t="n">
        <f aca="false">+H56</f>
        <v>0</v>
      </c>
      <c r="J52" s="102" t="n">
        <f aca="false">+I56</f>
        <v>0</v>
      </c>
      <c r="K52" s="102" t="n">
        <f aca="false">+J56</f>
        <v>0</v>
      </c>
      <c r="L52" s="102" t="n">
        <f aca="false">+K56</f>
        <v>0</v>
      </c>
      <c r="M52" s="102" t="n">
        <f aca="false">+L56</f>
        <v>0</v>
      </c>
      <c r="N52" s="102" t="n">
        <f aca="false">+M56</f>
        <v>0</v>
      </c>
      <c r="O52" s="102" t="n">
        <f aca="false">+N56</f>
        <v>0</v>
      </c>
      <c r="P52" s="102" t="n">
        <f aca="false">+O56</f>
        <v>0</v>
      </c>
      <c r="Q52" s="102" t="n">
        <f aca="false">+P56</f>
        <v>0</v>
      </c>
      <c r="R52" s="102" t="n">
        <f aca="false">+Q56</f>
        <v>0</v>
      </c>
      <c r="S52" s="102" t="n">
        <f aca="false">+R56</f>
        <v>0</v>
      </c>
      <c r="T52" s="102" t="n">
        <f aca="false">+S56</f>
        <v>0</v>
      </c>
      <c r="U52" s="102" t="n">
        <f aca="false">+T56</f>
        <v>0</v>
      </c>
      <c r="V52" s="102" t="n">
        <f aca="false">+U56</f>
        <v>0</v>
      </c>
      <c r="W52" s="102" t="n">
        <f aca="false">+V56</f>
        <v>0</v>
      </c>
    </row>
    <row r="53" customFormat="false" ht="12.75" hidden="false" customHeight="false" outlineLevel="0" collapsed="false">
      <c r="A53" s="99" t="s">
        <v>62</v>
      </c>
      <c r="B53" s="49"/>
      <c r="C53" s="107"/>
      <c r="D53" s="102" t="n">
        <f aca="false">+D52*$C$50</f>
        <v>0</v>
      </c>
      <c r="E53" s="102" t="n">
        <f aca="false">+E52*$C$50</f>
        <v>0</v>
      </c>
      <c r="F53" s="102" t="n">
        <f aca="false">+F52*$C$50</f>
        <v>0</v>
      </c>
      <c r="G53" s="102" t="n">
        <f aca="false">+G52*$C$50</f>
        <v>0</v>
      </c>
      <c r="H53" s="102" t="n">
        <f aca="false">+H52*$C$50</f>
        <v>0</v>
      </c>
      <c r="I53" s="102" t="n">
        <f aca="false">+I52*$C$50</f>
        <v>0</v>
      </c>
      <c r="J53" s="102" t="n">
        <f aca="false">+J52*$C$50</f>
        <v>0</v>
      </c>
      <c r="K53" s="102" t="n">
        <f aca="false">+K52*$C$50</f>
        <v>0</v>
      </c>
      <c r="L53" s="102" t="n">
        <f aca="false">+L52*$C$50</f>
        <v>0</v>
      </c>
      <c r="M53" s="102" t="n">
        <f aca="false">+M52*$C$50</f>
        <v>0</v>
      </c>
      <c r="N53" s="102" t="n">
        <f aca="false">+N52*$C$50</f>
        <v>0</v>
      </c>
      <c r="O53" s="102" t="n">
        <f aca="false">+O52*$C$50</f>
        <v>0</v>
      </c>
      <c r="P53" s="102" t="n">
        <f aca="false">+P52*$C$50</f>
        <v>0</v>
      </c>
      <c r="Q53" s="102" t="n">
        <f aca="false">+Q52*$C$50</f>
        <v>0</v>
      </c>
      <c r="R53" s="102" t="n">
        <f aca="false">+R52*$C$50</f>
        <v>0</v>
      </c>
      <c r="S53" s="102" t="n">
        <f aca="false">+S52*$C$50</f>
        <v>0</v>
      </c>
      <c r="T53" s="102" t="n">
        <f aca="false">+T52*$C$50</f>
        <v>0</v>
      </c>
      <c r="U53" s="102" t="n">
        <f aca="false">+U52*$C$50</f>
        <v>0</v>
      </c>
      <c r="V53" s="102" t="n">
        <f aca="false">+V52*$C$50</f>
        <v>0</v>
      </c>
      <c r="W53" s="102" t="n">
        <f aca="false">+W52*$C$50</f>
        <v>0</v>
      </c>
    </row>
    <row r="54" customFormat="false" ht="12.75" hidden="false" customHeight="false" outlineLevel="0" collapsed="false">
      <c r="A54" s="99" t="s">
        <v>63</v>
      </c>
      <c r="B54" s="49"/>
      <c r="C54" s="107"/>
      <c r="D54" s="102" t="n">
        <f aca="false">IF((D51-$D$51)&gt;=$C$48,0,$C$49)</f>
        <v>0</v>
      </c>
      <c r="E54" s="102" t="n">
        <f aca="false">IF((E51-$D$51)&gt;=$C$48,0,$C$49)</f>
        <v>0</v>
      </c>
      <c r="F54" s="102" t="n">
        <f aca="false">IF((F51-$D$51)&gt;=$C$48,0,$C$49)</f>
        <v>0</v>
      </c>
      <c r="G54" s="102" t="n">
        <f aca="false">IF((G51-$D$51)&gt;=$C$48,0,$C$49)</f>
        <v>0</v>
      </c>
      <c r="H54" s="102" t="n">
        <f aca="false">IF((H51-$D$51)&gt;=$C$48,0,$C$49)</f>
        <v>0</v>
      </c>
      <c r="I54" s="102" t="n">
        <f aca="false">IF((I51-$D$51)&gt;=$C$48,0,$C$49)</f>
        <v>0</v>
      </c>
      <c r="J54" s="102" t="n">
        <f aca="false">IF((J51-$D$51)&gt;=$C$48,0,$C$49)</f>
        <v>0</v>
      </c>
      <c r="K54" s="102" t="n">
        <f aca="false">IF((K51-$D$51)&gt;=$C$48,0,$C$49)</f>
        <v>0</v>
      </c>
      <c r="L54" s="102" t="n">
        <f aca="false">IF((L51-$D$51)&gt;=$C$48,0,$C$49)</f>
        <v>0</v>
      </c>
      <c r="M54" s="102" t="n">
        <f aca="false">IF((M51-$D$51)&gt;=$C$48,0,$C$49)</f>
        <v>0</v>
      </c>
      <c r="N54" s="102" t="n">
        <f aca="false">IF((N51-$D$51)&gt;=$C$48,0,$C$49)</f>
        <v>0</v>
      </c>
      <c r="O54" s="102" t="n">
        <f aca="false">IF((O51-$D$51)&gt;=$C$48,0,$C$49)</f>
        <v>0</v>
      </c>
      <c r="P54" s="102" t="n">
        <f aca="false">IF((P51-$D$51)&gt;=$C$48,0,$C$49)</f>
        <v>0</v>
      </c>
      <c r="Q54" s="102" t="n">
        <f aca="false">IF((Q51-$D$51)&gt;=$C$48,0,$C$49)</f>
        <v>0</v>
      </c>
      <c r="R54" s="102" t="n">
        <f aca="false">IF((R51-$D$51)&gt;=$C$48,0,$C$49)</f>
        <v>0</v>
      </c>
      <c r="S54" s="102" t="n">
        <f aca="false">IF((S51-$D$51)&gt;=$C$48,0,$C$49)</f>
        <v>0</v>
      </c>
      <c r="T54" s="102" t="n">
        <f aca="false">IF((T51-$D$51)&gt;=$C$48,0,$C$49)</f>
        <v>0</v>
      </c>
      <c r="U54" s="102" t="n">
        <f aca="false">IF((U51-$D$51)&gt;=$C$48,0,$C$49)</f>
        <v>0</v>
      </c>
      <c r="V54" s="102" t="n">
        <f aca="false">IF((V51-$D$51)&gt;=$C$48,0,$C$49)</f>
        <v>0</v>
      </c>
      <c r="W54" s="102" t="n">
        <f aca="false">V54</f>
        <v>0</v>
      </c>
    </row>
    <row r="55" customFormat="false" ht="12.75" hidden="false" customHeight="false" outlineLevel="0" collapsed="false">
      <c r="A55" s="99" t="s">
        <v>64</v>
      </c>
      <c r="B55" s="49"/>
      <c r="C55" s="107"/>
      <c r="D55" s="105" t="n">
        <f aca="false">SUM(D53:D54)</f>
        <v>0</v>
      </c>
      <c r="E55" s="105" t="n">
        <f aca="false">SUM(E53:E54)</f>
        <v>0</v>
      </c>
      <c r="F55" s="105" t="n">
        <f aca="false">SUM(F53:F54)</f>
        <v>0</v>
      </c>
      <c r="G55" s="105" t="n">
        <f aca="false">SUM(G53:G54)</f>
        <v>0</v>
      </c>
      <c r="H55" s="105" t="n">
        <f aca="false">SUM(H53:H54)</f>
        <v>0</v>
      </c>
      <c r="I55" s="105" t="n">
        <f aca="false">SUM(I53:I54)</f>
        <v>0</v>
      </c>
      <c r="J55" s="105" t="n">
        <f aca="false">SUM(J53:J54)</f>
        <v>0</v>
      </c>
      <c r="K55" s="105" t="n">
        <f aca="false">SUM(K53:K54)</f>
        <v>0</v>
      </c>
      <c r="L55" s="105" t="n">
        <f aca="false">SUM(L53:L54)</f>
        <v>0</v>
      </c>
      <c r="M55" s="105" t="n">
        <f aca="false">SUM(M53:M54)</f>
        <v>0</v>
      </c>
      <c r="N55" s="105" t="n">
        <f aca="false">SUM(N53:N54)</f>
        <v>0</v>
      </c>
      <c r="O55" s="105" t="n">
        <f aca="false">SUM(O53:O54)</f>
        <v>0</v>
      </c>
      <c r="P55" s="105" t="n">
        <f aca="false">SUM(P53:P54)</f>
        <v>0</v>
      </c>
      <c r="Q55" s="105" t="n">
        <f aca="false">SUM(Q53:Q54)</f>
        <v>0</v>
      </c>
      <c r="R55" s="105" t="n">
        <f aca="false">SUM(R53:R54)</f>
        <v>0</v>
      </c>
      <c r="S55" s="105" t="n">
        <f aca="false">SUM(S53:S54)</f>
        <v>0</v>
      </c>
      <c r="T55" s="105" t="n">
        <f aca="false">SUM(T53:T54)</f>
        <v>0</v>
      </c>
      <c r="U55" s="105" t="n">
        <f aca="false">SUM(U53:U54)</f>
        <v>0</v>
      </c>
      <c r="V55" s="105" t="n">
        <f aca="false">SUM(V53:V54)</f>
        <v>0</v>
      </c>
      <c r="W55" s="105" t="n">
        <f aca="false">SUM(W53:W54)</f>
        <v>0</v>
      </c>
    </row>
    <row r="56" customFormat="false" ht="13.5" hidden="false" customHeight="false" outlineLevel="0" collapsed="false">
      <c r="A56" s="99" t="s">
        <v>65</v>
      </c>
      <c r="B56" s="49"/>
      <c r="C56" s="107"/>
      <c r="D56" s="106" t="n">
        <f aca="false">+D52-D54</f>
        <v>0</v>
      </c>
      <c r="E56" s="106" t="n">
        <f aca="false">+E52-E54</f>
        <v>0</v>
      </c>
      <c r="F56" s="106" t="n">
        <f aca="false">+F52-F54</f>
        <v>0</v>
      </c>
      <c r="G56" s="106" t="n">
        <f aca="false">+G52-G54</f>
        <v>0</v>
      </c>
      <c r="H56" s="106" t="n">
        <f aca="false">+H52-H54</f>
        <v>0</v>
      </c>
      <c r="I56" s="106" t="n">
        <f aca="false">+I52-I54</f>
        <v>0</v>
      </c>
      <c r="J56" s="106" t="n">
        <f aca="false">+J52-J54</f>
        <v>0</v>
      </c>
      <c r="K56" s="106" t="n">
        <f aca="false">+K52-K54</f>
        <v>0</v>
      </c>
      <c r="L56" s="106" t="n">
        <f aca="false">+L52-L54</f>
        <v>0</v>
      </c>
      <c r="M56" s="106" t="n">
        <f aca="false">+M52-M54</f>
        <v>0</v>
      </c>
      <c r="N56" s="106" t="n">
        <f aca="false">+N52-N54</f>
        <v>0</v>
      </c>
      <c r="O56" s="106" t="n">
        <f aca="false">+O52-O54</f>
        <v>0</v>
      </c>
      <c r="P56" s="106" t="n">
        <f aca="false">+P52-P54</f>
        <v>0</v>
      </c>
      <c r="Q56" s="106" t="n">
        <f aca="false">+Q52-Q54</f>
        <v>0</v>
      </c>
      <c r="R56" s="106" t="n">
        <f aca="false">+R52-R54</f>
        <v>0</v>
      </c>
      <c r="S56" s="106" t="n">
        <f aca="false">+S52-S54</f>
        <v>0</v>
      </c>
      <c r="T56" s="106" t="n">
        <f aca="false">+T52-T54</f>
        <v>0</v>
      </c>
      <c r="U56" s="106" t="n">
        <f aca="false">+U52-U54</f>
        <v>0</v>
      </c>
      <c r="V56" s="106" t="n">
        <f aca="false">+V52-V54</f>
        <v>0</v>
      </c>
      <c r="W56" s="106" t="n">
        <f aca="false">+W52-W54</f>
        <v>0</v>
      </c>
    </row>
    <row r="57" customFormat="false" ht="13.5" hidden="false" customHeight="false" outlineLevel="0" collapsed="false">
      <c r="A57" s="99"/>
      <c r="B57" s="49"/>
      <c r="C57" s="107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</row>
    <row r="58" customFormat="false" ht="12.75" hidden="false" customHeight="false" outlineLevel="0" collapsed="false">
      <c r="A58" s="99" t="s">
        <v>66</v>
      </c>
      <c r="B58" s="49"/>
      <c r="C58" s="107"/>
      <c r="D58" s="102" t="n">
        <f aca="false">+D53*0.4</f>
        <v>0</v>
      </c>
      <c r="E58" s="102" t="n">
        <f aca="false">+E53*0.4</f>
        <v>0</v>
      </c>
      <c r="F58" s="102" t="n">
        <f aca="false">+F53*0.4</f>
        <v>0</v>
      </c>
      <c r="G58" s="102" t="n">
        <f aca="false">+G53*0.4</f>
        <v>0</v>
      </c>
      <c r="H58" s="102" t="n">
        <f aca="false">+H53*0.4</f>
        <v>0</v>
      </c>
      <c r="I58" s="102" t="n">
        <f aca="false">+I53*0.4</f>
        <v>0</v>
      </c>
      <c r="J58" s="102" t="n">
        <f aca="false">+J53*0.4</f>
        <v>0</v>
      </c>
      <c r="K58" s="102" t="n">
        <f aca="false">+K53*0.4</f>
        <v>0</v>
      </c>
      <c r="L58" s="102" t="n">
        <f aca="false">+L53*0.4</f>
        <v>0</v>
      </c>
      <c r="M58" s="102" t="n">
        <f aca="false">+M53*0.4</f>
        <v>0</v>
      </c>
      <c r="N58" s="102" t="n">
        <f aca="false">+N53*0.4</f>
        <v>0</v>
      </c>
      <c r="O58" s="102" t="n">
        <f aca="false">+O53*0.4</f>
        <v>0</v>
      </c>
      <c r="P58" s="102" t="n">
        <f aca="false">+P53*0.4</f>
        <v>0</v>
      </c>
      <c r="Q58" s="102" t="n">
        <f aca="false">+Q53*0.4</f>
        <v>0</v>
      </c>
      <c r="R58" s="102" t="n">
        <f aca="false">+R53*0.4</f>
        <v>0</v>
      </c>
      <c r="S58" s="102" t="n">
        <f aca="false">+S53*0.4</f>
        <v>0</v>
      </c>
      <c r="T58" s="102" t="n">
        <f aca="false">+T53*0.4</f>
        <v>0</v>
      </c>
      <c r="U58" s="102" t="n">
        <f aca="false">+U53*0.4</f>
        <v>0</v>
      </c>
      <c r="V58" s="102" t="n">
        <f aca="false">+V53*0.4</f>
        <v>0</v>
      </c>
      <c r="W58" s="102" t="n">
        <f aca="false">+W53*0.4</f>
        <v>0</v>
      </c>
    </row>
    <row r="59" customFormat="false" ht="12.75" hidden="false" customHeight="false" outlineLevel="0" collapsed="false">
      <c r="A59" s="99"/>
      <c r="B59" s="49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</row>
    <row r="60" customFormat="false" ht="12.75" hidden="false" customHeight="false" outlineLevel="0" collapsed="false">
      <c r="A60" s="99" t="s">
        <v>67</v>
      </c>
      <c r="B60" s="49"/>
      <c r="C60" s="107"/>
      <c r="D60" s="102" t="n">
        <f aca="false">+D55-D58</f>
        <v>0</v>
      </c>
      <c r="E60" s="102" t="n">
        <f aca="false">+E55-E58</f>
        <v>0</v>
      </c>
      <c r="F60" s="102" t="n">
        <f aca="false">+F55-F58</f>
        <v>0</v>
      </c>
      <c r="G60" s="102" t="n">
        <f aca="false">+G55-G58</f>
        <v>0</v>
      </c>
      <c r="H60" s="102" t="n">
        <f aca="false">+H55-H58</f>
        <v>0</v>
      </c>
      <c r="I60" s="102" t="n">
        <f aca="false">+I55-I58</f>
        <v>0</v>
      </c>
      <c r="J60" s="102" t="n">
        <f aca="false">+J55-J58</f>
        <v>0</v>
      </c>
      <c r="K60" s="102" t="n">
        <f aca="false">+K55-K58</f>
        <v>0</v>
      </c>
      <c r="L60" s="102" t="n">
        <f aca="false">+L55-L58</f>
        <v>0</v>
      </c>
      <c r="M60" s="102" t="n">
        <f aca="false">+M55-M58</f>
        <v>0</v>
      </c>
      <c r="N60" s="102" t="n">
        <f aca="false">+N55-N58</f>
        <v>0</v>
      </c>
      <c r="O60" s="102" t="n">
        <f aca="false">+O55-O58</f>
        <v>0</v>
      </c>
      <c r="P60" s="102" t="n">
        <f aca="false">+P55-P58</f>
        <v>0</v>
      </c>
      <c r="Q60" s="102" t="n">
        <f aca="false">+Q55-Q58</f>
        <v>0</v>
      </c>
      <c r="R60" s="102" t="n">
        <f aca="false">+R55-R58</f>
        <v>0</v>
      </c>
      <c r="S60" s="102" t="n">
        <f aca="false">+S55-S58</f>
        <v>0</v>
      </c>
      <c r="T60" s="102" t="n">
        <f aca="false">+T55-T58</f>
        <v>0</v>
      </c>
      <c r="U60" s="102" t="n">
        <f aca="false">+U55-U58</f>
        <v>0</v>
      </c>
      <c r="V60" s="102" t="n">
        <f aca="false">+V55-V58</f>
        <v>0</v>
      </c>
      <c r="W60" s="102" t="n">
        <f aca="false">+W55-W58</f>
        <v>0</v>
      </c>
    </row>
    <row r="61" customFormat="false" ht="12.75" hidden="false" customHeight="false" outlineLevel="0" collapsed="false">
      <c r="A61" s="107"/>
      <c r="B61" s="49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</row>
    <row r="62" customFormat="false" ht="12.75" hidden="false" customHeight="false" outlineLevel="0" collapsed="false">
      <c r="A62" s="107"/>
      <c r="B62" s="49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</row>
    <row r="63" customFormat="false" ht="12.75" hidden="false" customHeight="false" outlineLevel="0" collapsed="false">
      <c r="A63" s="99" t="s">
        <v>68</v>
      </c>
      <c r="B63" s="148"/>
      <c r="C63" s="149"/>
      <c r="D63" s="79" t="n">
        <f aca="false">+D25-D60</f>
        <v>47655952.3357834</v>
      </c>
      <c r="E63" s="79" t="n">
        <f aca="false">+E25-E60</f>
        <v>41291946.4402191</v>
      </c>
      <c r="F63" s="79" t="n">
        <f aca="false">+F25-F60</f>
        <v>40184292.7322347</v>
      </c>
      <c r="G63" s="79" t="n">
        <f aca="false">+G25-G60</f>
        <v>33792264.3273917</v>
      </c>
      <c r="H63" s="79" t="n">
        <f aca="false">+H25-H60</f>
        <v>33502034.8992494</v>
      </c>
      <c r="I63" s="79" t="n">
        <f aca="false">+I25-I60</f>
        <v>34267867.6468872</v>
      </c>
      <c r="J63" s="79" t="n">
        <f aca="false">+J25-J60</f>
        <v>37878664.5918225</v>
      </c>
      <c r="K63" s="79" t="n">
        <f aca="false">+K25-K60</f>
        <v>45078916.343208</v>
      </c>
      <c r="L63" s="79" t="n">
        <f aca="false">+L25-L60</f>
        <v>44001230.5455008</v>
      </c>
      <c r="M63" s="79" t="n">
        <f aca="false">+M25-M60</f>
        <v>42682392.0880831</v>
      </c>
      <c r="N63" s="79" t="n">
        <f aca="false">+N25-N60</f>
        <v>41124259.216249</v>
      </c>
      <c r="O63" s="79" t="n">
        <f aca="false">+O25-O60</f>
        <v>41591024.3406208</v>
      </c>
      <c r="P63" s="79" t="n">
        <f aca="false">+P25-P60</f>
        <v>41133807.3240903</v>
      </c>
      <c r="Q63" s="79" t="n">
        <f aca="false">+Q25-Q60</f>
        <v>45490064.375548</v>
      </c>
      <c r="R63" s="79" t="n">
        <f aca="false">+R25-R60</f>
        <v>38778453.2430757</v>
      </c>
      <c r="S63" s="79" t="n">
        <f aca="false">+S25-S60</f>
        <v>35338376.0443808</v>
      </c>
      <c r="T63" s="79" t="n">
        <f aca="false">+T25-T60</f>
        <v>36575823.5461231</v>
      </c>
      <c r="U63" s="79" t="n">
        <f aca="false">+U25-U60</f>
        <v>39539474.63938</v>
      </c>
      <c r="V63" s="79" t="n">
        <f aca="false">+V25-V60</f>
        <v>39324582.4494039</v>
      </c>
      <c r="W63" s="79" t="n">
        <f aca="false">+W25-W60</f>
        <v>246752454.996874</v>
      </c>
    </row>
    <row r="64" customFormat="false" ht="12.75" hidden="false" customHeight="false" outlineLevel="0" collapsed="false">
      <c r="A64" s="2"/>
      <c r="B64" s="31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customFormat="false" ht="12.75" hidden="false" customHeight="false" outlineLevel="0" collapsed="false">
      <c r="A65" s="2"/>
      <c r="B65" s="128" t="s">
        <v>37</v>
      </c>
      <c r="C65" s="79" t="n">
        <f aca="false">NPV($B$3,D63:H63)</f>
        <v>151522921.554127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customFormat="false" ht="12.75" hidden="false" customHeight="false" outlineLevel="0" collapsed="false">
      <c r="A66" s="2"/>
      <c r="B66" s="128" t="s">
        <v>39</v>
      </c>
      <c r="C66" s="79" t="n">
        <f aca="false">(NPV($B$3,I63:V63)/(1+$B$3)^5)</f>
        <v>184239025.686536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customFormat="false" ht="12.75" hidden="false" customHeight="false" outlineLevel="0" collapsed="false">
      <c r="A67" s="2"/>
      <c r="B67" s="128" t="s">
        <v>40</v>
      </c>
      <c r="C67" s="79" t="n">
        <f aca="false">(W63/(1+$B$3)^(20))</f>
        <v>36678180.1345996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customFormat="false" ht="13.5" hidden="false" customHeight="false" outlineLevel="0" collapsed="false">
      <c r="A68" s="2"/>
      <c r="B68" s="133" t="s">
        <v>42</v>
      </c>
      <c r="C68" s="85" t="n">
        <f aca="false">$C$47</f>
        <v>0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customFormat="false" ht="13.5" hidden="false" customHeight="false" outlineLevel="0" collapsed="false">
      <c r="A69" s="2"/>
      <c r="B69" s="128" t="s">
        <v>41</v>
      </c>
      <c r="C69" s="79" t="n">
        <f aca="false">NPV($B$3,C63:W63)+C68</f>
        <v>372440127.375262</v>
      </c>
      <c r="D69" s="13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customFormat="false" ht="12.75" hidden="false" customHeight="false" outlineLevel="0" collapsed="false">
      <c r="A70" s="2"/>
      <c r="B70" s="3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4" customFormat="false" ht="11.25" hidden="false" customHeight="false" outlineLevel="0" collapsed="false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</row>
    <row r="77" customFormat="false" ht="12.75" hidden="false" customHeight="false" outlineLevel="0" collapsed="false">
      <c r="A77" s="52" t="s">
        <v>105</v>
      </c>
      <c r="B77" s="182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</row>
    <row r="78" customFormat="false" ht="12.75" hidden="false" customHeight="false" outlineLevel="0" collapsed="false">
      <c r="A78" s="183" t="str">
        <f aca="false">B6</f>
        <v>VMC</v>
      </c>
      <c r="B78" s="182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</row>
    <row r="79" customFormat="false" ht="12.75" hidden="false" customHeight="false" outlineLevel="0" collapsed="false">
      <c r="A79" s="55"/>
      <c r="B79" s="182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</row>
    <row r="80" customFormat="false" ht="12.75" hidden="false" customHeight="false" outlineLevel="0" collapsed="false">
      <c r="A80" s="55"/>
      <c r="B80" s="182"/>
      <c r="C80" s="184" t="n">
        <v>2000</v>
      </c>
      <c r="D80" s="185" t="n">
        <v>2001</v>
      </c>
      <c r="E80" s="185" t="n">
        <v>2002</v>
      </c>
      <c r="F80" s="185" t="n">
        <v>2003</v>
      </c>
      <c r="G80" s="185" t="n">
        <v>2004</v>
      </c>
      <c r="H80" s="185" t="n">
        <v>2005</v>
      </c>
      <c r="I80" s="185" t="n">
        <v>2006</v>
      </c>
      <c r="J80" s="185" t="n">
        <v>2007</v>
      </c>
      <c r="K80" s="185" t="n">
        <v>2008</v>
      </c>
      <c r="L80" s="185" t="n">
        <v>2009</v>
      </c>
      <c r="M80" s="185" t="n">
        <v>2010</v>
      </c>
      <c r="N80" s="185" t="n">
        <v>2011</v>
      </c>
      <c r="O80" s="185" t="n">
        <v>2012</v>
      </c>
      <c r="P80" s="185" t="n">
        <v>2013</v>
      </c>
      <c r="Q80" s="185" t="n">
        <v>2014</v>
      </c>
      <c r="R80" s="185" t="n">
        <v>2015</v>
      </c>
      <c r="S80" s="185" t="n">
        <v>2016</v>
      </c>
      <c r="T80" s="185" t="n">
        <v>2017</v>
      </c>
      <c r="U80" s="185" t="n">
        <v>2018</v>
      </c>
      <c r="V80" s="185" t="n">
        <v>2019</v>
      </c>
    </row>
    <row r="81" customFormat="false" ht="12.75" hidden="false" customHeight="false" outlineLevel="0" collapsed="false">
      <c r="A81" s="186" t="s">
        <v>106</v>
      </c>
      <c r="B81" s="182"/>
      <c r="C81" s="187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</row>
    <row r="82" customFormat="false" ht="12.75" hidden="false" customHeight="false" outlineLevel="0" collapsed="false">
      <c r="A82" s="55"/>
      <c r="B82" s="189" t="s">
        <v>107</v>
      </c>
      <c r="C82" s="190" t="n">
        <f aca="false">C83*8760*$B$2</f>
        <v>0</v>
      </c>
      <c r="D82" s="191" t="n">
        <f aca="false">D83*8760*$B$2</f>
        <v>1255019.88785307</v>
      </c>
      <c r="E82" s="191" t="n">
        <f aca="false">E83*8760*$B$2</f>
        <v>1524012.97780882</v>
      </c>
      <c r="F82" s="191" t="n">
        <f aca="false">F83*8760*$B$2</f>
        <v>1874739.93474406</v>
      </c>
      <c r="G82" s="191" t="n">
        <f aca="false">G83*8760*$B$2</f>
        <v>1472338.39883578</v>
      </c>
      <c r="H82" s="191" t="n">
        <f aca="false">H83*8760*$B$2</f>
        <v>1552437.62181204</v>
      </c>
      <c r="I82" s="191" t="n">
        <f aca="false">I83*8760*$B$2</f>
        <v>1900804.53539383</v>
      </c>
      <c r="J82" s="191" t="n">
        <f aca="false">J83*8760*$B$2</f>
        <v>2034754.53539383</v>
      </c>
      <c r="K82" s="191" t="n">
        <f aca="false">K83*8760*$B$2</f>
        <v>2405191.3622687</v>
      </c>
      <c r="L82" s="191" t="n">
        <f aca="false">L83*8760*$B$2</f>
        <v>2328361.42729888</v>
      </c>
      <c r="M82" s="191" t="n">
        <f aca="false">M83*8760*$B$2</f>
        <v>1979539.8913906</v>
      </c>
      <c r="N82" s="191" t="n">
        <f aca="false">N83*8760*$B$2</f>
        <v>2303206.0713021</v>
      </c>
      <c r="O82" s="191" t="n">
        <f aca="false">O83*8760*$B$2</f>
        <v>2088334.53539383</v>
      </c>
      <c r="P82" s="191" t="n">
        <f aca="false">P83*8760*$B$2</f>
        <v>2031214.47036364</v>
      </c>
      <c r="Q82" s="191" t="n">
        <f aca="false">Q83*8760*$B$2</f>
        <v>2193589.11436687</v>
      </c>
      <c r="R82" s="191" t="n">
        <f aca="false">R83*8760*$B$2</f>
        <v>2326813.71501664</v>
      </c>
      <c r="S82" s="191" t="n">
        <f aca="false">S83*8760*$B$2</f>
        <v>1900804.53539383</v>
      </c>
      <c r="T82" s="191" t="n">
        <f aca="false">T83*8760*$B$2</f>
        <v>1708825.22571065</v>
      </c>
      <c r="U82" s="191" t="n">
        <f aca="false">U83*8760*$B$2</f>
        <v>1550077.57845859</v>
      </c>
      <c r="V82" s="191" t="n">
        <f aca="false">V83*8760*$B$2</f>
        <v>1874285.31241756</v>
      </c>
    </row>
    <row r="83" customFormat="false" ht="12.75" hidden="false" customHeight="false" outlineLevel="0" collapsed="false">
      <c r="A83" s="55"/>
      <c r="B83" s="189" t="s">
        <v>108</v>
      </c>
      <c r="C83" s="190" t="n">
        <f aca="false">IF(C2="BL",'Base Hours'!$Y$21/8760,'Peak Hours'!$W$21/8760)</f>
        <v>0</v>
      </c>
      <c r="D83" s="192" t="n">
        <f aca="false">IF(C2="BL",'Base Hours'!$Y$33/8760,'Peak Hours'!$W$33/8760)</f>
        <v>0.203215759553915</v>
      </c>
      <c r="E83" s="192" t="n">
        <f aca="false">IF(C2="BL",'Base Hours'!$Y$45/8760,'Peak Hours'!$W$45/8760)</f>
        <v>0.246771750673406</v>
      </c>
      <c r="F83" s="192" t="n">
        <f aca="false">IF(C2="BL",'Base Hours'!$Y$57/8760,'Peak Hours'!$W$57/8760)</f>
        <v>0.303562280958589</v>
      </c>
      <c r="G83" s="192" t="n">
        <f aca="false">IF(C2="BL",'Base Hours'!$Y$69/8760,'Peak Hours'!$W$69/8760)</f>
        <v>0.238404481821914</v>
      </c>
      <c r="H83" s="192" t="n">
        <f aca="false">IF(C2="BL",'Base Hours'!$Y$81/8760,'Peak Hours'!$W$81/8760)</f>
        <v>0.251374335602196</v>
      </c>
      <c r="I83" s="192" t="n">
        <f aca="false">IF(C2="BL",'Base Hours'!$Y$93/8760,'Peak Hours'!$W$93/8760)</f>
        <v>0.307782722140261</v>
      </c>
      <c r="J83" s="192" t="n">
        <f aca="false">IF(C2="BL",'Base Hours'!$Y$105/8760,'Peak Hours'!$W$105/8760)</f>
        <v>0.329472219857156</v>
      </c>
      <c r="K83" s="192" t="n">
        <f aca="false">IF(C2="BL",'Base Hours'!$Y$117/8760,'Peak Hours'!$W$117/8760)</f>
        <v>0.389454218444364</v>
      </c>
      <c r="L83" s="192" t="n">
        <f aca="false">IF(C2="BL",'Base Hours'!$Y$129/8760,'Peak Hours'!$W$129/8760)</f>
        <v>0.377013735434904</v>
      </c>
      <c r="M83" s="192" t="n">
        <f aca="false">IF(C2="BL",'Base Hours'!$Y$141/8760,'Peak Hours'!$W$141/8760)</f>
        <v>0.320531735384987</v>
      </c>
      <c r="N83" s="192" t="n">
        <f aca="false">IF(C2="BL",'Base Hours'!$Y$153/8760,'Peak Hours'!$W$153/8760)</f>
        <v>0.372940521276936</v>
      </c>
      <c r="O83" s="192" t="n">
        <f aca="false">IF(C2="BL",'Base Hours'!$Y$165/8760,'Peak Hours'!$W$165/8760)</f>
        <v>0.338148018943914</v>
      </c>
      <c r="P83" s="192" t="n">
        <f aca="false">IF(C2="BL",'Base Hours'!$Y$177/8760,'Peak Hours'!$W$177/8760)</f>
        <v>0.328899004236479</v>
      </c>
      <c r="Q83" s="192" t="n">
        <f aca="false">IF(C2="BL",'Base Hours'!$Y$189/8760,'Peak Hours'!$W$189/8760)</f>
        <v>0.355191086882164</v>
      </c>
      <c r="R83" s="192" t="n">
        <f aca="false">IF(C2="BL",'Base Hours'!$Y$201/8760,'Peak Hours'!$W$201/8760)</f>
        <v>0.376763126237351</v>
      </c>
      <c r="S83" s="192" t="n">
        <f aca="false">IF(C2="BL",'Base Hours'!$Y$213/8760,'Peak Hours'!$W$213/8760)</f>
        <v>0.307782722140261</v>
      </c>
      <c r="T83" s="192" t="n">
        <f aca="false">IF(C2="BL",'Base Hours'!$Y$225/8760,'Peak Hours'!$W$225/8760)</f>
        <v>0.276696982692227</v>
      </c>
      <c r="U83" s="192" t="n">
        <f aca="false">IF(C2="BL",'Base Hours'!$Y$237/8760,'Peak Hours'!$W$237/8760)</f>
        <v>0.250992191855078</v>
      </c>
      <c r="V83" s="192" t="n">
        <f aca="false">IF(C2="BL",'Base Hours'!$Y$249/8760,'Peak Hours'!$W$249/8760)</f>
        <v>0.303488667446737</v>
      </c>
    </row>
    <row r="84" customFormat="false" ht="12.75" hidden="false" customHeight="false" outlineLevel="0" collapsed="false">
      <c r="A84" s="186" t="s">
        <v>109</v>
      </c>
      <c r="B84" s="189"/>
      <c r="C84" s="187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</row>
    <row r="85" customFormat="false" ht="12.75" hidden="false" customHeight="false" outlineLevel="0" collapsed="false">
      <c r="A85" s="55"/>
      <c r="B85" s="189" t="s">
        <v>20</v>
      </c>
      <c r="C85" s="193" t="n">
        <f aca="false">IF(C83=0,0,C8/C82)</f>
        <v>0</v>
      </c>
      <c r="D85" s="194" t="n">
        <f aca="false">IF(D83=0,0,D8/D82)</f>
        <v>95.916974469908</v>
      </c>
      <c r="E85" s="194" t="n">
        <f aca="false">IF(E83=0,0,E8/E82)</f>
        <v>77.1319277402505</v>
      </c>
      <c r="F85" s="194" t="n">
        <f aca="false">IF(F83=0,0,F8/F82)</f>
        <v>68.552837515242</v>
      </c>
      <c r="G85" s="194" t="n">
        <f aca="false">IF(G83=0,0,G8/G82)</f>
        <v>70.7628493135313</v>
      </c>
      <c r="H85" s="194" t="n">
        <f aca="false">IF(H83=0,0,H8/H82)</f>
        <v>70.3901127920339</v>
      </c>
      <c r="I85" s="194" t="n">
        <f aca="false">IF(I83=0,0,I8/I82)</f>
        <v>66.4999196006258</v>
      </c>
      <c r="J85" s="194" t="n">
        <f aca="false">IF(J83=0,0,J8/J82)</f>
        <v>68.1226511683536</v>
      </c>
      <c r="K85" s="194" t="n">
        <f aca="false">IF(K83=0,0,K8/K82)</f>
        <v>66.6231329649596</v>
      </c>
      <c r="L85" s="194" t="n">
        <f aca="false">IF(L83=0,0,L8/L82)</f>
        <v>67.930624854974</v>
      </c>
      <c r="M85" s="194" t="n">
        <f aca="false">IF(M83=0,0,M8/M82)</f>
        <v>73.7408714629221</v>
      </c>
      <c r="N85" s="194" t="n">
        <f aca="false">IF(N83=0,0,N8/N82)</f>
        <v>68.5115732967745</v>
      </c>
      <c r="O85" s="194" t="n">
        <f aca="false">IF(O83=0,0,O8/O82)</f>
        <v>71.6862967596985</v>
      </c>
      <c r="P85" s="194" t="n">
        <f aca="false">IF(P83=0,0,P8/P82)</f>
        <v>74.5027600417265</v>
      </c>
      <c r="Q85" s="194" t="n">
        <f aca="false">IF(Q83=0,0,Q8/Q82)</f>
        <v>75.5463321468861</v>
      </c>
      <c r="R85" s="194" t="n">
        <f aca="false">IF(R83=0,0,R8/R82)</f>
        <v>75.8502905565218</v>
      </c>
      <c r="S85" s="194" t="n">
        <f aca="false">IF(S83=0,0,S8/S82)</f>
        <v>81.1088229928099</v>
      </c>
      <c r="T85" s="194" t="n">
        <f aca="false">IF(T83=0,0,T8/T82)</f>
        <v>88.2716948117381</v>
      </c>
      <c r="U85" s="194" t="n">
        <f aca="false">IF(U83=0,0,U8/U82)</f>
        <v>97.8562966196649</v>
      </c>
      <c r="V85" s="194" t="n">
        <f aca="false">IF(V83=0,0,V8/V82)</f>
        <v>90.1187806968783</v>
      </c>
    </row>
    <row r="86" customFormat="false" ht="12.75" hidden="false" customHeight="false" outlineLevel="0" collapsed="false">
      <c r="A86" s="55"/>
      <c r="B86" s="189" t="s">
        <v>21</v>
      </c>
      <c r="C86" s="193" t="n">
        <f aca="false">IF(C83=0,0,-C9/C82)</f>
        <v>0</v>
      </c>
      <c r="D86" s="194" t="n">
        <f aca="false">IF(D83=0,0,-D9/D82)</f>
        <v>46.2736390058766</v>
      </c>
      <c r="E86" s="194" t="n">
        <f aca="false">IF(E83=0,0,-E9/E82)</f>
        <v>41.6181546130187</v>
      </c>
      <c r="F86" s="194" t="n">
        <f aca="false">IF(F83=0,0,-F9/F82)</f>
        <v>39.4613681691729</v>
      </c>
      <c r="G86" s="194" t="n">
        <f aca="false">IF(G83=0,0,-G9/G82)</f>
        <v>39.8743668092339</v>
      </c>
      <c r="H86" s="194" t="n">
        <f aca="false">IF(H83=0,0,-H9/H82)</f>
        <v>40.2800779084682</v>
      </c>
      <c r="I86" s="194" t="n">
        <f aca="false">IF(I83=0,0,-I9/I82)</f>
        <v>40.6622170671298</v>
      </c>
      <c r="J86" s="194" t="n">
        <f aca="false">IF(J83=0,0,-J9/J82)</f>
        <v>40.9296790320617</v>
      </c>
      <c r="K86" s="194" t="n">
        <f aca="false">IF(K83=0,0,-K9/K82)</f>
        <v>38.4825966052547</v>
      </c>
      <c r="L86" s="194" t="n">
        <f aca="false">IF(L83=0,0,-L9/L82)</f>
        <v>39.5961843295554</v>
      </c>
      <c r="M86" s="194" t="n">
        <f aca="false">IF(M83=0,0,-M9/M82)</f>
        <v>41.6052099115241</v>
      </c>
      <c r="N86" s="194" t="n">
        <f aca="false">IF(N83=0,0,-N9/N82)</f>
        <v>41.8525588854368</v>
      </c>
      <c r="O86" s="194" t="n">
        <f aca="false">IF(O83=0,0,-O9/O82)</f>
        <v>41.9423823060106</v>
      </c>
      <c r="P86" s="194" t="n">
        <f aca="false">IF(P83=0,0,-P9/P82)</f>
        <v>44.25905085864</v>
      </c>
      <c r="Q86" s="194" t="n">
        <f aca="false">IF(Q83=0,0,-Q9/Q82)</f>
        <v>44.1147956187408</v>
      </c>
      <c r="R86" s="194" t="n">
        <f aca="false">IF(R83=0,0,-R9/R82)</f>
        <v>48.0189867083273</v>
      </c>
      <c r="S86" s="194" t="n">
        <f aca="false">IF(S83=0,0,-S9/S82)</f>
        <v>50.4346769993958</v>
      </c>
      <c r="T86" s="194" t="n">
        <f aca="false">IF(T83=0,0,-T9/T82)</f>
        <v>52.9631028371803</v>
      </c>
      <c r="U86" s="194" t="n">
        <f aca="false">IF(U83=0,0,-U9/U82)</f>
        <v>55.7512608145616</v>
      </c>
      <c r="V86" s="194" t="n">
        <f aca="false">IF(V83=0,0,-V9/V82)</f>
        <v>55.2651787815177</v>
      </c>
    </row>
    <row r="87" customFormat="false" ht="12.75" hidden="false" customHeight="false" outlineLevel="0" collapsed="false">
      <c r="A87" s="55"/>
      <c r="B87" s="189" t="s">
        <v>110</v>
      </c>
      <c r="C87" s="193" t="n">
        <f aca="false">IF(C83=0,0,-C10/C82)</f>
        <v>0</v>
      </c>
      <c r="D87" s="194" t="n">
        <f aca="false">IF(D83=0,0,-D10/D82)</f>
        <v>0.621230660962154</v>
      </c>
      <c r="E87" s="194" t="n">
        <f aca="false">IF(E83=0,0,-E10/E82)</f>
        <v>0.633138324879143</v>
      </c>
      <c r="F87" s="194" t="n">
        <f aca="false">IF(F83=0,0,-F10/F82)</f>
        <v>0.646372023684893</v>
      </c>
      <c r="G87" s="194" t="n">
        <f aca="false">IF(G83=0,0,-G10/G82)</f>
        <v>0.659439415780381</v>
      </c>
      <c r="H87" s="194" t="n">
        <f aca="false">IF(H83=0,0,-H10/H82)</f>
        <v>0.673092780848433</v>
      </c>
      <c r="I87" s="194" t="n">
        <f aca="false">IF(I83=0,0,-I10/I82)</f>
        <v>0.686386208178875</v>
      </c>
      <c r="J87" s="194" t="n">
        <f aca="false">IF(J83=0,0,-J10/J82)</f>
        <v>0.700153968982823</v>
      </c>
      <c r="K87" s="194" t="n">
        <f aca="false">IF(K83=0,0,-K10/K82)</f>
        <v>0.713921515230148</v>
      </c>
      <c r="L87" s="194" t="n">
        <f aca="false">IF(L83=0,0,-L10/L82)</f>
        <v>0.728379559560351</v>
      </c>
      <c r="M87" s="194" t="n">
        <f aca="false">IF(M83=0,0,-M10/M82)</f>
        <v>0.74369926427722</v>
      </c>
      <c r="N87" s="194" t="n">
        <f aca="false">IF(N83=0,0,-N10/N82)</f>
        <v>0.758180655027804</v>
      </c>
      <c r="O87" s="194" t="n">
        <f aca="false">IF(O83=0,0,-O10/O82)</f>
        <v>0.773834828247046</v>
      </c>
      <c r="P87" s="194" t="n">
        <f aca="false">IF(P83=0,0,-P10/P82)</f>
        <v>0.789341512292673</v>
      </c>
      <c r="Q87" s="194" t="n">
        <f aca="false">IF(Q83=0,0,-Q10/Q82)</f>
        <v>0.805311157611815</v>
      </c>
      <c r="R87" s="194" t="n">
        <f aca="false">IF(R83=0,0,-R10/R82)</f>
        <v>0.821537451822049</v>
      </c>
      <c r="S87" s="194" t="n">
        <f aca="false">IF(S83=0,0,-S10/S82)</f>
        <v>0.837825340437157</v>
      </c>
      <c r="T87" s="194" t="n">
        <f aca="false">IF(T83=0,0,-T10/T82)</f>
        <v>0.855705896467614</v>
      </c>
      <c r="U87" s="194" t="n">
        <f aca="false">IF(U83=0,0,-U10/U82)</f>
        <v>0.872320441643975</v>
      </c>
      <c r="V87" s="194" t="n">
        <f aca="false">IF(V83=0,0,-V10/V82)</f>
        <v>0.889554014167851</v>
      </c>
    </row>
    <row r="88" customFormat="false" ht="12.75" hidden="false" customHeight="false" outlineLevel="0" collapsed="false">
      <c r="A88" s="55"/>
      <c r="B88" s="189" t="s">
        <v>111</v>
      </c>
      <c r="C88" s="193" t="n">
        <f aca="false">IF(C83=0,0,-C11/C82)</f>
        <v>0</v>
      </c>
      <c r="D88" s="194" t="n">
        <f aca="false">IF(D83=0,0,-D11/D82)</f>
        <v>-0</v>
      </c>
      <c r="E88" s="194" t="n">
        <f aca="false">IF(E83=0,0,-E11/E82)</f>
        <v>-0</v>
      </c>
      <c r="F88" s="194" t="n">
        <f aca="false">IF(F83=0,0,-F11/F82)</f>
        <v>-0</v>
      </c>
      <c r="G88" s="194" t="n">
        <f aca="false">IF(G83=0,0,-G11/G82)</f>
        <v>-0</v>
      </c>
      <c r="H88" s="194" t="n">
        <f aca="false">IF(H83=0,0,-H11/H82)</f>
        <v>-0</v>
      </c>
      <c r="I88" s="194" t="n">
        <f aca="false">IF(I83=0,0,-I11/I82)</f>
        <v>-0</v>
      </c>
      <c r="J88" s="194" t="n">
        <f aca="false">IF(J83=0,0,-J11/J82)</f>
        <v>-0</v>
      </c>
      <c r="K88" s="194" t="n">
        <f aca="false">IF(K83=0,0,-K11/K82)</f>
        <v>-0</v>
      </c>
      <c r="L88" s="194" t="n">
        <f aca="false">IF(L83=0,0,-L11/L82)</f>
        <v>-0</v>
      </c>
      <c r="M88" s="194" t="n">
        <f aca="false">IF(M83=0,0,-M11/M82)</f>
        <v>-0</v>
      </c>
      <c r="N88" s="194" t="n">
        <f aca="false">IF(N83=0,0,-N11/N82)</f>
        <v>-0</v>
      </c>
      <c r="O88" s="194" t="n">
        <f aca="false">IF(O83=0,0,-O11/O82)</f>
        <v>-0</v>
      </c>
      <c r="P88" s="194" t="n">
        <f aca="false">IF(P83=0,0,-P11/P82)</f>
        <v>-0</v>
      </c>
      <c r="Q88" s="194" t="n">
        <f aca="false">IF(Q83=0,0,-Q11/Q82)</f>
        <v>-0</v>
      </c>
      <c r="R88" s="194" t="n">
        <f aca="false">IF(R83=0,0,-R11/R82)</f>
        <v>-0</v>
      </c>
      <c r="S88" s="194" t="n">
        <f aca="false">IF(S83=0,0,-S11/S82)</f>
        <v>-0</v>
      </c>
      <c r="T88" s="194" t="n">
        <f aca="false">IF(T83=0,0,-T11/T82)</f>
        <v>-0</v>
      </c>
      <c r="U88" s="194" t="n">
        <f aca="false">IF(U83=0,0,-U11/U82)</f>
        <v>-0</v>
      </c>
      <c r="V88" s="194" t="n">
        <f aca="false">IF(V83=0,0,-V11/V82)</f>
        <v>-0</v>
      </c>
    </row>
    <row r="89" customFormat="false" ht="12.75" hidden="false" customHeight="false" outlineLevel="0" collapsed="false">
      <c r="A89" s="55"/>
      <c r="B89" s="189" t="s">
        <v>112</v>
      </c>
      <c r="C89" s="193" t="n">
        <f aca="false">IF(C83=0,0,-C12/C82)</f>
        <v>0</v>
      </c>
      <c r="D89" s="194" t="n">
        <f aca="false">IF(D83=0,0,-D12/D82)</f>
        <v>-0</v>
      </c>
      <c r="E89" s="194" t="n">
        <f aca="false">IF(E83=0,0,-E12/E82)</f>
        <v>-0</v>
      </c>
      <c r="F89" s="194" t="n">
        <f aca="false">IF(F83=0,0,-F12/F82)</f>
        <v>-0</v>
      </c>
      <c r="G89" s="194" t="n">
        <f aca="false">IF(G83=0,0,-G12/G82)</f>
        <v>-0</v>
      </c>
      <c r="H89" s="194" t="n">
        <f aca="false">IF(H83=0,0,-H12/H82)</f>
        <v>-0</v>
      </c>
      <c r="I89" s="194" t="n">
        <f aca="false">IF(I83=0,0,-I12/I82)</f>
        <v>-0</v>
      </c>
      <c r="J89" s="194" t="n">
        <f aca="false">IF(J83=0,0,-J12/J82)</f>
        <v>-0</v>
      </c>
      <c r="K89" s="194" t="n">
        <f aca="false">IF(K83=0,0,-K12/K82)</f>
        <v>-0</v>
      </c>
      <c r="L89" s="194" t="n">
        <f aca="false">IF(L83=0,0,-L12/L82)</f>
        <v>-0</v>
      </c>
      <c r="M89" s="194" t="n">
        <f aca="false">IF(M83=0,0,-M12/M82)</f>
        <v>-0</v>
      </c>
      <c r="N89" s="194" t="n">
        <f aca="false">IF(N83=0,0,-N12/N82)</f>
        <v>-0</v>
      </c>
      <c r="O89" s="194" t="n">
        <f aca="false">IF(O83=0,0,-O12/O82)</f>
        <v>-0</v>
      </c>
      <c r="P89" s="194" t="n">
        <f aca="false">IF(P83=0,0,-P12/P82)</f>
        <v>-0</v>
      </c>
      <c r="Q89" s="194" t="n">
        <f aca="false">IF(Q83=0,0,-Q12/Q82)</f>
        <v>-0</v>
      </c>
      <c r="R89" s="194" t="n">
        <f aca="false">IF(R83=0,0,-R12/R82)</f>
        <v>-0</v>
      </c>
      <c r="S89" s="194" t="n">
        <f aca="false">IF(S83=0,0,-S12/S82)</f>
        <v>-0</v>
      </c>
      <c r="T89" s="194" t="n">
        <f aca="false">IF(T83=0,0,-T12/T82)</f>
        <v>-0</v>
      </c>
      <c r="U89" s="194" t="n">
        <f aca="false">IF(U83=0,0,-U12/U82)</f>
        <v>-0</v>
      </c>
      <c r="V89" s="194" t="n">
        <f aca="false">IF(V83=0,0,-V12/V82)</f>
        <v>-0</v>
      </c>
    </row>
    <row r="90" customFormat="false" ht="12.75" hidden="false" customHeight="false" outlineLevel="0" collapsed="false">
      <c r="A90" s="186" t="s">
        <v>113</v>
      </c>
      <c r="B90" s="189"/>
      <c r="C90" s="187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</row>
    <row r="91" customFormat="false" ht="12.75" hidden="false" customHeight="false" outlineLevel="0" collapsed="false">
      <c r="A91" s="55"/>
      <c r="B91" s="189" t="s">
        <v>26</v>
      </c>
      <c r="C91" s="193" t="n">
        <f aca="false">IF(C83=0,0,-C14/($B$2*1000))</f>
        <v>0</v>
      </c>
      <c r="D91" s="194" t="n">
        <f aca="false">IF(D83=0,0,-D14/($B$2*1000))</f>
        <v>4.59</v>
      </c>
      <c r="E91" s="194" t="n">
        <f aca="false">IF(E83=0,0,-E14/($B$2*1000))</f>
        <v>4.6818</v>
      </c>
      <c r="F91" s="194" t="n">
        <f aca="false">IF(F83=0,0,-F14/($B$2*1000))</f>
        <v>4.775436</v>
      </c>
      <c r="G91" s="194" t="n">
        <f aca="false">IF(G83=0,0,-G14/($B$2*1000))</f>
        <v>4.87094472</v>
      </c>
      <c r="H91" s="194" t="n">
        <f aca="false">IF(H83=0,0,-H14/($B$2*1000))</f>
        <v>4.9683636144</v>
      </c>
      <c r="I91" s="194" t="n">
        <f aca="false">IF(I83=0,0,-I14/($B$2*1000))</f>
        <v>5.067730886688</v>
      </c>
      <c r="J91" s="194" t="n">
        <f aca="false">IF(J83=0,0,-J14/($B$2*1000))</f>
        <v>5.16908550442176</v>
      </c>
      <c r="K91" s="194" t="n">
        <f aca="false">IF(K83=0,0,-K14/($B$2*1000))</f>
        <v>5.2724672145102</v>
      </c>
      <c r="L91" s="194" t="n">
        <f aca="false">IF(L83=0,0,-L14/($B$2*1000))</f>
        <v>5.3779165588004</v>
      </c>
      <c r="M91" s="194" t="n">
        <f aca="false">IF(M83=0,0,-M14/($B$2*1000))</f>
        <v>5.48547488997641</v>
      </c>
      <c r="N91" s="194" t="n">
        <f aca="false">IF(N83=0,0,-N14/($B$2*1000))</f>
        <v>5.59518438777594</v>
      </c>
      <c r="O91" s="194" t="n">
        <f aca="false">IF(O83=0,0,-O14/($B$2*1000))</f>
        <v>5.70708807553145</v>
      </c>
      <c r="P91" s="194" t="n">
        <f aca="false">IF(P83=0,0,-P14/($B$2*1000))</f>
        <v>5.82122983704208</v>
      </c>
      <c r="Q91" s="194" t="n">
        <f aca="false">IF(Q83=0,0,-Q14/($B$2*1000))</f>
        <v>5.93765443378292</v>
      </c>
      <c r="R91" s="194" t="n">
        <f aca="false">IF(R83=0,0,-R14/($B$2*1000))</f>
        <v>6.05640752245858</v>
      </c>
      <c r="S91" s="194" t="n">
        <f aca="false">IF(S83=0,0,-S14/($B$2*1000))</f>
        <v>6.17753567290775</v>
      </c>
      <c r="T91" s="194" t="n">
        <f aca="false">IF(T83=0,0,-T14/($B$2*1000))</f>
        <v>6.30108638636591</v>
      </c>
      <c r="U91" s="194" t="n">
        <f aca="false">IF(U83=0,0,-U14/($B$2*1000))</f>
        <v>6.42710811409323</v>
      </c>
      <c r="V91" s="194" t="n">
        <f aca="false">IF(V83=0,0,-V14/($B$2*1000))</f>
        <v>6.55565027637509</v>
      </c>
    </row>
    <row r="92" customFormat="false" ht="12.75" hidden="false" customHeight="false" outlineLevel="0" collapsed="false">
      <c r="A92" s="55"/>
      <c r="B92" s="189" t="s">
        <v>114</v>
      </c>
      <c r="C92" s="193" t="n">
        <f aca="false">IF(C83=0,0,-C15/($B$2*1000))</f>
        <v>0</v>
      </c>
      <c r="D92" s="194" t="n">
        <f aca="false">IF(D83=0,0,-D15/($B$2*1000))</f>
        <v>0.24342209829344</v>
      </c>
      <c r="E92" s="194" t="n">
        <f aca="false">IF(E83=0,0,-E15/($B$2*1000))</f>
        <v>0.24342209829344</v>
      </c>
      <c r="F92" s="194" t="n">
        <f aca="false">IF(F83=0,0,-F15/($B$2*1000))</f>
        <v>0.24342209829344</v>
      </c>
      <c r="G92" s="194" t="n">
        <f aca="false">IF(G83=0,0,-G15/($B$2*1000))</f>
        <v>0.24342209829344</v>
      </c>
      <c r="H92" s="194" t="n">
        <f aca="false">IF(H83=0,0,-H15/($B$2*1000))</f>
        <v>0.24342209829344</v>
      </c>
      <c r="I92" s="194" t="n">
        <f aca="false">IF(I83=0,0,-I15/($B$2*1000))</f>
        <v>0.24342209829344</v>
      </c>
      <c r="J92" s="194" t="n">
        <f aca="false">IF(J83=0,0,-J15/($B$2*1000))</f>
        <v>0.24342209829344</v>
      </c>
      <c r="K92" s="194" t="n">
        <f aca="false">IF(K83=0,0,-K15/($B$2*1000))</f>
        <v>0.24342209829344</v>
      </c>
      <c r="L92" s="194" t="n">
        <f aca="false">IF(L83=0,0,-L15/($B$2*1000))</f>
        <v>0.24342209829344</v>
      </c>
      <c r="M92" s="194" t="n">
        <f aca="false">IF(M83=0,0,-M15/($B$2*1000))</f>
        <v>0.24342209829344</v>
      </c>
      <c r="N92" s="194" t="n">
        <f aca="false">IF(N83=0,0,-N15/($B$2*1000))</f>
        <v>0.24342209829344</v>
      </c>
      <c r="O92" s="194" t="n">
        <f aca="false">IF(O83=0,0,-O15/($B$2*1000))</f>
        <v>0.24342209829344</v>
      </c>
      <c r="P92" s="194" t="n">
        <f aca="false">IF(P83=0,0,-P15/($B$2*1000))</f>
        <v>0.24342209829344</v>
      </c>
      <c r="Q92" s="194" t="n">
        <f aca="false">IF(Q83=0,0,-Q15/($B$2*1000))</f>
        <v>0.24342209829344</v>
      </c>
      <c r="R92" s="194" t="n">
        <f aca="false">IF(R83=0,0,-R15/($B$2*1000))</f>
        <v>0.24342209829344</v>
      </c>
      <c r="S92" s="194" t="n">
        <f aca="false">IF(S83=0,0,-S15/($B$2*1000))</f>
        <v>0.24342209829344</v>
      </c>
      <c r="T92" s="194" t="n">
        <f aca="false">IF(T83=0,0,-T15/($B$2*1000))</f>
        <v>0.24342209829344</v>
      </c>
      <c r="U92" s="194" t="n">
        <f aca="false">IF(U83=0,0,-U15/($B$2*1000))</f>
        <v>0.24342209829344</v>
      </c>
      <c r="V92" s="194" t="n">
        <f aca="false">IF(V83=0,0,-V15/($B$2*1000))</f>
        <v>0.24342209829344</v>
      </c>
    </row>
    <row r="93" customFormat="false" ht="12.75" hidden="false" customHeight="false" outlineLevel="0" collapsed="false">
      <c r="A93" s="55"/>
      <c r="B93" s="189" t="s">
        <v>28</v>
      </c>
      <c r="C93" s="193" t="n">
        <f aca="false">IF(C83=0,0,-C16/($B$2*1000))</f>
        <v>0</v>
      </c>
      <c r="D93" s="194" t="n">
        <f aca="false">IF(D83=0,0,-D16/($B$2*1000))</f>
        <v>0.53177304964539</v>
      </c>
      <c r="E93" s="194" t="n">
        <f aca="false">IF(E83=0,0,-E16/($B$2*1000))</f>
        <v>0.543472056737589</v>
      </c>
      <c r="F93" s="194" t="n">
        <f aca="false">IF(F83=0,0,-F16/($B$2*1000))</f>
        <v>0.555428441985816</v>
      </c>
      <c r="G93" s="194" t="n">
        <f aca="false">IF(G83=0,0,-G16/($B$2*1000))</f>
        <v>0.567647867709504</v>
      </c>
      <c r="H93" s="194" t="n">
        <f aca="false">IF(H83=0,0,-H16/($B$2*1000))</f>
        <v>0.580136120799112</v>
      </c>
      <c r="I93" s="194" t="n">
        <f aca="false">IF(I83=0,0,-I16/($B$2*1000))</f>
        <v>0.592899115456694</v>
      </c>
      <c r="J93" s="194" t="n">
        <f aca="false">IF(J83=0,0,-J16/($B$2*1000))</f>
        <v>0.60594289599674</v>
      </c>
      <c r="K93" s="194" t="n">
        <f aca="false">IF(K83=0,0,-K16/($B$2*1000))</f>
        <v>0.619273639708668</v>
      </c>
      <c r="L93" s="194" t="n">
        <f aca="false">IF(L83=0,0,-L16/($B$2*1000))</f>
        <v>0.63289765978226</v>
      </c>
      <c r="M93" s="194" t="n">
        <f aca="false">IF(M83=0,0,-M16/($B$2*1000))</f>
        <v>0.64682140829747</v>
      </c>
      <c r="N93" s="194" t="n">
        <f aca="false">IF(N83=0,0,-N16/($B$2*1000))</f>
        <v>0.661051479280013</v>
      </c>
      <c r="O93" s="194" t="n">
        <f aca="false">IF(O83=0,0,-O16/($B$2*1000))</f>
        <v>0.675594611824175</v>
      </c>
      <c r="P93" s="194" t="n">
        <f aca="false">IF(P83=0,0,-P16/($B$2*1000))</f>
        <v>0.690457693284305</v>
      </c>
      <c r="Q93" s="194" t="n">
        <f aca="false">IF(Q83=0,0,-Q16/($B$2*1000))</f>
        <v>0.70564776253656</v>
      </c>
      <c r="R93" s="194" t="n">
        <f aca="false">IF(R83=0,0,-R16/($B$2*1000))</f>
        <v>0.721172013312365</v>
      </c>
      <c r="S93" s="194" t="n">
        <f aca="false">IF(S83=0,0,-S16/($B$2*1000))</f>
        <v>0.737037797605237</v>
      </c>
      <c r="T93" s="194" t="n">
        <f aca="false">IF(T83=0,0,-T16/($B$2*1000))</f>
        <v>0.753252629152552</v>
      </c>
      <c r="U93" s="194" t="n">
        <f aca="false">IF(U83=0,0,-U16/($B$2*1000))</f>
        <v>0.769824186993908</v>
      </c>
      <c r="V93" s="194" t="n">
        <f aca="false">IF(V83=0,0,-V16/($B$2*1000))</f>
        <v>0.786760319107774</v>
      </c>
    </row>
    <row r="94" customFormat="false" ht="12.75" hidden="false" customHeight="false" outlineLevel="0" collapsed="false">
      <c r="A94" s="55"/>
      <c r="B94" s="189" t="s">
        <v>33</v>
      </c>
      <c r="C94" s="193" t="n">
        <f aca="false">IF(C83=0,0,-C22/($B$2*1000))</f>
        <v>0</v>
      </c>
      <c r="D94" s="194" t="n">
        <f aca="false">IF(D83=0,0,-D22/($B$2*1000))</f>
        <v>0</v>
      </c>
      <c r="E94" s="194" t="n">
        <f aca="false">IF(E83=0,0,-E22/($B$2*1000))</f>
        <v>0</v>
      </c>
      <c r="F94" s="194" t="n">
        <f aca="false">IF(F83=0,0,-F22/($B$2*1000))</f>
        <v>0</v>
      </c>
      <c r="G94" s="194" t="n">
        <f aca="false">IF(G83=0,0,-G22/($B$2*1000))</f>
        <v>0</v>
      </c>
      <c r="H94" s="194" t="n">
        <f aca="false">IF(H83=0,0,-H22/($B$2*1000))</f>
        <v>0</v>
      </c>
      <c r="I94" s="194" t="n">
        <f aca="false">IF(I83=0,0,-I22/($B$2*1000))</f>
        <v>0</v>
      </c>
      <c r="J94" s="194" t="n">
        <f aca="false">IF(J83=0,0,-J22/($B$2*1000))</f>
        <v>0</v>
      </c>
      <c r="K94" s="194" t="n">
        <f aca="false">IF(K83=0,0,-K22/($B$2*1000))</f>
        <v>0</v>
      </c>
      <c r="L94" s="194" t="n">
        <f aca="false">IF(L83=0,0,-L22/($B$2*1000))</f>
        <v>0</v>
      </c>
      <c r="M94" s="194" t="n">
        <f aca="false">IF(M83=0,0,-M22/($B$2*1000))</f>
        <v>0</v>
      </c>
      <c r="N94" s="194" t="n">
        <f aca="false">IF(N83=0,0,-N22/($B$2*1000))</f>
        <v>0</v>
      </c>
      <c r="O94" s="194" t="n">
        <f aca="false">IF(O83=0,0,-O22/($B$2*1000))</f>
        <v>0</v>
      </c>
      <c r="P94" s="194" t="n">
        <f aca="false">IF(P83=0,0,-P22/($B$2*1000))</f>
        <v>0</v>
      </c>
      <c r="Q94" s="194" t="n">
        <f aca="false">IF(Q83=0,0,-Q22/($B$2*1000))</f>
        <v>0</v>
      </c>
      <c r="R94" s="194" t="n">
        <f aca="false">IF(R83=0,0,-R22/($B$2*1000))</f>
        <v>0</v>
      </c>
      <c r="S94" s="194" t="n">
        <f aca="false">IF(S83=0,0,-S22/($B$2*1000))</f>
        <v>0</v>
      </c>
      <c r="T94" s="194" t="n">
        <f aca="false">IF(T83=0,0,-T22/($B$2*1000))</f>
        <v>0</v>
      </c>
      <c r="U94" s="194" t="n">
        <f aca="false">IF(U83=0,0,-U22/($B$2*1000))</f>
        <v>0</v>
      </c>
      <c r="V94" s="194" t="n">
        <f aca="false">IF(V83=0,0,-V22/($B$2*1000))</f>
        <v>0</v>
      </c>
    </row>
    <row r="95" customFormat="false" ht="12.75" hidden="false" customHeight="false" outlineLevel="0" collapsed="false">
      <c r="A95" s="55"/>
      <c r="B95" s="189" t="s">
        <v>115</v>
      </c>
      <c r="C95" s="195" t="n">
        <f aca="false">IF(C83=0,0,-C23/($B$2*1000))</f>
        <v>0</v>
      </c>
      <c r="D95" s="196" t="n">
        <f aca="false">IF(D83=0,0,-D23/($B$2*1000))</f>
        <v>0</v>
      </c>
      <c r="E95" s="196" t="n">
        <f aca="false">IF(E83=0,0,-E23/($B$2*1000))</f>
        <v>0</v>
      </c>
      <c r="F95" s="196" t="n">
        <f aca="false">IF(F83=0,0,-F23/($B$2*1000))</f>
        <v>0</v>
      </c>
      <c r="G95" s="196" t="n">
        <f aca="false">IF(G83=0,0,-G23/($B$2*1000))</f>
        <v>0</v>
      </c>
      <c r="H95" s="196" t="n">
        <f aca="false">IF(H83=0,0,-H23/($B$2*1000))</f>
        <v>0</v>
      </c>
      <c r="I95" s="196" t="n">
        <f aca="false">IF(I83=0,0,-I23/($B$2*1000))</f>
        <v>0</v>
      </c>
      <c r="J95" s="196" t="n">
        <f aca="false">IF(J83=0,0,-J23/($B$2*1000))</f>
        <v>0</v>
      </c>
      <c r="K95" s="196" t="n">
        <f aca="false">IF(K83=0,0,-K23/($B$2*1000))</f>
        <v>0</v>
      </c>
      <c r="L95" s="196" t="n">
        <f aca="false">IF(L83=0,0,-L23/($B$2*1000))</f>
        <v>0</v>
      </c>
      <c r="M95" s="196" t="n">
        <f aca="false">IF(M83=0,0,-M23/($B$2*1000))</f>
        <v>0</v>
      </c>
      <c r="N95" s="196" t="n">
        <f aca="false">IF(N83=0,0,-N23/($B$2*1000))</f>
        <v>0</v>
      </c>
      <c r="O95" s="196" t="n">
        <f aca="false">IF(O83=0,0,-O23/($B$2*1000))</f>
        <v>0</v>
      </c>
      <c r="P95" s="196" t="n">
        <f aca="false">IF(P83=0,0,-P23/($B$2*1000))</f>
        <v>0</v>
      </c>
      <c r="Q95" s="196" t="n">
        <f aca="false">IF(Q83=0,0,-Q23/($B$2*1000))</f>
        <v>0</v>
      </c>
      <c r="R95" s="196" t="n">
        <f aca="false">IF(R83=0,0,-R23/($B$2*1000))</f>
        <v>0</v>
      </c>
      <c r="S95" s="196" t="n">
        <f aca="false">IF(S83=0,0,-S23/($B$2*1000))</f>
        <v>0</v>
      </c>
      <c r="T95" s="196" t="n">
        <f aca="false">IF(T83=0,0,-T23/($B$2*1000))</f>
        <v>0</v>
      </c>
      <c r="U95" s="196" t="n">
        <f aca="false">IF(U83=0,0,-U23/($B$2*1000))</f>
        <v>0</v>
      </c>
      <c r="V95" s="196" t="n">
        <f aca="false">IF(V83=0,0,-V23/($B$2*1000))</f>
        <v>0</v>
      </c>
    </row>
    <row r="96" customFormat="false" ht="12.75" hidden="false" customHeight="false" outlineLevel="0" collapsed="false">
      <c r="A96" s="55"/>
      <c r="B96" s="189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</row>
    <row r="97" customFormat="false" ht="12.75" hidden="false" customHeight="false" outlineLevel="0" collapsed="false">
      <c r="A97" s="55"/>
      <c r="B97" s="189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</sheetData>
  <mergeCells count="1">
    <mergeCell ref="F1:I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43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8.7"/>
    <col collapsed="false" customWidth="true" hidden="false" outlineLevel="0" max="5" min="5" style="0" width="8.7"/>
    <col collapsed="false" customWidth="true" hidden="false" outlineLevel="0" max="6" min="6" style="0" width="11.7"/>
    <col collapsed="false" customWidth="true" hidden="false" outlineLevel="0" max="7" min="7" style="0" width="8.85"/>
    <col collapsed="false" customWidth="true" hidden="false" outlineLevel="0" max="12" min="12" style="0" width="6.7"/>
    <col collapsed="false" customWidth="true" hidden="false" outlineLevel="0" max="13" min="13" style="0" width="4.85"/>
    <col collapsed="false" customWidth="true" hidden="false" outlineLevel="0" max="14" min="14" style="0" width="3.99"/>
    <col collapsed="false" customWidth="true" hidden="false" outlineLevel="0" max="15" min="15" style="1" width="5.28"/>
  </cols>
  <sheetData>
    <row r="1" customFormat="false" ht="12.75" hidden="false" customHeight="false" outlineLevel="0" collapsed="false">
      <c r="A1" s="197" t="s">
        <v>116</v>
      </c>
    </row>
    <row r="7" customFormat="false" ht="13.5" hidden="false" customHeight="false" outlineLevel="0" collapsed="false"/>
    <row r="8" customFormat="false" ht="13.5" hidden="false" customHeight="false" outlineLevel="0" collapsed="false">
      <c r="C8" s="198" t="s">
        <v>117</v>
      </c>
      <c r="D8" s="198"/>
      <c r="E8" s="198"/>
      <c r="F8" s="199" t="s">
        <v>118</v>
      </c>
      <c r="G8" s="200" t="s">
        <v>119</v>
      </c>
      <c r="H8" s="200" t="s">
        <v>120</v>
      </c>
      <c r="I8" s="200" t="s">
        <v>121</v>
      </c>
      <c r="J8" s="201"/>
      <c r="K8" s="202" t="s">
        <v>122</v>
      </c>
      <c r="L8" s="203"/>
      <c r="M8" s="200" t="s">
        <v>21</v>
      </c>
      <c r="N8" s="200" t="s">
        <v>17</v>
      </c>
      <c r="O8" s="200" t="s">
        <v>123</v>
      </c>
    </row>
    <row r="9" customFormat="false" ht="13.5" hidden="false" customHeight="false" outlineLevel="0" collapsed="false">
      <c r="C9" s="204" t="s">
        <v>124</v>
      </c>
      <c r="D9" s="204" t="s">
        <v>125</v>
      </c>
      <c r="E9" s="204" t="s">
        <v>126</v>
      </c>
      <c r="F9" s="204" t="s">
        <v>127</v>
      </c>
      <c r="G9" s="204" t="s">
        <v>128</v>
      </c>
      <c r="H9" s="204" t="s">
        <v>128</v>
      </c>
      <c r="I9" s="204" t="s">
        <v>129</v>
      </c>
      <c r="J9" s="198" t="s">
        <v>124</v>
      </c>
      <c r="K9" s="198" t="s">
        <v>125</v>
      </c>
      <c r="L9" s="198" t="s">
        <v>126</v>
      </c>
      <c r="M9" s="204" t="s">
        <v>130</v>
      </c>
      <c r="N9" s="204" t="s">
        <v>104</v>
      </c>
      <c r="O9" s="204" t="s">
        <v>130</v>
      </c>
    </row>
    <row r="10" customFormat="false" ht="12.75" hidden="false" customHeight="false" outlineLevel="0" collapsed="false">
      <c r="A10" s="205" t="n">
        <f aca="false">Summary!A17</f>
        <v>1</v>
      </c>
      <c r="B10" s="206" t="s">
        <v>69</v>
      </c>
      <c r="C10" s="207" t="n">
        <v>312</v>
      </c>
      <c r="D10" s="208" t="n">
        <v>312</v>
      </c>
      <c r="E10" s="208" t="n">
        <v>312</v>
      </c>
      <c r="F10" s="208" t="n">
        <f aca="false">AVERAGE(C10:E10)</f>
        <v>312</v>
      </c>
      <c r="G10" s="209" t="n">
        <v>0.873</v>
      </c>
      <c r="H10" s="209" t="n">
        <v>13.2455956767584</v>
      </c>
      <c r="I10" s="210" t="n">
        <v>10046</v>
      </c>
      <c r="J10" s="211" t="n">
        <v>0.850849175689279</v>
      </c>
      <c r="K10" s="211" t="n">
        <v>0.726846332461391</v>
      </c>
      <c r="L10" s="211" t="n">
        <v>0.8037</v>
      </c>
      <c r="M10" s="212" t="s">
        <v>131</v>
      </c>
      <c r="N10" s="213" t="n">
        <v>30</v>
      </c>
      <c r="O10" s="214" t="s">
        <v>132</v>
      </c>
    </row>
    <row r="11" customFormat="false" ht="12.75" hidden="false" customHeight="false" outlineLevel="0" collapsed="false">
      <c r="A11" s="205" t="n">
        <f aca="false">Summary!A18</f>
        <v>2</v>
      </c>
      <c r="B11" s="206" t="s">
        <v>71</v>
      </c>
      <c r="C11" s="207" t="n">
        <v>414</v>
      </c>
      <c r="D11" s="208" t="n">
        <v>414</v>
      </c>
      <c r="E11" s="208" t="n">
        <v>414</v>
      </c>
      <c r="F11" s="208" t="n">
        <f aca="false">AVERAGE(C11:E11)</f>
        <v>414</v>
      </c>
      <c r="G11" s="209" t="n">
        <v>2.061</v>
      </c>
      <c r="H11" s="209" t="n">
        <v>5.70013802734734</v>
      </c>
      <c r="I11" s="210" t="n">
        <v>10279</v>
      </c>
      <c r="J11" s="211" t="n">
        <v>0.911510688401728</v>
      </c>
      <c r="K11" s="211" t="n">
        <v>0.778667030296451</v>
      </c>
      <c r="L11" s="211" t="n">
        <v>0.861</v>
      </c>
      <c r="M11" s="212" t="s">
        <v>131</v>
      </c>
      <c r="N11" s="213" t="n">
        <v>30</v>
      </c>
      <c r="O11" s="215" t="s">
        <v>132</v>
      </c>
    </row>
    <row r="12" customFormat="false" ht="12.75" hidden="false" customHeight="false" outlineLevel="0" collapsed="false">
      <c r="A12" s="205" t="n">
        <f aca="false">Summary!A19</f>
        <v>3</v>
      </c>
      <c r="B12" s="216" t="s">
        <v>72</v>
      </c>
      <c r="C12" s="217" t="n">
        <v>228.15</v>
      </c>
      <c r="D12" s="218" t="n">
        <v>228.15</v>
      </c>
      <c r="E12" s="218" t="n">
        <v>228.15</v>
      </c>
      <c r="F12" s="208" t="n">
        <f aca="false">AVERAGE(C12:E12)</f>
        <v>228.15</v>
      </c>
      <c r="G12" s="209" t="n">
        <v>0.855</v>
      </c>
      <c r="H12" s="209" t="n">
        <v>11.8801173622153</v>
      </c>
      <c r="I12" s="210" t="n">
        <v>9809</v>
      </c>
      <c r="J12" s="211" t="n">
        <v>0.868613576794251</v>
      </c>
      <c r="K12" s="211" t="n">
        <v>0.742021747987959</v>
      </c>
      <c r="L12" s="211" t="n">
        <v>0.82048</v>
      </c>
      <c r="M12" s="212" t="s">
        <v>131</v>
      </c>
      <c r="N12" s="213" t="n">
        <v>30</v>
      </c>
      <c r="O12" s="215" t="s">
        <v>132</v>
      </c>
    </row>
    <row r="13" customFormat="false" ht="12.75" hidden="false" customHeight="false" outlineLevel="0" collapsed="false">
      <c r="A13" s="205" t="n">
        <f aca="false">Summary!A20</f>
        <v>4</v>
      </c>
      <c r="B13" s="216" t="s">
        <v>73</v>
      </c>
      <c r="C13" s="217" t="n">
        <v>228.15</v>
      </c>
      <c r="D13" s="218" t="n">
        <v>228.15</v>
      </c>
      <c r="E13" s="218" t="n">
        <v>228.15</v>
      </c>
      <c r="F13" s="208" t="n">
        <f aca="false">AVERAGE(C13:E13)</f>
        <v>228.15</v>
      </c>
      <c r="G13" s="209" t="n">
        <v>0.828</v>
      </c>
      <c r="H13" s="209" t="n">
        <v>12.0739977570678</v>
      </c>
      <c r="I13" s="210" t="n">
        <v>9646</v>
      </c>
      <c r="J13" s="211" t="n">
        <v>0.868613576794251</v>
      </c>
      <c r="K13" s="211" t="n">
        <v>0.742021747987959</v>
      </c>
      <c r="L13" s="211" t="n">
        <v>0.82048</v>
      </c>
      <c r="M13" s="212" t="s">
        <v>131</v>
      </c>
      <c r="N13" s="213" t="n">
        <v>30</v>
      </c>
      <c r="O13" s="215" t="s">
        <v>132</v>
      </c>
    </row>
    <row r="14" customFormat="false" ht="12.75" hidden="false" customHeight="false" outlineLevel="0" collapsed="false">
      <c r="A14" s="205" t="n">
        <f aca="false">Summary!A21</f>
        <v>5</v>
      </c>
      <c r="B14" s="216" t="s">
        <v>74</v>
      </c>
      <c r="C14" s="217" t="n">
        <v>228.15</v>
      </c>
      <c r="D14" s="218" t="n">
        <v>228.15</v>
      </c>
      <c r="E14" s="218" t="n">
        <v>228.15</v>
      </c>
      <c r="F14" s="208" t="n">
        <f aca="false">AVERAGE(C14:E14)</f>
        <v>228.15</v>
      </c>
      <c r="G14" s="209" t="n">
        <v>0.837</v>
      </c>
      <c r="H14" s="209" t="n">
        <v>12.0093709587836</v>
      </c>
      <c r="I14" s="210" t="n">
        <v>9802</v>
      </c>
      <c r="J14" s="211" t="n">
        <v>0.868613576794251</v>
      </c>
      <c r="K14" s="211" t="n">
        <v>0.742021747987959</v>
      </c>
      <c r="L14" s="211" t="n">
        <v>0.82048</v>
      </c>
      <c r="M14" s="212" t="s">
        <v>131</v>
      </c>
      <c r="N14" s="213" t="n">
        <v>30</v>
      </c>
      <c r="O14" s="215" t="s">
        <v>132</v>
      </c>
    </row>
    <row r="15" customFormat="false" ht="12.75" hidden="false" customHeight="false" outlineLevel="0" collapsed="false">
      <c r="A15" s="205" t="n">
        <f aca="false">Summary!A22</f>
        <v>6</v>
      </c>
      <c r="B15" s="216" t="s">
        <v>75</v>
      </c>
      <c r="C15" s="217" t="n">
        <v>228.15</v>
      </c>
      <c r="D15" s="218" t="n">
        <v>228.15</v>
      </c>
      <c r="E15" s="218" t="n">
        <v>228.15</v>
      </c>
      <c r="F15" s="208" t="n">
        <f aca="false">AVERAGE(C15:E15)</f>
        <v>228.15</v>
      </c>
      <c r="G15" s="209" t="n">
        <v>0.837</v>
      </c>
      <c r="H15" s="209" t="n">
        <v>12.0093709587836</v>
      </c>
      <c r="I15" s="210" t="n">
        <v>9785</v>
      </c>
      <c r="J15" s="211" t="n">
        <v>0.868613576794251</v>
      </c>
      <c r="K15" s="211" t="n">
        <v>0.742021747987959</v>
      </c>
      <c r="L15" s="211" t="n">
        <v>0.82048</v>
      </c>
      <c r="M15" s="212" t="s">
        <v>131</v>
      </c>
      <c r="N15" s="213" t="n">
        <v>30</v>
      </c>
      <c r="O15" s="215" t="s">
        <v>132</v>
      </c>
    </row>
    <row r="16" customFormat="false" ht="12.75" hidden="false" customHeight="false" outlineLevel="0" collapsed="false">
      <c r="A16" s="205" t="n">
        <f aca="false">Summary!A23</f>
        <v>7</v>
      </c>
      <c r="B16" s="206" t="s">
        <v>76</v>
      </c>
      <c r="C16" s="208" t="n">
        <v>198</v>
      </c>
      <c r="D16" s="208" t="n">
        <v>198</v>
      </c>
      <c r="E16" s="208" t="n">
        <v>198</v>
      </c>
      <c r="F16" s="208" t="n">
        <f aca="false">AVERAGE(C16:E16)</f>
        <v>198</v>
      </c>
      <c r="G16" s="209" t="n">
        <v>0.783</v>
      </c>
      <c r="H16" s="209" t="n">
        <v>11.501232618729</v>
      </c>
      <c r="I16" s="210" t="n">
        <v>9951</v>
      </c>
      <c r="J16" s="211" t="n">
        <v>0.921038674691642</v>
      </c>
      <c r="K16" s="211" t="n">
        <v>0.786806406919759</v>
      </c>
      <c r="L16" s="211" t="n">
        <v>0.87</v>
      </c>
      <c r="M16" s="212" t="s">
        <v>131</v>
      </c>
      <c r="N16" s="213" t="n">
        <v>30</v>
      </c>
      <c r="O16" s="215" t="s">
        <v>132</v>
      </c>
    </row>
    <row r="17" customFormat="false" ht="12.75" hidden="false" customHeight="false" outlineLevel="0" collapsed="false">
      <c r="A17" s="205" t="n">
        <f aca="false">Summary!A24</f>
        <v>8</v>
      </c>
      <c r="B17" s="206" t="s">
        <v>77</v>
      </c>
      <c r="C17" s="208" t="n">
        <v>80</v>
      </c>
      <c r="D17" s="208" t="n">
        <v>80</v>
      </c>
      <c r="E17" s="208" t="n">
        <v>80</v>
      </c>
      <c r="F17" s="208" t="n">
        <f aca="false">AVERAGE(C17:E17)</f>
        <v>80</v>
      </c>
      <c r="G17" s="209" t="n">
        <v>1.26</v>
      </c>
      <c r="H17" s="209" t="n">
        <v>11.4169934778144</v>
      </c>
      <c r="I17" s="210" t="n">
        <v>13623</v>
      </c>
      <c r="J17" s="211" t="n">
        <v>0.84820251283097</v>
      </c>
      <c r="K17" s="211" t="n">
        <v>0.724585394510472</v>
      </c>
      <c r="L17" s="211" t="n">
        <v>0.8012</v>
      </c>
      <c r="M17" s="212" t="s">
        <v>131</v>
      </c>
      <c r="N17" s="213" t="n">
        <v>30</v>
      </c>
      <c r="O17" s="215" t="s">
        <v>132</v>
      </c>
    </row>
    <row r="18" customFormat="false" ht="12.75" hidden="false" customHeight="false" outlineLevel="0" collapsed="false">
      <c r="A18" s="205" t="n">
        <f aca="false">Summary!A25</f>
        <v>9</v>
      </c>
      <c r="B18" s="206" t="s">
        <v>78</v>
      </c>
      <c r="C18" s="218" t="n">
        <v>163</v>
      </c>
      <c r="D18" s="218" t="n">
        <v>163</v>
      </c>
      <c r="E18" s="218" t="n">
        <v>163</v>
      </c>
      <c r="F18" s="208" t="n">
        <f aca="false">AVERAGE(C18:E18)</f>
        <v>163</v>
      </c>
      <c r="G18" s="209" t="n">
        <v>0.567</v>
      </c>
      <c r="H18" s="209" t="n">
        <v>16.3586523143999</v>
      </c>
      <c r="I18" s="210" t="n">
        <v>9945</v>
      </c>
      <c r="J18" s="211" t="n">
        <v>0.840199004347442</v>
      </c>
      <c r="K18" s="211" t="n">
        <v>0.717748318146894</v>
      </c>
      <c r="L18" s="211" t="n">
        <v>0.79364</v>
      </c>
      <c r="M18" s="212" t="s">
        <v>131</v>
      </c>
      <c r="N18" s="213" t="n">
        <v>30</v>
      </c>
      <c r="O18" s="215" t="s">
        <v>132</v>
      </c>
    </row>
    <row r="19" customFormat="false" ht="12.75" hidden="false" customHeight="false" outlineLevel="0" collapsed="false">
      <c r="A19" s="205" t="n">
        <f aca="false">Summary!A26</f>
        <v>10</v>
      </c>
      <c r="B19" s="206" t="s">
        <v>79</v>
      </c>
      <c r="C19" s="218" t="n">
        <v>320</v>
      </c>
      <c r="D19" s="218" t="n">
        <v>320</v>
      </c>
      <c r="E19" s="218" t="n">
        <v>320</v>
      </c>
      <c r="F19" s="208" t="n">
        <f aca="false">AVERAGE(C19:E19)</f>
        <v>320</v>
      </c>
      <c r="G19" s="209" t="n">
        <v>0.765</v>
      </c>
      <c r="H19" s="209" t="n">
        <v>11.7155075824504</v>
      </c>
      <c r="I19" s="210" t="n">
        <v>10118</v>
      </c>
      <c r="J19" s="211" t="n">
        <v>0.90507400433032</v>
      </c>
      <c r="K19" s="211" t="n">
        <v>0.773168429199817</v>
      </c>
      <c r="L19" s="211" t="n">
        <v>0.85492</v>
      </c>
      <c r="M19" s="212" t="s">
        <v>131</v>
      </c>
      <c r="N19" s="213" t="n">
        <v>30</v>
      </c>
      <c r="O19" s="215" t="s">
        <v>132</v>
      </c>
    </row>
    <row r="20" customFormat="false" ht="12.75" hidden="false" customHeight="false" outlineLevel="0" collapsed="false">
      <c r="A20" s="205" t="n">
        <f aca="false">Summary!A27</f>
        <v>11</v>
      </c>
      <c r="B20" s="206" t="s">
        <v>80</v>
      </c>
      <c r="C20" s="218" t="n">
        <v>320</v>
      </c>
      <c r="D20" s="218" t="n">
        <v>320</v>
      </c>
      <c r="E20" s="218" t="n">
        <v>320</v>
      </c>
      <c r="F20" s="208" t="n">
        <f aca="false">AVERAGE(C20:E20)</f>
        <v>320</v>
      </c>
      <c r="G20" s="209" t="n">
        <v>0.648</v>
      </c>
      <c r="H20" s="209" t="n">
        <v>14.4393288373607</v>
      </c>
      <c r="I20" s="210" t="n">
        <v>9922</v>
      </c>
      <c r="J20" s="211" t="n">
        <v>0.970647723307792</v>
      </c>
      <c r="K20" s="211" t="n">
        <v>0.829185427871782</v>
      </c>
      <c r="L20" s="211" t="n">
        <v>0.91686</v>
      </c>
      <c r="M20" s="212" t="s">
        <v>131</v>
      </c>
      <c r="N20" s="213" t="n">
        <v>30</v>
      </c>
      <c r="O20" s="215" t="s">
        <v>132</v>
      </c>
    </row>
    <row r="21" customFormat="false" ht="12.75" hidden="false" customHeight="false" outlineLevel="0" collapsed="false">
      <c r="A21" s="205" t="n">
        <f aca="false">Summary!A28</f>
        <v>12</v>
      </c>
      <c r="B21" s="206" t="s">
        <v>81</v>
      </c>
      <c r="C21" s="208" t="n">
        <v>94</v>
      </c>
      <c r="D21" s="208" t="n">
        <v>94</v>
      </c>
      <c r="E21" s="208" t="n">
        <v>94</v>
      </c>
      <c r="F21" s="208" t="n">
        <f aca="false">AVERAGE(C21:E21)</f>
        <v>94</v>
      </c>
      <c r="G21" s="209" t="n">
        <v>1.017</v>
      </c>
      <c r="H21" s="209" t="n">
        <v>30.0650118625643</v>
      </c>
      <c r="I21" s="210" t="n">
        <v>11016</v>
      </c>
      <c r="J21" s="211" t="n">
        <v>0.954111373769075</v>
      </c>
      <c r="K21" s="211" t="n">
        <v>0.815059087554441</v>
      </c>
      <c r="L21" s="211" t="n">
        <v>0.90124</v>
      </c>
      <c r="M21" s="212" t="s">
        <v>131</v>
      </c>
      <c r="N21" s="213" t="n">
        <v>30</v>
      </c>
      <c r="O21" s="215" t="s">
        <v>132</v>
      </c>
    </row>
    <row r="22" customFormat="false" ht="12.75" hidden="false" customHeight="false" outlineLevel="0" collapsed="false">
      <c r="A22" s="205" t="n">
        <f aca="false">Summary!A29</f>
        <v>13</v>
      </c>
      <c r="B22" s="206" t="s">
        <v>82</v>
      </c>
      <c r="C22" s="208" t="n">
        <v>94</v>
      </c>
      <c r="D22" s="208" t="n">
        <v>94</v>
      </c>
      <c r="E22" s="208" t="n">
        <v>94</v>
      </c>
      <c r="F22" s="208" t="n">
        <f aca="false">AVERAGE(C22:E22)</f>
        <v>94</v>
      </c>
      <c r="G22" s="209" t="n">
        <v>1.017</v>
      </c>
      <c r="H22" s="209" t="n">
        <v>32.4929267100115</v>
      </c>
      <c r="I22" s="210" t="n">
        <v>10626</v>
      </c>
      <c r="J22" s="211" t="n">
        <v>0.921186887811707</v>
      </c>
      <c r="K22" s="211" t="n">
        <v>0.786933019445011</v>
      </c>
      <c r="L22" s="211" t="n">
        <v>0.87014</v>
      </c>
      <c r="M22" s="212" t="s">
        <v>131</v>
      </c>
      <c r="N22" s="213" t="n">
        <v>30</v>
      </c>
      <c r="O22" s="215" t="s">
        <v>132</v>
      </c>
    </row>
    <row r="23" customFormat="false" ht="12.75" hidden="false" customHeight="false" outlineLevel="0" collapsed="false">
      <c r="A23" s="205" t="n">
        <f aca="false">Summary!A30</f>
        <v>14</v>
      </c>
      <c r="B23" s="206" t="s">
        <v>83</v>
      </c>
      <c r="C23" s="218" t="n">
        <v>128</v>
      </c>
      <c r="D23" s="218" t="n">
        <v>128</v>
      </c>
      <c r="E23" s="218" t="n">
        <v>128</v>
      </c>
      <c r="F23" s="208" t="n">
        <f aca="false">AVERAGE(C23:E23)</f>
        <v>128</v>
      </c>
      <c r="G23" s="209" t="n">
        <v>1.017</v>
      </c>
      <c r="H23" s="209" t="n">
        <v>22.1287620608278</v>
      </c>
      <c r="I23" s="210" t="n">
        <v>10172</v>
      </c>
      <c r="J23" s="211" t="n">
        <v>0.947478836646152</v>
      </c>
      <c r="K23" s="211" t="n">
        <v>0.809393177049439</v>
      </c>
      <c r="L23" s="211" t="n">
        <v>0.894975</v>
      </c>
      <c r="M23" s="212" t="s">
        <v>131</v>
      </c>
      <c r="N23" s="213" t="n">
        <v>30</v>
      </c>
      <c r="O23" s="215" t="s">
        <v>132</v>
      </c>
    </row>
    <row r="24" customFormat="false" ht="12.75" hidden="false" customHeight="false" outlineLevel="0" collapsed="false">
      <c r="A24" s="205" t="n">
        <f aca="false">Summary!A31</f>
        <v>15</v>
      </c>
      <c r="B24" s="206" t="s">
        <v>84</v>
      </c>
      <c r="C24" s="218" t="n">
        <v>150</v>
      </c>
      <c r="D24" s="218" t="n">
        <v>150</v>
      </c>
      <c r="E24" s="218" t="n">
        <v>150</v>
      </c>
      <c r="F24" s="208" t="n">
        <f aca="false">AVERAGE(C24:E24)</f>
        <v>150</v>
      </c>
      <c r="G24" s="209" t="n">
        <v>1.017</v>
      </c>
      <c r="H24" s="209" t="n">
        <v>23.9492036814314</v>
      </c>
      <c r="I24" s="210" t="n">
        <v>9936</v>
      </c>
      <c r="J24" s="211" t="n">
        <v>0.904332938729993</v>
      </c>
      <c r="K24" s="211" t="n">
        <v>0.772535366573559</v>
      </c>
      <c r="L24" s="211" t="n">
        <v>0.85422</v>
      </c>
      <c r="M24" s="212" t="s">
        <v>131</v>
      </c>
      <c r="N24" s="213" t="n">
        <v>30</v>
      </c>
      <c r="O24" s="215" t="s">
        <v>132</v>
      </c>
    </row>
    <row r="25" customFormat="false" ht="12.75" hidden="false" customHeight="false" outlineLevel="0" collapsed="false">
      <c r="A25" s="205" t="n">
        <f aca="false">Summary!A32</f>
        <v>16</v>
      </c>
      <c r="B25" s="206" t="s">
        <v>85</v>
      </c>
      <c r="C25" s="218" t="n">
        <v>238</v>
      </c>
      <c r="D25" s="218" t="n">
        <v>238</v>
      </c>
      <c r="E25" s="218" t="n">
        <v>238</v>
      </c>
      <c r="F25" s="208" t="n">
        <f aca="false">AVERAGE(C25:E25)</f>
        <v>238</v>
      </c>
      <c r="G25" s="209" t="n">
        <v>0.99</v>
      </c>
      <c r="H25" s="209" t="n">
        <v>19.6097060371737</v>
      </c>
      <c r="I25" s="210" t="n">
        <v>10082</v>
      </c>
      <c r="J25" s="211" t="n">
        <v>0.895588364646139</v>
      </c>
      <c r="K25" s="211" t="n">
        <v>0.765065227583724</v>
      </c>
      <c r="L25" s="211" t="n">
        <v>0.84596</v>
      </c>
      <c r="M25" s="212" t="s">
        <v>131</v>
      </c>
      <c r="N25" s="213" t="n">
        <v>30</v>
      </c>
      <c r="O25" s="215" t="s">
        <v>132</v>
      </c>
    </row>
    <row r="26" customFormat="false" ht="12.75" hidden="false" customHeight="false" outlineLevel="0" collapsed="false">
      <c r="A26" s="205" t="n">
        <f aca="false">Summary!A33</f>
        <v>17</v>
      </c>
      <c r="B26" s="206" t="s">
        <v>86</v>
      </c>
      <c r="C26" s="217" t="n">
        <v>155.25</v>
      </c>
      <c r="D26" s="218" t="n">
        <v>157.5</v>
      </c>
      <c r="E26" s="218" t="n">
        <v>157.5</v>
      </c>
      <c r="F26" s="208" t="n">
        <f aca="false">AVERAGE(C26:E26)</f>
        <v>156.75</v>
      </c>
      <c r="G26" s="209" t="n">
        <v>0.99</v>
      </c>
      <c r="H26" s="209" t="n">
        <v>11.4829091546207</v>
      </c>
      <c r="I26" s="210" t="n">
        <v>10123</v>
      </c>
      <c r="J26" s="211" t="n">
        <v>0.859593749773133</v>
      </c>
      <c r="K26" s="211" t="n">
        <v>0.734316471451227</v>
      </c>
      <c r="L26" s="211" t="n">
        <v>0.81196</v>
      </c>
      <c r="M26" s="212" t="s">
        <v>131</v>
      </c>
      <c r="N26" s="213" t="n">
        <v>30</v>
      </c>
      <c r="O26" s="215" t="s">
        <v>132</v>
      </c>
    </row>
    <row r="27" customFormat="false" ht="12.75" hidden="false" customHeight="false" outlineLevel="0" collapsed="false">
      <c r="A27" s="205" t="n">
        <f aca="false">Summary!A34</f>
        <v>18</v>
      </c>
      <c r="B27" s="206" t="s">
        <v>87</v>
      </c>
      <c r="C27" s="207" t="n">
        <v>604.5</v>
      </c>
      <c r="D27" s="208" t="n">
        <v>604.5</v>
      </c>
      <c r="E27" s="208" t="n">
        <v>604.5</v>
      </c>
      <c r="F27" s="208" t="n">
        <f aca="false">AVERAGE(C27:E27)</f>
        <v>604.5</v>
      </c>
      <c r="G27" s="209" t="n">
        <v>0.936</v>
      </c>
      <c r="H27" s="209" t="n">
        <v>17.6973910999269</v>
      </c>
      <c r="I27" s="210" t="n">
        <v>9558</v>
      </c>
      <c r="J27" s="211" t="n">
        <v>0.910388503349805</v>
      </c>
      <c r="K27" s="211" t="n">
        <v>0.777708392605262</v>
      </c>
      <c r="L27" s="211" t="n">
        <v>0.85994</v>
      </c>
      <c r="M27" s="212" t="s">
        <v>131</v>
      </c>
      <c r="N27" s="213" t="n">
        <v>30</v>
      </c>
      <c r="O27" s="215" t="s">
        <v>132</v>
      </c>
    </row>
    <row r="28" customFormat="false" ht="12.75" hidden="false" customHeight="false" outlineLevel="0" collapsed="false">
      <c r="A28" s="205" t="n">
        <f aca="false">Summary!A35</f>
        <v>19</v>
      </c>
      <c r="B28" s="206" t="s">
        <v>88</v>
      </c>
      <c r="C28" s="207" t="n">
        <v>92</v>
      </c>
      <c r="D28" s="208" t="n">
        <v>110</v>
      </c>
      <c r="E28" s="208" t="n">
        <v>101</v>
      </c>
      <c r="F28" s="208" t="n">
        <f aca="false">AVERAGE(C28:E28)</f>
        <v>101</v>
      </c>
      <c r="G28" s="209" t="n">
        <v>3.609</v>
      </c>
      <c r="H28" s="209" t="n">
        <v>2.6216497424006</v>
      </c>
      <c r="I28" s="210" t="n">
        <v>23281</v>
      </c>
      <c r="J28" s="211" t="n">
        <v>0.864424373927629</v>
      </c>
      <c r="K28" s="211" t="n">
        <v>0.826984343124421</v>
      </c>
      <c r="L28" s="211" t="n">
        <v>0.85</v>
      </c>
      <c r="M28" s="212" t="s">
        <v>133</v>
      </c>
      <c r="N28" s="213" t="n">
        <v>30</v>
      </c>
      <c r="O28" s="215" t="s">
        <v>134</v>
      </c>
    </row>
    <row r="29" customFormat="false" ht="12.75" hidden="false" customHeight="false" outlineLevel="0" collapsed="false">
      <c r="A29" s="205" t="n">
        <f aca="false">Summary!A36</f>
        <v>20</v>
      </c>
      <c r="B29" s="206" t="s">
        <v>89</v>
      </c>
      <c r="C29" s="207" t="n">
        <v>14.2</v>
      </c>
      <c r="D29" s="208" t="n">
        <v>19.5</v>
      </c>
      <c r="E29" s="208" t="n">
        <v>15.25</v>
      </c>
      <c r="F29" s="208" t="n">
        <f aca="false">AVERAGE(C29:E29)</f>
        <v>16.3166666666667</v>
      </c>
      <c r="G29" s="209" t="n">
        <v>3.609</v>
      </c>
      <c r="H29" s="209" t="n">
        <v>2.62164974240061</v>
      </c>
      <c r="I29" s="210" t="n">
        <v>23281</v>
      </c>
      <c r="J29" s="211" t="n">
        <v>0.864424373927629</v>
      </c>
      <c r="K29" s="211" t="n">
        <v>0.826984343124421</v>
      </c>
      <c r="L29" s="211" t="n">
        <v>0.85</v>
      </c>
      <c r="M29" s="212" t="s">
        <v>133</v>
      </c>
      <c r="N29" s="213" t="n">
        <v>30</v>
      </c>
      <c r="O29" s="215" t="s">
        <v>134</v>
      </c>
    </row>
    <row r="30" customFormat="false" ht="12.75" hidden="false" customHeight="false" outlineLevel="0" collapsed="false">
      <c r="A30" s="205" t="n">
        <f aca="false">Summary!A37</f>
        <v>21</v>
      </c>
      <c r="B30" s="206" t="s">
        <v>90</v>
      </c>
      <c r="C30" s="207" t="n">
        <v>30</v>
      </c>
      <c r="D30" s="208" t="n">
        <v>42.8</v>
      </c>
      <c r="E30" s="208" t="n">
        <v>36</v>
      </c>
      <c r="F30" s="208" t="n">
        <f aca="false">AVERAGE(C30:E30)</f>
        <v>36.2666666666667</v>
      </c>
      <c r="G30" s="209" t="n">
        <v>3.609</v>
      </c>
      <c r="H30" s="209" t="n">
        <v>2.59195011801619</v>
      </c>
      <c r="I30" s="210" t="n">
        <v>23281</v>
      </c>
      <c r="J30" s="211" t="n">
        <v>0.915272866511608</v>
      </c>
      <c r="K30" s="211" t="n">
        <v>0.875630480955269</v>
      </c>
      <c r="L30" s="211" t="n">
        <v>0.9</v>
      </c>
      <c r="M30" s="212" t="s">
        <v>133</v>
      </c>
      <c r="N30" s="213" t="n">
        <v>30</v>
      </c>
      <c r="O30" s="215" t="s">
        <v>134</v>
      </c>
    </row>
    <row r="31" customFormat="false" ht="12.75" hidden="false" customHeight="false" outlineLevel="0" collapsed="false">
      <c r="A31" s="205" t="n">
        <f aca="false">Summary!A38</f>
        <v>22</v>
      </c>
      <c r="B31" s="206" t="s">
        <v>91</v>
      </c>
      <c r="C31" s="207" t="n">
        <v>56.8</v>
      </c>
      <c r="D31" s="208" t="n">
        <v>78</v>
      </c>
      <c r="E31" s="208" t="n">
        <v>61</v>
      </c>
      <c r="F31" s="208" t="n">
        <f aca="false">AVERAGE(C31:E31)</f>
        <v>65.2666666666667</v>
      </c>
      <c r="G31" s="209" t="n">
        <v>3.609</v>
      </c>
      <c r="H31" s="209" t="n">
        <v>2.89536014203421</v>
      </c>
      <c r="I31" s="210" t="n">
        <v>20328</v>
      </c>
      <c r="J31" s="211" t="n">
        <v>0.864424373927629</v>
      </c>
      <c r="K31" s="211" t="n">
        <v>0.826984343124421</v>
      </c>
      <c r="L31" s="211" t="n">
        <v>0.85</v>
      </c>
      <c r="M31" s="212" t="s">
        <v>133</v>
      </c>
      <c r="N31" s="213" t="n">
        <v>30</v>
      </c>
      <c r="O31" s="215" t="s">
        <v>134</v>
      </c>
    </row>
    <row r="32" customFormat="false" ht="12.75" hidden="false" customHeight="false" outlineLevel="0" collapsed="false">
      <c r="A32" s="205" t="n">
        <f aca="false">Summary!A39</f>
        <v>23</v>
      </c>
      <c r="B32" s="206" t="s">
        <v>92</v>
      </c>
      <c r="C32" s="207" t="n">
        <v>51.225</v>
      </c>
      <c r="D32" s="208" t="n">
        <v>61.2</v>
      </c>
      <c r="E32" s="208" t="n">
        <v>53.25</v>
      </c>
      <c r="F32" s="208" t="n">
        <f aca="false">AVERAGE(C32:E32)</f>
        <v>55.225</v>
      </c>
      <c r="G32" s="209" t="n">
        <v>2.16</v>
      </c>
      <c r="H32" s="209" t="n">
        <v>1.62554738421155</v>
      </c>
      <c r="I32" s="210" t="n">
        <v>17496</v>
      </c>
      <c r="J32" s="211" t="n">
        <v>0.877136497073624</v>
      </c>
      <c r="K32" s="211" t="n">
        <v>0.839145877582133</v>
      </c>
      <c r="L32" s="211" t="n">
        <v>0.8625</v>
      </c>
      <c r="M32" s="212" t="s">
        <v>133</v>
      </c>
      <c r="N32" s="213" t="n">
        <v>30</v>
      </c>
      <c r="O32" s="215" t="s">
        <v>134</v>
      </c>
    </row>
    <row r="33" customFormat="false" ht="12.75" hidden="false" customHeight="false" outlineLevel="0" collapsed="false">
      <c r="A33" s="205" t="n">
        <f aca="false">Summary!A40</f>
        <v>24</v>
      </c>
      <c r="B33" s="206" t="s">
        <v>93</v>
      </c>
      <c r="C33" s="207" t="n">
        <v>51.225</v>
      </c>
      <c r="D33" s="208" t="n">
        <v>61.2</v>
      </c>
      <c r="E33" s="208" t="n">
        <v>53.25</v>
      </c>
      <c r="F33" s="208" t="n">
        <f aca="false">AVERAGE(C33:E33)</f>
        <v>55.225</v>
      </c>
      <c r="G33" s="209" t="n">
        <v>2.16</v>
      </c>
      <c r="H33" s="209" t="n">
        <v>1.62554738421155</v>
      </c>
      <c r="I33" s="210" t="n">
        <v>17496</v>
      </c>
      <c r="J33" s="211" t="n">
        <v>0.877136497073624</v>
      </c>
      <c r="K33" s="211" t="n">
        <v>0.839145877582133</v>
      </c>
      <c r="L33" s="211" t="n">
        <v>0.8625</v>
      </c>
      <c r="M33" s="212" t="s">
        <v>133</v>
      </c>
      <c r="N33" s="213" t="n">
        <v>30</v>
      </c>
      <c r="O33" s="215" t="s">
        <v>134</v>
      </c>
    </row>
    <row r="34" customFormat="false" ht="12.75" hidden="false" customHeight="false" outlineLevel="0" collapsed="false">
      <c r="A34" s="205" t="n">
        <f aca="false">Summary!A41</f>
        <v>25</v>
      </c>
      <c r="B34" s="206" t="s">
        <v>94</v>
      </c>
      <c r="C34" s="207" t="n">
        <v>51.225</v>
      </c>
      <c r="D34" s="208" t="n">
        <v>61.2</v>
      </c>
      <c r="E34" s="208" t="n">
        <v>53.25</v>
      </c>
      <c r="F34" s="208" t="n">
        <f aca="false">AVERAGE(C34:E34)</f>
        <v>55.225</v>
      </c>
      <c r="G34" s="209" t="n">
        <v>2.16</v>
      </c>
      <c r="H34" s="209" t="n">
        <v>1.62554738421155</v>
      </c>
      <c r="I34" s="210" t="n">
        <v>17496</v>
      </c>
      <c r="J34" s="211" t="n">
        <v>0.877136497073624</v>
      </c>
      <c r="K34" s="211" t="n">
        <v>0.839145877582133</v>
      </c>
      <c r="L34" s="211" t="n">
        <v>0.8625</v>
      </c>
      <c r="M34" s="212" t="s">
        <v>133</v>
      </c>
      <c r="N34" s="213" t="n">
        <v>30</v>
      </c>
      <c r="O34" s="215" t="s">
        <v>134</v>
      </c>
    </row>
    <row r="35" customFormat="false" ht="12.75" hidden="false" customHeight="false" outlineLevel="0" collapsed="false">
      <c r="A35" s="205" t="n">
        <f aca="false">Summary!A42</f>
        <v>26</v>
      </c>
      <c r="B35" s="206" t="s">
        <v>95</v>
      </c>
      <c r="C35" s="207" t="n">
        <v>51.225</v>
      </c>
      <c r="D35" s="208" t="n">
        <v>61.2</v>
      </c>
      <c r="E35" s="208" t="n">
        <v>53.25</v>
      </c>
      <c r="F35" s="208" t="n">
        <f aca="false">AVERAGE(C35:E35)</f>
        <v>55.225</v>
      </c>
      <c r="G35" s="209" t="n">
        <v>2.16</v>
      </c>
      <c r="H35" s="209" t="n">
        <v>1.62554738421155</v>
      </c>
      <c r="I35" s="210" t="n">
        <v>17496</v>
      </c>
      <c r="J35" s="211" t="n">
        <v>0.877136497073624</v>
      </c>
      <c r="K35" s="211" t="n">
        <v>0.839145877582133</v>
      </c>
      <c r="L35" s="211" t="n">
        <v>0.8625</v>
      </c>
      <c r="M35" s="212" t="s">
        <v>133</v>
      </c>
      <c r="N35" s="213" t="n">
        <v>30</v>
      </c>
      <c r="O35" s="215" t="s">
        <v>134</v>
      </c>
      <c r="P35" s="219"/>
    </row>
    <row r="36" customFormat="false" ht="12.75" hidden="false" customHeight="false" outlineLevel="0" collapsed="false">
      <c r="A36" s="205" t="n">
        <f aca="false">Summary!A43</f>
        <v>27</v>
      </c>
      <c r="B36" s="206" t="s">
        <v>96</v>
      </c>
      <c r="C36" s="207" t="n">
        <v>83.433</v>
      </c>
      <c r="D36" s="208" t="n">
        <v>94</v>
      </c>
      <c r="E36" s="208" t="n">
        <v>86</v>
      </c>
      <c r="F36" s="208" t="n">
        <f aca="false">AVERAGE(C36:E36)</f>
        <v>87.811</v>
      </c>
      <c r="G36" s="209" t="n">
        <v>1.593</v>
      </c>
      <c r="H36" s="209" t="n">
        <v>3.96947859686591</v>
      </c>
      <c r="I36" s="210" t="n">
        <v>16384</v>
      </c>
      <c r="J36" s="211" t="n">
        <v>0.966121359095586</v>
      </c>
      <c r="K36" s="211" t="n">
        <v>0.924276618786118</v>
      </c>
      <c r="L36" s="211" t="n">
        <v>0.95</v>
      </c>
      <c r="M36" s="212" t="s">
        <v>135</v>
      </c>
      <c r="N36" s="213" t="n">
        <v>30</v>
      </c>
      <c r="O36" s="215" t="s">
        <v>134</v>
      </c>
    </row>
    <row r="37" customFormat="false" ht="12.75" hidden="false" customHeight="false" outlineLevel="0" collapsed="false">
      <c r="A37" s="205" t="n">
        <f aca="false">Summary!A44</f>
        <v>28</v>
      </c>
      <c r="B37" s="206" t="s">
        <v>97</v>
      </c>
      <c r="C37" s="207" t="n">
        <v>83.433</v>
      </c>
      <c r="D37" s="208" t="n">
        <v>94</v>
      </c>
      <c r="E37" s="208" t="n">
        <v>86</v>
      </c>
      <c r="F37" s="208" t="n">
        <f aca="false">AVERAGE(C37:E37)</f>
        <v>87.811</v>
      </c>
      <c r="G37" s="209" t="n">
        <v>1.593</v>
      </c>
      <c r="H37" s="209" t="n">
        <v>3.96947859686591</v>
      </c>
      <c r="I37" s="210" t="n">
        <v>16384</v>
      </c>
      <c r="J37" s="211" t="n">
        <v>0.966121359095586</v>
      </c>
      <c r="K37" s="211" t="n">
        <v>0.924276618786118</v>
      </c>
      <c r="L37" s="211" t="n">
        <v>0.95</v>
      </c>
      <c r="M37" s="212" t="s">
        <v>135</v>
      </c>
      <c r="N37" s="213" t="n">
        <v>30</v>
      </c>
      <c r="O37" s="215" t="s">
        <v>134</v>
      </c>
    </row>
    <row r="38" customFormat="false" ht="12.75" hidden="false" customHeight="false" outlineLevel="0" collapsed="false">
      <c r="A38" s="205" t="n">
        <f aca="false">Summary!A45</f>
        <v>29</v>
      </c>
      <c r="B38" s="206" t="s">
        <v>98</v>
      </c>
      <c r="C38" s="207" t="n">
        <v>83.433</v>
      </c>
      <c r="D38" s="208" t="n">
        <v>94</v>
      </c>
      <c r="E38" s="208" t="n">
        <v>86</v>
      </c>
      <c r="F38" s="208" t="n">
        <f aca="false">AVERAGE(C38:E38)</f>
        <v>87.811</v>
      </c>
      <c r="G38" s="209" t="n">
        <v>1.593</v>
      </c>
      <c r="H38" s="209" t="n">
        <v>3.96947859686591</v>
      </c>
      <c r="I38" s="210" t="n">
        <v>16384</v>
      </c>
      <c r="J38" s="211" t="n">
        <v>0.966121359095586</v>
      </c>
      <c r="K38" s="211" t="n">
        <v>0.924276618786118</v>
      </c>
      <c r="L38" s="211" t="n">
        <v>0.95</v>
      </c>
      <c r="M38" s="212" t="s">
        <v>135</v>
      </c>
      <c r="N38" s="213" t="n">
        <v>30</v>
      </c>
      <c r="O38" s="215" t="s">
        <v>134</v>
      </c>
    </row>
    <row r="39" customFormat="false" ht="12.75" hidden="false" customHeight="false" outlineLevel="0" collapsed="false">
      <c r="A39" s="205" t="n">
        <f aca="false">Summary!A46</f>
        <v>30</v>
      </c>
      <c r="B39" s="206" t="s">
        <v>99</v>
      </c>
      <c r="C39" s="207" t="n">
        <v>83.433</v>
      </c>
      <c r="D39" s="208" t="n">
        <v>94</v>
      </c>
      <c r="E39" s="208" t="n">
        <v>86</v>
      </c>
      <c r="F39" s="208" t="n">
        <f aca="false">AVERAGE(C39:E39)</f>
        <v>87.811</v>
      </c>
      <c r="G39" s="209" t="n">
        <v>1.593</v>
      </c>
      <c r="H39" s="209" t="n">
        <v>3.96947859686591</v>
      </c>
      <c r="I39" s="210" t="n">
        <v>16384</v>
      </c>
      <c r="J39" s="211" t="n">
        <v>0.966121359095586</v>
      </c>
      <c r="K39" s="211" t="n">
        <v>0.924276618786118</v>
      </c>
      <c r="L39" s="211" t="n">
        <v>0.95</v>
      </c>
      <c r="M39" s="212" t="s">
        <v>135</v>
      </c>
      <c r="N39" s="213" t="n">
        <v>30</v>
      </c>
      <c r="O39" s="215" t="s">
        <v>134</v>
      </c>
    </row>
    <row r="40" customFormat="false" ht="12.75" hidden="false" customHeight="false" outlineLevel="0" collapsed="false">
      <c r="A40" s="205" t="n">
        <f aca="false">Summary!A47</f>
        <v>31</v>
      </c>
      <c r="B40" s="206" t="s">
        <v>100</v>
      </c>
      <c r="C40" s="207" t="n">
        <v>83.433</v>
      </c>
      <c r="D40" s="208" t="n">
        <v>94</v>
      </c>
      <c r="E40" s="208" t="n">
        <v>86</v>
      </c>
      <c r="F40" s="208" t="n">
        <f aca="false">AVERAGE(C40:E40)</f>
        <v>87.811</v>
      </c>
      <c r="G40" s="209" t="n">
        <v>1.593</v>
      </c>
      <c r="H40" s="209" t="n">
        <v>3.96947859686591</v>
      </c>
      <c r="I40" s="210" t="n">
        <v>16384</v>
      </c>
      <c r="J40" s="211" t="n">
        <v>0.966121359095586</v>
      </c>
      <c r="K40" s="211" t="n">
        <v>0.924276618786118</v>
      </c>
      <c r="L40" s="211" t="n">
        <v>0.95</v>
      </c>
      <c r="M40" s="212" t="s">
        <v>135</v>
      </c>
      <c r="N40" s="213" t="n">
        <v>30</v>
      </c>
      <c r="O40" s="215" t="s">
        <v>134</v>
      </c>
    </row>
    <row r="41" customFormat="false" ht="12.75" hidden="false" customHeight="false" outlineLevel="0" collapsed="false">
      <c r="A41" s="205" t="n">
        <f aca="false">Summary!A48</f>
        <v>32</v>
      </c>
      <c r="B41" s="206" t="s">
        <v>101</v>
      </c>
      <c r="C41" s="207" t="n">
        <v>83.433</v>
      </c>
      <c r="D41" s="208" t="n">
        <v>94</v>
      </c>
      <c r="E41" s="208" t="n">
        <v>86</v>
      </c>
      <c r="F41" s="208" t="n">
        <f aca="false">AVERAGE(C41:E41)</f>
        <v>87.811</v>
      </c>
      <c r="G41" s="209" t="n">
        <v>1.593</v>
      </c>
      <c r="H41" s="209" t="n">
        <v>3.96947859686591</v>
      </c>
      <c r="I41" s="210" t="n">
        <v>16384</v>
      </c>
      <c r="J41" s="211" t="n">
        <v>0.966121359095586</v>
      </c>
      <c r="K41" s="211" t="n">
        <v>0.924276618786118</v>
      </c>
      <c r="L41" s="211" t="n">
        <v>0.95</v>
      </c>
      <c r="M41" s="212" t="s">
        <v>135</v>
      </c>
      <c r="N41" s="213" t="n">
        <v>30</v>
      </c>
      <c r="O41" s="215" t="s">
        <v>134</v>
      </c>
    </row>
    <row r="42" customFormat="false" ht="13.5" hidden="false" customHeight="false" outlineLevel="0" collapsed="false">
      <c r="A42" s="205" t="n">
        <f aca="false">Summary!A49</f>
        <v>33</v>
      </c>
      <c r="B42" s="220" t="s">
        <v>14</v>
      </c>
      <c r="C42" s="221" t="n">
        <v>705</v>
      </c>
      <c r="D42" s="222" t="n">
        <v>705</v>
      </c>
      <c r="E42" s="222" t="n">
        <v>705</v>
      </c>
      <c r="F42" s="208" t="n">
        <f aca="false">AVERAGE(C42:E42)</f>
        <v>705</v>
      </c>
      <c r="G42" s="223" t="n">
        <v>0.603</v>
      </c>
      <c r="H42" s="223" t="n">
        <v>4.5</v>
      </c>
      <c r="I42" s="224" t="n">
        <v>11304.7446808511</v>
      </c>
      <c r="J42" s="225" t="n">
        <v>0.966121359095586</v>
      </c>
      <c r="K42" s="225" t="n">
        <v>0.924276618786118</v>
      </c>
      <c r="L42" s="225" t="n">
        <v>0.95</v>
      </c>
      <c r="M42" s="226" t="s">
        <v>135</v>
      </c>
      <c r="N42" s="227" t="n">
        <v>30</v>
      </c>
      <c r="O42" s="228" t="s">
        <v>134</v>
      </c>
      <c r="P42" s="219"/>
    </row>
    <row r="44" customFormat="false" ht="13.5" hidden="false" customHeight="false" outlineLevel="0" collapsed="false">
      <c r="B44" s="0" t="s">
        <v>3</v>
      </c>
      <c r="C44" s="229" t="n">
        <f aca="false">SUM(C10:C43)</f>
        <v>5786.848</v>
      </c>
      <c r="D44" s="229" t="n">
        <f aca="false">SUM(D10:D43)</f>
        <v>5949.7</v>
      </c>
      <c r="E44" s="229" t="n">
        <f aca="false">SUM(E10:E43)</f>
        <v>5832.85</v>
      </c>
      <c r="F44" s="230"/>
    </row>
    <row r="47" customFormat="false" ht="12.75" hidden="false" customHeight="false" outlineLevel="0" collapsed="false">
      <c r="H47" s="231"/>
    </row>
    <row r="48" customFormat="false" ht="12.75" hidden="false" customHeight="false" outlineLevel="0" collapsed="false">
      <c r="H48" s="231"/>
    </row>
  </sheetData>
  <mergeCells count="1">
    <mergeCell ref="C8:E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8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759" activeCellId="0" sqref="A759:V77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32" width="9.14"/>
    <col collapsed="false" customWidth="true" hidden="false" outlineLevel="0" max="2" min="2" style="232" width="16.56"/>
    <col collapsed="false" customWidth="true" hidden="false" outlineLevel="0" max="3" min="3" style="232" width="12.28"/>
    <col collapsed="false" customWidth="true" hidden="false" outlineLevel="0" max="4" min="4" style="232" width="23.56"/>
    <col collapsed="false" customWidth="true" hidden="false" outlineLevel="0" max="8" min="5" style="232" width="12.28"/>
    <col collapsed="false" customWidth="true" hidden="false" outlineLevel="0" max="9" min="9" style="232" width="16.42"/>
    <col collapsed="false" customWidth="true" hidden="false" outlineLevel="0" max="21" min="10" style="232" width="12.28"/>
    <col collapsed="false" customWidth="true" hidden="false" outlineLevel="0" max="22" min="22" style="232" width="8.99"/>
  </cols>
  <sheetData>
    <row r="1" customFormat="false" ht="15.75" hidden="false" customHeight="false" outlineLevel="0" collapsed="false">
      <c r="A1" s="233" t="s">
        <v>136</v>
      </c>
    </row>
    <row r="4" customFormat="false" ht="12.75" hidden="false" customHeight="false" outlineLevel="0" collapsed="false">
      <c r="A4" s="234"/>
      <c r="C4" s="235" t="n">
        <v>2000</v>
      </c>
      <c r="D4" s="235" t="n">
        <v>2001</v>
      </c>
      <c r="E4" s="235" t="n">
        <v>2002</v>
      </c>
      <c r="F4" s="235" t="n">
        <v>2003</v>
      </c>
      <c r="G4" s="235" t="n">
        <v>2004</v>
      </c>
      <c r="H4" s="235" t="n">
        <v>2005</v>
      </c>
      <c r="I4" s="235" t="n">
        <v>2006</v>
      </c>
      <c r="J4" s="235" t="n">
        <v>2007</v>
      </c>
      <c r="K4" s="235" t="n">
        <v>2008</v>
      </c>
      <c r="L4" s="235" t="n">
        <v>2009</v>
      </c>
      <c r="M4" s="235" t="n">
        <v>2010</v>
      </c>
      <c r="N4" s="235" t="n">
        <v>2011</v>
      </c>
      <c r="O4" s="235" t="n">
        <v>2012</v>
      </c>
      <c r="P4" s="235" t="n">
        <v>2013</v>
      </c>
      <c r="Q4" s="235" t="n">
        <v>2014</v>
      </c>
      <c r="R4" s="235" t="n">
        <v>2015</v>
      </c>
      <c r="S4" s="235" t="n">
        <v>2016</v>
      </c>
      <c r="T4" s="235" t="n">
        <v>2017</v>
      </c>
      <c r="U4" s="235" t="n">
        <v>2018</v>
      </c>
      <c r="V4" s="235" t="n">
        <v>2019</v>
      </c>
    </row>
    <row r="6" customFormat="false" ht="12.75" hidden="false" customHeight="false" outlineLevel="0" collapsed="false">
      <c r="B6" s="51"/>
      <c r="C6" s="236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</row>
    <row r="7" customFormat="false" ht="12.75" hidden="false" customHeight="false" outlineLevel="0" collapsed="false">
      <c r="A7" s="175"/>
      <c r="B7" s="51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</row>
    <row r="8" customFormat="false" ht="12.75" hidden="false" customHeight="false" outlineLevel="0" collapsed="false">
      <c r="A8" s="175"/>
      <c r="B8" s="51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</row>
    <row r="9" customFormat="false" ht="12.75" hidden="false" customHeight="false" outlineLevel="0" collapsed="false">
      <c r="A9" s="175"/>
      <c r="B9" s="11"/>
      <c r="C9" s="11"/>
      <c r="D9" s="11"/>
      <c r="E9" s="11"/>
      <c r="F9" s="11"/>
      <c r="G9" s="11"/>
    </row>
    <row r="10" customFormat="false" ht="12.75" hidden="false" customHeight="false" outlineLevel="0" collapsed="false">
      <c r="A10" s="175"/>
      <c r="B10" s="11"/>
      <c r="C10" s="11"/>
      <c r="D10" s="11"/>
      <c r="E10" s="11"/>
      <c r="F10" s="11"/>
      <c r="G10" s="11"/>
    </row>
    <row r="11" customFormat="false" ht="13.5" hidden="false" customHeight="false" outlineLevel="0" collapsed="false">
      <c r="A11" s="175"/>
      <c r="B11" s="11"/>
      <c r="C11" s="11"/>
      <c r="D11" s="11"/>
      <c r="E11" s="11"/>
      <c r="F11" s="11"/>
      <c r="G11" s="11"/>
    </row>
    <row r="12" customFormat="false" ht="12.75" hidden="false" customHeight="false" outlineLevel="0" collapsed="false">
      <c r="A12" s="175"/>
      <c r="B12" s="238"/>
      <c r="C12" s="239"/>
      <c r="D12" s="239"/>
      <c r="E12" s="239"/>
      <c r="F12" s="239"/>
      <c r="G12" s="240"/>
    </row>
    <row r="13" customFormat="false" ht="12.75" hidden="false" customHeight="false" outlineLevel="0" collapsed="false">
      <c r="A13" s="175"/>
      <c r="B13" s="241"/>
      <c r="C13" s="242"/>
      <c r="D13" s="243" t="s">
        <v>137</v>
      </c>
      <c r="E13" s="242"/>
      <c r="F13" s="242"/>
      <c r="G13" s="244"/>
      <c r="I13" s="160"/>
      <c r="J13" s="160"/>
    </row>
    <row r="14" customFormat="false" ht="12.75" hidden="false" customHeight="false" outlineLevel="0" collapsed="false">
      <c r="A14" s="175"/>
      <c r="B14" s="241"/>
      <c r="C14" s="242"/>
      <c r="D14" s="243" t="s">
        <v>138</v>
      </c>
      <c r="E14" s="242"/>
      <c r="F14" s="242"/>
      <c r="G14" s="244"/>
      <c r="I14" s="160"/>
      <c r="J14" s="160"/>
    </row>
    <row r="15" customFormat="false" ht="12.75" hidden="false" customHeight="false" outlineLevel="0" collapsed="false">
      <c r="A15" s="175"/>
      <c r="B15" s="241"/>
      <c r="C15" s="242"/>
      <c r="D15" s="242"/>
      <c r="E15" s="242"/>
      <c r="F15" s="242"/>
      <c r="G15" s="244"/>
      <c r="I15" s="160"/>
      <c r="J15" s="160"/>
      <c r="K15" s="160"/>
      <c r="L15" s="160"/>
      <c r="M15" s="160"/>
    </row>
    <row r="16" customFormat="false" ht="12.75" hidden="false" customHeight="false" outlineLevel="0" collapsed="false">
      <c r="A16" s="175"/>
      <c r="B16" s="241"/>
      <c r="C16" s="242"/>
      <c r="D16" s="242"/>
      <c r="E16" s="242"/>
      <c r="F16" s="242"/>
      <c r="G16" s="244"/>
      <c r="I16" s="160"/>
      <c r="J16" s="160"/>
      <c r="K16" s="160"/>
      <c r="L16" s="160"/>
      <c r="M16" s="160"/>
    </row>
    <row r="17" customFormat="false" ht="12.75" hidden="false" customHeight="false" outlineLevel="0" collapsed="false">
      <c r="A17" s="175"/>
      <c r="B17" s="241"/>
      <c r="C17" s="242"/>
      <c r="D17" s="242"/>
      <c r="E17" s="242"/>
      <c r="F17" s="242"/>
      <c r="G17" s="244"/>
    </row>
    <row r="18" customFormat="false" ht="13.5" hidden="false" customHeight="false" outlineLevel="0" collapsed="false">
      <c r="A18" s="175"/>
      <c r="B18" s="245"/>
      <c r="C18" s="246" t="n">
        <v>11</v>
      </c>
      <c r="D18" s="247"/>
      <c r="E18" s="247"/>
      <c r="F18" s="247"/>
      <c r="G18" s="248"/>
      <c r="H18" s="11"/>
      <c r="I18" s="11"/>
    </row>
    <row r="19" customFormat="false" ht="12.75" hidden="false" customHeight="false" outlineLevel="0" collapsed="false">
      <c r="A19" s="175"/>
      <c r="B19" s="11"/>
      <c r="C19" s="11"/>
      <c r="D19" s="11"/>
      <c r="E19" s="11"/>
      <c r="F19" s="11"/>
      <c r="G19" s="11"/>
      <c r="H19" s="11"/>
      <c r="I19" s="11"/>
    </row>
    <row r="20" customFormat="false" ht="12.75" hidden="false" customHeight="false" outlineLevel="0" collapsed="false">
      <c r="A20" s="175"/>
      <c r="B20" s="11"/>
      <c r="C20" s="11"/>
      <c r="D20" s="11"/>
      <c r="E20" s="11"/>
      <c r="F20" s="11"/>
      <c r="G20" s="11"/>
      <c r="H20" s="11"/>
      <c r="I20" s="11"/>
    </row>
    <row r="21" customFormat="false" ht="12.75" hidden="false" customHeight="false" outlineLevel="0" collapsed="false">
      <c r="A21" s="0"/>
      <c r="B21" s="1"/>
      <c r="C21" s="0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</row>
    <row r="22" customFormat="false" ht="12.75" hidden="false" customHeight="false" outlineLevel="0" collapsed="false">
      <c r="A22" s="0"/>
      <c r="B22" s="1"/>
      <c r="C22" s="0"/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</row>
    <row r="23" customFormat="false" ht="12.75" hidden="false" customHeight="false" outlineLevel="0" collapsed="false">
      <c r="A23" s="52" t="s">
        <v>105</v>
      </c>
      <c r="B23" s="182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</row>
    <row r="24" customFormat="false" ht="12.75" hidden="false" customHeight="false" outlineLevel="0" collapsed="false">
      <c r="A24" s="183" t="s">
        <v>69</v>
      </c>
      <c r="B24" s="182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</row>
    <row r="25" customFormat="false" ht="12.75" hidden="false" customHeight="false" outlineLevel="0" collapsed="false">
      <c r="A25" s="55"/>
      <c r="B25" s="182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</row>
    <row r="26" customFormat="false" ht="12.75" hidden="false" customHeight="false" outlineLevel="0" collapsed="false">
      <c r="A26" s="55"/>
      <c r="B26" s="182"/>
      <c r="C26" s="184" t="n">
        <v>2000</v>
      </c>
      <c r="D26" s="185" t="n">
        <v>2001</v>
      </c>
      <c r="E26" s="185" t="n">
        <v>2002</v>
      </c>
      <c r="F26" s="185" t="n">
        <v>2003</v>
      </c>
      <c r="G26" s="185" t="n">
        <v>2004</v>
      </c>
      <c r="H26" s="185" t="n">
        <v>2005</v>
      </c>
      <c r="I26" s="185" t="n">
        <v>2006</v>
      </c>
      <c r="J26" s="185" t="n">
        <v>2007</v>
      </c>
      <c r="K26" s="185" t="n">
        <v>2008</v>
      </c>
      <c r="L26" s="185" t="n">
        <v>2009</v>
      </c>
      <c r="M26" s="185" t="n">
        <v>2010</v>
      </c>
      <c r="N26" s="185" t="n">
        <v>2011</v>
      </c>
      <c r="O26" s="185" t="n">
        <v>2012</v>
      </c>
      <c r="P26" s="185" t="n">
        <v>2013</v>
      </c>
      <c r="Q26" s="185" t="n">
        <v>2014</v>
      </c>
      <c r="R26" s="185" t="n">
        <v>2015</v>
      </c>
      <c r="S26" s="185" t="n">
        <v>2016</v>
      </c>
      <c r="T26" s="185" t="n">
        <v>2017</v>
      </c>
      <c r="U26" s="185" t="n">
        <v>2018</v>
      </c>
      <c r="V26" s="185" t="n">
        <v>2019</v>
      </c>
    </row>
    <row r="27" customFormat="false" ht="12.75" hidden="false" customHeight="false" outlineLevel="0" collapsed="false">
      <c r="A27" s="186" t="s">
        <v>106</v>
      </c>
      <c r="B27" s="182"/>
      <c r="C27" s="187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</row>
    <row r="28" customFormat="false" ht="12.75" hidden="false" customHeight="false" outlineLevel="0" collapsed="false">
      <c r="A28" s="55"/>
      <c r="B28" s="189" t="s">
        <v>107</v>
      </c>
      <c r="C28" s="190" t="n">
        <v>0</v>
      </c>
      <c r="D28" s="191" t="n">
        <v>2176312.05880919</v>
      </c>
      <c r="E28" s="191" t="n">
        <v>2176312.05880919</v>
      </c>
      <c r="F28" s="191" t="n">
        <v>2176312.05880919</v>
      </c>
      <c r="G28" s="191" t="n">
        <v>2176312.05880919</v>
      </c>
      <c r="H28" s="191" t="n">
        <v>2176312.05880919</v>
      </c>
      <c r="I28" s="191" t="n">
        <v>2176312.05880919</v>
      </c>
      <c r="J28" s="191" t="n">
        <v>2176312.05880919</v>
      </c>
      <c r="K28" s="191" t="n">
        <v>2176312.05880919</v>
      </c>
      <c r="L28" s="191" t="n">
        <v>2176312.05880919</v>
      </c>
      <c r="M28" s="191" t="n">
        <v>2176312.05880919</v>
      </c>
      <c r="N28" s="191" t="n">
        <v>2176312.05880919</v>
      </c>
      <c r="O28" s="191" t="n">
        <v>2176312.05880919</v>
      </c>
      <c r="P28" s="191" t="n">
        <v>2176312.05880919</v>
      </c>
      <c r="Q28" s="191" t="n">
        <v>2176312.05880919</v>
      </c>
      <c r="R28" s="191" t="n">
        <v>2176312.05880919</v>
      </c>
      <c r="S28" s="191" t="n">
        <v>2176312.05880919</v>
      </c>
      <c r="T28" s="191" t="n">
        <v>2176312.05880919</v>
      </c>
      <c r="U28" s="191" t="n">
        <v>2176312.05880919</v>
      </c>
      <c r="V28" s="191" t="n">
        <v>2176312.05880919</v>
      </c>
    </row>
    <row r="29" customFormat="false" ht="12.75" hidden="false" customHeight="false" outlineLevel="0" collapsed="false">
      <c r="A29" s="55"/>
      <c r="B29" s="189" t="s">
        <v>108</v>
      </c>
      <c r="C29" s="190" t="n">
        <v>0</v>
      </c>
      <c r="D29" s="192" t="n">
        <v>0.796273877037668</v>
      </c>
      <c r="E29" s="192" t="n">
        <v>0.796273877037668</v>
      </c>
      <c r="F29" s="192" t="n">
        <v>0.796273877037668</v>
      </c>
      <c r="G29" s="192" t="n">
        <v>0.796273877037668</v>
      </c>
      <c r="H29" s="192" t="n">
        <v>0.796273877037668</v>
      </c>
      <c r="I29" s="192" t="n">
        <v>0.796273877037668</v>
      </c>
      <c r="J29" s="192" t="n">
        <v>0.796273877037668</v>
      </c>
      <c r="K29" s="192" t="n">
        <v>0.796273877037668</v>
      </c>
      <c r="L29" s="192" t="n">
        <v>0.796273877037668</v>
      </c>
      <c r="M29" s="192" t="n">
        <v>0.796273877037668</v>
      </c>
      <c r="N29" s="192" t="n">
        <v>0.796273877037668</v>
      </c>
      <c r="O29" s="192" t="n">
        <v>0.796273877037668</v>
      </c>
      <c r="P29" s="192" t="n">
        <v>0.796273877037668</v>
      </c>
      <c r="Q29" s="192" t="n">
        <v>0.796273877037668</v>
      </c>
      <c r="R29" s="192" t="n">
        <v>0.796273877037668</v>
      </c>
      <c r="S29" s="192" t="n">
        <v>0.796273877037668</v>
      </c>
      <c r="T29" s="192" t="n">
        <v>0.796273877037668</v>
      </c>
      <c r="U29" s="192" t="n">
        <v>0.796273877037668</v>
      </c>
      <c r="V29" s="192" t="n">
        <v>0.796273877037668</v>
      </c>
    </row>
    <row r="30" customFormat="false" ht="12.75" hidden="false" customHeight="false" outlineLevel="0" collapsed="false">
      <c r="A30" s="186" t="s">
        <v>109</v>
      </c>
      <c r="B30" s="189"/>
      <c r="C30" s="187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</row>
    <row r="31" customFormat="false" ht="12.75" hidden="false" customHeight="false" outlineLevel="0" collapsed="false">
      <c r="A31" s="55"/>
      <c r="B31" s="189" t="s">
        <v>20</v>
      </c>
      <c r="C31" s="193" t="n">
        <v>0</v>
      </c>
      <c r="D31" s="194" t="n">
        <v>39.4830479600139</v>
      </c>
      <c r="E31" s="194" t="n">
        <v>38.9354673272511</v>
      </c>
      <c r="F31" s="194" t="n">
        <v>39.6849082613523</v>
      </c>
      <c r="G31" s="194" t="n">
        <v>39.1224218116774</v>
      </c>
      <c r="H31" s="194" t="n">
        <v>39.417099156106</v>
      </c>
      <c r="I31" s="194" t="n">
        <v>42.0786149252578</v>
      </c>
      <c r="J31" s="194" t="n">
        <v>45.1190140269637</v>
      </c>
      <c r="K31" s="194" t="n">
        <v>46.2865929451868</v>
      </c>
      <c r="L31" s="194" t="n">
        <v>47.2554084179073</v>
      </c>
      <c r="M31" s="194" t="n">
        <v>47.424107614869</v>
      </c>
      <c r="N31" s="194" t="n">
        <v>48.4487023221245</v>
      </c>
      <c r="O31" s="194" t="n">
        <v>48.9927709342232</v>
      </c>
      <c r="P31" s="194" t="n">
        <v>49.5693200792455</v>
      </c>
      <c r="Q31" s="194" t="n">
        <v>51.3142206624762</v>
      </c>
      <c r="R31" s="194" t="n">
        <v>54.9549131355292</v>
      </c>
      <c r="S31" s="194" t="n">
        <v>54.6383329257431</v>
      </c>
      <c r="T31" s="194" t="n">
        <v>55.3346885959101</v>
      </c>
      <c r="U31" s="194" t="n">
        <v>57.9938209162061</v>
      </c>
      <c r="V31" s="194" t="n">
        <v>59.7553005518293</v>
      </c>
    </row>
    <row r="32" customFormat="false" ht="12.75" hidden="false" customHeight="false" outlineLevel="0" collapsed="false">
      <c r="A32" s="55"/>
      <c r="B32" s="189" t="s">
        <v>21</v>
      </c>
      <c r="C32" s="193" t="n">
        <v>0</v>
      </c>
      <c r="D32" s="194" t="n">
        <v>10.3996192</v>
      </c>
      <c r="E32" s="194" t="n">
        <v>10.3755088</v>
      </c>
      <c r="F32" s="194" t="n">
        <v>10.2750488</v>
      </c>
      <c r="G32" s="194" t="n">
        <v>10.2308464</v>
      </c>
      <c r="H32" s="194" t="n">
        <v>10.1625336</v>
      </c>
      <c r="I32" s="194" t="n">
        <v>10.3493892</v>
      </c>
      <c r="J32" s="194" t="n">
        <v>10.6718658</v>
      </c>
      <c r="K32" s="194" t="n">
        <v>10.9672182</v>
      </c>
      <c r="L32" s="194" t="n">
        <v>11.30175</v>
      </c>
      <c r="M32" s="194" t="n">
        <v>11.4644952</v>
      </c>
      <c r="N32" s="194" t="n">
        <v>11.6573784</v>
      </c>
      <c r="O32" s="194" t="n">
        <v>11.7216728</v>
      </c>
      <c r="P32" s="194" t="n">
        <v>11.718659</v>
      </c>
      <c r="Q32" s="194" t="n">
        <v>11.80405</v>
      </c>
      <c r="R32" s="194" t="n">
        <v>11.8552846</v>
      </c>
      <c r="S32" s="194" t="n">
        <v>11.9487124</v>
      </c>
      <c r="T32" s="194" t="n">
        <v>12.0481678</v>
      </c>
      <c r="U32" s="194" t="n">
        <v>12.1285358</v>
      </c>
      <c r="V32" s="194" t="n">
        <v>12.1918256</v>
      </c>
    </row>
    <row r="33" customFormat="false" ht="12.75" hidden="false" customHeight="false" outlineLevel="0" collapsed="false">
      <c r="A33" s="55"/>
      <c r="B33" s="189" t="s">
        <v>110</v>
      </c>
      <c r="C33" s="193" t="n">
        <v>0</v>
      </c>
      <c r="D33" s="194" t="n">
        <v>0.898895093038936</v>
      </c>
      <c r="E33" s="194" t="n">
        <v>0.917038711317191</v>
      </c>
      <c r="F33" s="194" t="n">
        <v>0.935548546840123</v>
      </c>
      <c r="G33" s="194" t="n">
        <v>0.954431991466856</v>
      </c>
      <c r="H33" s="194" t="n">
        <v>0.973696586256427</v>
      </c>
      <c r="I33" s="194" t="n">
        <v>0.993350024479291</v>
      </c>
      <c r="J33" s="194" t="n">
        <v>1.01340015468961</v>
      </c>
      <c r="K33" s="194" t="n">
        <v>1.03385498385955</v>
      </c>
      <c r="L33" s="194" t="n">
        <v>1.05472268057687</v>
      </c>
      <c r="M33" s="194" t="n">
        <v>1.07601157830698</v>
      </c>
      <c r="N33" s="194" t="n">
        <v>1.09773017872094</v>
      </c>
      <c r="O33" s="194" t="n">
        <v>1.11988715509056</v>
      </c>
      <c r="P33" s="194" t="n">
        <v>1.14249135575206</v>
      </c>
      <c r="Q33" s="194" t="n">
        <v>1.1655518076396</v>
      </c>
      <c r="R33" s="194" t="n">
        <v>1.18907771989021</v>
      </c>
      <c r="S33" s="194" t="n">
        <v>1.21307848752142</v>
      </c>
      <c r="T33" s="194" t="n">
        <v>1.23756369518314</v>
      </c>
      <c r="U33" s="194" t="n">
        <v>1.26254312098523</v>
      </c>
      <c r="V33" s="194" t="n">
        <v>1.28802674040242</v>
      </c>
    </row>
    <row r="34" customFormat="false" ht="12.75" hidden="false" customHeight="false" outlineLevel="0" collapsed="false">
      <c r="A34" s="55"/>
      <c r="B34" s="189" t="s">
        <v>111</v>
      </c>
      <c r="C34" s="193" t="n">
        <v>0</v>
      </c>
      <c r="D34" s="194" t="n">
        <v>0</v>
      </c>
      <c r="E34" s="194" t="n">
        <v>0</v>
      </c>
      <c r="F34" s="194" t="n">
        <v>0</v>
      </c>
      <c r="G34" s="194" t="n">
        <v>0</v>
      </c>
      <c r="H34" s="194" t="n">
        <v>0</v>
      </c>
      <c r="I34" s="194" t="n">
        <v>2.69701419215187</v>
      </c>
      <c r="J34" s="194" t="n">
        <v>2.98942478383823</v>
      </c>
      <c r="K34" s="194" t="n">
        <v>3.4802663433633</v>
      </c>
      <c r="L34" s="194" t="n">
        <v>3.62310723260999</v>
      </c>
      <c r="M34" s="194" t="n">
        <v>4.02945229716199</v>
      </c>
      <c r="N34" s="194" t="n">
        <v>4.43874642766121</v>
      </c>
      <c r="O34" s="194" t="n">
        <v>4.91799796420658</v>
      </c>
      <c r="P34" s="194" t="n">
        <v>5.51436944508224</v>
      </c>
      <c r="Q34" s="194" t="n">
        <v>6.13835369328602</v>
      </c>
      <c r="R34" s="194" t="n">
        <v>6.79942073357981</v>
      </c>
      <c r="S34" s="194" t="n">
        <v>7.46575560381108</v>
      </c>
      <c r="T34" s="194" t="n">
        <v>7.33474090761349</v>
      </c>
      <c r="U34" s="194" t="n">
        <v>6.27526756438193</v>
      </c>
      <c r="V34" s="194" t="n">
        <v>6.50629469912792</v>
      </c>
    </row>
    <row r="35" customFormat="false" ht="12.75" hidden="false" customHeight="false" outlineLevel="0" collapsed="false">
      <c r="A35" s="55"/>
      <c r="B35" s="189" t="s">
        <v>112</v>
      </c>
      <c r="C35" s="193" t="n">
        <v>0</v>
      </c>
      <c r="D35" s="194" t="n">
        <v>0</v>
      </c>
      <c r="E35" s="194" t="n">
        <v>0</v>
      </c>
      <c r="F35" s="194" t="n">
        <v>0.673016230983783</v>
      </c>
      <c r="G35" s="194" t="n">
        <v>0.573452015557965</v>
      </c>
      <c r="H35" s="194" t="n">
        <v>0.595321537337062</v>
      </c>
      <c r="I35" s="194" t="n">
        <v>0.618293833012524</v>
      </c>
      <c r="J35" s="194" t="n">
        <v>0.776712092615529</v>
      </c>
      <c r="K35" s="194" t="n">
        <v>0.678449308203106</v>
      </c>
      <c r="L35" s="194" t="n">
        <v>0.718090656323639</v>
      </c>
      <c r="M35" s="194" t="n">
        <v>0.68329076161726</v>
      </c>
      <c r="N35" s="194" t="n">
        <v>0.702860772183206</v>
      </c>
      <c r="O35" s="194" t="n">
        <v>0.721086564874535</v>
      </c>
      <c r="P35" s="194" t="n">
        <v>0.644081591436433</v>
      </c>
      <c r="Q35" s="194" t="n">
        <v>0.667110521684993</v>
      </c>
      <c r="R35" s="194" t="n">
        <v>0.680896614919234</v>
      </c>
      <c r="S35" s="194" t="n">
        <v>0.72306436644083</v>
      </c>
      <c r="T35" s="194" t="n">
        <v>0.679755498242856</v>
      </c>
      <c r="U35" s="194" t="n">
        <v>0.748667099417172</v>
      </c>
      <c r="V35" s="194" t="n">
        <v>0.40761221732931</v>
      </c>
    </row>
    <row r="36" customFormat="false" ht="12.75" hidden="false" customHeight="false" outlineLevel="0" collapsed="false">
      <c r="A36" s="186" t="s">
        <v>113</v>
      </c>
      <c r="B36" s="189"/>
      <c r="C36" s="187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</row>
    <row r="37" customFormat="false" ht="12.75" hidden="false" customHeight="false" outlineLevel="0" collapsed="false">
      <c r="A37" s="55"/>
      <c r="B37" s="189" t="s">
        <v>26</v>
      </c>
      <c r="C37" s="193" t="n">
        <v>0</v>
      </c>
      <c r="D37" s="194" t="n">
        <v>13.5105075902935</v>
      </c>
      <c r="E37" s="194" t="n">
        <v>13.7807177420994</v>
      </c>
      <c r="F37" s="194" t="n">
        <v>14.1943961995055</v>
      </c>
      <c r="G37" s="194" t="n">
        <v>14.4789744440084</v>
      </c>
      <c r="H37" s="194" t="n">
        <v>14.7692615114142</v>
      </c>
      <c r="I37" s="194" t="n">
        <v>15.0653720096313</v>
      </c>
      <c r="J37" s="194" t="n">
        <v>15.3674228495124</v>
      </c>
      <c r="K37" s="194" t="n">
        <v>15.6755332911834</v>
      </c>
      <c r="L37" s="194" t="n">
        <v>15.9898249913048</v>
      </c>
      <c r="M37" s="194" t="n">
        <v>16.3104220512861</v>
      </c>
      <c r="N37" s="194" t="n">
        <v>16.6374510664708</v>
      </c>
      <c r="O37" s="194" t="n">
        <v>16.9710411763133</v>
      </c>
      <c r="P37" s="194" t="n">
        <v>17.3113241155654</v>
      </c>
      <c r="Q37" s="194" t="n">
        <v>17.6584342664957</v>
      </c>
      <c r="R37" s="194" t="n">
        <v>18.0125087121601</v>
      </c>
      <c r="S37" s="194" t="n">
        <v>18.3736872907461</v>
      </c>
      <c r="T37" s="194" t="n">
        <v>18.7421126510125</v>
      </c>
      <c r="U37" s="194" t="n">
        <v>19.1179303088454</v>
      </c>
      <c r="V37" s="194" t="n">
        <v>19.5012887049553</v>
      </c>
    </row>
    <row r="38" customFormat="false" ht="12.75" hidden="false" customHeight="false" outlineLevel="0" collapsed="false">
      <c r="A38" s="55"/>
      <c r="B38" s="189" t="s">
        <v>114</v>
      </c>
      <c r="C38" s="193" t="n">
        <v>0</v>
      </c>
      <c r="D38" s="194" t="n">
        <v>1.22383177565305</v>
      </c>
      <c r="E38" s="194" t="n">
        <v>1.43220766244271</v>
      </c>
      <c r="F38" s="194" t="n">
        <v>1.46500435294793</v>
      </c>
      <c r="G38" s="194" t="n">
        <v>1.49854224865857</v>
      </c>
      <c r="H38" s="194" t="n">
        <v>1.53287834628713</v>
      </c>
      <c r="I38" s="194" t="n">
        <v>1.56966357834652</v>
      </c>
      <c r="J38" s="194" t="n">
        <v>1.60573311486606</v>
      </c>
      <c r="K38" s="194" t="n">
        <v>1.64271564589529</v>
      </c>
      <c r="L38" s="194" t="n">
        <v>1.68061164544094</v>
      </c>
      <c r="M38" s="194" t="n">
        <v>1.719473992975</v>
      </c>
      <c r="N38" s="194" t="n">
        <v>1.75927680931938</v>
      </c>
      <c r="O38" s="194" t="n">
        <v>1.80008265663565</v>
      </c>
      <c r="P38" s="194" t="n">
        <v>1.84192497247374</v>
      </c>
      <c r="Q38" s="194" t="n">
        <v>1.88481334620779</v>
      </c>
      <c r="R38" s="194" t="n">
        <v>1.92877821812257</v>
      </c>
      <c r="S38" s="194" t="n">
        <v>1.97384221183521</v>
      </c>
      <c r="T38" s="194" t="n">
        <v>2.02002379259193</v>
      </c>
      <c r="U38" s="194" t="n">
        <v>2.06736453102564</v>
      </c>
      <c r="V38" s="194" t="n">
        <v>2.11589352199403</v>
      </c>
    </row>
    <row r="39" customFormat="false" ht="12.75" hidden="false" customHeight="false" outlineLevel="0" collapsed="false">
      <c r="A39" s="55"/>
      <c r="B39" s="189" t="s">
        <v>28</v>
      </c>
      <c r="C39" s="193" t="n">
        <v>0</v>
      </c>
      <c r="D39" s="194" t="n">
        <v>1.68750632446062</v>
      </c>
      <c r="E39" s="194" t="n">
        <v>1.72311270790675</v>
      </c>
      <c r="F39" s="194" t="n">
        <v>1.76084887620991</v>
      </c>
      <c r="G39" s="194" t="n">
        <v>1.80064406081224</v>
      </c>
      <c r="H39" s="194" t="n">
        <v>1.84349938945957</v>
      </c>
      <c r="I39" s="194" t="n">
        <v>1.88969766948974</v>
      </c>
      <c r="J39" s="194" t="n">
        <v>1.93656743614825</v>
      </c>
      <c r="K39" s="194" t="n">
        <v>1.98558596001747</v>
      </c>
      <c r="L39" s="194" t="n">
        <v>2.03462993322991</v>
      </c>
      <c r="M39" s="194" t="n">
        <v>2.08651299652726</v>
      </c>
      <c r="N39" s="194" t="n">
        <v>2.13700661104323</v>
      </c>
      <c r="O39" s="194" t="n">
        <v>2.19085917764151</v>
      </c>
      <c r="P39" s="194" t="n">
        <v>2.2465070007536</v>
      </c>
      <c r="Q39" s="194" t="n">
        <v>2.30266967577244</v>
      </c>
      <c r="R39" s="194" t="n">
        <v>2.36046668463433</v>
      </c>
      <c r="S39" s="194" t="n">
        <v>2.41947835175019</v>
      </c>
      <c r="T39" s="194" t="n">
        <v>2.4794814148736</v>
      </c>
      <c r="U39" s="194" t="n">
        <v>2.54171639838693</v>
      </c>
      <c r="V39" s="194" t="n">
        <v>2.60551347998644</v>
      </c>
    </row>
    <row r="40" customFormat="false" ht="12.75" hidden="false" customHeight="false" outlineLevel="0" collapsed="false">
      <c r="A40" s="55"/>
      <c r="B40" s="189" t="s">
        <v>33</v>
      </c>
      <c r="C40" s="193" t="n">
        <v>0</v>
      </c>
      <c r="D40" s="194" t="n">
        <v>3.98269198717949</v>
      </c>
      <c r="E40" s="194" t="n">
        <v>0.769230608974357</v>
      </c>
      <c r="F40" s="194" t="n">
        <v>1.28205115384615</v>
      </c>
      <c r="G40" s="194" t="n">
        <v>0.769230384615385</v>
      </c>
      <c r="H40" s="194" t="n">
        <v>1.52243569871795</v>
      </c>
      <c r="I40" s="194" t="n">
        <v>1.56810876967949</v>
      </c>
      <c r="J40" s="194" t="n">
        <v>1.61515203276987</v>
      </c>
      <c r="K40" s="194" t="n">
        <v>1.66360659375297</v>
      </c>
      <c r="L40" s="194" t="n">
        <v>1.71351479156556</v>
      </c>
      <c r="M40" s="194" t="n">
        <v>1.76492023531252</v>
      </c>
      <c r="N40" s="194" t="n">
        <v>1.8178678423719</v>
      </c>
      <c r="O40" s="194" t="n">
        <v>1.87240387764306</v>
      </c>
      <c r="P40" s="194" t="n">
        <v>1.92857599397235</v>
      </c>
      <c r="Q40" s="194" t="n">
        <v>1.98643327379152</v>
      </c>
      <c r="R40" s="194" t="n">
        <v>2.04602627200526</v>
      </c>
      <c r="S40" s="194" t="n">
        <v>2.10740706016542</v>
      </c>
      <c r="T40" s="194" t="n">
        <v>2.17062927197038</v>
      </c>
      <c r="U40" s="194" t="n">
        <v>2.2357481501295</v>
      </c>
      <c r="V40" s="194" t="n">
        <v>2.30282059463338</v>
      </c>
    </row>
    <row r="41" customFormat="false" ht="12.75" hidden="false" customHeight="false" outlineLevel="0" collapsed="false">
      <c r="A41" s="55"/>
      <c r="B41" s="189" t="s">
        <v>115</v>
      </c>
      <c r="C41" s="195" t="n">
        <v>0</v>
      </c>
      <c r="D41" s="196" t="n">
        <v>4.71783076923077</v>
      </c>
      <c r="E41" s="196" t="n">
        <v>67.9870126923077</v>
      </c>
      <c r="F41" s="196" t="n">
        <v>9.08946961538462</v>
      </c>
      <c r="G41" s="196" t="n">
        <v>0</v>
      </c>
      <c r="H41" s="196" t="n">
        <v>0</v>
      </c>
      <c r="I41" s="196" t="n">
        <v>0</v>
      </c>
      <c r="J41" s="196" t="n">
        <v>0</v>
      </c>
      <c r="K41" s="196" t="n">
        <v>0</v>
      </c>
      <c r="L41" s="196" t="n">
        <v>0</v>
      </c>
      <c r="M41" s="196" t="n">
        <v>0</v>
      </c>
      <c r="N41" s="196" t="n">
        <v>0</v>
      </c>
      <c r="O41" s="196" t="n">
        <v>0</v>
      </c>
      <c r="P41" s="196" t="n">
        <v>0</v>
      </c>
      <c r="Q41" s="196" t="n">
        <v>0</v>
      </c>
      <c r="R41" s="196" t="n">
        <v>0</v>
      </c>
      <c r="S41" s="196" t="n">
        <v>0</v>
      </c>
      <c r="T41" s="196" t="n">
        <v>0</v>
      </c>
      <c r="U41" s="196" t="n">
        <v>0</v>
      </c>
      <c r="V41" s="196" t="n">
        <v>0</v>
      </c>
    </row>
    <row r="42" customFormat="false" ht="12.75" hidden="false" customHeight="false" outlineLevel="0" collapsed="false">
      <c r="A42" s="55"/>
      <c r="B42" s="189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</row>
    <row r="43" customFormat="false" ht="12.75" hidden="false" customHeight="false" outlineLevel="0" collapsed="false">
      <c r="A43" s="55"/>
      <c r="B43" s="189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</row>
    <row r="44" customFormat="false" ht="12.75" hidden="false" customHeight="false" outlineLevel="0" collapsed="false">
      <c r="A44" s="149"/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</row>
    <row r="45" customFormat="false" ht="12.75" hidden="false" customHeight="false" outlineLevel="0" collapsed="false">
      <c r="A45" s="249"/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</row>
    <row r="46" customFormat="false" ht="12.75" hidden="false" customHeight="false" outlineLevel="0" collapsed="false">
      <c r="A46" s="52" t="s">
        <v>105</v>
      </c>
      <c r="B46" s="182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</row>
    <row r="47" customFormat="false" ht="12.75" hidden="false" customHeight="false" outlineLevel="0" collapsed="false">
      <c r="A47" s="183" t="s">
        <v>71</v>
      </c>
      <c r="B47" s="182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</row>
    <row r="48" customFormat="false" ht="12.75" hidden="false" customHeight="false" outlineLevel="0" collapsed="false">
      <c r="A48" s="55"/>
      <c r="B48" s="182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</row>
    <row r="49" customFormat="false" ht="12.75" hidden="false" customHeight="false" outlineLevel="0" collapsed="false">
      <c r="A49" s="55"/>
      <c r="B49" s="182"/>
      <c r="C49" s="184" t="n">
        <v>2000</v>
      </c>
      <c r="D49" s="185" t="n">
        <v>2001</v>
      </c>
      <c r="E49" s="185" t="n">
        <v>2002</v>
      </c>
      <c r="F49" s="185" t="n">
        <v>2003</v>
      </c>
      <c r="G49" s="185" t="n">
        <v>2004</v>
      </c>
      <c r="H49" s="185" t="n">
        <v>2005</v>
      </c>
      <c r="I49" s="185" t="n">
        <v>2006</v>
      </c>
      <c r="J49" s="185" t="n">
        <v>2007</v>
      </c>
      <c r="K49" s="185" t="n">
        <v>2008</v>
      </c>
      <c r="L49" s="185" t="n">
        <v>2009</v>
      </c>
      <c r="M49" s="185" t="n">
        <v>2010</v>
      </c>
      <c r="N49" s="185" t="n">
        <v>2011</v>
      </c>
      <c r="O49" s="185" t="n">
        <v>2012</v>
      </c>
      <c r="P49" s="185" t="n">
        <v>2013</v>
      </c>
      <c r="Q49" s="185" t="n">
        <v>2014</v>
      </c>
      <c r="R49" s="185" t="n">
        <v>2015</v>
      </c>
      <c r="S49" s="185" t="n">
        <v>2016</v>
      </c>
      <c r="T49" s="185" t="n">
        <v>2017</v>
      </c>
      <c r="U49" s="185" t="n">
        <v>2018</v>
      </c>
      <c r="V49" s="185" t="n">
        <v>2019</v>
      </c>
    </row>
    <row r="50" customFormat="false" ht="12.75" hidden="false" customHeight="false" outlineLevel="0" collapsed="false">
      <c r="A50" s="186" t="s">
        <v>106</v>
      </c>
      <c r="B50" s="182"/>
      <c r="C50" s="187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</row>
    <row r="51" customFormat="false" ht="12.75" hidden="false" customHeight="false" outlineLevel="0" collapsed="false">
      <c r="A51" s="55"/>
      <c r="B51" s="189" t="s">
        <v>107</v>
      </c>
      <c r="C51" s="190" t="n">
        <v>0</v>
      </c>
      <c r="D51" s="191" t="n">
        <v>3093685.05043489</v>
      </c>
      <c r="E51" s="191" t="n">
        <v>3093685.05043489</v>
      </c>
      <c r="F51" s="191" t="n">
        <v>3093685.05043489</v>
      </c>
      <c r="G51" s="191" t="n">
        <v>3093685.05043489</v>
      </c>
      <c r="H51" s="191" t="n">
        <v>3093685.05043489</v>
      </c>
      <c r="I51" s="191" t="n">
        <v>3093685.05043489</v>
      </c>
      <c r="J51" s="191" t="n">
        <v>3093685.05043489</v>
      </c>
      <c r="K51" s="191" t="n">
        <v>3093685.05043489</v>
      </c>
      <c r="L51" s="191" t="n">
        <v>3093685.05043489</v>
      </c>
      <c r="M51" s="191" t="n">
        <v>3093685.05043489</v>
      </c>
      <c r="N51" s="191" t="n">
        <v>3093685.05043489</v>
      </c>
      <c r="O51" s="191" t="n">
        <v>3093685.05043489</v>
      </c>
      <c r="P51" s="191" t="n">
        <v>3093685.05043489</v>
      </c>
      <c r="Q51" s="191" t="n">
        <v>3093685.05043489</v>
      </c>
      <c r="R51" s="191" t="n">
        <v>3093685.05043489</v>
      </c>
      <c r="S51" s="191" t="n">
        <v>3093685.05043489</v>
      </c>
      <c r="T51" s="191" t="n">
        <v>3093685.05043489</v>
      </c>
      <c r="U51" s="191" t="n">
        <v>3093685.05043489</v>
      </c>
      <c r="V51" s="191" t="n">
        <v>3093685.05043489</v>
      </c>
    </row>
    <row r="52" customFormat="false" ht="12.75" hidden="false" customHeight="false" outlineLevel="0" collapsed="false">
      <c r="A52" s="55"/>
      <c r="B52" s="189" t="s">
        <v>108</v>
      </c>
      <c r="C52" s="190" t="n">
        <v>0</v>
      </c>
      <c r="D52" s="192" t="n">
        <v>0.853044429674545</v>
      </c>
      <c r="E52" s="192" t="n">
        <v>0.853044429674545</v>
      </c>
      <c r="F52" s="192" t="n">
        <v>0.853044429674545</v>
      </c>
      <c r="G52" s="192" t="n">
        <v>0.853044429674545</v>
      </c>
      <c r="H52" s="192" t="n">
        <v>0.853044429674545</v>
      </c>
      <c r="I52" s="192" t="n">
        <v>0.853044429674545</v>
      </c>
      <c r="J52" s="192" t="n">
        <v>0.853044429674545</v>
      </c>
      <c r="K52" s="192" t="n">
        <v>0.853044429674545</v>
      </c>
      <c r="L52" s="192" t="n">
        <v>0.853044429674545</v>
      </c>
      <c r="M52" s="192" t="n">
        <v>0.853044429674545</v>
      </c>
      <c r="N52" s="192" t="n">
        <v>0.853044429674545</v>
      </c>
      <c r="O52" s="192" t="n">
        <v>0.853044429674545</v>
      </c>
      <c r="P52" s="192" t="n">
        <v>0.853044429674545</v>
      </c>
      <c r="Q52" s="192" t="n">
        <v>0.853044429674545</v>
      </c>
      <c r="R52" s="192" t="n">
        <v>0.853044429674545</v>
      </c>
      <c r="S52" s="192" t="n">
        <v>0.853044429674545</v>
      </c>
      <c r="T52" s="192" t="n">
        <v>0.853044429674545</v>
      </c>
      <c r="U52" s="192" t="n">
        <v>0.853044429674545</v>
      </c>
      <c r="V52" s="192" t="n">
        <v>0.853044429674545</v>
      </c>
    </row>
    <row r="53" customFormat="false" ht="12.75" hidden="false" customHeight="false" outlineLevel="0" collapsed="false">
      <c r="A53" s="186" t="s">
        <v>109</v>
      </c>
      <c r="B53" s="189"/>
      <c r="C53" s="187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</row>
    <row r="54" customFormat="false" ht="12.75" hidden="false" customHeight="false" outlineLevel="0" collapsed="false">
      <c r="A54" s="55"/>
      <c r="B54" s="189" t="s">
        <v>20</v>
      </c>
      <c r="C54" s="193" t="n">
        <v>0</v>
      </c>
      <c r="D54" s="194" t="n">
        <v>39.4830479600139</v>
      </c>
      <c r="E54" s="194" t="n">
        <v>38.9354673272511</v>
      </c>
      <c r="F54" s="194" t="n">
        <v>39.6849082613523</v>
      </c>
      <c r="G54" s="194" t="n">
        <v>39.1224218116774</v>
      </c>
      <c r="H54" s="194" t="n">
        <v>39.417099156106</v>
      </c>
      <c r="I54" s="194" t="n">
        <v>42.0786149252578</v>
      </c>
      <c r="J54" s="194" t="n">
        <v>45.1190140269637</v>
      </c>
      <c r="K54" s="194" t="n">
        <v>46.2865929451868</v>
      </c>
      <c r="L54" s="194" t="n">
        <v>47.2554084179073</v>
      </c>
      <c r="M54" s="194" t="n">
        <v>47.424107614869</v>
      </c>
      <c r="N54" s="194" t="n">
        <v>48.4487023221246</v>
      </c>
      <c r="O54" s="194" t="n">
        <v>48.9927709342232</v>
      </c>
      <c r="P54" s="194" t="n">
        <v>49.5693200792455</v>
      </c>
      <c r="Q54" s="194" t="n">
        <v>51.3142206624761</v>
      </c>
      <c r="R54" s="194" t="n">
        <v>54.9549131355292</v>
      </c>
      <c r="S54" s="194" t="n">
        <v>54.6383329257431</v>
      </c>
      <c r="T54" s="194" t="n">
        <v>55.33468859591</v>
      </c>
      <c r="U54" s="194" t="n">
        <v>57.9938209162061</v>
      </c>
      <c r="V54" s="194" t="n">
        <v>59.7553005518293</v>
      </c>
    </row>
    <row r="55" customFormat="false" ht="12.75" hidden="false" customHeight="false" outlineLevel="0" collapsed="false">
      <c r="A55" s="55"/>
      <c r="B55" s="189" t="s">
        <v>21</v>
      </c>
      <c r="C55" s="193" t="n">
        <v>0</v>
      </c>
      <c r="D55" s="194" t="n">
        <v>9.4885449</v>
      </c>
      <c r="E55" s="194" t="n">
        <v>9.45462420000001</v>
      </c>
      <c r="F55" s="194" t="n">
        <v>9.4751822</v>
      </c>
      <c r="G55" s="194" t="n">
        <v>9.590307</v>
      </c>
      <c r="H55" s="194" t="n">
        <v>9.7701895</v>
      </c>
      <c r="I55" s="194" t="n">
        <v>10.104257</v>
      </c>
      <c r="J55" s="194" t="n">
        <v>10.5071938</v>
      </c>
      <c r="K55" s="194" t="n">
        <v>10.8330381</v>
      </c>
      <c r="L55" s="194" t="n">
        <v>11.1609382</v>
      </c>
      <c r="M55" s="194" t="n">
        <v>11.5525681</v>
      </c>
      <c r="N55" s="194" t="n">
        <v>11.9349469</v>
      </c>
      <c r="O55" s="194" t="n">
        <v>12.1775313</v>
      </c>
      <c r="P55" s="194" t="n">
        <v>12.3440511</v>
      </c>
      <c r="Q55" s="194" t="n">
        <v>12.5886913</v>
      </c>
      <c r="R55" s="194" t="n">
        <v>12.8323036</v>
      </c>
      <c r="S55" s="194" t="n">
        <v>13.0841391</v>
      </c>
      <c r="T55" s="194" t="n">
        <v>13.3390583</v>
      </c>
      <c r="U55" s="194" t="n">
        <v>13.6001449</v>
      </c>
      <c r="V55" s="194" t="n">
        <v>13.8643152</v>
      </c>
    </row>
    <row r="56" customFormat="false" ht="12.75" hidden="false" customHeight="false" outlineLevel="0" collapsed="false">
      <c r="A56" s="55"/>
      <c r="B56" s="189" t="s">
        <v>110</v>
      </c>
      <c r="C56" s="193" t="n">
        <v>0</v>
      </c>
      <c r="D56" s="194" t="n">
        <v>2.12213377634965</v>
      </c>
      <c r="E56" s="194" t="n">
        <v>2.16496767929522</v>
      </c>
      <c r="F56" s="194" t="n">
        <v>2.73206615697307</v>
      </c>
      <c r="G56" s="194" t="n">
        <v>2.78973166026712</v>
      </c>
      <c r="H56" s="194" t="n">
        <v>2.8486241172961</v>
      </c>
      <c r="I56" s="194" t="n">
        <v>2.90876986864827</v>
      </c>
      <c r="J56" s="194" t="n">
        <v>2.97019582596261</v>
      </c>
      <c r="K56" s="194" t="n">
        <v>3.03292948443971</v>
      </c>
      <c r="L56" s="194" t="n">
        <v>3.09699893562977</v>
      </c>
      <c r="M56" s="194" t="n">
        <v>3.16243288050394</v>
      </c>
      <c r="N56" s="194" t="n">
        <v>3.2292606428154</v>
      </c>
      <c r="O56" s="194" t="n">
        <v>3.29751218275657</v>
      </c>
      <c r="P56" s="194" t="n">
        <v>3.36721811091918</v>
      </c>
      <c r="Q56" s="194" t="n">
        <v>3.43840970256398</v>
      </c>
      <c r="R56" s="194" t="n">
        <v>3.51111891220699</v>
      </c>
      <c r="S56" s="194" t="n">
        <v>3.58537838852944</v>
      </c>
      <c r="T56" s="194" t="n">
        <v>3.66122148961867</v>
      </c>
      <c r="U56" s="194" t="n">
        <v>3.73868229854734</v>
      </c>
      <c r="V56" s="194" t="n">
        <v>3.81779563929863</v>
      </c>
    </row>
    <row r="57" customFormat="false" ht="12.75" hidden="false" customHeight="false" outlineLevel="0" collapsed="false">
      <c r="A57" s="55"/>
      <c r="B57" s="189" t="s">
        <v>111</v>
      </c>
      <c r="C57" s="193" t="n">
        <v>0</v>
      </c>
      <c r="D57" s="194" t="n">
        <v>0</v>
      </c>
      <c r="E57" s="194" t="n">
        <v>0</v>
      </c>
      <c r="F57" s="194" t="n">
        <v>0</v>
      </c>
      <c r="G57" s="194" t="n">
        <v>0</v>
      </c>
      <c r="H57" s="194" t="n">
        <v>0</v>
      </c>
      <c r="I57" s="194" t="n">
        <v>-0.828642031956647</v>
      </c>
      <c r="J57" s="194" t="n">
        <v>-0.918483497220612</v>
      </c>
      <c r="K57" s="194" t="n">
        <v>-0.990667209074543</v>
      </c>
      <c r="L57" s="194" t="n">
        <v>-1.11317876930835</v>
      </c>
      <c r="M57" s="194" t="n">
        <v>-1.23802594324823</v>
      </c>
      <c r="N57" s="194" t="n">
        <v>-1.36377920066591</v>
      </c>
      <c r="O57" s="194" t="n">
        <v>-1.511026467001</v>
      </c>
      <c r="P57" s="194" t="n">
        <v>-1.6942581597195</v>
      </c>
      <c r="Q57" s="194" t="n">
        <v>-1.88597371570179</v>
      </c>
      <c r="R57" s="194" t="n">
        <v>-2.08908274535489</v>
      </c>
      <c r="S57" s="194" t="n">
        <v>-2.29381028532807</v>
      </c>
      <c r="T57" s="194" t="n">
        <v>-2.25355677669275</v>
      </c>
      <c r="U57" s="194" t="n">
        <v>-1.9280397117496</v>
      </c>
      <c r="V57" s="194" t="n">
        <v>-1.99902146443378</v>
      </c>
    </row>
    <row r="58" customFormat="false" ht="12.75" hidden="false" customHeight="false" outlineLevel="0" collapsed="false">
      <c r="A58" s="55"/>
      <c r="B58" s="189" t="s">
        <v>112</v>
      </c>
      <c r="C58" s="193" t="n">
        <v>0</v>
      </c>
      <c r="D58" s="194" t="n">
        <v>0</v>
      </c>
      <c r="E58" s="194" t="n">
        <v>0</v>
      </c>
      <c r="F58" s="194" t="n">
        <v>0.516469279186913</v>
      </c>
      <c r="G58" s="194" t="n">
        <v>0.440064199775059</v>
      </c>
      <c r="H58" s="194" t="n">
        <v>0.45684676107065</v>
      </c>
      <c r="I58" s="194" t="n">
        <v>0.47447558552178</v>
      </c>
      <c r="J58" s="194" t="n">
        <v>0.596044963169049</v>
      </c>
      <c r="K58" s="194" t="n">
        <v>0.520638595387696</v>
      </c>
      <c r="L58" s="194" t="n">
        <v>0.551059167057835</v>
      </c>
      <c r="M58" s="194" t="n">
        <v>0.524353902448523</v>
      </c>
      <c r="N58" s="194" t="n">
        <v>0.53937183037561</v>
      </c>
      <c r="O58" s="194" t="n">
        <v>0.553358212249553</v>
      </c>
      <c r="P58" s="194" t="n">
        <v>0.494264981961111</v>
      </c>
      <c r="Q58" s="194" t="n">
        <v>0.511937267499505</v>
      </c>
      <c r="R58" s="194" t="n">
        <v>0.522516646283705</v>
      </c>
      <c r="S58" s="194" t="n">
        <v>0.554875967249051</v>
      </c>
      <c r="T58" s="194" t="n">
        <v>0.521640959071146</v>
      </c>
      <c r="U58" s="194" t="n">
        <v>0.574523376088177</v>
      </c>
      <c r="V58" s="194" t="n">
        <v>0.312799570619747</v>
      </c>
    </row>
    <row r="59" customFormat="false" ht="12.75" hidden="false" customHeight="false" outlineLevel="0" collapsed="false">
      <c r="A59" s="186" t="s">
        <v>113</v>
      </c>
      <c r="B59" s="189"/>
      <c r="C59" s="187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</row>
    <row r="60" customFormat="false" ht="12.75" hidden="false" customHeight="false" outlineLevel="0" collapsed="false">
      <c r="A60" s="55"/>
      <c r="B60" s="189" t="s">
        <v>26</v>
      </c>
      <c r="C60" s="193" t="n">
        <v>0</v>
      </c>
      <c r="D60" s="194" t="n">
        <v>5.81414078789429</v>
      </c>
      <c r="E60" s="194" t="n">
        <v>5.93042360365218</v>
      </c>
      <c r="F60" s="194" t="n">
        <v>6.22851275205372</v>
      </c>
      <c r="G60" s="194" t="n">
        <v>6.35398041047644</v>
      </c>
      <c r="H60" s="194" t="n">
        <v>6.48197985715215</v>
      </c>
      <c r="I60" s="194" t="n">
        <v>6.61256228872303</v>
      </c>
      <c r="J60" s="194" t="n">
        <v>6.74577993978603</v>
      </c>
      <c r="K60" s="194" t="n">
        <v>6.8816861040025</v>
      </c>
      <c r="L60" s="194" t="n">
        <v>7.02033515563881</v>
      </c>
      <c r="M60" s="194" t="n">
        <v>7.16178257154676</v>
      </c>
      <c r="N60" s="194" t="n">
        <v>7.30608495359275</v>
      </c>
      <c r="O60" s="194" t="n">
        <v>7.45330005154503</v>
      </c>
      <c r="P60" s="194" t="n">
        <v>7.60348678642837</v>
      </c>
      <c r="Q60" s="194" t="n">
        <v>7.75670527435569</v>
      </c>
      <c r="R60" s="194" t="n">
        <v>7.91301685084653</v>
      </c>
      <c r="S60" s="194" t="n">
        <v>8.07248409564227</v>
      </c>
      <c r="T60" s="194" t="n">
        <v>8.2351708580284</v>
      </c>
      <c r="U60" s="194" t="n">
        <v>8.40114228267408</v>
      </c>
      <c r="V60" s="194" t="n">
        <v>8.5704648359998</v>
      </c>
    </row>
    <row r="61" customFormat="false" ht="12.75" hidden="false" customHeight="false" outlineLevel="0" collapsed="false">
      <c r="A61" s="55"/>
      <c r="B61" s="189" t="s">
        <v>114</v>
      </c>
      <c r="C61" s="193" t="n">
        <v>0</v>
      </c>
      <c r="D61" s="194" t="n">
        <v>1.44279842847293</v>
      </c>
      <c r="E61" s="194" t="n">
        <v>1.48157953736006</v>
      </c>
      <c r="F61" s="194" t="n">
        <v>1.52120995253183</v>
      </c>
      <c r="G61" s="194" t="n">
        <v>1.56173601508647</v>
      </c>
      <c r="H61" s="194" t="n">
        <v>1.60322659792992</v>
      </c>
      <c r="I61" s="194" t="n">
        <v>1.64575693895055</v>
      </c>
      <c r="J61" s="194" t="n">
        <v>1.68934215091256</v>
      </c>
      <c r="K61" s="194" t="n">
        <v>1.7340305946614</v>
      </c>
      <c r="L61" s="194" t="n">
        <v>1.77982284297084</v>
      </c>
      <c r="M61" s="194" t="n">
        <v>1.82678279361217</v>
      </c>
      <c r="N61" s="194" t="n">
        <v>1.87487917505902</v>
      </c>
      <c r="O61" s="194" t="n">
        <v>1.92418758531833</v>
      </c>
      <c r="P61" s="194" t="n">
        <v>1.97474842919823</v>
      </c>
      <c r="Q61" s="194" t="n">
        <v>2.02657329417512</v>
      </c>
      <c r="R61" s="194" t="n">
        <v>2.07969896326294</v>
      </c>
      <c r="S61" s="194" t="n">
        <v>2.13415277407795</v>
      </c>
      <c r="T61" s="194" t="n">
        <v>2.18995703940117</v>
      </c>
      <c r="U61" s="194" t="n">
        <v>2.24716199178401</v>
      </c>
      <c r="V61" s="194" t="n">
        <v>2.30580278847165</v>
      </c>
    </row>
    <row r="62" customFormat="false" ht="12.75" hidden="false" customHeight="false" outlineLevel="0" collapsed="false">
      <c r="A62" s="55"/>
      <c r="B62" s="189" t="s">
        <v>28</v>
      </c>
      <c r="C62" s="193" t="n">
        <v>0</v>
      </c>
      <c r="D62" s="194" t="n">
        <v>2.34972463844275</v>
      </c>
      <c r="E62" s="194" t="n">
        <v>2.3993038283139</v>
      </c>
      <c r="F62" s="194" t="n">
        <v>2.45184858215399</v>
      </c>
      <c r="G62" s="194" t="n">
        <v>2.50726036011065</v>
      </c>
      <c r="H62" s="194" t="n">
        <v>2.56693315668128</v>
      </c>
      <c r="I62" s="194" t="n">
        <v>2.63126075964611</v>
      </c>
      <c r="J62" s="194" t="n">
        <v>2.6965233568401</v>
      </c>
      <c r="K62" s="194" t="n">
        <v>2.76477793556734</v>
      </c>
      <c r="L62" s="194" t="n">
        <v>2.83306795057585</v>
      </c>
      <c r="M62" s="194" t="n">
        <v>2.90531118331553</v>
      </c>
      <c r="N62" s="194" t="n">
        <v>2.97561971395176</v>
      </c>
      <c r="O62" s="194" t="n">
        <v>3.05060533074336</v>
      </c>
      <c r="P62" s="194" t="n">
        <v>3.12809070614423</v>
      </c>
      <c r="Q62" s="194" t="n">
        <v>3.20629297379783</v>
      </c>
      <c r="R62" s="194" t="n">
        <v>3.28677092744015</v>
      </c>
      <c r="S62" s="194" t="n">
        <v>3.36894020062616</v>
      </c>
      <c r="T62" s="194" t="n">
        <v>3.45248991760169</v>
      </c>
      <c r="U62" s="194" t="n">
        <v>3.5391474145335</v>
      </c>
      <c r="V62" s="194" t="n">
        <v>3.62798001463829</v>
      </c>
    </row>
    <row r="63" customFormat="false" ht="12.75" hidden="false" customHeight="false" outlineLevel="0" collapsed="false">
      <c r="A63" s="55"/>
      <c r="B63" s="189" t="s">
        <v>33</v>
      </c>
      <c r="C63" s="193" t="n">
        <v>0</v>
      </c>
      <c r="D63" s="194" t="n">
        <v>15.6428814492754</v>
      </c>
      <c r="E63" s="194" t="n">
        <v>10.0204397826087</v>
      </c>
      <c r="F63" s="194" t="n">
        <v>22.3998225845411</v>
      </c>
      <c r="G63" s="194" t="n">
        <v>9.76818599033816</v>
      </c>
      <c r="H63" s="194" t="n">
        <v>14.1292137101449</v>
      </c>
      <c r="I63" s="194" t="n">
        <v>14.5530901214493</v>
      </c>
      <c r="J63" s="194" t="n">
        <v>14.9896828250928</v>
      </c>
      <c r="K63" s="194" t="n">
        <v>15.4393733098455</v>
      </c>
      <c r="L63" s="194" t="n">
        <v>15.9025545091409</v>
      </c>
      <c r="M63" s="194" t="n">
        <v>16.3796311444151</v>
      </c>
      <c r="N63" s="194" t="n">
        <v>16.8710200787476</v>
      </c>
      <c r="O63" s="194" t="n">
        <v>17.37715068111</v>
      </c>
      <c r="P63" s="194" t="n">
        <v>17.8984652015433</v>
      </c>
      <c r="Q63" s="194" t="n">
        <v>18.4354191575896</v>
      </c>
      <c r="R63" s="194" t="n">
        <v>18.9884817323173</v>
      </c>
      <c r="S63" s="194" t="n">
        <v>19.5581361842868</v>
      </c>
      <c r="T63" s="194" t="n">
        <v>20.1448802698154</v>
      </c>
      <c r="U63" s="194" t="n">
        <v>20.7492266779099</v>
      </c>
      <c r="V63" s="194" t="n">
        <v>21.3717034782472</v>
      </c>
    </row>
    <row r="64" customFormat="false" ht="12.75" hidden="false" customHeight="false" outlineLevel="0" collapsed="false">
      <c r="A64" s="55"/>
      <c r="B64" s="189" t="s">
        <v>115</v>
      </c>
      <c r="C64" s="195" t="n">
        <v>0</v>
      </c>
      <c r="D64" s="196" t="n">
        <v>45.4740974879227</v>
      </c>
      <c r="E64" s="196" t="n">
        <v>0</v>
      </c>
      <c r="F64" s="196" t="n">
        <v>0</v>
      </c>
      <c r="G64" s="196" t="n">
        <v>0</v>
      </c>
      <c r="H64" s="196" t="n">
        <v>0</v>
      </c>
      <c r="I64" s="196" t="n">
        <v>0</v>
      </c>
      <c r="J64" s="196" t="n">
        <v>0</v>
      </c>
      <c r="K64" s="196" t="n">
        <v>0</v>
      </c>
      <c r="L64" s="196" t="n">
        <v>0</v>
      </c>
      <c r="M64" s="196" t="n">
        <v>0</v>
      </c>
      <c r="N64" s="196" t="n">
        <v>0</v>
      </c>
      <c r="O64" s="196" t="n">
        <v>0</v>
      </c>
      <c r="P64" s="196" t="n">
        <v>0</v>
      </c>
      <c r="Q64" s="196" t="n">
        <v>0</v>
      </c>
      <c r="R64" s="196" t="n">
        <v>0</v>
      </c>
      <c r="S64" s="196" t="n">
        <v>0</v>
      </c>
      <c r="T64" s="196" t="n">
        <v>0</v>
      </c>
      <c r="U64" s="196" t="n">
        <v>0</v>
      </c>
      <c r="V64" s="196" t="n">
        <v>0</v>
      </c>
    </row>
    <row r="65" customFormat="false" ht="12.75" hidden="false" customHeight="false" outlineLevel="0" collapsed="false">
      <c r="A65" s="55"/>
      <c r="B65" s="189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</row>
    <row r="66" customFormat="false" ht="12.75" hidden="false" customHeight="false" outlineLevel="0" collapsed="false">
      <c r="A66" s="55"/>
      <c r="B66" s="189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</row>
    <row r="67" customFormat="false" ht="12.75" hidden="false" customHeight="false" outlineLevel="0" collapsed="false">
      <c r="A67" s="2"/>
      <c r="B67" s="31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customFormat="false" ht="12.75" hidden="false" customHeight="false" outlineLevel="0" collapsed="false">
      <c r="A68" s="2"/>
      <c r="B68" s="31"/>
      <c r="C68" s="250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</row>
    <row r="69" customFormat="false" ht="12.75" hidden="false" customHeight="false" outlineLevel="0" collapsed="false">
      <c r="A69" s="52" t="s">
        <v>105</v>
      </c>
      <c r="B69" s="182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</row>
    <row r="70" customFormat="false" ht="12.75" hidden="false" customHeight="false" outlineLevel="0" collapsed="false">
      <c r="A70" s="183" t="s">
        <v>72</v>
      </c>
      <c r="B70" s="182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</row>
    <row r="71" customFormat="false" ht="12.75" hidden="false" customHeight="false" outlineLevel="0" collapsed="false">
      <c r="A71" s="55"/>
      <c r="B71" s="182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</row>
    <row r="72" customFormat="false" ht="12.75" hidden="false" customHeight="false" outlineLevel="0" collapsed="false">
      <c r="A72" s="55"/>
      <c r="B72" s="182"/>
      <c r="C72" s="184" t="n">
        <v>2000</v>
      </c>
      <c r="D72" s="185" t="n">
        <v>2001</v>
      </c>
      <c r="E72" s="185" t="n">
        <v>2002</v>
      </c>
      <c r="F72" s="185" t="n">
        <v>2003</v>
      </c>
      <c r="G72" s="185" t="n">
        <v>2004</v>
      </c>
      <c r="H72" s="185" t="n">
        <v>2005</v>
      </c>
      <c r="I72" s="185" t="n">
        <v>2006</v>
      </c>
      <c r="J72" s="185" t="n">
        <v>2007</v>
      </c>
      <c r="K72" s="185" t="n">
        <v>2008</v>
      </c>
      <c r="L72" s="185" t="n">
        <v>2009</v>
      </c>
      <c r="M72" s="185" t="n">
        <v>2010</v>
      </c>
      <c r="N72" s="185" t="n">
        <v>2011</v>
      </c>
      <c r="O72" s="185" t="n">
        <v>2012</v>
      </c>
      <c r="P72" s="185" t="n">
        <v>2013</v>
      </c>
      <c r="Q72" s="185" t="n">
        <v>2014</v>
      </c>
      <c r="R72" s="185" t="n">
        <v>2015</v>
      </c>
      <c r="S72" s="185" t="n">
        <v>2016</v>
      </c>
      <c r="T72" s="185" t="n">
        <v>2017</v>
      </c>
      <c r="U72" s="185" t="n">
        <v>2018</v>
      </c>
      <c r="V72" s="185" t="n">
        <v>2019</v>
      </c>
    </row>
    <row r="73" customFormat="false" ht="12.75" hidden="false" customHeight="false" outlineLevel="0" collapsed="false">
      <c r="A73" s="186" t="s">
        <v>106</v>
      </c>
      <c r="B73" s="182"/>
      <c r="C73" s="187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</row>
    <row r="74" customFormat="false" ht="12.75" hidden="false" customHeight="false" outlineLevel="0" collapsed="false">
      <c r="A74" s="55"/>
      <c r="B74" s="189" t="s">
        <v>107</v>
      </c>
      <c r="C74" s="190" t="n">
        <v>0</v>
      </c>
      <c r="D74" s="191" t="n">
        <v>1624654.72663444</v>
      </c>
      <c r="E74" s="191" t="n">
        <v>1624654.72663444</v>
      </c>
      <c r="F74" s="191" t="n">
        <v>1624654.72663444</v>
      </c>
      <c r="G74" s="191" t="n">
        <v>1624654.72663444</v>
      </c>
      <c r="H74" s="191" t="n">
        <v>1624654.72663444</v>
      </c>
      <c r="I74" s="191" t="n">
        <v>1624654.72663444</v>
      </c>
      <c r="J74" s="191" t="n">
        <v>1624654.72663444</v>
      </c>
      <c r="K74" s="191" t="n">
        <v>1624654.72663444</v>
      </c>
      <c r="L74" s="191" t="n">
        <v>1624654.72663444</v>
      </c>
      <c r="M74" s="191" t="n">
        <v>1624654.72663444</v>
      </c>
      <c r="N74" s="191" t="n">
        <v>1624654.72663444</v>
      </c>
      <c r="O74" s="191" t="n">
        <v>1624654.72663444</v>
      </c>
      <c r="P74" s="191" t="n">
        <v>1624654.72663444</v>
      </c>
      <c r="Q74" s="191" t="n">
        <v>1624654.72663444</v>
      </c>
      <c r="R74" s="191" t="n">
        <v>1624654.72663444</v>
      </c>
      <c r="S74" s="191" t="n">
        <v>1624654.72663444</v>
      </c>
      <c r="T74" s="191" t="n">
        <v>1624654.72663444</v>
      </c>
      <c r="U74" s="191" t="n">
        <v>1624654.72663444</v>
      </c>
      <c r="V74" s="191" t="n">
        <v>1624654.72663444</v>
      </c>
    </row>
    <row r="75" customFormat="false" ht="12.75" hidden="false" customHeight="false" outlineLevel="0" collapsed="false">
      <c r="A75" s="55"/>
      <c r="B75" s="189" t="s">
        <v>108</v>
      </c>
      <c r="C75" s="190" t="n">
        <v>0</v>
      </c>
      <c r="D75" s="192" t="n">
        <v>0.812898831195552</v>
      </c>
      <c r="E75" s="192" t="n">
        <v>0.812898831195552</v>
      </c>
      <c r="F75" s="192" t="n">
        <v>0.812898831195552</v>
      </c>
      <c r="G75" s="192" t="n">
        <v>0.812898831195552</v>
      </c>
      <c r="H75" s="192" t="n">
        <v>0.812898831195552</v>
      </c>
      <c r="I75" s="192" t="n">
        <v>0.812898831195552</v>
      </c>
      <c r="J75" s="192" t="n">
        <v>0.812898831195552</v>
      </c>
      <c r="K75" s="192" t="n">
        <v>0.812898831195552</v>
      </c>
      <c r="L75" s="192" t="n">
        <v>0.812898831195552</v>
      </c>
      <c r="M75" s="192" t="n">
        <v>0.812898831195552</v>
      </c>
      <c r="N75" s="192" t="n">
        <v>0.812898831195552</v>
      </c>
      <c r="O75" s="192" t="n">
        <v>0.812898831195552</v>
      </c>
      <c r="P75" s="192" t="n">
        <v>0.812898831195552</v>
      </c>
      <c r="Q75" s="192" t="n">
        <v>0.812898831195552</v>
      </c>
      <c r="R75" s="192" t="n">
        <v>0.812898831195552</v>
      </c>
      <c r="S75" s="192" t="n">
        <v>0.812898831195552</v>
      </c>
      <c r="T75" s="192" t="n">
        <v>0.812898831195552</v>
      </c>
      <c r="U75" s="192" t="n">
        <v>0.812898831195552</v>
      </c>
      <c r="V75" s="192" t="n">
        <v>0.812898831195552</v>
      </c>
    </row>
    <row r="76" customFormat="false" ht="12.75" hidden="false" customHeight="false" outlineLevel="0" collapsed="false">
      <c r="A76" s="186" t="s">
        <v>109</v>
      </c>
      <c r="B76" s="189"/>
      <c r="C76" s="187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</row>
    <row r="77" customFormat="false" ht="12.75" hidden="false" customHeight="false" outlineLevel="0" collapsed="false">
      <c r="A77" s="55"/>
      <c r="B77" s="189" t="s">
        <v>20</v>
      </c>
      <c r="C77" s="193" t="n">
        <v>0</v>
      </c>
      <c r="D77" s="194" t="n">
        <v>39.4830479600139</v>
      </c>
      <c r="E77" s="194" t="n">
        <v>38.9354673272511</v>
      </c>
      <c r="F77" s="194" t="n">
        <v>39.6849082613523</v>
      </c>
      <c r="G77" s="194" t="n">
        <v>39.1224218116773</v>
      </c>
      <c r="H77" s="194" t="n">
        <v>39.417099156106</v>
      </c>
      <c r="I77" s="194" t="n">
        <v>42.0786149252578</v>
      </c>
      <c r="J77" s="194" t="n">
        <v>45.1190140269637</v>
      </c>
      <c r="K77" s="194" t="n">
        <v>46.2865929451868</v>
      </c>
      <c r="L77" s="194" t="n">
        <v>47.2554084179073</v>
      </c>
      <c r="M77" s="194" t="n">
        <v>47.424107614869</v>
      </c>
      <c r="N77" s="194" t="n">
        <v>48.4487023221245</v>
      </c>
      <c r="O77" s="194" t="n">
        <v>48.9927709342232</v>
      </c>
      <c r="P77" s="194" t="n">
        <v>49.5693200792455</v>
      </c>
      <c r="Q77" s="194" t="n">
        <v>51.3142206624761</v>
      </c>
      <c r="R77" s="194" t="n">
        <v>54.9549131355292</v>
      </c>
      <c r="S77" s="194" t="n">
        <v>54.6383329257431</v>
      </c>
      <c r="T77" s="194" t="n">
        <v>55.33468859591</v>
      </c>
      <c r="U77" s="194" t="n">
        <v>57.9938209162061</v>
      </c>
      <c r="V77" s="194" t="n">
        <v>59.7553005518294</v>
      </c>
    </row>
    <row r="78" customFormat="false" ht="12.75" hidden="false" customHeight="false" outlineLevel="0" collapsed="false">
      <c r="A78" s="55"/>
      <c r="B78" s="189" t="s">
        <v>21</v>
      </c>
      <c r="C78" s="193" t="n">
        <v>0</v>
      </c>
      <c r="D78" s="194" t="n">
        <v>11.7080224</v>
      </c>
      <c r="E78" s="194" t="n">
        <v>11.8757563</v>
      </c>
      <c r="F78" s="194" t="n">
        <v>12.0817453</v>
      </c>
      <c r="G78" s="194" t="n">
        <v>12.4289839</v>
      </c>
      <c r="H78" s="194" t="n">
        <v>12.8635226</v>
      </c>
      <c r="I78" s="194" t="n">
        <v>13.3608389</v>
      </c>
      <c r="J78" s="194" t="n">
        <v>13.6688415</v>
      </c>
      <c r="K78" s="194" t="n">
        <v>13.9631115</v>
      </c>
      <c r="L78" s="194" t="n">
        <v>14.1906803</v>
      </c>
      <c r="M78" s="194" t="n">
        <v>14.3005411</v>
      </c>
      <c r="N78" s="194" t="n">
        <v>14.4927975</v>
      </c>
      <c r="O78" s="194" t="n">
        <v>14.8066855</v>
      </c>
      <c r="P78" s="194" t="n">
        <v>15.1431342</v>
      </c>
      <c r="Q78" s="194" t="n">
        <v>15.4638885</v>
      </c>
      <c r="R78" s="194" t="n">
        <v>15.6806674</v>
      </c>
      <c r="S78" s="194" t="n">
        <v>16.0014217</v>
      </c>
      <c r="T78" s="194" t="n">
        <v>16.3663165</v>
      </c>
      <c r="U78" s="194" t="n">
        <v>16.7684855</v>
      </c>
      <c r="V78" s="194" t="n">
        <v>17.1824253</v>
      </c>
    </row>
    <row r="79" customFormat="false" ht="12.75" hidden="false" customHeight="false" outlineLevel="0" collapsed="false">
      <c r="A79" s="55"/>
      <c r="B79" s="189" t="s">
        <v>110</v>
      </c>
      <c r="C79" s="193" t="n">
        <v>0</v>
      </c>
      <c r="D79" s="194" t="n">
        <v>0.880361173594834</v>
      </c>
      <c r="E79" s="194" t="n">
        <v>0.898130696650857</v>
      </c>
      <c r="F79" s="194" t="n">
        <v>1.49025888608053</v>
      </c>
      <c r="G79" s="194" t="n">
        <v>1.52310298133352</v>
      </c>
      <c r="H79" s="194" t="n">
        <v>1.5566791179831</v>
      </c>
      <c r="I79" s="194" t="n">
        <v>1.59100379942559</v>
      </c>
      <c r="J79" s="194" t="n">
        <v>1.62609390535806</v>
      </c>
      <c r="K79" s="194" t="n">
        <v>1.66196670045342</v>
      </c>
      <c r="L79" s="194" t="n">
        <v>1.69863984323773</v>
      </c>
      <c r="M79" s="194" t="n">
        <v>1.73613139517424</v>
      </c>
      <c r="N79" s="194" t="n">
        <v>1.77445982995924</v>
      </c>
      <c r="O79" s="194" t="n">
        <v>1.81364404303453</v>
      </c>
      <c r="P79" s="194" t="n">
        <v>1.85370336132175</v>
      </c>
      <c r="Q79" s="194" t="n">
        <v>1.89465755318372</v>
      </c>
      <c r="R79" s="194" t="n">
        <v>1.9365268386181</v>
      </c>
      <c r="S79" s="194" t="n">
        <v>1.97933189968897</v>
      </c>
      <c r="T79" s="194" t="n">
        <v>2.0230938912018</v>
      </c>
      <c r="U79" s="194" t="n">
        <v>2.06783445162761</v>
      </c>
      <c r="V79" s="194" t="n">
        <v>2.11357571428215</v>
      </c>
    </row>
    <row r="80" customFormat="false" ht="12.75" hidden="false" customHeight="false" outlineLevel="0" collapsed="false">
      <c r="A80" s="55"/>
      <c r="B80" s="189" t="s">
        <v>111</v>
      </c>
      <c r="C80" s="193" t="n">
        <v>0</v>
      </c>
      <c r="D80" s="194" t="n">
        <v>0</v>
      </c>
      <c r="E80" s="194" t="n">
        <v>0</v>
      </c>
      <c r="F80" s="194" t="n">
        <v>0</v>
      </c>
      <c r="G80" s="194" t="n">
        <v>0</v>
      </c>
      <c r="H80" s="194" t="n">
        <v>0</v>
      </c>
      <c r="I80" s="194" t="n">
        <v>0.297571371467663</v>
      </c>
      <c r="J80" s="194" t="n">
        <v>0.329834094093662</v>
      </c>
      <c r="K80" s="194" t="n">
        <v>0.448723419626019</v>
      </c>
      <c r="L80" s="194" t="n">
        <v>0.399750580222921</v>
      </c>
      <c r="M80" s="194" t="n">
        <v>0.444584107054079</v>
      </c>
      <c r="N80" s="194" t="n">
        <v>0.489743015042301</v>
      </c>
      <c r="O80" s="194" t="n">
        <v>0.542620577727281</v>
      </c>
      <c r="P80" s="194" t="n">
        <v>0.608420409253854</v>
      </c>
      <c r="Q80" s="194" t="n">
        <v>0.677266857690252</v>
      </c>
      <c r="R80" s="194" t="n">
        <v>0.750204785263906</v>
      </c>
      <c r="S80" s="194" t="n">
        <v>0.823723931647502</v>
      </c>
      <c r="T80" s="194" t="n">
        <v>0.809268604366175</v>
      </c>
      <c r="U80" s="194" t="n">
        <v>0.692373062364113</v>
      </c>
      <c r="V80" s="194" t="n">
        <v>0.717863125239073</v>
      </c>
    </row>
    <row r="81" customFormat="false" ht="12.75" hidden="false" customHeight="false" outlineLevel="0" collapsed="false">
      <c r="A81" s="55"/>
      <c r="B81" s="189" t="s">
        <v>112</v>
      </c>
      <c r="C81" s="193" t="n">
        <v>0</v>
      </c>
      <c r="D81" s="194" t="n">
        <v>0</v>
      </c>
      <c r="E81" s="194" t="n">
        <v>0</v>
      </c>
      <c r="F81" s="194" t="n">
        <v>0.930946608643894</v>
      </c>
      <c r="G81" s="194" t="n">
        <v>0.793224865206197</v>
      </c>
      <c r="H81" s="194" t="n">
        <v>0.823475780705149</v>
      </c>
      <c r="I81" s="194" t="n">
        <v>0.855252103128421</v>
      </c>
      <c r="J81" s="194" t="n">
        <v>1.07438343270885</v>
      </c>
      <c r="K81" s="194" t="n">
        <v>0.938461887739669</v>
      </c>
      <c r="L81" s="194" t="n">
        <v>0.993295600354501</v>
      </c>
      <c r="M81" s="194" t="n">
        <v>0.945158805925766</v>
      </c>
      <c r="N81" s="194" t="n">
        <v>0.972228933106595</v>
      </c>
      <c r="O81" s="194" t="n">
        <v>0.997439677089749</v>
      </c>
      <c r="P81" s="194" t="n">
        <v>0.890922901459947</v>
      </c>
      <c r="Q81" s="194" t="n">
        <v>0.922777563396191</v>
      </c>
      <c r="R81" s="194" t="n">
        <v>0.941847113508088</v>
      </c>
      <c r="S81" s="194" t="n">
        <v>1.00017546201729</v>
      </c>
      <c r="T81" s="194" t="n">
        <v>0.940268669109521</v>
      </c>
      <c r="U81" s="194" t="n">
        <v>1.03559032474875</v>
      </c>
      <c r="V81" s="194" t="n">
        <v>0.563827726427719</v>
      </c>
    </row>
    <row r="82" customFormat="false" ht="12.75" hidden="false" customHeight="false" outlineLevel="0" collapsed="false">
      <c r="A82" s="186" t="s">
        <v>113</v>
      </c>
      <c r="B82" s="189"/>
      <c r="C82" s="187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</row>
    <row r="83" customFormat="false" ht="12.75" hidden="false" customHeight="false" outlineLevel="0" collapsed="false">
      <c r="A83" s="55"/>
      <c r="B83" s="189" t="s">
        <v>26</v>
      </c>
      <c r="C83" s="193" t="n">
        <v>0</v>
      </c>
      <c r="D83" s="194" t="n">
        <v>12.1177197094596</v>
      </c>
      <c r="E83" s="194" t="n">
        <v>12.3600741036488</v>
      </c>
      <c r="F83" s="194" t="n">
        <v>12.7913606174991</v>
      </c>
      <c r="G83" s="194" t="n">
        <v>13.048108255008</v>
      </c>
      <c r="H83" s="194" t="n">
        <v>13.310013855896</v>
      </c>
      <c r="I83" s="194" t="n">
        <v>13.5771811546964</v>
      </c>
      <c r="J83" s="194" t="n">
        <v>13.849715975015</v>
      </c>
      <c r="K83" s="194" t="n">
        <v>14.1277262716705</v>
      </c>
      <c r="L83" s="194" t="n">
        <v>14.4113221736881</v>
      </c>
      <c r="M83" s="194" t="n">
        <v>14.7006160281605</v>
      </c>
      <c r="N83" s="194" t="n">
        <v>14.9957224449974</v>
      </c>
      <c r="O83" s="194" t="n">
        <v>15.2967583425779</v>
      </c>
      <c r="P83" s="194" t="n">
        <v>15.603842994327</v>
      </c>
      <c r="Q83" s="194" t="n">
        <v>15.9170980762335</v>
      </c>
      <c r="R83" s="194" t="n">
        <v>16.2366477153287</v>
      </c>
      <c r="S83" s="194" t="n">
        <v>16.562618539145</v>
      </c>
      <c r="T83" s="194" t="n">
        <v>16.8951397261754</v>
      </c>
      <c r="U83" s="194" t="n">
        <v>17.2343430573526</v>
      </c>
      <c r="V83" s="194" t="n">
        <v>17.5803629685696</v>
      </c>
    </row>
    <row r="84" customFormat="false" ht="12.75" hidden="false" customHeight="false" outlineLevel="0" collapsed="false">
      <c r="A84" s="55"/>
      <c r="B84" s="189" t="s">
        <v>114</v>
      </c>
      <c r="C84" s="193" t="n">
        <v>0</v>
      </c>
      <c r="D84" s="194" t="n">
        <v>1.70194956018368</v>
      </c>
      <c r="E84" s="194" t="n">
        <v>1.74129528067563</v>
      </c>
      <c r="F84" s="194" t="n">
        <v>1.78150267244635</v>
      </c>
      <c r="G84" s="194" t="n">
        <v>1.82261875127109</v>
      </c>
      <c r="H84" s="194" t="n">
        <v>1.86471339277186</v>
      </c>
      <c r="I84" s="194" t="n">
        <v>1.90962454618987</v>
      </c>
      <c r="J84" s="194" t="n">
        <v>1.9538443123763</v>
      </c>
      <c r="K84" s="194" t="n">
        <v>2.00103373679934</v>
      </c>
      <c r="L84" s="194" t="n">
        <v>2.04749267142972</v>
      </c>
      <c r="M84" s="194" t="n">
        <v>2.09513630889318</v>
      </c>
      <c r="N84" s="194" t="n">
        <v>2.14393292238325</v>
      </c>
      <c r="O84" s="194" t="n">
        <v>2.19395921053327</v>
      </c>
      <c r="P84" s="194" t="n">
        <v>2.2452561664023</v>
      </c>
      <c r="Q84" s="194" t="n">
        <v>2.29783554616806</v>
      </c>
      <c r="R84" s="194" t="n">
        <v>2.35173466836593</v>
      </c>
      <c r="S84" s="194" t="n">
        <v>2.40698126861876</v>
      </c>
      <c r="T84" s="194" t="n">
        <v>2.46359798455785</v>
      </c>
      <c r="U84" s="194" t="n">
        <v>2.52163578006701</v>
      </c>
      <c r="V84" s="194" t="n">
        <v>2.58113032424346</v>
      </c>
    </row>
    <row r="85" customFormat="false" ht="12.75" hidden="false" customHeight="false" outlineLevel="0" collapsed="false">
      <c r="A85" s="55"/>
      <c r="B85" s="189" t="s">
        <v>28</v>
      </c>
      <c r="C85" s="193" t="n">
        <v>0</v>
      </c>
      <c r="D85" s="194" t="n">
        <v>2.34672519724395</v>
      </c>
      <c r="E85" s="194" t="n">
        <v>2.39624109890581</v>
      </c>
      <c r="F85" s="194" t="n">
        <v>2.44871877897185</v>
      </c>
      <c r="G85" s="194" t="n">
        <v>2.50405982337659</v>
      </c>
      <c r="H85" s="194" t="n">
        <v>2.56365644717297</v>
      </c>
      <c r="I85" s="194" t="n">
        <v>2.62790193546811</v>
      </c>
      <c r="J85" s="194" t="n">
        <v>2.69308122446522</v>
      </c>
      <c r="K85" s="194" t="n">
        <v>2.76124867570863</v>
      </c>
      <c r="L85" s="194" t="n">
        <v>2.82945151799863</v>
      </c>
      <c r="M85" s="194" t="n">
        <v>2.90160253170759</v>
      </c>
      <c r="N85" s="194" t="n">
        <v>2.97182131297492</v>
      </c>
      <c r="O85" s="194" t="n">
        <v>3.04671121006188</v>
      </c>
      <c r="P85" s="194" t="n">
        <v>3.12409767479745</v>
      </c>
      <c r="Q85" s="194" t="n">
        <v>3.20220011666739</v>
      </c>
      <c r="R85" s="194" t="n">
        <v>3.28257533959574</v>
      </c>
      <c r="S85" s="194" t="n">
        <v>3.36463972308564</v>
      </c>
      <c r="T85" s="194" t="n">
        <v>3.44808278821815</v>
      </c>
      <c r="U85" s="194" t="n">
        <v>3.53462966620244</v>
      </c>
      <c r="V85" s="194" t="n">
        <v>3.62334887082412</v>
      </c>
    </row>
    <row r="86" customFormat="false" ht="12.75" hidden="false" customHeight="false" outlineLevel="0" collapsed="false">
      <c r="A86" s="55"/>
      <c r="B86" s="189" t="s">
        <v>33</v>
      </c>
      <c r="C86" s="193" t="n">
        <v>0</v>
      </c>
      <c r="D86" s="194" t="n">
        <v>6.10209072978304</v>
      </c>
      <c r="E86" s="194" t="n">
        <v>1.26537769011615</v>
      </c>
      <c r="F86" s="194" t="n">
        <v>8.5898798597414</v>
      </c>
      <c r="G86" s="194" t="n">
        <v>3.13941893491124</v>
      </c>
      <c r="H86" s="194" t="n">
        <v>6.50607270655271</v>
      </c>
      <c r="I86" s="194" t="n">
        <v>6.70125488774929</v>
      </c>
      <c r="J86" s="194" t="n">
        <v>6.90229253438177</v>
      </c>
      <c r="K86" s="194" t="n">
        <v>7.10936131041322</v>
      </c>
      <c r="L86" s="194" t="n">
        <v>7.32264214972562</v>
      </c>
      <c r="M86" s="194" t="n">
        <v>7.54232141421738</v>
      </c>
      <c r="N86" s="194" t="n">
        <v>7.76859105664391</v>
      </c>
      <c r="O86" s="194" t="n">
        <v>8.00164878834322</v>
      </c>
      <c r="P86" s="194" t="n">
        <v>8.24169825199352</v>
      </c>
      <c r="Q86" s="194" t="n">
        <v>8.48894919955333</v>
      </c>
      <c r="R86" s="194" t="n">
        <v>8.74361767553993</v>
      </c>
      <c r="S86" s="194" t="n">
        <v>9.00592620580613</v>
      </c>
      <c r="T86" s="194" t="n">
        <v>9.27610399198031</v>
      </c>
      <c r="U86" s="194" t="n">
        <v>9.55438711173972</v>
      </c>
      <c r="V86" s="194" t="n">
        <v>9.84101872509191</v>
      </c>
    </row>
    <row r="87" customFormat="false" ht="12.75" hidden="false" customHeight="false" outlineLevel="0" collapsed="false">
      <c r="A87" s="55"/>
      <c r="B87" s="189" t="s">
        <v>115</v>
      </c>
      <c r="C87" s="195" t="n">
        <v>0</v>
      </c>
      <c r="D87" s="196" t="n">
        <v>27.2847863247863</v>
      </c>
      <c r="E87" s="196" t="n">
        <v>17.7871891299584</v>
      </c>
      <c r="F87" s="196" t="n">
        <v>9.64318075827307</v>
      </c>
      <c r="G87" s="196" t="n">
        <v>0</v>
      </c>
      <c r="H87" s="196" t="n">
        <v>0</v>
      </c>
      <c r="I87" s="196" t="n">
        <v>0</v>
      </c>
      <c r="J87" s="196" t="n">
        <v>0</v>
      </c>
      <c r="K87" s="196" t="n">
        <v>0</v>
      </c>
      <c r="L87" s="196" t="n">
        <v>0</v>
      </c>
      <c r="M87" s="196" t="n">
        <v>0</v>
      </c>
      <c r="N87" s="196" t="n">
        <v>0</v>
      </c>
      <c r="O87" s="196" t="n">
        <v>0</v>
      </c>
      <c r="P87" s="196" t="n">
        <v>0</v>
      </c>
      <c r="Q87" s="196" t="n">
        <v>0</v>
      </c>
      <c r="R87" s="196" t="n">
        <v>0</v>
      </c>
      <c r="S87" s="196" t="n">
        <v>0</v>
      </c>
      <c r="T87" s="196" t="n">
        <v>0</v>
      </c>
      <c r="U87" s="196" t="n">
        <v>0</v>
      </c>
      <c r="V87" s="196" t="n">
        <v>0</v>
      </c>
    </row>
    <row r="88" customFormat="false" ht="12.75" hidden="false" customHeight="false" outlineLevel="0" collapsed="false">
      <c r="A88" s="55"/>
      <c r="B88" s="189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</row>
    <row r="89" customFormat="false" ht="12.75" hidden="false" customHeight="false" outlineLevel="0" collapsed="false">
      <c r="A89" s="55"/>
      <c r="B89" s="189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</row>
    <row r="90" customFormat="false" ht="12.75" hidden="false" customHeight="false" outlineLevel="0" collapsed="false">
      <c r="A90" s="99"/>
      <c r="B90" s="31"/>
      <c r="C90" s="252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customFormat="false" ht="12.75" hidden="false" customHeight="false" outlineLevel="0" collapsed="false">
      <c r="A91" s="2"/>
      <c r="B91" s="125"/>
      <c r="C91" s="253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</row>
    <row r="92" customFormat="false" ht="12.75" hidden="false" customHeight="false" outlineLevel="0" collapsed="false">
      <c r="A92" s="52" t="s">
        <v>105</v>
      </c>
      <c r="B92" s="182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</row>
    <row r="93" customFormat="false" ht="12.75" hidden="false" customHeight="false" outlineLevel="0" collapsed="false">
      <c r="A93" s="183" t="s">
        <v>73</v>
      </c>
      <c r="B93" s="182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</row>
    <row r="94" customFormat="false" ht="12.75" hidden="false" customHeight="false" outlineLevel="0" collapsed="false">
      <c r="A94" s="55"/>
      <c r="B94" s="182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</row>
    <row r="95" customFormat="false" ht="12.75" hidden="false" customHeight="false" outlineLevel="0" collapsed="false">
      <c r="A95" s="55"/>
      <c r="B95" s="182"/>
      <c r="C95" s="184" t="n">
        <v>2000</v>
      </c>
      <c r="D95" s="185" t="n">
        <v>2001</v>
      </c>
      <c r="E95" s="185" t="n">
        <v>2002</v>
      </c>
      <c r="F95" s="185" t="n">
        <v>2003</v>
      </c>
      <c r="G95" s="185" t="n">
        <v>2004</v>
      </c>
      <c r="H95" s="185" t="n">
        <v>2005</v>
      </c>
      <c r="I95" s="185" t="n">
        <v>2006</v>
      </c>
      <c r="J95" s="185" t="n">
        <v>2007</v>
      </c>
      <c r="K95" s="185" t="n">
        <v>2008</v>
      </c>
      <c r="L95" s="185" t="n">
        <v>2009</v>
      </c>
      <c r="M95" s="185" t="n">
        <v>2010</v>
      </c>
      <c r="N95" s="185" t="n">
        <v>2011</v>
      </c>
      <c r="O95" s="185" t="n">
        <v>2012</v>
      </c>
      <c r="P95" s="185" t="n">
        <v>2013</v>
      </c>
      <c r="Q95" s="185" t="n">
        <v>2014</v>
      </c>
      <c r="R95" s="185" t="n">
        <v>2015</v>
      </c>
      <c r="S95" s="185" t="n">
        <v>2016</v>
      </c>
      <c r="T95" s="185" t="n">
        <v>2017</v>
      </c>
      <c r="U95" s="185" t="n">
        <v>2018</v>
      </c>
      <c r="V95" s="185" t="n">
        <v>2019</v>
      </c>
    </row>
    <row r="96" customFormat="false" ht="12.75" hidden="false" customHeight="false" outlineLevel="0" collapsed="false">
      <c r="A96" s="186" t="s">
        <v>106</v>
      </c>
      <c r="B96" s="182"/>
      <c r="C96" s="187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</row>
    <row r="97" customFormat="false" ht="12.75" hidden="false" customHeight="false" outlineLevel="0" collapsed="false">
      <c r="A97" s="55"/>
      <c r="B97" s="189" t="s">
        <v>107</v>
      </c>
      <c r="C97" s="190" t="n">
        <v>0</v>
      </c>
      <c r="D97" s="191" t="n">
        <v>1624654.72663444</v>
      </c>
      <c r="E97" s="191" t="n">
        <v>1624654.72663444</v>
      </c>
      <c r="F97" s="191" t="n">
        <v>1624654.72663444</v>
      </c>
      <c r="G97" s="191" t="n">
        <v>1624654.72663444</v>
      </c>
      <c r="H97" s="191" t="n">
        <v>1624654.72663444</v>
      </c>
      <c r="I97" s="191" t="n">
        <v>1624654.72663444</v>
      </c>
      <c r="J97" s="191" t="n">
        <v>1624654.72663444</v>
      </c>
      <c r="K97" s="191" t="n">
        <v>1624654.72663444</v>
      </c>
      <c r="L97" s="191" t="n">
        <v>1624654.72663444</v>
      </c>
      <c r="M97" s="191" t="n">
        <v>1624654.72663444</v>
      </c>
      <c r="N97" s="191" t="n">
        <v>1624654.72663444</v>
      </c>
      <c r="O97" s="191" t="n">
        <v>1624654.72663444</v>
      </c>
      <c r="P97" s="191" t="n">
        <v>1624654.72663444</v>
      </c>
      <c r="Q97" s="191" t="n">
        <v>1624654.72663444</v>
      </c>
      <c r="R97" s="191" t="n">
        <v>1624654.72663444</v>
      </c>
      <c r="S97" s="191" t="n">
        <v>1624654.72663444</v>
      </c>
      <c r="T97" s="191" t="n">
        <v>1624654.72663444</v>
      </c>
      <c r="U97" s="191" t="n">
        <v>1624654.72663444</v>
      </c>
      <c r="V97" s="191" t="n">
        <v>1624654.72663444</v>
      </c>
    </row>
    <row r="98" customFormat="false" ht="12.75" hidden="false" customHeight="false" outlineLevel="0" collapsed="false">
      <c r="A98" s="55"/>
      <c r="B98" s="189" t="s">
        <v>108</v>
      </c>
      <c r="C98" s="190" t="n">
        <v>0</v>
      </c>
      <c r="D98" s="192" t="n">
        <v>0.812898831195552</v>
      </c>
      <c r="E98" s="192" t="n">
        <v>0.812898831195552</v>
      </c>
      <c r="F98" s="192" t="n">
        <v>0.812898831195552</v>
      </c>
      <c r="G98" s="192" t="n">
        <v>0.812898831195552</v>
      </c>
      <c r="H98" s="192" t="n">
        <v>0.812898831195552</v>
      </c>
      <c r="I98" s="192" t="n">
        <v>0.812898831195552</v>
      </c>
      <c r="J98" s="192" t="n">
        <v>0.812898831195552</v>
      </c>
      <c r="K98" s="192" t="n">
        <v>0.812898831195552</v>
      </c>
      <c r="L98" s="192" t="n">
        <v>0.812898831195552</v>
      </c>
      <c r="M98" s="192" t="n">
        <v>0.812898831195552</v>
      </c>
      <c r="N98" s="192" t="n">
        <v>0.812898831195552</v>
      </c>
      <c r="O98" s="192" t="n">
        <v>0.812898831195552</v>
      </c>
      <c r="P98" s="192" t="n">
        <v>0.812898831195552</v>
      </c>
      <c r="Q98" s="192" t="n">
        <v>0.812898831195552</v>
      </c>
      <c r="R98" s="192" t="n">
        <v>0.812898831195552</v>
      </c>
      <c r="S98" s="192" t="n">
        <v>0.812898831195552</v>
      </c>
      <c r="T98" s="192" t="n">
        <v>0.812898831195552</v>
      </c>
      <c r="U98" s="192" t="n">
        <v>0.812898831195552</v>
      </c>
      <c r="V98" s="192" t="n">
        <v>0.812898831195552</v>
      </c>
    </row>
    <row r="99" customFormat="false" ht="12.75" hidden="false" customHeight="false" outlineLevel="0" collapsed="false">
      <c r="A99" s="186" t="s">
        <v>109</v>
      </c>
      <c r="B99" s="189"/>
      <c r="C99" s="187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</row>
    <row r="100" customFormat="false" ht="12.75" hidden="false" customHeight="false" outlineLevel="0" collapsed="false">
      <c r="A100" s="55"/>
      <c r="B100" s="189" t="s">
        <v>20</v>
      </c>
      <c r="C100" s="193" t="n">
        <v>0</v>
      </c>
      <c r="D100" s="194" t="n">
        <v>39.4830479600139</v>
      </c>
      <c r="E100" s="194" t="n">
        <v>38.9354673272511</v>
      </c>
      <c r="F100" s="194" t="n">
        <v>39.6849082613523</v>
      </c>
      <c r="G100" s="194" t="n">
        <v>39.1224218116773</v>
      </c>
      <c r="H100" s="194" t="n">
        <v>39.417099156106</v>
      </c>
      <c r="I100" s="194" t="n">
        <v>42.0786149252578</v>
      </c>
      <c r="J100" s="194" t="n">
        <v>45.1190140269637</v>
      </c>
      <c r="K100" s="194" t="n">
        <v>46.2865929451868</v>
      </c>
      <c r="L100" s="194" t="n">
        <v>47.2554084179073</v>
      </c>
      <c r="M100" s="194" t="n">
        <v>47.424107614869</v>
      </c>
      <c r="N100" s="194" t="n">
        <v>48.4487023221245</v>
      </c>
      <c r="O100" s="194" t="n">
        <v>48.9927709342232</v>
      </c>
      <c r="P100" s="194" t="n">
        <v>49.5693200792455</v>
      </c>
      <c r="Q100" s="194" t="n">
        <v>51.3142206624761</v>
      </c>
      <c r="R100" s="194" t="n">
        <v>54.9549131355292</v>
      </c>
      <c r="S100" s="194" t="n">
        <v>54.6383329257431</v>
      </c>
      <c r="T100" s="194" t="n">
        <v>55.33468859591</v>
      </c>
      <c r="U100" s="194" t="n">
        <v>57.9938209162061</v>
      </c>
      <c r="V100" s="194" t="n">
        <v>59.7553005518294</v>
      </c>
    </row>
    <row r="101" customFormat="false" ht="12.75" hidden="false" customHeight="false" outlineLevel="0" collapsed="false">
      <c r="A101" s="55"/>
      <c r="B101" s="189" t="s">
        <v>21</v>
      </c>
      <c r="C101" s="193" t="n">
        <v>0</v>
      </c>
      <c r="D101" s="194" t="n">
        <v>11.5134656</v>
      </c>
      <c r="E101" s="194" t="n">
        <v>11.6784122</v>
      </c>
      <c r="F101" s="194" t="n">
        <v>11.8809782</v>
      </c>
      <c r="G101" s="194" t="n">
        <v>12.2224466</v>
      </c>
      <c r="H101" s="194" t="n">
        <v>12.6497644</v>
      </c>
      <c r="I101" s="194" t="n">
        <v>13.1388166</v>
      </c>
      <c r="J101" s="194" t="n">
        <v>13.441701</v>
      </c>
      <c r="K101" s="194" t="n">
        <v>13.731081</v>
      </c>
      <c r="L101" s="194" t="n">
        <v>13.9548682</v>
      </c>
      <c r="M101" s="194" t="n">
        <v>14.0629034</v>
      </c>
      <c r="N101" s="194" t="n">
        <v>14.251965</v>
      </c>
      <c r="O101" s="194" t="n">
        <v>14.560637</v>
      </c>
      <c r="P101" s="194" t="n">
        <v>14.8914948</v>
      </c>
      <c r="Q101" s="194" t="n">
        <v>15.206919</v>
      </c>
      <c r="R101" s="194" t="n">
        <v>15.4200956</v>
      </c>
      <c r="S101" s="194" t="n">
        <v>15.7355198</v>
      </c>
      <c r="T101" s="194" t="n">
        <v>16.094351</v>
      </c>
      <c r="U101" s="194" t="n">
        <v>16.489837</v>
      </c>
      <c r="V101" s="194" t="n">
        <v>16.8968982</v>
      </c>
    </row>
    <row r="102" customFormat="false" ht="12.75" hidden="false" customHeight="false" outlineLevel="0" collapsed="false">
      <c r="A102" s="55"/>
      <c r="B102" s="189" t="s">
        <v>110</v>
      </c>
      <c r="C102" s="193" t="n">
        <v>0</v>
      </c>
      <c r="D102" s="194" t="n">
        <v>0.852560294428682</v>
      </c>
      <c r="E102" s="194" t="n">
        <v>0.869768674651356</v>
      </c>
      <c r="F102" s="194" t="n">
        <v>1.46132439494115</v>
      </c>
      <c r="G102" s="194" t="n">
        <v>1.49358446613351</v>
      </c>
      <c r="H102" s="194" t="n">
        <v>1.52656479057311</v>
      </c>
      <c r="I102" s="194" t="n">
        <v>1.56028163372005</v>
      </c>
      <c r="J102" s="194" t="n">
        <v>1.59475163253261</v>
      </c>
      <c r="K102" s="194" t="n">
        <v>1.62999180404539</v>
      </c>
      <c r="L102" s="194" t="n">
        <v>1.66601955414772</v>
      </c>
      <c r="M102" s="194" t="n">
        <v>1.70285268656681</v>
      </c>
      <c r="N102" s="194" t="n">
        <v>1.74050941206066</v>
      </c>
      <c r="O102" s="194" t="n">
        <v>1.77900835782555</v>
      </c>
      <c r="P102" s="194" t="n">
        <v>1.81836857712324</v>
      </c>
      <c r="Q102" s="194" t="n">
        <v>1.85860955913301</v>
      </c>
      <c r="R102" s="194" t="n">
        <v>1.89975123903386</v>
      </c>
      <c r="S102" s="194" t="n">
        <v>1.94181400832233</v>
      </c>
      <c r="T102" s="194" t="n">
        <v>1.9848187253714</v>
      </c>
      <c r="U102" s="194" t="n">
        <v>2.02878672623631</v>
      </c>
      <c r="V102" s="194" t="n">
        <v>2.07373983571301</v>
      </c>
    </row>
    <row r="103" customFormat="false" ht="12.75" hidden="false" customHeight="false" outlineLevel="0" collapsed="false">
      <c r="A103" s="55"/>
      <c r="B103" s="189" t="s">
        <v>111</v>
      </c>
      <c r="C103" s="193" t="n">
        <v>0</v>
      </c>
      <c r="D103" s="194" t="n">
        <v>0</v>
      </c>
      <c r="E103" s="194" t="n">
        <v>0</v>
      </c>
      <c r="F103" s="194" t="n">
        <v>0</v>
      </c>
      <c r="G103" s="194" t="n">
        <v>0</v>
      </c>
      <c r="H103" s="194" t="n">
        <v>0</v>
      </c>
      <c r="I103" s="194" t="n">
        <v>0.346116220391391</v>
      </c>
      <c r="J103" s="194" t="n">
        <v>0.383642181171058</v>
      </c>
      <c r="K103" s="194" t="n">
        <v>0.506689831094952</v>
      </c>
      <c r="L103" s="194" t="n">
        <v>0.464964620902919</v>
      </c>
      <c r="M103" s="194" t="n">
        <v>0.517112146980718</v>
      </c>
      <c r="N103" s="194" t="n">
        <v>0.569638135864647</v>
      </c>
      <c r="O103" s="194" t="n">
        <v>0.631141976270285</v>
      </c>
      <c r="P103" s="194" t="n">
        <v>0.707676183435585</v>
      </c>
      <c r="Q103" s="194" t="n">
        <v>0.787754022922124</v>
      </c>
      <c r="R103" s="194" t="n">
        <v>0.872590812464285</v>
      </c>
      <c r="S103" s="194" t="n">
        <v>0.958103639008006</v>
      </c>
      <c r="T103" s="194" t="n">
        <v>0.941290115521332</v>
      </c>
      <c r="U103" s="194" t="n">
        <v>0.80532460587299</v>
      </c>
      <c r="V103" s="194" t="n">
        <v>0.834973036689121</v>
      </c>
    </row>
    <row r="104" customFormat="false" ht="12.75" hidden="false" customHeight="false" outlineLevel="0" collapsed="false">
      <c r="A104" s="55"/>
      <c r="B104" s="189" t="s">
        <v>112</v>
      </c>
      <c r="C104" s="193" t="n">
        <v>0</v>
      </c>
      <c r="D104" s="194" t="n">
        <v>0</v>
      </c>
      <c r="E104" s="194" t="n">
        <v>0</v>
      </c>
      <c r="F104" s="194" t="n">
        <v>0.915476703739322</v>
      </c>
      <c r="G104" s="194" t="n">
        <v>0.780043536525535</v>
      </c>
      <c r="H104" s="194" t="n">
        <v>0.809791760697509</v>
      </c>
      <c r="I104" s="194" t="n">
        <v>0.841040043508691</v>
      </c>
      <c r="J104" s="194" t="n">
        <v>1.05652998184418</v>
      </c>
      <c r="K104" s="194" t="n">
        <v>0.922867098494938</v>
      </c>
      <c r="L104" s="194" t="n">
        <v>0.976789617801969</v>
      </c>
      <c r="M104" s="194" t="n">
        <v>0.929452731365066</v>
      </c>
      <c r="N104" s="194" t="n">
        <v>0.956073023625876</v>
      </c>
      <c r="O104" s="194" t="n">
        <v>0.980864830788839</v>
      </c>
      <c r="P104" s="194" t="n">
        <v>0.876118086194581</v>
      </c>
      <c r="Q104" s="194" t="n">
        <v>0.907443406720324</v>
      </c>
      <c r="R104" s="194" t="n">
        <v>0.926196070639109</v>
      </c>
      <c r="S104" s="194" t="n">
        <v>0.983555154105284</v>
      </c>
      <c r="T104" s="194" t="n">
        <v>0.924643855870164</v>
      </c>
      <c r="U104" s="194" t="n">
        <v>1.01838151417336</v>
      </c>
      <c r="V104" s="194" t="n">
        <v>0.554458379969597</v>
      </c>
    </row>
    <row r="105" customFormat="false" ht="12.75" hidden="false" customHeight="false" outlineLevel="0" collapsed="false">
      <c r="A105" s="186" t="s">
        <v>113</v>
      </c>
      <c r="B105" s="189"/>
      <c r="C105" s="187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</row>
    <row r="106" customFormat="false" ht="12.75" hidden="false" customHeight="false" outlineLevel="0" collapsed="false">
      <c r="A106" s="55"/>
      <c r="B106" s="189" t="s">
        <v>26</v>
      </c>
      <c r="C106" s="193" t="n">
        <v>0</v>
      </c>
      <c r="D106" s="194" t="n">
        <v>12.3154777122091</v>
      </c>
      <c r="E106" s="194" t="n">
        <v>12.5617872664533</v>
      </c>
      <c r="F106" s="194" t="n">
        <v>12.9971080435597</v>
      </c>
      <c r="G106" s="194" t="n">
        <v>13.2579706295898</v>
      </c>
      <c r="H106" s="194" t="n">
        <v>13.5240734779695</v>
      </c>
      <c r="I106" s="194" t="n">
        <v>13.7955219692114</v>
      </c>
      <c r="J106" s="194" t="n">
        <v>14.0724236058203</v>
      </c>
      <c r="K106" s="194" t="n">
        <v>14.3548880550919</v>
      </c>
      <c r="L106" s="194" t="n">
        <v>14.6430271927778</v>
      </c>
      <c r="M106" s="194" t="n">
        <v>14.9369551476321</v>
      </c>
      <c r="N106" s="194" t="n">
        <v>15.2367883468584</v>
      </c>
      <c r="O106" s="194" t="n">
        <v>15.5426455624761</v>
      </c>
      <c r="P106" s="194" t="n">
        <v>15.8546479586232</v>
      </c>
      <c r="Q106" s="194" t="n">
        <v>16.1729191398157</v>
      </c>
      <c r="R106" s="194" t="n">
        <v>16.4975852001825</v>
      </c>
      <c r="S106" s="194" t="n">
        <v>16.8287747736958</v>
      </c>
      <c r="T106" s="194" t="n">
        <v>17.1666190854172</v>
      </c>
      <c r="U106" s="194" t="n">
        <v>17.5112520037793</v>
      </c>
      <c r="V106" s="194" t="n">
        <v>17.8628100939249</v>
      </c>
    </row>
    <row r="107" customFormat="false" ht="12.75" hidden="false" customHeight="false" outlineLevel="0" collapsed="false">
      <c r="A107" s="55"/>
      <c r="B107" s="189" t="s">
        <v>114</v>
      </c>
      <c r="C107" s="193" t="n">
        <v>0</v>
      </c>
      <c r="D107" s="194" t="n">
        <v>1.70194956018368</v>
      </c>
      <c r="E107" s="194" t="n">
        <v>1.74129528067563</v>
      </c>
      <c r="F107" s="194" t="n">
        <v>1.78150267244635</v>
      </c>
      <c r="G107" s="194" t="n">
        <v>1.82261875127109</v>
      </c>
      <c r="H107" s="194" t="n">
        <v>1.86471339277186</v>
      </c>
      <c r="I107" s="194" t="n">
        <v>1.90962454618987</v>
      </c>
      <c r="J107" s="194" t="n">
        <v>1.9538443123763</v>
      </c>
      <c r="K107" s="194" t="n">
        <v>2.00103373679934</v>
      </c>
      <c r="L107" s="194" t="n">
        <v>2.04749267142972</v>
      </c>
      <c r="M107" s="194" t="n">
        <v>2.09513630889318</v>
      </c>
      <c r="N107" s="194" t="n">
        <v>2.14393292238325</v>
      </c>
      <c r="O107" s="194" t="n">
        <v>2.19395921053327</v>
      </c>
      <c r="P107" s="194" t="n">
        <v>2.2452561664023</v>
      </c>
      <c r="Q107" s="194" t="n">
        <v>2.29783554616806</v>
      </c>
      <c r="R107" s="194" t="n">
        <v>2.35173466836593</v>
      </c>
      <c r="S107" s="194" t="n">
        <v>2.40698126861876</v>
      </c>
      <c r="T107" s="194" t="n">
        <v>2.46359798455785</v>
      </c>
      <c r="U107" s="194" t="n">
        <v>2.52163578006701</v>
      </c>
      <c r="V107" s="194" t="n">
        <v>2.58113032424346</v>
      </c>
    </row>
    <row r="108" customFormat="false" ht="12.75" hidden="false" customHeight="false" outlineLevel="0" collapsed="false">
      <c r="A108" s="55"/>
      <c r="B108" s="189" t="s">
        <v>28</v>
      </c>
      <c r="C108" s="193" t="n">
        <v>0</v>
      </c>
      <c r="D108" s="194" t="n">
        <v>2.34672519724395</v>
      </c>
      <c r="E108" s="194" t="n">
        <v>2.39624109890581</v>
      </c>
      <c r="F108" s="194" t="n">
        <v>2.44871877897185</v>
      </c>
      <c r="G108" s="194" t="n">
        <v>2.50405982337659</v>
      </c>
      <c r="H108" s="194" t="n">
        <v>2.56365644717297</v>
      </c>
      <c r="I108" s="194" t="n">
        <v>2.62790193546811</v>
      </c>
      <c r="J108" s="194" t="n">
        <v>2.69308122446522</v>
      </c>
      <c r="K108" s="194" t="n">
        <v>2.76124867570863</v>
      </c>
      <c r="L108" s="194" t="n">
        <v>2.82945151799863</v>
      </c>
      <c r="M108" s="194" t="n">
        <v>2.90160253170759</v>
      </c>
      <c r="N108" s="194" t="n">
        <v>2.97182131297492</v>
      </c>
      <c r="O108" s="194" t="n">
        <v>3.04671121006188</v>
      </c>
      <c r="P108" s="194" t="n">
        <v>3.12409767479745</v>
      </c>
      <c r="Q108" s="194" t="n">
        <v>3.20220011666739</v>
      </c>
      <c r="R108" s="194" t="n">
        <v>3.28257533959574</v>
      </c>
      <c r="S108" s="194" t="n">
        <v>3.36463972308564</v>
      </c>
      <c r="T108" s="194" t="n">
        <v>3.44808278821815</v>
      </c>
      <c r="U108" s="194" t="n">
        <v>3.53462966620244</v>
      </c>
      <c r="V108" s="194" t="n">
        <v>3.62334887082412</v>
      </c>
    </row>
    <row r="109" customFormat="false" ht="12.75" hidden="false" customHeight="false" outlineLevel="0" collapsed="false">
      <c r="A109" s="55"/>
      <c r="B109" s="189" t="s">
        <v>33</v>
      </c>
      <c r="C109" s="193" t="n">
        <v>0</v>
      </c>
      <c r="D109" s="194" t="n">
        <v>22.332640806487</v>
      </c>
      <c r="E109" s="194" t="n">
        <v>2.46195888669735</v>
      </c>
      <c r="F109" s="194" t="n">
        <v>8.87565676090292</v>
      </c>
      <c r="G109" s="194" t="n">
        <v>0.934290729783037</v>
      </c>
      <c r="H109" s="194" t="n">
        <v>9.60762870041639</v>
      </c>
      <c r="I109" s="194" t="n">
        <v>9.89585756142889</v>
      </c>
      <c r="J109" s="194" t="n">
        <v>10.1927332882718</v>
      </c>
      <c r="K109" s="194" t="n">
        <v>10.4985152869199</v>
      </c>
      <c r="L109" s="194" t="n">
        <v>10.8134707455275</v>
      </c>
      <c r="M109" s="194" t="n">
        <v>11.1378748678933</v>
      </c>
      <c r="N109" s="194" t="n">
        <v>11.4720111139301</v>
      </c>
      <c r="O109" s="194" t="n">
        <v>11.816171447348</v>
      </c>
      <c r="P109" s="194" t="n">
        <v>12.1706565907685</v>
      </c>
      <c r="Q109" s="194" t="n">
        <v>12.5357762884915</v>
      </c>
      <c r="R109" s="194" t="n">
        <v>12.9118495771463</v>
      </c>
      <c r="S109" s="194" t="n">
        <v>13.2992050644607</v>
      </c>
      <c r="T109" s="194" t="n">
        <v>13.6981812163945</v>
      </c>
      <c r="U109" s="194" t="n">
        <v>14.1091266528863</v>
      </c>
      <c r="V109" s="194" t="n">
        <v>14.5324004524729</v>
      </c>
    </row>
    <row r="110" customFormat="false" ht="12.75" hidden="false" customHeight="false" outlineLevel="0" collapsed="false">
      <c r="A110" s="55"/>
      <c r="B110" s="189" t="s">
        <v>115</v>
      </c>
      <c r="C110" s="195" t="n">
        <v>0</v>
      </c>
      <c r="D110" s="196" t="n">
        <v>27.2847863247863</v>
      </c>
      <c r="E110" s="196" t="n">
        <v>17.7871891299584</v>
      </c>
      <c r="F110" s="196" t="n">
        <v>9.64318075827307</v>
      </c>
      <c r="G110" s="196" t="n">
        <v>0</v>
      </c>
      <c r="H110" s="196" t="n">
        <v>0</v>
      </c>
      <c r="I110" s="196" t="n">
        <v>0</v>
      </c>
      <c r="J110" s="196" t="n">
        <v>0</v>
      </c>
      <c r="K110" s="196" t="n">
        <v>0</v>
      </c>
      <c r="L110" s="196" t="n">
        <v>0</v>
      </c>
      <c r="M110" s="196" t="n">
        <v>0</v>
      </c>
      <c r="N110" s="196" t="n">
        <v>0</v>
      </c>
      <c r="O110" s="196" t="n">
        <v>0</v>
      </c>
      <c r="P110" s="196" t="n">
        <v>0</v>
      </c>
      <c r="Q110" s="196" t="n">
        <v>0</v>
      </c>
      <c r="R110" s="196" t="n">
        <v>0</v>
      </c>
      <c r="S110" s="196" t="n">
        <v>0</v>
      </c>
      <c r="T110" s="196" t="n">
        <v>0</v>
      </c>
      <c r="U110" s="196" t="n">
        <v>0</v>
      </c>
      <c r="V110" s="196" t="n">
        <v>0</v>
      </c>
    </row>
    <row r="111" customFormat="false" ht="12.75" hidden="false" customHeight="false" outlineLevel="0" collapsed="false">
      <c r="A111" s="55"/>
      <c r="B111" s="189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customFormat="false" ht="12.75" hidden="false" customHeight="false" outlineLevel="0" collapsed="false">
      <c r="A112" s="55"/>
      <c r="B112" s="189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</row>
    <row r="113" customFormat="false" ht="12.75" hidden="false" customHeight="false" outlineLevel="0" collapsed="false">
      <c r="A113" s="11"/>
      <c r="B113" s="156"/>
      <c r="C113" s="255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</row>
    <row r="114" customFormat="false" ht="12.75" hidden="false" customHeight="false" outlineLevel="0" collapsed="false">
      <c r="A114" s="169"/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</row>
    <row r="115" customFormat="false" ht="12.75" hidden="false" customHeight="false" outlineLevel="0" collapsed="false">
      <c r="A115" s="52" t="s">
        <v>105</v>
      </c>
      <c r="B115" s="182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</row>
    <row r="116" customFormat="false" ht="12.75" hidden="false" customHeight="false" outlineLevel="0" collapsed="false">
      <c r="A116" s="183" t="s">
        <v>74</v>
      </c>
      <c r="B116" s="182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</row>
    <row r="117" customFormat="false" ht="12.75" hidden="false" customHeight="false" outlineLevel="0" collapsed="false">
      <c r="A117" s="55"/>
      <c r="B117" s="182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</row>
    <row r="118" customFormat="false" ht="12.75" hidden="false" customHeight="false" outlineLevel="0" collapsed="false">
      <c r="A118" s="55"/>
      <c r="B118" s="182"/>
      <c r="C118" s="184" t="n">
        <v>2000</v>
      </c>
      <c r="D118" s="185" t="n">
        <v>2001</v>
      </c>
      <c r="E118" s="185" t="n">
        <v>2002</v>
      </c>
      <c r="F118" s="185" t="n">
        <v>2003</v>
      </c>
      <c r="G118" s="185" t="n">
        <v>2004</v>
      </c>
      <c r="H118" s="185" t="n">
        <v>2005</v>
      </c>
      <c r="I118" s="185" t="n">
        <v>2006</v>
      </c>
      <c r="J118" s="185" t="n">
        <v>2007</v>
      </c>
      <c r="K118" s="185" t="n">
        <v>2008</v>
      </c>
      <c r="L118" s="185" t="n">
        <v>2009</v>
      </c>
      <c r="M118" s="185" t="n">
        <v>2010</v>
      </c>
      <c r="N118" s="185" t="n">
        <v>2011</v>
      </c>
      <c r="O118" s="185" t="n">
        <v>2012</v>
      </c>
      <c r="P118" s="185" t="n">
        <v>2013</v>
      </c>
      <c r="Q118" s="185" t="n">
        <v>2014</v>
      </c>
      <c r="R118" s="185" t="n">
        <v>2015</v>
      </c>
      <c r="S118" s="185" t="n">
        <v>2016</v>
      </c>
      <c r="T118" s="185" t="n">
        <v>2017</v>
      </c>
      <c r="U118" s="185" t="n">
        <v>2018</v>
      </c>
      <c r="V118" s="185" t="n">
        <v>2019</v>
      </c>
    </row>
    <row r="119" customFormat="false" ht="12.75" hidden="false" customHeight="false" outlineLevel="0" collapsed="false">
      <c r="A119" s="186" t="s">
        <v>106</v>
      </c>
      <c r="B119" s="182"/>
      <c r="C119" s="187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</row>
    <row r="120" customFormat="false" ht="12.75" hidden="false" customHeight="false" outlineLevel="0" collapsed="false">
      <c r="A120" s="55"/>
      <c r="B120" s="189" t="s">
        <v>107</v>
      </c>
      <c r="C120" s="190" t="n">
        <v>0</v>
      </c>
      <c r="D120" s="191" t="n">
        <v>1624654.72663444</v>
      </c>
      <c r="E120" s="191" t="n">
        <v>1624654.72663444</v>
      </c>
      <c r="F120" s="191" t="n">
        <v>1624654.72663444</v>
      </c>
      <c r="G120" s="191" t="n">
        <v>1624654.72663444</v>
      </c>
      <c r="H120" s="191" t="n">
        <v>1624654.72663444</v>
      </c>
      <c r="I120" s="191" t="n">
        <v>1624654.72663444</v>
      </c>
      <c r="J120" s="191" t="n">
        <v>1624654.72663444</v>
      </c>
      <c r="K120" s="191" t="n">
        <v>1624654.72663444</v>
      </c>
      <c r="L120" s="191" t="n">
        <v>1624654.72663444</v>
      </c>
      <c r="M120" s="191" t="n">
        <v>1624654.72663444</v>
      </c>
      <c r="N120" s="191" t="n">
        <v>1624654.72663444</v>
      </c>
      <c r="O120" s="191" t="n">
        <v>1624654.72663444</v>
      </c>
      <c r="P120" s="191" t="n">
        <v>1624654.72663444</v>
      </c>
      <c r="Q120" s="191" t="n">
        <v>1624654.72663444</v>
      </c>
      <c r="R120" s="191" t="n">
        <v>1624654.72663444</v>
      </c>
      <c r="S120" s="191" t="n">
        <v>1624654.72663444</v>
      </c>
      <c r="T120" s="191" t="n">
        <v>1624654.72663444</v>
      </c>
      <c r="U120" s="191" t="n">
        <v>1624654.72663444</v>
      </c>
      <c r="V120" s="191" t="n">
        <v>1624654.72663444</v>
      </c>
    </row>
    <row r="121" customFormat="false" ht="12.75" hidden="false" customHeight="false" outlineLevel="0" collapsed="false">
      <c r="A121" s="55"/>
      <c r="B121" s="189" t="s">
        <v>108</v>
      </c>
      <c r="C121" s="190" t="n">
        <v>0</v>
      </c>
      <c r="D121" s="192" t="n">
        <v>0.812898831195552</v>
      </c>
      <c r="E121" s="192" t="n">
        <v>0.812898831195552</v>
      </c>
      <c r="F121" s="192" t="n">
        <v>0.812898831195552</v>
      </c>
      <c r="G121" s="192" t="n">
        <v>0.812898831195552</v>
      </c>
      <c r="H121" s="192" t="n">
        <v>0.812898831195552</v>
      </c>
      <c r="I121" s="192" t="n">
        <v>0.812898831195552</v>
      </c>
      <c r="J121" s="192" t="n">
        <v>0.812898831195552</v>
      </c>
      <c r="K121" s="192" t="n">
        <v>0.812898831195552</v>
      </c>
      <c r="L121" s="192" t="n">
        <v>0.812898831195552</v>
      </c>
      <c r="M121" s="192" t="n">
        <v>0.812898831195552</v>
      </c>
      <c r="N121" s="192" t="n">
        <v>0.812898831195552</v>
      </c>
      <c r="O121" s="192" t="n">
        <v>0.812898831195552</v>
      </c>
      <c r="P121" s="192" t="n">
        <v>0.812898831195552</v>
      </c>
      <c r="Q121" s="192" t="n">
        <v>0.812898831195552</v>
      </c>
      <c r="R121" s="192" t="n">
        <v>0.812898831195552</v>
      </c>
      <c r="S121" s="192" t="n">
        <v>0.812898831195552</v>
      </c>
      <c r="T121" s="192" t="n">
        <v>0.812898831195552</v>
      </c>
      <c r="U121" s="192" t="n">
        <v>0.812898831195552</v>
      </c>
      <c r="V121" s="192" t="n">
        <v>0.812898831195552</v>
      </c>
    </row>
    <row r="122" customFormat="false" ht="12.75" hidden="false" customHeight="false" outlineLevel="0" collapsed="false">
      <c r="A122" s="186" t="s">
        <v>109</v>
      </c>
      <c r="B122" s="189"/>
      <c r="C122" s="187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</row>
    <row r="123" customFormat="false" ht="12.75" hidden="false" customHeight="false" outlineLevel="0" collapsed="false">
      <c r="A123" s="55"/>
      <c r="B123" s="189" t="s">
        <v>20</v>
      </c>
      <c r="C123" s="193" t="n">
        <v>0</v>
      </c>
      <c r="D123" s="194" t="n">
        <v>39.4830479600139</v>
      </c>
      <c r="E123" s="194" t="n">
        <v>38.9354673272511</v>
      </c>
      <c r="F123" s="194" t="n">
        <v>39.6849082613523</v>
      </c>
      <c r="G123" s="194" t="n">
        <v>39.1224218116773</v>
      </c>
      <c r="H123" s="194" t="n">
        <v>39.417099156106</v>
      </c>
      <c r="I123" s="194" t="n">
        <v>42.0786149252578</v>
      </c>
      <c r="J123" s="194" t="n">
        <v>45.1190140269637</v>
      </c>
      <c r="K123" s="194" t="n">
        <v>46.2865929451868</v>
      </c>
      <c r="L123" s="194" t="n">
        <v>47.2554084179073</v>
      </c>
      <c r="M123" s="194" t="n">
        <v>47.424107614869</v>
      </c>
      <c r="N123" s="194" t="n">
        <v>48.4487023221245</v>
      </c>
      <c r="O123" s="194" t="n">
        <v>48.9927709342232</v>
      </c>
      <c r="P123" s="194" t="n">
        <v>49.5693200792455</v>
      </c>
      <c r="Q123" s="194" t="n">
        <v>51.3142206624761</v>
      </c>
      <c r="R123" s="194" t="n">
        <v>54.9549131355292</v>
      </c>
      <c r="S123" s="194" t="n">
        <v>54.6383329257431</v>
      </c>
      <c r="T123" s="194" t="n">
        <v>55.33468859591</v>
      </c>
      <c r="U123" s="194" t="n">
        <v>57.9938209162061</v>
      </c>
      <c r="V123" s="194" t="n">
        <v>59.7553005518294</v>
      </c>
    </row>
    <row r="124" customFormat="false" ht="12.75" hidden="false" customHeight="false" outlineLevel="0" collapsed="false">
      <c r="A124" s="55"/>
      <c r="B124" s="189" t="s">
        <v>21</v>
      </c>
      <c r="C124" s="193" t="n">
        <v>0</v>
      </c>
      <c r="D124" s="194" t="n">
        <v>11.6996672</v>
      </c>
      <c r="E124" s="194" t="n">
        <v>11.8672814</v>
      </c>
      <c r="F124" s="194" t="n">
        <v>12.0731234</v>
      </c>
      <c r="G124" s="194" t="n">
        <v>12.4201142</v>
      </c>
      <c r="H124" s="194" t="n">
        <v>12.8543428</v>
      </c>
      <c r="I124" s="194" t="n">
        <v>13.3513042</v>
      </c>
      <c r="J124" s="194" t="n">
        <v>13.659087</v>
      </c>
      <c r="K124" s="194" t="n">
        <v>13.953147</v>
      </c>
      <c r="L124" s="194" t="n">
        <v>14.1805534</v>
      </c>
      <c r="M124" s="194" t="n">
        <v>14.2903358</v>
      </c>
      <c r="N124" s="194" t="n">
        <v>14.482455</v>
      </c>
      <c r="O124" s="194" t="n">
        <v>14.796119</v>
      </c>
      <c r="P124" s="194" t="n">
        <v>15.1323276</v>
      </c>
      <c r="Q124" s="194" t="n">
        <v>15.452853</v>
      </c>
      <c r="R124" s="194" t="n">
        <v>15.6694772</v>
      </c>
      <c r="S124" s="194" t="n">
        <v>15.9900026</v>
      </c>
      <c r="T124" s="194" t="n">
        <v>16.354637</v>
      </c>
      <c r="U124" s="194" t="n">
        <v>16.756519</v>
      </c>
      <c r="V124" s="194" t="n">
        <v>17.1701634</v>
      </c>
    </row>
    <row r="125" customFormat="false" ht="12.75" hidden="false" customHeight="false" outlineLevel="0" collapsed="false">
      <c r="A125" s="55"/>
      <c r="B125" s="189" t="s">
        <v>110</v>
      </c>
      <c r="C125" s="193" t="n">
        <v>0</v>
      </c>
      <c r="D125" s="194" t="n">
        <v>0.861827254150733</v>
      </c>
      <c r="E125" s="194" t="n">
        <v>0.879222681984523</v>
      </c>
      <c r="F125" s="194" t="n">
        <v>1.47096922532094</v>
      </c>
      <c r="G125" s="194" t="n">
        <v>1.50342397120018</v>
      </c>
      <c r="H125" s="194" t="n">
        <v>1.53660289970977</v>
      </c>
      <c r="I125" s="194" t="n">
        <v>1.5705223556219</v>
      </c>
      <c r="J125" s="194" t="n">
        <v>1.60519905680776</v>
      </c>
      <c r="K125" s="194" t="n">
        <v>1.64065010284807</v>
      </c>
      <c r="L125" s="194" t="n">
        <v>1.67689298384439</v>
      </c>
      <c r="M125" s="194" t="n">
        <v>1.71394558943595</v>
      </c>
      <c r="N125" s="194" t="n">
        <v>1.75182621802685</v>
      </c>
      <c r="O125" s="194" t="n">
        <v>1.79055358622854</v>
      </c>
      <c r="P125" s="194" t="n">
        <v>1.83014683852274</v>
      </c>
      <c r="Q125" s="194" t="n">
        <v>1.87062555714991</v>
      </c>
      <c r="R125" s="194" t="n">
        <v>1.91200977222861</v>
      </c>
      <c r="S125" s="194" t="n">
        <v>1.95431997211121</v>
      </c>
      <c r="T125" s="194" t="n">
        <v>1.99757711398153</v>
      </c>
      <c r="U125" s="194" t="n">
        <v>2.04180263470008</v>
      </c>
      <c r="V125" s="194" t="n">
        <v>2.08701846190272</v>
      </c>
    </row>
    <row r="126" customFormat="false" ht="12.75" hidden="false" customHeight="false" outlineLevel="0" collapsed="false">
      <c r="A126" s="55"/>
      <c r="B126" s="189" t="s">
        <v>111</v>
      </c>
      <c r="C126" s="193" t="n">
        <v>0</v>
      </c>
      <c r="D126" s="194" t="n">
        <v>0</v>
      </c>
      <c r="E126" s="194" t="n">
        <v>0</v>
      </c>
      <c r="F126" s="194" t="n">
        <v>0</v>
      </c>
      <c r="G126" s="194" t="n">
        <v>0</v>
      </c>
      <c r="H126" s="194" t="n">
        <v>0</v>
      </c>
      <c r="I126" s="194" t="n">
        <v>0.412643905875712</v>
      </c>
      <c r="J126" s="194" t="n">
        <v>0.45738280603575</v>
      </c>
      <c r="K126" s="194" t="n">
        <v>0.58940763194093</v>
      </c>
      <c r="L126" s="194" t="n">
        <v>0.554336393268242</v>
      </c>
      <c r="M126" s="194" t="n">
        <v>0.616507298804438</v>
      </c>
      <c r="N126" s="194" t="n">
        <v>0.679129412233679</v>
      </c>
      <c r="O126" s="194" t="n">
        <v>0.752455027839441</v>
      </c>
      <c r="P126" s="194" t="n">
        <v>0.843700026822954</v>
      </c>
      <c r="Q126" s="194" t="n">
        <v>0.939169786727438</v>
      </c>
      <c r="R126" s="194" t="n">
        <v>1.04031322392043</v>
      </c>
      <c r="S126" s="194" t="n">
        <v>1.14226264052845</v>
      </c>
      <c r="T126" s="194" t="n">
        <v>1.12221735633105</v>
      </c>
      <c r="U126" s="194" t="n">
        <v>0.960117646290796</v>
      </c>
      <c r="V126" s="194" t="n">
        <v>0.995464860822432</v>
      </c>
    </row>
    <row r="127" customFormat="false" ht="12.75" hidden="false" customHeight="false" outlineLevel="0" collapsed="false">
      <c r="A127" s="55"/>
      <c r="B127" s="189" t="s">
        <v>112</v>
      </c>
      <c r="C127" s="193" t="n">
        <v>0</v>
      </c>
      <c r="D127" s="194" t="n">
        <v>0</v>
      </c>
      <c r="E127" s="194" t="n">
        <v>0</v>
      </c>
      <c r="F127" s="194" t="n">
        <v>0.930282256899526</v>
      </c>
      <c r="G127" s="194" t="n">
        <v>0.792658795876352</v>
      </c>
      <c r="H127" s="194" t="n">
        <v>0.822888123404208</v>
      </c>
      <c r="I127" s="194" t="n">
        <v>0.854641769279721</v>
      </c>
      <c r="J127" s="194" t="n">
        <v>1.07361672009503</v>
      </c>
      <c r="K127" s="194" t="n">
        <v>0.937792172864128</v>
      </c>
      <c r="L127" s="194" t="n">
        <v>0.992586754478012</v>
      </c>
      <c r="M127" s="194" t="n">
        <v>0.944484311926227</v>
      </c>
      <c r="N127" s="194" t="n">
        <v>0.971535121043005</v>
      </c>
      <c r="O127" s="194" t="n">
        <v>0.996727873874372</v>
      </c>
      <c r="P127" s="194" t="n">
        <v>0.890287111847324</v>
      </c>
      <c r="Q127" s="194" t="n">
        <v>0.922119041330356</v>
      </c>
      <c r="R127" s="194" t="n">
        <v>0.941174982832733</v>
      </c>
      <c r="S127" s="194" t="n">
        <v>0.999461706462782</v>
      </c>
      <c r="T127" s="194" t="n">
        <v>0.939597664859978</v>
      </c>
      <c r="U127" s="194" t="n">
        <v>1.03485129607374</v>
      </c>
      <c r="V127" s="194" t="n">
        <v>0.563425361855898</v>
      </c>
    </row>
    <row r="128" customFormat="false" ht="12.75" hidden="false" customHeight="false" outlineLevel="0" collapsed="false">
      <c r="A128" s="186" t="s">
        <v>113</v>
      </c>
      <c r="B128" s="189"/>
      <c r="C128" s="187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</row>
    <row r="129" customFormat="false" ht="12.75" hidden="false" customHeight="false" outlineLevel="0" collapsed="false">
      <c r="A129" s="55"/>
      <c r="B129" s="189" t="s">
        <v>26</v>
      </c>
      <c r="C129" s="193" t="n">
        <v>0</v>
      </c>
      <c r="D129" s="194" t="n">
        <v>12.2495583779593</v>
      </c>
      <c r="E129" s="194" t="n">
        <v>12.4945495455185</v>
      </c>
      <c r="F129" s="194" t="n">
        <v>12.9285255682062</v>
      </c>
      <c r="G129" s="194" t="n">
        <v>13.1880165047292</v>
      </c>
      <c r="H129" s="194" t="n">
        <v>13.4527202706116</v>
      </c>
      <c r="I129" s="194" t="n">
        <v>13.7227416977064</v>
      </c>
      <c r="J129" s="194" t="n">
        <v>13.9981877288852</v>
      </c>
      <c r="K129" s="194" t="n">
        <v>14.2791674606181</v>
      </c>
      <c r="L129" s="194" t="n">
        <v>14.5657921864146</v>
      </c>
      <c r="M129" s="194" t="n">
        <v>14.8581754411416</v>
      </c>
      <c r="N129" s="194" t="n">
        <v>15.1564330462381</v>
      </c>
      <c r="O129" s="194" t="n">
        <v>15.4606831558434</v>
      </c>
      <c r="P129" s="194" t="n">
        <v>15.7710463038578</v>
      </c>
      <c r="Q129" s="194" t="n">
        <v>16.0876454519549</v>
      </c>
      <c r="R129" s="194" t="n">
        <v>16.4106060385645</v>
      </c>
      <c r="S129" s="194" t="n">
        <v>16.7400560288455</v>
      </c>
      <c r="T129" s="194" t="n">
        <v>17.0761259656699</v>
      </c>
      <c r="U129" s="194" t="n">
        <v>17.418949021637</v>
      </c>
      <c r="V129" s="194" t="n">
        <v>17.7686610521398</v>
      </c>
    </row>
    <row r="130" customFormat="false" ht="12.75" hidden="false" customHeight="false" outlineLevel="0" collapsed="false">
      <c r="A130" s="55"/>
      <c r="B130" s="189" t="s">
        <v>114</v>
      </c>
      <c r="C130" s="193" t="n">
        <v>0</v>
      </c>
      <c r="D130" s="194" t="n">
        <v>1.70194956018368</v>
      </c>
      <c r="E130" s="194" t="n">
        <v>1.74129528067563</v>
      </c>
      <c r="F130" s="194" t="n">
        <v>1.78150267244635</v>
      </c>
      <c r="G130" s="194" t="n">
        <v>1.82261875127109</v>
      </c>
      <c r="H130" s="194" t="n">
        <v>1.86471339277186</v>
      </c>
      <c r="I130" s="194" t="n">
        <v>1.90962454618987</v>
      </c>
      <c r="J130" s="194" t="n">
        <v>1.9538443123763</v>
      </c>
      <c r="K130" s="194" t="n">
        <v>2.00103373679934</v>
      </c>
      <c r="L130" s="194" t="n">
        <v>2.04749267142972</v>
      </c>
      <c r="M130" s="194" t="n">
        <v>2.09513630889318</v>
      </c>
      <c r="N130" s="194" t="n">
        <v>2.14393292238325</v>
      </c>
      <c r="O130" s="194" t="n">
        <v>2.19395921053327</v>
      </c>
      <c r="P130" s="194" t="n">
        <v>2.2452561664023</v>
      </c>
      <c r="Q130" s="194" t="n">
        <v>2.29783554616806</v>
      </c>
      <c r="R130" s="194" t="n">
        <v>2.35173466836593</v>
      </c>
      <c r="S130" s="194" t="n">
        <v>2.40698126861876</v>
      </c>
      <c r="T130" s="194" t="n">
        <v>2.46359798455785</v>
      </c>
      <c r="U130" s="194" t="n">
        <v>2.52163578006701</v>
      </c>
      <c r="V130" s="194" t="n">
        <v>2.58113032424346</v>
      </c>
    </row>
    <row r="131" customFormat="false" ht="12.75" hidden="false" customHeight="false" outlineLevel="0" collapsed="false">
      <c r="A131" s="55"/>
      <c r="B131" s="189" t="s">
        <v>28</v>
      </c>
      <c r="C131" s="193" t="n">
        <v>0</v>
      </c>
      <c r="D131" s="194" t="n">
        <v>2.34672519724395</v>
      </c>
      <c r="E131" s="194" t="n">
        <v>2.39624109890581</v>
      </c>
      <c r="F131" s="194" t="n">
        <v>2.44871877897185</v>
      </c>
      <c r="G131" s="194" t="n">
        <v>2.50405982337659</v>
      </c>
      <c r="H131" s="194" t="n">
        <v>2.56365644717297</v>
      </c>
      <c r="I131" s="194" t="n">
        <v>2.62790193546811</v>
      </c>
      <c r="J131" s="194" t="n">
        <v>2.69308122446522</v>
      </c>
      <c r="K131" s="194" t="n">
        <v>2.76124867570863</v>
      </c>
      <c r="L131" s="194" t="n">
        <v>2.82945151799863</v>
      </c>
      <c r="M131" s="194" t="n">
        <v>2.90160253170759</v>
      </c>
      <c r="N131" s="194" t="n">
        <v>2.97182131297492</v>
      </c>
      <c r="O131" s="194" t="n">
        <v>3.04671121006188</v>
      </c>
      <c r="P131" s="194" t="n">
        <v>3.12409767479745</v>
      </c>
      <c r="Q131" s="194" t="n">
        <v>3.20220011666739</v>
      </c>
      <c r="R131" s="194" t="n">
        <v>3.28257533959574</v>
      </c>
      <c r="S131" s="194" t="n">
        <v>3.36463972308564</v>
      </c>
      <c r="T131" s="194" t="n">
        <v>3.44808278821815</v>
      </c>
      <c r="U131" s="194" t="n">
        <v>3.53462966620244</v>
      </c>
      <c r="V131" s="194" t="n">
        <v>3.62334887082412</v>
      </c>
    </row>
    <row r="132" customFormat="false" ht="12.75" hidden="false" customHeight="false" outlineLevel="0" collapsed="false">
      <c r="A132" s="55"/>
      <c r="B132" s="189" t="s">
        <v>33</v>
      </c>
      <c r="C132" s="193" t="n">
        <v>0</v>
      </c>
      <c r="D132" s="194" t="n">
        <v>3.13449923296077</v>
      </c>
      <c r="E132" s="194" t="n">
        <v>6.42689423624808</v>
      </c>
      <c r="F132" s="194" t="n">
        <v>1.37401310541311</v>
      </c>
      <c r="G132" s="194" t="n">
        <v>12.3289872014026</v>
      </c>
      <c r="H132" s="194" t="n">
        <v>9.49125263204032</v>
      </c>
      <c r="I132" s="194" t="n">
        <v>9.77599021100154</v>
      </c>
      <c r="J132" s="194" t="n">
        <v>10.0692699173316</v>
      </c>
      <c r="K132" s="194" t="n">
        <v>10.3713480148515</v>
      </c>
      <c r="L132" s="194" t="n">
        <v>10.6824884552971</v>
      </c>
      <c r="M132" s="194" t="n">
        <v>11.002963108956</v>
      </c>
      <c r="N132" s="194" t="n">
        <v>11.3330520022247</v>
      </c>
      <c r="O132" s="194" t="n">
        <v>11.6730435622914</v>
      </c>
      <c r="P132" s="194" t="n">
        <v>12.0232348691601</v>
      </c>
      <c r="Q132" s="194" t="n">
        <v>12.383931915235</v>
      </c>
      <c r="R132" s="194" t="n">
        <v>12.755449872692</v>
      </c>
      <c r="S132" s="194" t="n">
        <v>13.1381133688728</v>
      </c>
      <c r="T132" s="194" t="n">
        <v>13.5322567699389</v>
      </c>
      <c r="U132" s="194" t="n">
        <v>13.9382244730371</v>
      </c>
      <c r="V132" s="194" t="n">
        <v>14.3563712072282</v>
      </c>
    </row>
    <row r="133" customFormat="false" ht="12.75" hidden="false" customHeight="false" outlineLevel="0" collapsed="false">
      <c r="A133" s="55"/>
      <c r="B133" s="189" t="s">
        <v>115</v>
      </c>
      <c r="C133" s="195" t="n">
        <v>0</v>
      </c>
      <c r="D133" s="196" t="n">
        <v>27.2847863247863</v>
      </c>
      <c r="E133" s="196" t="n">
        <v>17.7871891299584</v>
      </c>
      <c r="F133" s="196" t="n">
        <v>9.64318075827307</v>
      </c>
      <c r="G133" s="196" t="n">
        <v>0</v>
      </c>
      <c r="H133" s="196" t="n">
        <v>0</v>
      </c>
      <c r="I133" s="196" t="n">
        <v>0</v>
      </c>
      <c r="J133" s="196" t="n">
        <v>0</v>
      </c>
      <c r="K133" s="196" t="n">
        <v>0</v>
      </c>
      <c r="L133" s="196" t="n">
        <v>0</v>
      </c>
      <c r="M133" s="196" t="n">
        <v>0</v>
      </c>
      <c r="N133" s="196" t="n">
        <v>0</v>
      </c>
      <c r="O133" s="196" t="n">
        <v>0</v>
      </c>
      <c r="P133" s="196" t="n">
        <v>0</v>
      </c>
      <c r="Q133" s="196" t="n">
        <v>0</v>
      </c>
      <c r="R133" s="196" t="n">
        <v>0</v>
      </c>
      <c r="S133" s="196" t="n">
        <v>0</v>
      </c>
      <c r="T133" s="196" t="n">
        <v>0</v>
      </c>
      <c r="U133" s="196" t="n">
        <v>0</v>
      </c>
      <c r="V133" s="196" t="n">
        <v>0</v>
      </c>
    </row>
    <row r="134" customFormat="false" ht="12.75" hidden="false" customHeight="false" outlineLevel="0" collapsed="false">
      <c r="A134" s="55"/>
      <c r="B134" s="189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</row>
    <row r="135" customFormat="false" ht="12.75" hidden="false" customHeight="false" outlineLevel="0" collapsed="false">
      <c r="A135" s="55"/>
      <c r="B135" s="189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</row>
    <row r="136" customFormat="false" ht="12.75" hidden="false" customHeight="false" outlineLevel="0" collapsed="false">
      <c r="A136" s="11"/>
      <c r="B136" s="156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</row>
    <row r="137" customFormat="false" ht="12.75" hidden="false" customHeight="false" outlineLevel="0" collapsed="false">
      <c r="A137" s="11"/>
      <c r="B137" s="156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</row>
    <row r="138" customFormat="false" ht="12.75" hidden="false" customHeight="false" outlineLevel="0" collapsed="false">
      <c r="A138" s="52" t="s">
        <v>105</v>
      </c>
      <c r="B138" s="182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</row>
    <row r="139" customFormat="false" ht="12.75" hidden="false" customHeight="false" outlineLevel="0" collapsed="false">
      <c r="A139" s="183" t="s">
        <v>75</v>
      </c>
      <c r="B139" s="182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</row>
    <row r="140" customFormat="false" ht="12.75" hidden="false" customHeight="false" outlineLevel="0" collapsed="false">
      <c r="A140" s="55"/>
      <c r="B140" s="182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</row>
    <row r="141" customFormat="false" ht="12.75" hidden="false" customHeight="false" outlineLevel="0" collapsed="false">
      <c r="A141" s="55"/>
      <c r="B141" s="182"/>
      <c r="C141" s="184" t="n">
        <v>2000</v>
      </c>
      <c r="D141" s="185" t="n">
        <v>2001</v>
      </c>
      <c r="E141" s="185" t="n">
        <v>2002</v>
      </c>
      <c r="F141" s="185" t="n">
        <v>2003</v>
      </c>
      <c r="G141" s="185" t="n">
        <v>2004</v>
      </c>
      <c r="H141" s="185" t="n">
        <v>2005</v>
      </c>
      <c r="I141" s="185" t="n">
        <v>2006</v>
      </c>
      <c r="J141" s="185" t="n">
        <v>2007</v>
      </c>
      <c r="K141" s="185" t="n">
        <v>2008</v>
      </c>
      <c r="L141" s="185" t="n">
        <v>2009</v>
      </c>
      <c r="M141" s="185" t="n">
        <v>2010</v>
      </c>
      <c r="N141" s="185" t="n">
        <v>2011</v>
      </c>
      <c r="O141" s="185" t="n">
        <v>2012</v>
      </c>
      <c r="P141" s="185" t="n">
        <v>2013</v>
      </c>
      <c r="Q141" s="185" t="n">
        <v>2014</v>
      </c>
      <c r="R141" s="185" t="n">
        <v>2015</v>
      </c>
      <c r="S141" s="185" t="n">
        <v>2016</v>
      </c>
      <c r="T141" s="185" t="n">
        <v>2017</v>
      </c>
      <c r="U141" s="185" t="n">
        <v>2018</v>
      </c>
      <c r="V141" s="185" t="n">
        <v>2019</v>
      </c>
    </row>
    <row r="142" customFormat="false" ht="12.75" hidden="false" customHeight="false" outlineLevel="0" collapsed="false">
      <c r="A142" s="186" t="s">
        <v>106</v>
      </c>
      <c r="B142" s="182"/>
      <c r="C142" s="187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</row>
    <row r="143" customFormat="false" ht="12.75" hidden="false" customHeight="false" outlineLevel="0" collapsed="false">
      <c r="A143" s="55"/>
      <c r="B143" s="189" t="s">
        <v>107</v>
      </c>
      <c r="C143" s="190" t="n">
        <v>0</v>
      </c>
      <c r="D143" s="191" t="n">
        <v>1624654.72663444</v>
      </c>
      <c r="E143" s="191" t="n">
        <v>1624654.72663444</v>
      </c>
      <c r="F143" s="191" t="n">
        <v>1624654.72663444</v>
      </c>
      <c r="G143" s="191" t="n">
        <v>1624654.72663444</v>
      </c>
      <c r="H143" s="191" t="n">
        <v>1624654.72663444</v>
      </c>
      <c r="I143" s="191" t="n">
        <v>1624654.72663444</v>
      </c>
      <c r="J143" s="191" t="n">
        <v>1624654.72663444</v>
      </c>
      <c r="K143" s="191" t="n">
        <v>1624654.72663444</v>
      </c>
      <c r="L143" s="191" t="n">
        <v>1624654.72663444</v>
      </c>
      <c r="M143" s="191" t="n">
        <v>1624654.72663444</v>
      </c>
      <c r="N143" s="191" t="n">
        <v>1624654.72663444</v>
      </c>
      <c r="O143" s="191" t="n">
        <v>1624654.72663444</v>
      </c>
      <c r="P143" s="191" t="n">
        <v>1624654.72663444</v>
      </c>
      <c r="Q143" s="191" t="n">
        <v>1624654.72663444</v>
      </c>
      <c r="R143" s="191" t="n">
        <v>1624654.72663444</v>
      </c>
      <c r="S143" s="191" t="n">
        <v>1624654.72663444</v>
      </c>
      <c r="T143" s="191" t="n">
        <v>1624654.72663444</v>
      </c>
      <c r="U143" s="191" t="n">
        <v>1624654.72663444</v>
      </c>
      <c r="V143" s="191" t="n">
        <v>1624654.72663444</v>
      </c>
    </row>
    <row r="144" customFormat="false" ht="12.75" hidden="false" customHeight="false" outlineLevel="0" collapsed="false">
      <c r="A144" s="55"/>
      <c r="B144" s="189" t="s">
        <v>108</v>
      </c>
      <c r="C144" s="190" t="n">
        <v>0</v>
      </c>
      <c r="D144" s="192" t="n">
        <v>0.812898831195552</v>
      </c>
      <c r="E144" s="192" t="n">
        <v>0.812898831195552</v>
      </c>
      <c r="F144" s="192" t="n">
        <v>0.812898831195552</v>
      </c>
      <c r="G144" s="192" t="n">
        <v>0.812898831195552</v>
      </c>
      <c r="H144" s="192" t="n">
        <v>0.812898831195552</v>
      </c>
      <c r="I144" s="192" t="n">
        <v>0.812898831195552</v>
      </c>
      <c r="J144" s="192" t="n">
        <v>0.812898831195552</v>
      </c>
      <c r="K144" s="192" t="n">
        <v>0.812898831195552</v>
      </c>
      <c r="L144" s="192" t="n">
        <v>0.812898831195552</v>
      </c>
      <c r="M144" s="192" t="n">
        <v>0.812898831195552</v>
      </c>
      <c r="N144" s="192" t="n">
        <v>0.812898831195552</v>
      </c>
      <c r="O144" s="192" t="n">
        <v>0.812898831195552</v>
      </c>
      <c r="P144" s="192" t="n">
        <v>0.812898831195552</v>
      </c>
      <c r="Q144" s="192" t="n">
        <v>0.812898831195552</v>
      </c>
      <c r="R144" s="192" t="n">
        <v>0.812898831195552</v>
      </c>
      <c r="S144" s="192" t="n">
        <v>0.812898831195552</v>
      </c>
      <c r="T144" s="192" t="n">
        <v>0.812898831195552</v>
      </c>
      <c r="U144" s="192" t="n">
        <v>0.812898831195552</v>
      </c>
      <c r="V144" s="192" t="n">
        <v>0.812898831195552</v>
      </c>
    </row>
    <row r="145" customFormat="false" ht="12.75" hidden="false" customHeight="false" outlineLevel="0" collapsed="false">
      <c r="A145" s="186" t="s">
        <v>109</v>
      </c>
      <c r="B145" s="189"/>
      <c r="C145" s="187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</row>
    <row r="146" customFormat="false" ht="12.75" hidden="false" customHeight="false" outlineLevel="0" collapsed="false">
      <c r="A146" s="55"/>
      <c r="B146" s="189" t="s">
        <v>20</v>
      </c>
      <c r="C146" s="193" t="n">
        <v>0</v>
      </c>
      <c r="D146" s="194" t="n">
        <v>39.4830479600139</v>
      </c>
      <c r="E146" s="194" t="n">
        <v>38.9354673272511</v>
      </c>
      <c r="F146" s="194" t="n">
        <v>39.6849082613523</v>
      </c>
      <c r="G146" s="194" t="n">
        <v>39.1224218116773</v>
      </c>
      <c r="H146" s="194" t="n">
        <v>39.417099156106</v>
      </c>
      <c r="I146" s="194" t="n">
        <v>42.0786149252578</v>
      </c>
      <c r="J146" s="194" t="n">
        <v>45.1190140269637</v>
      </c>
      <c r="K146" s="194" t="n">
        <v>46.2865929451868</v>
      </c>
      <c r="L146" s="194" t="n">
        <v>47.2554084179073</v>
      </c>
      <c r="M146" s="194" t="n">
        <v>47.424107614869</v>
      </c>
      <c r="N146" s="194" t="n">
        <v>48.4487023221245</v>
      </c>
      <c r="O146" s="194" t="n">
        <v>48.9927709342232</v>
      </c>
      <c r="P146" s="194" t="n">
        <v>49.5693200792455</v>
      </c>
      <c r="Q146" s="194" t="n">
        <v>51.3142206624761</v>
      </c>
      <c r="R146" s="194" t="n">
        <v>54.9549131355292</v>
      </c>
      <c r="S146" s="194" t="n">
        <v>54.6383329257431</v>
      </c>
      <c r="T146" s="194" t="n">
        <v>55.33468859591</v>
      </c>
      <c r="U146" s="194" t="n">
        <v>57.9938209162061</v>
      </c>
      <c r="V146" s="194" t="n">
        <v>59.7553005518294</v>
      </c>
    </row>
    <row r="147" customFormat="false" ht="12.75" hidden="false" customHeight="false" outlineLevel="0" collapsed="false">
      <c r="A147" s="55"/>
      <c r="B147" s="189" t="s">
        <v>21</v>
      </c>
      <c r="C147" s="193" t="n">
        <v>0</v>
      </c>
      <c r="D147" s="194" t="n">
        <v>11.679376</v>
      </c>
      <c r="E147" s="194" t="n">
        <v>11.8466995</v>
      </c>
      <c r="F147" s="194" t="n">
        <v>12.0521845</v>
      </c>
      <c r="G147" s="194" t="n">
        <v>12.3985735</v>
      </c>
      <c r="H147" s="194" t="n">
        <v>12.832049</v>
      </c>
      <c r="I147" s="194" t="n">
        <v>13.3281485</v>
      </c>
      <c r="J147" s="194" t="n">
        <v>13.6353975</v>
      </c>
      <c r="K147" s="194" t="n">
        <v>13.9289475</v>
      </c>
      <c r="L147" s="194" t="n">
        <v>14.1559595</v>
      </c>
      <c r="M147" s="194" t="n">
        <v>14.2655515</v>
      </c>
      <c r="N147" s="194" t="n">
        <v>14.4573375</v>
      </c>
      <c r="O147" s="194" t="n">
        <v>14.7704575</v>
      </c>
      <c r="P147" s="194" t="n">
        <v>15.106083</v>
      </c>
      <c r="Q147" s="194" t="n">
        <v>15.4260525</v>
      </c>
      <c r="R147" s="194" t="n">
        <v>15.642301</v>
      </c>
      <c r="S147" s="194" t="n">
        <v>15.9622705</v>
      </c>
      <c r="T147" s="194" t="n">
        <v>16.3262725</v>
      </c>
      <c r="U147" s="194" t="n">
        <v>16.7274575</v>
      </c>
      <c r="V147" s="194" t="n">
        <v>17.1403845</v>
      </c>
    </row>
    <row r="148" customFormat="false" ht="12.75" hidden="false" customHeight="false" outlineLevel="0" collapsed="false">
      <c r="A148" s="55"/>
      <c r="B148" s="189" t="s">
        <v>110</v>
      </c>
      <c r="C148" s="193" t="n">
        <v>0</v>
      </c>
      <c r="D148" s="194" t="n">
        <v>0.861827254150733</v>
      </c>
      <c r="E148" s="194" t="n">
        <v>0.879222681984523</v>
      </c>
      <c r="F148" s="194" t="n">
        <v>1.47096922532094</v>
      </c>
      <c r="G148" s="194" t="n">
        <v>1.50342397120018</v>
      </c>
      <c r="H148" s="194" t="n">
        <v>1.53660289970977</v>
      </c>
      <c r="I148" s="194" t="n">
        <v>1.5705223556219</v>
      </c>
      <c r="J148" s="194" t="n">
        <v>1.60519905680776</v>
      </c>
      <c r="K148" s="194" t="n">
        <v>1.64065010284807</v>
      </c>
      <c r="L148" s="194" t="n">
        <v>1.67689298384439</v>
      </c>
      <c r="M148" s="194" t="n">
        <v>1.71394558943595</v>
      </c>
      <c r="N148" s="194" t="n">
        <v>1.75182621802685</v>
      </c>
      <c r="O148" s="194" t="n">
        <v>1.79055358622854</v>
      </c>
      <c r="P148" s="194" t="n">
        <v>1.83014683852274</v>
      </c>
      <c r="Q148" s="194" t="n">
        <v>1.87062555714991</v>
      </c>
      <c r="R148" s="194" t="n">
        <v>1.91200977222861</v>
      </c>
      <c r="S148" s="194" t="n">
        <v>1.95431997211121</v>
      </c>
      <c r="T148" s="194" t="n">
        <v>1.99757711398153</v>
      </c>
      <c r="U148" s="194" t="n">
        <v>2.04180263470008</v>
      </c>
      <c r="V148" s="194" t="n">
        <v>2.08701846190272</v>
      </c>
    </row>
    <row r="149" customFormat="false" ht="12.75" hidden="false" customHeight="false" outlineLevel="0" collapsed="false">
      <c r="A149" s="55"/>
      <c r="B149" s="189" t="s">
        <v>111</v>
      </c>
      <c r="C149" s="193" t="n">
        <v>0</v>
      </c>
      <c r="D149" s="194" t="n">
        <v>0</v>
      </c>
      <c r="E149" s="194" t="n">
        <v>0</v>
      </c>
      <c r="F149" s="194" t="n">
        <v>0</v>
      </c>
      <c r="G149" s="194" t="n">
        <v>0</v>
      </c>
      <c r="H149" s="194" t="n">
        <v>0</v>
      </c>
      <c r="I149" s="194" t="n">
        <v>0.27970196020983</v>
      </c>
      <c r="J149" s="194" t="n">
        <v>0.310027279193612</v>
      </c>
      <c r="K149" s="194" t="n">
        <v>0.426660024671861</v>
      </c>
      <c r="L149" s="194" t="n">
        <v>0.375745221497286</v>
      </c>
      <c r="M149" s="194" t="n">
        <v>0.41788645731559</v>
      </c>
      <c r="N149" s="194" t="n">
        <v>0.460333534878674</v>
      </c>
      <c r="O149" s="194" t="n">
        <v>0.510035755428858</v>
      </c>
      <c r="P149" s="194" t="n">
        <v>0.571884251702834</v>
      </c>
      <c r="Q149" s="194" t="n">
        <v>0.636596412977522</v>
      </c>
      <c r="R149" s="194" t="n">
        <v>0.705154356624368</v>
      </c>
      <c r="S149" s="194" t="n">
        <v>0.774258616402525</v>
      </c>
      <c r="T149" s="194" t="n">
        <v>0.760671343688352</v>
      </c>
      <c r="U149" s="194" t="n">
        <v>0.650795477349107</v>
      </c>
      <c r="V149" s="194" t="n">
        <v>0.674754840498974</v>
      </c>
    </row>
    <row r="150" customFormat="false" ht="12.75" hidden="false" customHeight="false" outlineLevel="0" collapsed="false">
      <c r="A150" s="55"/>
      <c r="B150" s="189" t="s">
        <v>112</v>
      </c>
      <c r="C150" s="193" t="n">
        <v>0</v>
      </c>
      <c r="D150" s="194" t="n">
        <v>0</v>
      </c>
      <c r="E150" s="194" t="n">
        <v>0</v>
      </c>
      <c r="F150" s="194" t="n">
        <v>0.928668831234632</v>
      </c>
      <c r="G150" s="194" t="n">
        <v>0.791284056075302</v>
      </c>
      <c r="H150" s="194" t="n">
        <v>0.821460955673349</v>
      </c>
      <c r="I150" s="194" t="n">
        <v>0.853159529932878</v>
      </c>
      <c r="J150" s="194" t="n">
        <v>1.07175470374718</v>
      </c>
      <c r="K150" s="194" t="n">
        <v>0.936165722452101</v>
      </c>
      <c r="L150" s="194" t="n">
        <v>0.99086527163511</v>
      </c>
      <c r="M150" s="194" t="n">
        <v>0.942846255070203</v>
      </c>
      <c r="N150" s="194" t="n">
        <v>0.969850148888575</v>
      </c>
      <c r="O150" s="194" t="n">
        <v>0.994999208922744</v>
      </c>
      <c r="P150" s="194" t="n">
        <v>0.888743051359525</v>
      </c>
      <c r="Q150" s="194" t="n">
        <v>0.920519773456186</v>
      </c>
      <c r="R150" s="194" t="n">
        <v>0.939542665478299</v>
      </c>
      <c r="S150" s="194" t="n">
        <v>0.997728300116132</v>
      </c>
      <c r="T150" s="194" t="n">
        <v>0.937968083111088</v>
      </c>
      <c r="U150" s="194" t="n">
        <v>1.0330565121487</v>
      </c>
      <c r="V150" s="194" t="n">
        <v>0.562448190752904</v>
      </c>
    </row>
    <row r="151" customFormat="false" ht="12.75" hidden="false" customHeight="false" outlineLevel="0" collapsed="false">
      <c r="A151" s="186" t="s">
        <v>113</v>
      </c>
      <c r="B151" s="189"/>
      <c r="C151" s="187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</row>
    <row r="152" customFormat="false" ht="12.75" hidden="false" customHeight="false" outlineLevel="0" collapsed="false">
      <c r="A152" s="55"/>
      <c r="B152" s="189" t="s">
        <v>26</v>
      </c>
      <c r="C152" s="193" t="n">
        <v>0</v>
      </c>
      <c r="D152" s="194" t="n">
        <v>12.2495583779593</v>
      </c>
      <c r="E152" s="194" t="n">
        <v>12.4945495455185</v>
      </c>
      <c r="F152" s="194" t="n">
        <v>12.9285255682062</v>
      </c>
      <c r="G152" s="194" t="n">
        <v>13.1880165047292</v>
      </c>
      <c r="H152" s="194" t="n">
        <v>13.4527202706116</v>
      </c>
      <c r="I152" s="194" t="n">
        <v>13.7227416977064</v>
      </c>
      <c r="J152" s="194" t="n">
        <v>13.9981877288852</v>
      </c>
      <c r="K152" s="194" t="n">
        <v>14.2791674606181</v>
      </c>
      <c r="L152" s="194" t="n">
        <v>14.5657921864146</v>
      </c>
      <c r="M152" s="194" t="n">
        <v>14.8581754411416</v>
      </c>
      <c r="N152" s="194" t="n">
        <v>15.1564330462381</v>
      </c>
      <c r="O152" s="194" t="n">
        <v>15.4606831558434</v>
      </c>
      <c r="P152" s="194" t="n">
        <v>15.7710463038578</v>
      </c>
      <c r="Q152" s="194" t="n">
        <v>16.0876454519549</v>
      </c>
      <c r="R152" s="194" t="n">
        <v>16.4106060385645</v>
      </c>
      <c r="S152" s="194" t="n">
        <v>16.7400560288455</v>
      </c>
      <c r="T152" s="194" t="n">
        <v>17.0761259656699</v>
      </c>
      <c r="U152" s="194" t="n">
        <v>17.418949021637</v>
      </c>
      <c r="V152" s="194" t="n">
        <v>17.7686610521398</v>
      </c>
    </row>
    <row r="153" customFormat="false" ht="12.75" hidden="false" customHeight="false" outlineLevel="0" collapsed="false">
      <c r="A153" s="55"/>
      <c r="B153" s="189" t="s">
        <v>114</v>
      </c>
      <c r="C153" s="193" t="n">
        <v>0</v>
      </c>
      <c r="D153" s="194" t="n">
        <v>1.70194956018368</v>
      </c>
      <c r="E153" s="194" t="n">
        <v>1.74129528067563</v>
      </c>
      <c r="F153" s="194" t="n">
        <v>1.78150267244635</v>
      </c>
      <c r="G153" s="194" t="n">
        <v>1.82261875127109</v>
      </c>
      <c r="H153" s="194" t="n">
        <v>1.86471339277186</v>
      </c>
      <c r="I153" s="194" t="n">
        <v>1.90962454618987</v>
      </c>
      <c r="J153" s="194" t="n">
        <v>1.9538443123763</v>
      </c>
      <c r="K153" s="194" t="n">
        <v>2.00103373679934</v>
      </c>
      <c r="L153" s="194" t="n">
        <v>2.04749267142972</v>
      </c>
      <c r="M153" s="194" t="n">
        <v>2.09513630889318</v>
      </c>
      <c r="N153" s="194" t="n">
        <v>2.14393292238325</v>
      </c>
      <c r="O153" s="194" t="n">
        <v>2.19395921053327</v>
      </c>
      <c r="P153" s="194" t="n">
        <v>2.2452561664023</v>
      </c>
      <c r="Q153" s="194" t="n">
        <v>2.29783554616806</v>
      </c>
      <c r="R153" s="194" t="n">
        <v>2.35173466836593</v>
      </c>
      <c r="S153" s="194" t="n">
        <v>2.40698126861876</v>
      </c>
      <c r="T153" s="194" t="n">
        <v>2.46359798455785</v>
      </c>
      <c r="U153" s="194" t="n">
        <v>2.52163578006701</v>
      </c>
      <c r="V153" s="194" t="n">
        <v>2.58113032424346</v>
      </c>
    </row>
    <row r="154" customFormat="false" ht="12.75" hidden="false" customHeight="false" outlineLevel="0" collapsed="false">
      <c r="A154" s="55"/>
      <c r="B154" s="189" t="s">
        <v>28</v>
      </c>
      <c r="C154" s="193" t="n">
        <v>0</v>
      </c>
      <c r="D154" s="194" t="n">
        <v>2.34672519724395</v>
      </c>
      <c r="E154" s="194" t="n">
        <v>2.39624109890581</v>
      </c>
      <c r="F154" s="194" t="n">
        <v>2.44871877897185</v>
      </c>
      <c r="G154" s="194" t="n">
        <v>2.50405982337659</v>
      </c>
      <c r="H154" s="194" t="n">
        <v>2.56365644717297</v>
      </c>
      <c r="I154" s="194" t="n">
        <v>2.62790193546811</v>
      </c>
      <c r="J154" s="194" t="n">
        <v>2.69308122446522</v>
      </c>
      <c r="K154" s="194" t="n">
        <v>2.76124867570863</v>
      </c>
      <c r="L154" s="194" t="n">
        <v>2.82945151799863</v>
      </c>
      <c r="M154" s="194" t="n">
        <v>2.90160253170759</v>
      </c>
      <c r="N154" s="194" t="n">
        <v>2.97182131297492</v>
      </c>
      <c r="O154" s="194" t="n">
        <v>3.04671121006188</v>
      </c>
      <c r="P154" s="194" t="n">
        <v>3.12409767479745</v>
      </c>
      <c r="Q154" s="194" t="n">
        <v>3.20220011666739</v>
      </c>
      <c r="R154" s="194" t="n">
        <v>3.28257533959574</v>
      </c>
      <c r="S154" s="194" t="n">
        <v>3.36463972308564</v>
      </c>
      <c r="T154" s="194" t="n">
        <v>3.44808278821815</v>
      </c>
      <c r="U154" s="194" t="n">
        <v>3.53462966620244</v>
      </c>
      <c r="V154" s="194" t="n">
        <v>3.62334887082412</v>
      </c>
    </row>
    <row r="155" customFormat="false" ht="12.75" hidden="false" customHeight="false" outlineLevel="0" collapsed="false">
      <c r="A155" s="55"/>
      <c r="B155" s="189" t="s">
        <v>33</v>
      </c>
      <c r="C155" s="193" t="n">
        <v>0</v>
      </c>
      <c r="D155" s="194" t="n">
        <v>4.27127766820075</v>
      </c>
      <c r="E155" s="194" t="n">
        <v>7.36531194389656</v>
      </c>
      <c r="F155" s="194" t="n">
        <v>1.37401310541311</v>
      </c>
      <c r="G155" s="194" t="n">
        <v>4.12736546131931</v>
      </c>
      <c r="H155" s="194" t="n">
        <v>8.67613626123165</v>
      </c>
      <c r="I155" s="194" t="n">
        <v>8.9364203490686</v>
      </c>
      <c r="J155" s="194" t="n">
        <v>9.20451295954065</v>
      </c>
      <c r="K155" s="194" t="n">
        <v>9.48064834832687</v>
      </c>
      <c r="L155" s="194" t="n">
        <v>9.76506779877668</v>
      </c>
      <c r="M155" s="194" t="n">
        <v>10.05801983274</v>
      </c>
      <c r="N155" s="194" t="n">
        <v>10.3597604277222</v>
      </c>
      <c r="O155" s="194" t="n">
        <v>10.6705532405538</v>
      </c>
      <c r="P155" s="194" t="n">
        <v>10.9906698377705</v>
      </c>
      <c r="Q155" s="194" t="n">
        <v>11.3203899329036</v>
      </c>
      <c r="R155" s="194" t="n">
        <v>11.6600016308907</v>
      </c>
      <c r="S155" s="194" t="n">
        <v>12.0098016798174</v>
      </c>
      <c r="T155" s="194" t="n">
        <v>12.3700957302119</v>
      </c>
      <c r="U155" s="194" t="n">
        <v>12.7411986021183</v>
      </c>
      <c r="V155" s="194" t="n">
        <v>13.1234345601818</v>
      </c>
    </row>
    <row r="156" customFormat="false" ht="12.75" hidden="false" customHeight="false" outlineLevel="0" collapsed="false">
      <c r="A156" s="55"/>
      <c r="B156" s="189" t="s">
        <v>115</v>
      </c>
      <c r="C156" s="195" t="n">
        <v>0</v>
      </c>
      <c r="D156" s="196" t="n">
        <v>27.2847863247863</v>
      </c>
      <c r="E156" s="196" t="n">
        <v>17.7871891299584</v>
      </c>
      <c r="F156" s="196" t="n">
        <v>9.64318075827307</v>
      </c>
      <c r="G156" s="196" t="n">
        <v>0</v>
      </c>
      <c r="H156" s="196" t="n">
        <v>0</v>
      </c>
      <c r="I156" s="196" t="n">
        <v>0</v>
      </c>
      <c r="J156" s="196" t="n">
        <v>0</v>
      </c>
      <c r="K156" s="196" t="n">
        <v>0</v>
      </c>
      <c r="L156" s="196" t="n">
        <v>0</v>
      </c>
      <c r="M156" s="196" t="n">
        <v>0</v>
      </c>
      <c r="N156" s="196" t="n">
        <v>0</v>
      </c>
      <c r="O156" s="196" t="n">
        <v>0</v>
      </c>
      <c r="P156" s="196" t="n">
        <v>0</v>
      </c>
      <c r="Q156" s="196" t="n">
        <v>0</v>
      </c>
      <c r="R156" s="196" t="n">
        <v>0</v>
      </c>
      <c r="S156" s="196" t="n">
        <v>0</v>
      </c>
      <c r="T156" s="196" t="n">
        <v>0</v>
      </c>
      <c r="U156" s="196" t="n">
        <v>0</v>
      </c>
      <c r="V156" s="196" t="n">
        <v>0</v>
      </c>
    </row>
    <row r="157" customFormat="false" ht="12.75" hidden="false" customHeight="false" outlineLevel="0" collapsed="false">
      <c r="A157" s="55"/>
      <c r="B157" s="189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</row>
    <row r="158" customFormat="false" ht="12.75" hidden="false" customHeight="false" outlineLevel="0" collapsed="false">
      <c r="A158" s="55"/>
      <c r="B158" s="189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</row>
    <row r="159" customFormat="false" ht="12.75" hidden="false" customHeight="false" outlineLevel="0" collapsed="false">
      <c r="A159" s="11"/>
      <c r="B159" s="156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</row>
    <row r="160" customFormat="false" ht="12.75" hidden="false" customHeight="false" outlineLevel="0" collapsed="false">
      <c r="A160" s="11"/>
      <c r="B160" s="156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</row>
    <row r="161" customFormat="false" ht="12.75" hidden="false" customHeight="false" outlineLevel="0" collapsed="false">
      <c r="A161" s="52" t="s">
        <v>105</v>
      </c>
      <c r="B161" s="182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</row>
    <row r="162" customFormat="false" ht="12.75" hidden="false" customHeight="false" outlineLevel="0" collapsed="false">
      <c r="A162" s="183" t="s">
        <v>76</v>
      </c>
      <c r="B162" s="182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</row>
    <row r="163" customFormat="false" ht="12.75" hidden="false" customHeight="false" outlineLevel="0" collapsed="false">
      <c r="A163" s="55"/>
      <c r="B163" s="182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</row>
    <row r="164" customFormat="false" ht="12.75" hidden="false" customHeight="false" outlineLevel="0" collapsed="false">
      <c r="A164" s="55"/>
      <c r="B164" s="182"/>
      <c r="C164" s="184" t="n">
        <v>2000</v>
      </c>
      <c r="D164" s="185" t="n">
        <v>2001</v>
      </c>
      <c r="E164" s="185" t="n">
        <v>2002</v>
      </c>
      <c r="F164" s="185" t="n">
        <v>2003</v>
      </c>
      <c r="G164" s="185" t="n">
        <v>2004</v>
      </c>
      <c r="H164" s="185" t="n">
        <v>2005</v>
      </c>
      <c r="I164" s="185" t="n">
        <v>2006</v>
      </c>
      <c r="J164" s="185" t="n">
        <v>2007</v>
      </c>
      <c r="K164" s="185" t="n">
        <v>2008</v>
      </c>
      <c r="L164" s="185" t="n">
        <v>2009</v>
      </c>
      <c r="M164" s="185" t="n">
        <v>2010</v>
      </c>
      <c r="N164" s="185" t="n">
        <v>2011</v>
      </c>
      <c r="O164" s="185" t="n">
        <v>2012</v>
      </c>
      <c r="P164" s="185" t="n">
        <v>2013</v>
      </c>
      <c r="Q164" s="185" t="n">
        <v>2014</v>
      </c>
      <c r="R164" s="185" t="n">
        <v>2015</v>
      </c>
      <c r="S164" s="185" t="n">
        <v>2016</v>
      </c>
      <c r="T164" s="185" t="n">
        <v>2017</v>
      </c>
      <c r="U164" s="185" t="n">
        <v>2018</v>
      </c>
      <c r="V164" s="185" t="n">
        <v>2019</v>
      </c>
    </row>
    <row r="165" customFormat="false" ht="12.75" hidden="false" customHeight="false" outlineLevel="0" collapsed="false">
      <c r="A165" s="186" t="s">
        <v>106</v>
      </c>
      <c r="B165" s="182"/>
      <c r="C165" s="187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</row>
    <row r="166" customFormat="false" ht="12.75" hidden="false" customHeight="false" outlineLevel="0" collapsed="false">
      <c r="A166" s="55"/>
      <c r="B166" s="189" t="s">
        <v>107</v>
      </c>
      <c r="C166" s="190" t="n">
        <v>0</v>
      </c>
      <c r="D166" s="191" t="n">
        <v>1495054.58428834</v>
      </c>
      <c r="E166" s="191" t="n">
        <v>1495054.58428834</v>
      </c>
      <c r="F166" s="191" t="n">
        <v>1495054.58428834</v>
      </c>
      <c r="G166" s="191" t="n">
        <v>1495054.58428834</v>
      </c>
      <c r="H166" s="191" t="n">
        <v>1495054.58428834</v>
      </c>
      <c r="I166" s="191" t="n">
        <v>1495054.58428834</v>
      </c>
      <c r="J166" s="191" t="n">
        <v>1495054.58428834</v>
      </c>
      <c r="K166" s="191" t="n">
        <v>1495054.58428834</v>
      </c>
      <c r="L166" s="191" t="n">
        <v>1495054.58428834</v>
      </c>
      <c r="M166" s="191" t="n">
        <v>1495054.58428834</v>
      </c>
      <c r="N166" s="191" t="n">
        <v>1495054.58428834</v>
      </c>
      <c r="O166" s="191" t="n">
        <v>1495054.58428834</v>
      </c>
      <c r="P166" s="191" t="n">
        <v>1495054.58428834</v>
      </c>
      <c r="Q166" s="191" t="n">
        <v>1495054.58428834</v>
      </c>
      <c r="R166" s="191" t="n">
        <v>1495054.58428834</v>
      </c>
      <c r="S166" s="191" t="n">
        <v>1495054.58428834</v>
      </c>
      <c r="T166" s="191" t="n">
        <v>1495054.58428834</v>
      </c>
      <c r="U166" s="191" t="n">
        <v>1495054.58428834</v>
      </c>
      <c r="V166" s="191" t="n">
        <v>1495054.58428834</v>
      </c>
    </row>
    <row r="167" customFormat="false" ht="12.75" hidden="false" customHeight="false" outlineLevel="0" collapsed="false">
      <c r="A167" s="55"/>
      <c r="B167" s="189" t="s">
        <v>108</v>
      </c>
      <c r="C167" s="190" t="n">
        <v>0</v>
      </c>
      <c r="D167" s="192" t="n">
        <v>0.86196127040285</v>
      </c>
      <c r="E167" s="192" t="n">
        <v>0.86196127040285</v>
      </c>
      <c r="F167" s="192" t="n">
        <v>0.86196127040285</v>
      </c>
      <c r="G167" s="192" t="n">
        <v>0.86196127040285</v>
      </c>
      <c r="H167" s="192" t="n">
        <v>0.86196127040285</v>
      </c>
      <c r="I167" s="192" t="n">
        <v>0.86196127040285</v>
      </c>
      <c r="J167" s="192" t="n">
        <v>0.86196127040285</v>
      </c>
      <c r="K167" s="192" t="n">
        <v>0.86196127040285</v>
      </c>
      <c r="L167" s="192" t="n">
        <v>0.86196127040285</v>
      </c>
      <c r="M167" s="192" t="n">
        <v>0.86196127040285</v>
      </c>
      <c r="N167" s="192" t="n">
        <v>0.86196127040285</v>
      </c>
      <c r="O167" s="192" t="n">
        <v>0.86196127040285</v>
      </c>
      <c r="P167" s="192" t="n">
        <v>0.86196127040285</v>
      </c>
      <c r="Q167" s="192" t="n">
        <v>0.86196127040285</v>
      </c>
      <c r="R167" s="192" t="n">
        <v>0.86196127040285</v>
      </c>
      <c r="S167" s="192" t="n">
        <v>0.86196127040285</v>
      </c>
      <c r="T167" s="192" t="n">
        <v>0.86196127040285</v>
      </c>
      <c r="U167" s="192" t="n">
        <v>0.86196127040285</v>
      </c>
      <c r="V167" s="192" t="n">
        <v>0.86196127040285</v>
      </c>
    </row>
    <row r="168" customFormat="false" ht="12.75" hidden="false" customHeight="false" outlineLevel="0" collapsed="false">
      <c r="A168" s="186" t="s">
        <v>109</v>
      </c>
      <c r="B168" s="189"/>
      <c r="C168" s="187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</row>
    <row r="169" customFormat="false" ht="12.75" hidden="false" customHeight="false" outlineLevel="0" collapsed="false">
      <c r="A169" s="55"/>
      <c r="B169" s="189" t="s">
        <v>20</v>
      </c>
      <c r="C169" s="193" t="n">
        <v>0</v>
      </c>
      <c r="D169" s="194" t="n">
        <v>39.4830479600139</v>
      </c>
      <c r="E169" s="194" t="n">
        <v>38.9354673272511</v>
      </c>
      <c r="F169" s="194" t="n">
        <v>39.6849082613523</v>
      </c>
      <c r="G169" s="194" t="n">
        <v>39.1224218116774</v>
      </c>
      <c r="H169" s="194" t="n">
        <v>39.417099156106</v>
      </c>
      <c r="I169" s="194" t="n">
        <v>42.0786149252578</v>
      </c>
      <c r="J169" s="194" t="n">
        <v>45.1190140269637</v>
      </c>
      <c r="K169" s="194" t="n">
        <v>46.2865929451868</v>
      </c>
      <c r="L169" s="194" t="n">
        <v>47.2554084179073</v>
      </c>
      <c r="M169" s="194" t="n">
        <v>47.424107614869</v>
      </c>
      <c r="N169" s="194" t="n">
        <v>48.4487023221246</v>
      </c>
      <c r="O169" s="194" t="n">
        <v>48.9927709342232</v>
      </c>
      <c r="P169" s="194" t="n">
        <v>49.5693200792454</v>
      </c>
      <c r="Q169" s="194" t="n">
        <v>51.3142206624761</v>
      </c>
      <c r="R169" s="194" t="n">
        <v>54.9549131355292</v>
      </c>
      <c r="S169" s="194" t="n">
        <v>54.6383329257431</v>
      </c>
      <c r="T169" s="194" t="n">
        <v>55.33468859591</v>
      </c>
      <c r="U169" s="194" t="n">
        <v>57.9938209162061</v>
      </c>
      <c r="V169" s="194" t="n">
        <v>59.7553005518293</v>
      </c>
    </row>
    <row r="170" customFormat="false" ht="12.75" hidden="false" customHeight="false" outlineLevel="0" collapsed="false">
      <c r="A170" s="55"/>
      <c r="B170" s="189" t="s">
        <v>21</v>
      </c>
      <c r="C170" s="193" t="n">
        <v>0</v>
      </c>
      <c r="D170" s="194" t="n">
        <v>11.8088517</v>
      </c>
      <c r="E170" s="194" t="n">
        <v>11.9780187</v>
      </c>
      <c r="F170" s="194" t="n">
        <v>12.1849995</v>
      </c>
      <c r="G170" s="194" t="n">
        <v>12.5362698</v>
      </c>
      <c r="H170" s="194" t="n">
        <v>12.9751089</v>
      </c>
      <c r="I170" s="194" t="n">
        <v>13.4786295</v>
      </c>
      <c r="J170" s="194" t="n">
        <v>13.7891007</v>
      </c>
      <c r="K170" s="194" t="n">
        <v>14.0846454</v>
      </c>
      <c r="L170" s="194" t="n">
        <v>14.3145135</v>
      </c>
      <c r="M170" s="194" t="n">
        <v>14.4239745</v>
      </c>
      <c r="N170" s="194" t="n">
        <v>14.6170239</v>
      </c>
      <c r="O170" s="194" t="n">
        <v>14.9334657</v>
      </c>
      <c r="P170" s="194" t="n">
        <v>15.2717997</v>
      </c>
      <c r="Q170" s="194" t="n">
        <v>15.5962023</v>
      </c>
      <c r="R170" s="194" t="n">
        <v>15.8141292</v>
      </c>
      <c r="S170" s="194" t="n">
        <v>16.1365416</v>
      </c>
      <c r="T170" s="194" t="n">
        <v>16.5047286</v>
      </c>
      <c r="U170" s="194" t="n">
        <v>16.9097343</v>
      </c>
      <c r="V170" s="194" t="n">
        <v>17.3276763</v>
      </c>
    </row>
    <row r="171" customFormat="false" ht="12.75" hidden="false" customHeight="false" outlineLevel="0" collapsed="false">
      <c r="A171" s="55"/>
      <c r="B171" s="189" t="s">
        <v>110</v>
      </c>
      <c r="C171" s="193" t="n">
        <v>0</v>
      </c>
      <c r="D171" s="194" t="n">
        <v>0.806225495818427</v>
      </c>
      <c r="E171" s="194" t="n">
        <v>0.822498637985521</v>
      </c>
      <c r="F171" s="194" t="n">
        <v>1.37150024304217</v>
      </c>
      <c r="G171" s="194" t="n">
        <v>1.40174694080017</v>
      </c>
      <c r="H171" s="194" t="n">
        <v>1.43266824488978</v>
      </c>
      <c r="I171" s="194" t="n">
        <v>1.46427937421081</v>
      </c>
      <c r="J171" s="194" t="n">
        <v>1.49659589490685</v>
      </c>
      <c r="K171" s="194" t="n">
        <v>1.52963372837576</v>
      </c>
      <c r="L171" s="194" t="n">
        <v>1.56340915946672</v>
      </c>
      <c r="M171" s="194" t="n">
        <v>1.59793884486849</v>
      </c>
      <c r="N171" s="194" t="n">
        <v>1.63323982169327</v>
      </c>
      <c r="O171" s="194" t="n">
        <v>1.66932951626074</v>
      </c>
      <c r="P171" s="194" t="n">
        <v>1.70622575308714</v>
      </c>
      <c r="Q171" s="194" t="n">
        <v>1.74394676408396</v>
      </c>
      <c r="R171" s="194" t="n">
        <v>1.7825111979715</v>
      </c>
      <c r="S171" s="194" t="n">
        <v>1.82193812991207</v>
      </c>
      <c r="T171" s="194" t="n">
        <v>1.86224707136821</v>
      </c>
      <c r="U171" s="194" t="n">
        <v>1.90345798019117</v>
      </c>
      <c r="V171" s="194" t="n">
        <v>1.94559127094495</v>
      </c>
    </row>
    <row r="172" customFormat="false" ht="12.75" hidden="false" customHeight="false" outlineLevel="0" collapsed="false">
      <c r="A172" s="55"/>
      <c r="B172" s="189" t="s">
        <v>111</v>
      </c>
      <c r="C172" s="193" t="n">
        <v>0</v>
      </c>
      <c r="D172" s="194" t="n">
        <v>0</v>
      </c>
      <c r="E172" s="194" t="n">
        <v>0</v>
      </c>
      <c r="F172" s="194" t="n">
        <v>0</v>
      </c>
      <c r="G172" s="194" t="n">
        <v>0</v>
      </c>
      <c r="H172" s="194" t="n">
        <v>0</v>
      </c>
      <c r="I172" s="194" t="n">
        <v>0.839139031676506</v>
      </c>
      <c r="J172" s="194" t="n">
        <v>0.930118582868215</v>
      </c>
      <c r="K172" s="194" t="n">
        <v>1.11233951170096</v>
      </c>
      <c r="L172" s="194" t="n">
        <v>1.12728019885084</v>
      </c>
      <c r="M172" s="194" t="n">
        <v>1.25370890100114</v>
      </c>
      <c r="N172" s="194" t="n">
        <v>1.38105516463498</v>
      </c>
      <c r="O172" s="194" t="n">
        <v>1.53016771712966</v>
      </c>
      <c r="P172" s="194" t="n">
        <v>1.71572053640578</v>
      </c>
      <c r="Q172" s="194" t="n">
        <v>1.90986469009351</v>
      </c>
      <c r="R172" s="194" t="n">
        <v>2.11554664671043</v>
      </c>
      <c r="S172" s="194" t="n">
        <v>2.32286761647219</v>
      </c>
      <c r="T172" s="194" t="n">
        <v>2.28210418792867</v>
      </c>
      <c r="U172" s="194" t="n">
        <v>1.9524635661205</v>
      </c>
      <c r="V172" s="194" t="n">
        <v>2.02434449529984</v>
      </c>
    </row>
    <row r="173" customFormat="false" ht="12.75" hidden="false" customHeight="false" outlineLevel="0" collapsed="false">
      <c r="A173" s="55"/>
      <c r="B173" s="189" t="s">
        <v>112</v>
      </c>
      <c r="C173" s="193" t="n">
        <v>0</v>
      </c>
      <c r="D173" s="194" t="n">
        <v>0</v>
      </c>
      <c r="E173" s="194" t="n">
        <v>0</v>
      </c>
      <c r="F173" s="194" t="n">
        <v>0.638874692389804</v>
      </c>
      <c r="G173" s="194" t="n">
        <v>0.544361284577602</v>
      </c>
      <c r="H173" s="194" t="n">
        <v>0.565121384194976</v>
      </c>
      <c r="I173" s="194" t="n">
        <v>0.586928314930799</v>
      </c>
      <c r="J173" s="194" t="n">
        <v>0.737310151524628</v>
      </c>
      <c r="K173" s="194" t="n">
        <v>0.644032154242026</v>
      </c>
      <c r="L173" s="194" t="n">
        <v>0.681662530628941</v>
      </c>
      <c r="M173" s="194" t="n">
        <v>0.648628004859426</v>
      </c>
      <c r="N173" s="194" t="n">
        <v>0.667205245503546</v>
      </c>
      <c r="O173" s="194" t="n">
        <v>0.68450645929777</v>
      </c>
      <c r="P173" s="194" t="n">
        <v>0.611407882394447</v>
      </c>
      <c r="Q173" s="194" t="n">
        <v>0.633268574679845</v>
      </c>
      <c r="R173" s="194" t="n">
        <v>0.646355311178619</v>
      </c>
      <c r="S173" s="194" t="n">
        <v>0.68638392867979</v>
      </c>
      <c r="T173" s="194" t="n">
        <v>0.645272082376639</v>
      </c>
      <c r="U173" s="194" t="n">
        <v>0.710687856878801</v>
      </c>
      <c r="V173" s="194" t="n">
        <v>0.386934397674079</v>
      </c>
    </row>
    <row r="174" customFormat="false" ht="12.75" hidden="false" customHeight="false" outlineLevel="0" collapsed="false">
      <c r="A174" s="186" t="s">
        <v>113</v>
      </c>
      <c r="B174" s="189"/>
      <c r="C174" s="187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</row>
    <row r="175" customFormat="false" ht="12.75" hidden="false" customHeight="false" outlineLevel="0" collapsed="false">
      <c r="A175" s="55"/>
      <c r="B175" s="189" t="s">
        <v>26</v>
      </c>
      <c r="C175" s="193" t="n">
        <v>0</v>
      </c>
      <c r="D175" s="194" t="n">
        <v>11.7312572711035</v>
      </c>
      <c r="E175" s="194" t="n">
        <v>11.9658824165256</v>
      </c>
      <c r="F175" s="194" t="n">
        <v>12.3846798628359</v>
      </c>
      <c r="G175" s="194" t="n">
        <v>12.6332708590825</v>
      </c>
      <c r="H175" s="194" t="n">
        <v>12.8868561102288</v>
      </c>
      <c r="I175" s="194" t="n">
        <v>13.1455360622472</v>
      </c>
      <c r="J175" s="194" t="n">
        <v>13.4094131840512</v>
      </c>
      <c r="K175" s="194" t="n">
        <v>13.6785920083053</v>
      </c>
      <c r="L175" s="194" t="n">
        <v>13.9531791730588</v>
      </c>
      <c r="M175" s="194" t="n">
        <v>14.2332834642221</v>
      </c>
      <c r="N175" s="194" t="n">
        <v>14.5190158589012</v>
      </c>
      <c r="O175" s="194" t="n">
        <v>14.8104895696088</v>
      </c>
      <c r="P175" s="194" t="n">
        <v>15.1078200893687</v>
      </c>
      <c r="Q175" s="194" t="n">
        <v>15.411125237733</v>
      </c>
      <c r="R175" s="194" t="n">
        <v>15.720525207729</v>
      </c>
      <c r="S175" s="194" t="n">
        <v>16.036142613756</v>
      </c>
      <c r="T175" s="194" t="n">
        <v>16.3581025404504</v>
      </c>
      <c r="U175" s="194" t="n">
        <v>16.6865325925391</v>
      </c>
      <c r="V175" s="194" t="n">
        <v>17.0215629457015</v>
      </c>
    </row>
    <row r="176" customFormat="false" ht="12.75" hidden="false" customHeight="false" outlineLevel="0" collapsed="false">
      <c r="A176" s="55"/>
      <c r="B176" s="189" t="s">
        <v>114</v>
      </c>
      <c r="C176" s="193" t="n">
        <v>0</v>
      </c>
      <c r="D176" s="194" t="n">
        <v>3.96033923592375</v>
      </c>
      <c r="E176" s="194" t="n">
        <v>3.9991203424776</v>
      </c>
      <c r="F176" s="194" t="n">
        <v>4.03875075526498</v>
      </c>
      <c r="G176" s="194" t="n">
        <v>4.07927681538136</v>
      </c>
      <c r="H176" s="194" t="n">
        <v>4.1207673957285</v>
      </c>
      <c r="I176" s="194" t="n">
        <v>4.16504340245239</v>
      </c>
      <c r="J176" s="194" t="n">
        <v>4.20862861179207</v>
      </c>
      <c r="K176" s="194" t="n">
        <v>4.25515066628505</v>
      </c>
      <c r="L176" s="194" t="n">
        <v>4.30094291183937</v>
      </c>
      <c r="M176" s="194" t="n">
        <v>4.34790285965533</v>
      </c>
      <c r="N176" s="194" t="n">
        <v>4.39599923820844</v>
      </c>
      <c r="O176" s="194" t="n">
        <v>4.44530764550108</v>
      </c>
      <c r="P176" s="194" t="n">
        <v>4.49586848633896</v>
      </c>
      <c r="Q176" s="194" t="n">
        <v>4.54769334819779</v>
      </c>
      <c r="R176" s="194" t="n">
        <v>4.60081901408927</v>
      </c>
      <c r="S176" s="194" t="n">
        <v>4.65527282162804</v>
      </c>
      <c r="T176" s="194" t="n">
        <v>4.71107708359376</v>
      </c>
      <c r="U176" s="194" t="n">
        <v>4.76828203253483</v>
      </c>
      <c r="V176" s="194" t="n">
        <v>4.82692282569432</v>
      </c>
    </row>
    <row r="177" customFormat="false" ht="12.75" hidden="false" customHeight="false" outlineLevel="0" collapsed="false">
      <c r="A177" s="55"/>
      <c r="B177" s="189" t="s">
        <v>28</v>
      </c>
      <c r="C177" s="193" t="n">
        <v>0</v>
      </c>
      <c r="D177" s="194" t="n">
        <v>2.36363232823212</v>
      </c>
      <c r="E177" s="194" t="n">
        <v>2.41350497035783</v>
      </c>
      <c r="F177" s="194" t="n">
        <v>2.46636072920867</v>
      </c>
      <c r="G177" s="194" t="n">
        <v>2.52210048168876</v>
      </c>
      <c r="H177" s="194" t="n">
        <v>2.58212647315296</v>
      </c>
      <c r="I177" s="194" t="n">
        <v>2.64683482215599</v>
      </c>
      <c r="J177" s="194" t="n">
        <v>2.71248369948756</v>
      </c>
      <c r="K177" s="194" t="n">
        <v>2.78114226747043</v>
      </c>
      <c r="L177" s="194" t="n">
        <v>2.84983648147695</v>
      </c>
      <c r="M177" s="194" t="n">
        <v>2.92250731175461</v>
      </c>
      <c r="N177" s="194" t="n">
        <v>2.99323198869908</v>
      </c>
      <c r="O177" s="194" t="n">
        <v>3.06866143481429</v>
      </c>
      <c r="P177" s="194" t="n">
        <v>3.14660543525857</v>
      </c>
      <c r="Q177" s="194" t="n">
        <v>3.22527057114003</v>
      </c>
      <c r="R177" s="194" t="n">
        <v>3.30622486247564</v>
      </c>
      <c r="S177" s="194" t="n">
        <v>3.38888048403754</v>
      </c>
      <c r="T177" s="194" t="n">
        <v>3.47292472004167</v>
      </c>
      <c r="U177" s="194" t="n">
        <v>3.56009513051472</v>
      </c>
      <c r="V177" s="194" t="n">
        <v>3.64945351829064</v>
      </c>
    </row>
    <row r="178" customFormat="false" ht="12.75" hidden="false" customHeight="false" outlineLevel="0" collapsed="false">
      <c r="A178" s="55"/>
      <c r="B178" s="189" t="s">
        <v>33</v>
      </c>
      <c r="C178" s="193" t="n">
        <v>0</v>
      </c>
      <c r="D178" s="194" t="n">
        <v>11.9185211111111</v>
      </c>
      <c r="E178" s="194" t="n">
        <v>0.262400000000001</v>
      </c>
      <c r="F178" s="194" t="n">
        <v>2.29286666666667</v>
      </c>
      <c r="G178" s="194" t="n">
        <v>0.27675</v>
      </c>
      <c r="H178" s="194" t="n">
        <v>3.00010755555556</v>
      </c>
      <c r="I178" s="194" t="n">
        <v>3.09011078222222</v>
      </c>
      <c r="J178" s="194" t="n">
        <v>3.18281410568889</v>
      </c>
      <c r="K178" s="194" t="n">
        <v>3.27829852885956</v>
      </c>
      <c r="L178" s="194" t="n">
        <v>3.37664748472534</v>
      </c>
      <c r="M178" s="194" t="n">
        <v>3.4779469092671</v>
      </c>
      <c r="N178" s="194" t="n">
        <v>3.58228531654512</v>
      </c>
      <c r="O178" s="194" t="n">
        <v>3.68975387604147</v>
      </c>
      <c r="P178" s="194" t="n">
        <v>3.80044649232272</v>
      </c>
      <c r="Q178" s="194" t="n">
        <v>3.9144598870924</v>
      </c>
      <c r="R178" s="194" t="n">
        <v>4.03189368370517</v>
      </c>
      <c r="S178" s="194" t="n">
        <v>4.15285049421633</v>
      </c>
      <c r="T178" s="194" t="n">
        <v>4.27743600904281</v>
      </c>
      <c r="U178" s="194" t="n">
        <v>4.4057590893141</v>
      </c>
      <c r="V178" s="194" t="n">
        <v>4.53793186199352</v>
      </c>
    </row>
    <row r="179" customFormat="false" ht="12.75" hidden="false" customHeight="false" outlineLevel="0" collapsed="false">
      <c r="A179" s="55"/>
      <c r="B179" s="189" t="s">
        <v>115</v>
      </c>
      <c r="C179" s="195" t="n">
        <v>0</v>
      </c>
      <c r="D179" s="196" t="n">
        <v>36.7631515151515</v>
      </c>
      <c r="E179" s="196" t="n">
        <v>8.9200096969697</v>
      </c>
      <c r="F179" s="196" t="n">
        <v>7.45507666666667</v>
      </c>
      <c r="G179" s="196" t="n">
        <v>0</v>
      </c>
      <c r="H179" s="196" t="n">
        <v>0</v>
      </c>
      <c r="I179" s="196" t="n">
        <v>0</v>
      </c>
      <c r="J179" s="196" t="n">
        <v>0</v>
      </c>
      <c r="K179" s="196" t="n">
        <v>0</v>
      </c>
      <c r="L179" s="196" t="n">
        <v>0</v>
      </c>
      <c r="M179" s="196" t="n">
        <v>0</v>
      </c>
      <c r="N179" s="196" t="n">
        <v>0</v>
      </c>
      <c r="O179" s="196" t="n">
        <v>0</v>
      </c>
      <c r="P179" s="196" t="n">
        <v>0</v>
      </c>
      <c r="Q179" s="196" t="n">
        <v>0</v>
      </c>
      <c r="R179" s="196" t="n">
        <v>0</v>
      </c>
      <c r="S179" s="196" t="n">
        <v>0</v>
      </c>
      <c r="T179" s="196" t="n">
        <v>0</v>
      </c>
      <c r="U179" s="196" t="n">
        <v>0</v>
      </c>
      <c r="V179" s="196" t="n">
        <v>0</v>
      </c>
    </row>
    <row r="180" customFormat="false" ht="12.75" hidden="false" customHeight="false" outlineLevel="0" collapsed="false">
      <c r="A180" s="55"/>
      <c r="B180" s="189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</row>
    <row r="181" customFormat="false" ht="12.75" hidden="false" customHeight="false" outlineLevel="0" collapsed="false">
      <c r="A181" s="55"/>
      <c r="B181" s="189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customFormat="false" ht="12.75" hidden="false" customHeight="false" outlineLevel="0" collapsed="false">
      <c r="A182" s="11"/>
      <c r="B182" s="156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</row>
    <row r="183" customFormat="false" ht="12.75" hidden="false" customHeight="false" outlineLevel="0" collapsed="false">
      <c r="A183" s="11"/>
      <c r="B183" s="156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</row>
    <row r="184" customFormat="false" ht="12.75" hidden="false" customHeight="false" outlineLevel="0" collapsed="false">
      <c r="A184" s="52" t="s">
        <v>105</v>
      </c>
      <c r="B184" s="182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</row>
    <row r="185" customFormat="false" ht="12.75" hidden="false" customHeight="false" outlineLevel="0" collapsed="false">
      <c r="A185" s="183" t="s">
        <v>77</v>
      </c>
      <c r="B185" s="182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</row>
    <row r="186" customFormat="false" ht="12.75" hidden="false" customHeight="false" outlineLevel="0" collapsed="false">
      <c r="A186" s="55"/>
      <c r="B186" s="182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</row>
    <row r="187" customFormat="false" ht="12.75" hidden="false" customHeight="false" outlineLevel="0" collapsed="false">
      <c r="A187" s="55"/>
      <c r="B187" s="182"/>
      <c r="C187" s="184" t="n">
        <v>2000</v>
      </c>
      <c r="D187" s="185" t="n">
        <v>2001</v>
      </c>
      <c r="E187" s="185" t="n">
        <v>2002</v>
      </c>
      <c r="F187" s="185" t="n">
        <v>2003</v>
      </c>
      <c r="G187" s="185" t="n">
        <v>2004</v>
      </c>
      <c r="H187" s="185" t="n">
        <v>2005</v>
      </c>
      <c r="I187" s="185" t="n">
        <v>2006</v>
      </c>
      <c r="J187" s="185" t="n">
        <v>2007</v>
      </c>
      <c r="K187" s="185" t="n">
        <v>2008</v>
      </c>
      <c r="L187" s="185" t="n">
        <v>2009</v>
      </c>
      <c r="M187" s="185" t="n">
        <v>2010</v>
      </c>
      <c r="N187" s="185" t="n">
        <v>2011</v>
      </c>
      <c r="O187" s="185" t="n">
        <v>2012</v>
      </c>
      <c r="P187" s="185" t="n">
        <v>2013</v>
      </c>
      <c r="Q187" s="185" t="n">
        <v>2014</v>
      </c>
      <c r="R187" s="185" t="n">
        <v>2015</v>
      </c>
      <c r="S187" s="185" t="n">
        <v>2016</v>
      </c>
      <c r="T187" s="185" t="n">
        <v>2017</v>
      </c>
      <c r="U187" s="185" t="n">
        <v>2018</v>
      </c>
      <c r="V187" s="185" t="n">
        <v>2019</v>
      </c>
    </row>
    <row r="188" customFormat="false" ht="12.75" hidden="false" customHeight="false" outlineLevel="0" collapsed="false">
      <c r="A188" s="186" t="s">
        <v>106</v>
      </c>
      <c r="B188" s="182"/>
      <c r="C188" s="187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</row>
    <row r="189" customFormat="false" ht="12.75" hidden="false" customHeight="false" outlineLevel="0" collapsed="false">
      <c r="A189" s="55"/>
      <c r="B189" s="189" t="s">
        <v>107</v>
      </c>
      <c r="C189" s="190" t="n">
        <v>0</v>
      </c>
      <c r="D189" s="191" t="n">
        <v>556292.921366221</v>
      </c>
      <c r="E189" s="191" t="n">
        <v>556292.921366221</v>
      </c>
      <c r="F189" s="191" t="n">
        <v>508988.348152685</v>
      </c>
      <c r="G189" s="191" t="n">
        <v>508281.627039032</v>
      </c>
      <c r="H189" s="191" t="n">
        <v>506826.724916303</v>
      </c>
      <c r="I189" s="191" t="n">
        <v>355113.510852326</v>
      </c>
      <c r="J189" s="191" t="n">
        <v>261866.104559904</v>
      </c>
      <c r="K189" s="191" t="n">
        <v>263337.104985303</v>
      </c>
      <c r="L189" s="191" t="n">
        <v>261565.288477786</v>
      </c>
      <c r="M189" s="191" t="n">
        <v>274836.586536195</v>
      </c>
      <c r="N189" s="191" t="n">
        <v>311654.758631178</v>
      </c>
      <c r="O189" s="191" t="n">
        <v>275438.218700431</v>
      </c>
      <c r="P189" s="191" t="n">
        <v>269351.567174293</v>
      </c>
      <c r="Q189" s="191" t="n">
        <v>294823.287565138</v>
      </c>
      <c r="R189" s="191" t="n">
        <v>407487.750288419</v>
      </c>
      <c r="S189" s="191" t="n">
        <v>288808.825376148</v>
      </c>
      <c r="T189" s="191" t="n">
        <v>290638.03909868</v>
      </c>
      <c r="U189" s="191" t="n">
        <v>336269.437918887</v>
      </c>
      <c r="V189" s="191" t="n">
        <v>495972.654822188</v>
      </c>
    </row>
    <row r="190" customFormat="false" ht="12.75" hidden="false" customHeight="false" outlineLevel="0" collapsed="false">
      <c r="A190" s="55"/>
      <c r="B190" s="189" t="s">
        <v>108</v>
      </c>
      <c r="C190" s="190" t="n">
        <v>0</v>
      </c>
      <c r="D190" s="192" t="n">
        <v>0.79379697683536</v>
      </c>
      <c r="E190" s="192" t="n">
        <v>0.79379697683536</v>
      </c>
      <c r="F190" s="192" t="n">
        <v>0.726296158893671</v>
      </c>
      <c r="G190" s="192" t="n">
        <v>0.72528770981597</v>
      </c>
      <c r="H190" s="192" t="n">
        <v>0.723211650850888</v>
      </c>
      <c r="I190" s="192" t="n">
        <v>0.506725900188821</v>
      </c>
      <c r="J190" s="192" t="n">
        <v>0.373667386643699</v>
      </c>
      <c r="K190" s="192" t="n">
        <v>0.375766416931083</v>
      </c>
      <c r="L190" s="192" t="n">
        <v>0.373238139951179</v>
      </c>
      <c r="M190" s="192" t="n">
        <v>0.39217549448658</v>
      </c>
      <c r="N190" s="192" t="n">
        <v>0.444712840512525</v>
      </c>
      <c r="O190" s="192" t="n">
        <v>0.39303398787162</v>
      </c>
      <c r="P190" s="192" t="n">
        <v>0.384348697451903</v>
      </c>
      <c r="Q190" s="192" t="n">
        <v>0.420695330429706</v>
      </c>
      <c r="R190" s="192" t="n">
        <v>0.581460830891009</v>
      </c>
      <c r="S190" s="192" t="n">
        <v>0.412113049908887</v>
      </c>
      <c r="T190" s="192" t="n">
        <v>0.414723229307478</v>
      </c>
      <c r="U190" s="192" t="n">
        <v>0.479836526710741</v>
      </c>
      <c r="V190" s="192" t="n">
        <v>0.707723537132117</v>
      </c>
    </row>
    <row r="191" customFormat="false" ht="12.75" hidden="false" customHeight="false" outlineLevel="0" collapsed="false">
      <c r="A191" s="186" t="s">
        <v>109</v>
      </c>
      <c r="B191" s="189"/>
      <c r="C191" s="187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</row>
    <row r="192" customFormat="false" ht="12.75" hidden="false" customHeight="false" outlineLevel="0" collapsed="false">
      <c r="A192" s="55"/>
      <c r="B192" s="189" t="s">
        <v>20</v>
      </c>
      <c r="C192" s="193" t="n">
        <v>0</v>
      </c>
      <c r="D192" s="194" t="n">
        <v>39.4830479600139</v>
      </c>
      <c r="E192" s="194" t="n">
        <v>38.9354673272511</v>
      </c>
      <c r="F192" s="194" t="n">
        <v>40.45241712819</v>
      </c>
      <c r="G192" s="194" t="n">
        <v>40.0079885526705</v>
      </c>
      <c r="H192" s="194" t="n">
        <v>40.2665227067335</v>
      </c>
      <c r="I192" s="194" t="n">
        <v>47.9938571716263</v>
      </c>
      <c r="J192" s="194" t="n">
        <v>61.1001850153051</v>
      </c>
      <c r="K192" s="194" t="n">
        <v>62.9850498754591</v>
      </c>
      <c r="L192" s="194" t="n">
        <v>63.8432914662659</v>
      </c>
      <c r="M192" s="194" t="n">
        <v>63.5167150272994</v>
      </c>
      <c r="N192" s="194" t="n">
        <v>60.4032097040198</v>
      </c>
      <c r="O192" s="194" t="n">
        <v>63.9811823558113</v>
      </c>
      <c r="P192" s="194" t="n">
        <v>65.7846286260535</v>
      </c>
      <c r="Q192" s="194" t="n">
        <v>66.3351552630798</v>
      </c>
      <c r="R192" s="194" t="n">
        <v>62.0474717934718</v>
      </c>
      <c r="S192" s="194" t="n">
        <v>69.2433766214915</v>
      </c>
      <c r="T192" s="194" t="n">
        <v>70.9958742728291</v>
      </c>
      <c r="U192" s="194" t="n">
        <v>71.2836903074934</v>
      </c>
      <c r="V192" s="194" t="n">
        <v>62.6990876011349</v>
      </c>
    </row>
    <row r="193" customFormat="false" ht="12.75" hidden="false" customHeight="false" outlineLevel="0" collapsed="false">
      <c r="A193" s="55"/>
      <c r="B193" s="189" t="s">
        <v>21</v>
      </c>
      <c r="C193" s="193" t="n">
        <v>0</v>
      </c>
      <c r="D193" s="194" t="n">
        <v>16.7808114</v>
      </c>
      <c r="E193" s="194" t="n">
        <v>17.0246631</v>
      </c>
      <c r="F193" s="194" t="n">
        <v>17.3202822</v>
      </c>
      <c r="G193" s="194" t="n">
        <v>17.8147971</v>
      </c>
      <c r="H193" s="194" t="n">
        <v>18.4305567</v>
      </c>
      <c r="I193" s="194" t="n">
        <v>19.1362281</v>
      </c>
      <c r="J193" s="194" t="n">
        <v>19.5776133</v>
      </c>
      <c r="K193" s="194" t="n">
        <v>19.998564</v>
      </c>
      <c r="L193" s="194" t="n">
        <v>20.3296029</v>
      </c>
      <c r="M193" s="194" t="n">
        <v>20.4971658</v>
      </c>
      <c r="N193" s="194" t="n">
        <v>20.7777996</v>
      </c>
      <c r="O193" s="194" t="n">
        <v>21.2300832</v>
      </c>
      <c r="P193" s="194" t="n">
        <v>21.7136997</v>
      </c>
      <c r="Q193" s="194" t="n">
        <v>22.1768817</v>
      </c>
      <c r="R193" s="194" t="n">
        <v>22.4929353</v>
      </c>
      <c r="S193" s="194" t="n">
        <v>22.954755</v>
      </c>
      <c r="T193" s="194" t="n">
        <v>23.4792405</v>
      </c>
      <c r="U193" s="194" t="n">
        <v>24.0554934</v>
      </c>
      <c r="V193" s="194" t="n">
        <v>24.6508185</v>
      </c>
    </row>
    <row r="194" customFormat="false" ht="12.75" hidden="false" customHeight="false" outlineLevel="0" collapsed="false">
      <c r="A194" s="55"/>
      <c r="B194" s="189" t="s">
        <v>110</v>
      </c>
      <c r="C194" s="193" t="n">
        <v>0</v>
      </c>
      <c r="D194" s="194" t="n">
        <v>1.29737436108712</v>
      </c>
      <c r="E194" s="194" t="n">
        <v>1.32356102664337</v>
      </c>
      <c r="F194" s="194" t="n">
        <v>1.35020157762445</v>
      </c>
      <c r="G194" s="194" t="n">
        <v>1.37744321802057</v>
      </c>
      <c r="H194" s="194" t="n">
        <v>1.40525274285385</v>
      </c>
      <c r="I194" s="194" t="n">
        <v>1.43363946954598</v>
      </c>
      <c r="J194" s="194" t="n">
        <v>1.46332232629802</v>
      </c>
      <c r="K194" s="194" t="n">
        <v>1.49161200986089</v>
      </c>
      <c r="L194" s="194" t="n">
        <v>1.52252031416866</v>
      </c>
      <c r="M194" s="194" t="n">
        <v>1.55285641614391</v>
      </c>
      <c r="N194" s="194" t="n">
        <v>1.58514235755625</v>
      </c>
      <c r="O194" s="194" t="n">
        <v>1.61625949396839</v>
      </c>
      <c r="P194" s="194" t="n">
        <v>1.6481110533266</v>
      </c>
      <c r="Q194" s="194" t="n">
        <v>1.68288591192835</v>
      </c>
      <c r="R194" s="194" t="n">
        <v>1.71600977940319</v>
      </c>
      <c r="S194" s="194" t="n">
        <v>1.75110379682698</v>
      </c>
      <c r="T194" s="194" t="n">
        <v>1.78605347272654</v>
      </c>
      <c r="U194" s="194" t="n">
        <v>1.8219543041778</v>
      </c>
      <c r="V194" s="194" t="n">
        <v>1.85895114709435</v>
      </c>
    </row>
    <row r="195" customFormat="false" ht="12.75" hidden="false" customHeight="false" outlineLevel="0" collapsed="false">
      <c r="A195" s="55"/>
      <c r="B195" s="189" t="s">
        <v>111</v>
      </c>
      <c r="C195" s="193" t="n">
        <v>0</v>
      </c>
      <c r="D195" s="194" t="n">
        <v>0</v>
      </c>
      <c r="E195" s="194" t="n">
        <v>0</v>
      </c>
      <c r="F195" s="194" t="n">
        <v>0</v>
      </c>
      <c r="G195" s="194" t="n">
        <v>0</v>
      </c>
      <c r="H195" s="194" t="n">
        <v>0</v>
      </c>
      <c r="I195" s="194" t="n">
        <v>2.28650392819612</v>
      </c>
      <c r="J195" s="194" t="n">
        <v>2.43342102673907</v>
      </c>
      <c r="K195" s="194" t="n">
        <v>2.79981293053368</v>
      </c>
      <c r="L195" s="194" t="n">
        <v>2.94870869028906</v>
      </c>
      <c r="M195" s="194" t="n">
        <v>3.30447781156796</v>
      </c>
      <c r="N195" s="194" t="n">
        <v>3.70440944067977</v>
      </c>
      <c r="O195" s="194" t="n">
        <v>4.03447410106835</v>
      </c>
      <c r="P195" s="194" t="n">
        <v>4.50846577296422</v>
      </c>
      <c r="Q195" s="194" t="n">
        <v>5.08495621735233</v>
      </c>
      <c r="R195" s="194" t="n">
        <v>5.84739354470931</v>
      </c>
      <c r="S195" s="194" t="n">
        <v>6.16679819784349</v>
      </c>
      <c r="T195" s="194" t="n">
        <v>6.06396337933679</v>
      </c>
      <c r="U195" s="194" t="n">
        <v>5.28675364552238</v>
      </c>
      <c r="V195" s="194" t="n">
        <v>5.69127497574878</v>
      </c>
    </row>
    <row r="196" customFormat="false" ht="12.75" hidden="false" customHeight="false" outlineLevel="0" collapsed="false">
      <c r="A196" s="55"/>
      <c r="B196" s="189" t="s">
        <v>112</v>
      </c>
      <c r="C196" s="193" t="n">
        <v>0</v>
      </c>
      <c r="D196" s="194" t="n">
        <v>0</v>
      </c>
      <c r="E196" s="194" t="n">
        <v>0</v>
      </c>
      <c r="F196" s="194" t="n">
        <v>10.0330254218133</v>
      </c>
      <c r="G196" s="194" t="n">
        <v>8.52960826329674</v>
      </c>
      <c r="H196" s="194" t="n">
        <v>8.81377941815844</v>
      </c>
      <c r="I196" s="194" t="n">
        <v>4.60028574785484</v>
      </c>
      <c r="J196" s="194" t="n">
        <v>13.1658730311832</v>
      </c>
      <c r="K196" s="194" t="n">
        <v>11.4807324284189</v>
      </c>
      <c r="L196" s="194" t="n">
        <v>12.172194170686</v>
      </c>
      <c r="M196" s="194" t="n">
        <v>11.5823089357853</v>
      </c>
      <c r="N196" s="194" t="n">
        <v>11.9140358095907</v>
      </c>
      <c r="O196" s="194" t="n">
        <v>12.2229771467323</v>
      </c>
      <c r="P196" s="194" t="n">
        <v>10.9176830581059</v>
      </c>
      <c r="Q196" s="194" t="n">
        <v>11.3080413061351</v>
      </c>
      <c r="R196" s="194" t="n">
        <v>11.5417262903702</v>
      </c>
      <c r="S196" s="194" t="n">
        <v>12.2565024189023</v>
      </c>
      <c r="T196" s="194" t="n">
        <v>11.5223834767102</v>
      </c>
      <c r="U196" s="194" t="n">
        <v>12.6904886215411</v>
      </c>
      <c r="V196" s="194" t="n">
        <v>6.90934356544544</v>
      </c>
    </row>
    <row r="197" customFormat="false" ht="12.75" hidden="false" customHeight="false" outlineLevel="0" collapsed="false">
      <c r="A197" s="186" t="s">
        <v>113</v>
      </c>
      <c r="B197" s="189"/>
      <c r="C197" s="187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</row>
    <row r="198" customFormat="false" ht="12.75" hidden="false" customHeight="false" outlineLevel="0" collapsed="false">
      <c r="A198" s="55"/>
      <c r="B198" s="189" t="s">
        <v>26</v>
      </c>
      <c r="C198" s="193" t="n">
        <v>0</v>
      </c>
      <c r="D198" s="194" t="n">
        <v>11.6453333473707</v>
      </c>
      <c r="E198" s="194" t="n">
        <v>11.8782400143181</v>
      </c>
      <c r="F198" s="194" t="n">
        <v>12.1158048146044</v>
      </c>
      <c r="G198" s="194" t="n">
        <v>12.3581209108965</v>
      </c>
      <c r="H198" s="194" t="n">
        <v>12.6052833291145</v>
      </c>
      <c r="I198" s="194" t="n">
        <v>12.8573889956968</v>
      </c>
      <c r="J198" s="194" t="n">
        <v>13.1145367756107</v>
      </c>
      <c r="K198" s="194" t="n">
        <v>13.3768275111229</v>
      </c>
      <c r="L198" s="194" t="n">
        <v>13.6443640613454</v>
      </c>
      <c r="M198" s="194" t="n">
        <v>13.9172513425723</v>
      </c>
      <c r="N198" s="194" t="n">
        <v>14.1955963694237</v>
      </c>
      <c r="O198" s="194" t="n">
        <v>14.4795082968122</v>
      </c>
      <c r="P198" s="194" t="n">
        <v>14.7690984627484</v>
      </c>
      <c r="Q198" s="194" t="n">
        <v>15.0644804320034</v>
      </c>
      <c r="R198" s="194" t="n">
        <v>15.3657700406435</v>
      </c>
      <c r="S198" s="194" t="n">
        <v>15.6730854414564</v>
      </c>
      <c r="T198" s="194" t="n">
        <v>15.9865471502855</v>
      </c>
      <c r="U198" s="194" t="n">
        <v>16.3062780932912</v>
      </c>
      <c r="V198" s="194" t="n">
        <v>16.632403655157</v>
      </c>
    </row>
    <row r="199" customFormat="false" ht="12.75" hidden="false" customHeight="false" outlineLevel="0" collapsed="false">
      <c r="A199" s="55"/>
      <c r="B199" s="189" t="s">
        <v>114</v>
      </c>
      <c r="C199" s="193" t="n">
        <v>0</v>
      </c>
      <c r="D199" s="194" t="n">
        <v>2.51147094916216</v>
      </c>
      <c r="E199" s="194" t="n">
        <v>2.5705178999052</v>
      </c>
      <c r="F199" s="194" t="n">
        <v>2.72596597575497</v>
      </c>
      <c r="G199" s="194" t="n">
        <v>2.87175296656609</v>
      </c>
      <c r="H199" s="194" t="n">
        <v>3.46705337975532</v>
      </c>
      <c r="I199" s="194" t="n">
        <v>4.31733417133477</v>
      </c>
      <c r="J199" s="194" t="n">
        <v>4.81691819085589</v>
      </c>
      <c r="K199" s="194" t="n">
        <v>5.2663563134724</v>
      </c>
      <c r="L199" s="194" t="n">
        <v>5.6596216586348</v>
      </c>
      <c r="M199" s="194" t="n">
        <v>5.79655025932174</v>
      </c>
      <c r="N199" s="194" t="n">
        <v>5.86978036407393</v>
      </c>
      <c r="O199" s="194" t="n">
        <v>5.94903128184277</v>
      </c>
      <c r="P199" s="194" t="n">
        <v>6.02601370302086</v>
      </c>
      <c r="Q199" s="194" t="n">
        <v>6.1049206847284</v>
      </c>
      <c r="R199" s="194" t="n">
        <v>6.18580823167681</v>
      </c>
      <c r="S199" s="194" t="n">
        <v>6.26871796729892</v>
      </c>
      <c r="T199" s="194" t="n">
        <v>6.35368386436446</v>
      </c>
      <c r="U199" s="194" t="n">
        <v>6.44078240544635</v>
      </c>
      <c r="V199" s="194" t="n">
        <v>6.53006711990939</v>
      </c>
    </row>
    <row r="200" customFormat="false" ht="12.75" hidden="false" customHeight="false" outlineLevel="0" collapsed="false">
      <c r="A200" s="55"/>
      <c r="B200" s="189" t="s">
        <v>28</v>
      </c>
      <c r="C200" s="193" t="n">
        <v>0</v>
      </c>
      <c r="D200" s="194" t="n">
        <v>2.8048773099476</v>
      </c>
      <c r="E200" s="194" t="n">
        <v>2.86406022118751</v>
      </c>
      <c r="F200" s="194" t="n">
        <v>2.92678314003153</v>
      </c>
      <c r="G200" s="194" t="n">
        <v>2.99292843899621</v>
      </c>
      <c r="H200" s="194" t="n">
        <v>3.06416013584434</v>
      </c>
      <c r="I200" s="194" t="n">
        <v>3.14094829689411</v>
      </c>
      <c r="J200" s="194" t="n">
        <v>3.21885256493591</v>
      </c>
      <c r="K200" s="194" t="n">
        <v>3.30032837535211</v>
      </c>
      <c r="L200" s="194" t="n">
        <v>3.38184648622333</v>
      </c>
      <c r="M200" s="194" t="n">
        <v>3.468083571622</v>
      </c>
      <c r="N200" s="194" t="n">
        <v>3.55201119405527</v>
      </c>
      <c r="O200" s="194" t="n">
        <v>3.64152187614545</v>
      </c>
      <c r="P200" s="194" t="n">
        <v>3.73401653179954</v>
      </c>
      <c r="Q200" s="194" t="n">
        <v>3.82736694509453</v>
      </c>
      <c r="R200" s="194" t="n">
        <v>3.9234338554164</v>
      </c>
      <c r="S200" s="194" t="n">
        <v>4.02151970180181</v>
      </c>
      <c r="T200" s="194" t="n">
        <v>4.1212533904065</v>
      </c>
      <c r="U200" s="194" t="n">
        <v>4.2246968505057</v>
      </c>
      <c r="V200" s="194" t="n">
        <v>4.3307367414534</v>
      </c>
    </row>
    <row r="201" customFormat="false" ht="12.75" hidden="false" customHeight="false" outlineLevel="0" collapsed="false">
      <c r="A201" s="55"/>
      <c r="B201" s="189" t="s">
        <v>33</v>
      </c>
      <c r="C201" s="193" t="n">
        <v>0</v>
      </c>
      <c r="D201" s="194" t="n">
        <v>3.700488125</v>
      </c>
      <c r="E201" s="194" t="n">
        <v>20.704397125</v>
      </c>
      <c r="F201" s="194" t="n">
        <v>9.603246125</v>
      </c>
      <c r="G201" s="194" t="n">
        <v>3.3818375</v>
      </c>
      <c r="H201" s="194" t="n">
        <v>8.149551</v>
      </c>
      <c r="I201" s="194" t="n">
        <v>8.39403753</v>
      </c>
      <c r="J201" s="194" t="n">
        <v>8.6458586559</v>
      </c>
      <c r="K201" s="194" t="n">
        <v>8.905234415577</v>
      </c>
      <c r="L201" s="194" t="n">
        <v>9.17239144804431</v>
      </c>
      <c r="M201" s="194" t="n">
        <v>9.44756319148564</v>
      </c>
      <c r="N201" s="194" t="n">
        <v>9.73099008723021</v>
      </c>
      <c r="O201" s="194" t="n">
        <v>10.0229197898471</v>
      </c>
      <c r="P201" s="194" t="n">
        <v>10.3236073835425</v>
      </c>
      <c r="Q201" s="194" t="n">
        <v>10.6333156050488</v>
      </c>
      <c r="R201" s="194" t="n">
        <v>10.9523150732003</v>
      </c>
      <c r="S201" s="194" t="n">
        <v>11.2808845253963</v>
      </c>
      <c r="T201" s="194" t="n">
        <v>11.6193110611582</v>
      </c>
      <c r="U201" s="194" t="n">
        <v>11.9678903929929</v>
      </c>
      <c r="V201" s="194" t="n">
        <v>12.3269271047827</v>
      </c>
    </row>
    <row r="202" customFormat="false" ht="12.75" hidden="false" customHeight="false" outlineLevel="0" collapsed="false">
      <c r="A202" s="55"/>
      <c r="B202" s="189" t="s">
        <v>115</v>
      </c>
      <c r="C202" s="195" t="n">
        <v>0</v>
      </c>
      <c r="D202" s="196" t="n">
        <v>0</v>
      </c>
      <c r="E202" s="196" t="n">
        <v>0</v>
      </c>
      <c r="F202" s="196" t="n">
        <v>0</v>
      </c>
      <c r="G202" s="196" t="n">
        <v>0</v>
      </c>
      <c r="H202" s="196" t="n">
        <v>0</v>
      </c>
      <c r="I202" s="196" t="n">
        <v>0</v>
      </c>
      <c r="J202" s="196" t="n">
        <v>0</v>
      </c>
      <c r="K202" s="196" t="n">
        <v>0</v>
      </c>
      <c r="L202" s="196" t="n">
        <v>0</v>
      </c>
      <c r="M202" s="196" t="n">
        <v>0</v>
      </c>
      <c r="N202" s="196" t="n">
        <v>0</v>
      </c>
      <c r="O202" s="196" t="n">
        <v>0</v>
      </c>
      <c r="P202" s="196" t="n">
        <v>0</v>
      </c>
      <c r="Q202" s="196" t="n">
        <v>0</v>
      </c>
      <c r="R202" s="196" t="n">
        <v>0</v>
      </c>
      <c r="S202" s="196" t="n">
        <v>0</v>
      </c>
      <c r="T202" s="196" t="n">
        <v>0</v>
      </c>
      <c r="U202" s="196" t="n">
        <v>0</v>
      </c>
      <c r="V202" s="196" t="n">
        <v>0</v>
      </c>
    </row>
    <row r="203" customFormat="false" ht="12.75" hidden="false" customHeight="false" outlineLevel="0" collapsed="false">
      <c r="A203" s="55"/>
      <c r="B203" s="189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</row>
    <row r="204" customFormat="false" ht="12.75" hidden="false" customHeight="false" outlineLevel="0" collapsed="false">
      <c r="A204" s="55"/>
      <c r="B204" s="189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</row>
    <row r="205" customFormat="false" ht="12.75" hidden="false" customHeight="false" outlineLevel="0" collapsed="false">
      <c r="A205" s="11"/>
      <c r="B205" s="156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</row>
    <row r="206" customFormat="false" ht="12.75" hidden="false" customHeight="false" outlineLevel="0" collapsed="false">
      <c r="A206" s="11"/>
      <c r="B206" s="156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</row>
    <row r="207" customFormat="false" ht="12.75" hidden="false" customHeight="false" outlineLevel="0" collapsed="false">
      <c r="A207" s="52" t="s">
        <v>105</v>
      </c>
      <c r="B207" s="182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</row>
    <row r="208" customFormat="false" ht="12.75" hidden="false" customHeight="false" outlineLevel="0" collapsed="false">
      <c r="A208" s="183" t="s">
        <v>78</v>
      </c>
      <c r="B208" s="182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</row>
    <row r="209" customFormat="false" ht="12.75" hidden="false" customHeight="false" outlineLevel="0" collapsed="false">
      <c r="A209" s="55"/>
      <c r="B209" s="182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</row>
    <row r="210" customFormat="false" ht="12.75" hidden="false" customHeight="false" outlineLevel="0" collapsed="false">
      <c r="A210" s="55"/>
      <c r="B210" s="182"/>
      <c r="C210" s="184" t="n">
        <v>2000</v>
      </c>
      <c r="D210" s="185" t="n">
        <v>2001</v>
      </c>
      <c r="E210" s="185" t="n">
        <v>2002</v>
      </c>
      <c r="F210" s="185" t="n">
        <v>2003</v>
      </c>
      <c r="G210" s="185" t="n">
        <v>2004</v>
      </c>
      <c r="H210" s="185" t="n">
        <v>2005</v>
      </c>
      <c r="I210" s="185" t="n">
        <v>2006</v>
      </c>
      <c r="J210" s="185" t="n">
        <v>2007</v>
      </c>
      <c r="K210" s="185" t="n">
        <v>2008</v>
      </c>
      <c r="L210" s="185" t="n">
        <v>2009</v>
      </c>
      <c r="M210" s="185" t="n">
        <v>2010</v>
      </c>
      <c r="N210" s="185" t="n">
        <v>2011</v>
      </c>
      <c r="O210" s="185" t="n">
        <v>2012</v>
      </c>
      <c r="P210" s="185" t="n">
        <v>2013</v>
      </c>
      <c r="Q210" s="185" t="n">
        <v>2014</v>
      </c>
      <c r="R210" s="185" t="n">
        <v>2015</v>
      </c>
      <c r="S210" s="185" t="n">
        <v>2016</v>
      </c>
      <c r="T210" s="185" t="n">
        <v>2017</v>
      </c>
      <c r="U210" s="185" t="n">
        <v>2018</v>
      </c>
      <c r="V210" s="185" t="n">
        <v>2019</v>
      </c>
    </row>
    <row r="211" customFormat="false" ht="12.75" hidden="false" customHeight="false" outlineLevel="0" collapsed="false">
      <c r="A211" s="186" t="s">
        <v>106</v>
      </c>
      <c r="B211" s="182"/>
      <c r="C211" s="187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</row>
    <row r="212" customFormat="false" ht="12.75" hidden="false" customHeight="false" outlineLevel="0" collapsed="false">
      <c r="A212" s="55"/>
      <c r="B212" s="189" t="s">
        <v>107</v>
      </c>
      <c r="C212" s="190" t="n">
        <v>0</v>
      </c>
      <c r="D212" s="191" t="n">
        <v>1122751.7973108</v>
      </c>
      <c r="E212" s="191" t="n">
        <v>1122751.7973108</v>
      </c>
      <c r="F212" s="191" t="n">
        <v>1122751.7973108</v>
      </c>
      <c r="G212" s="191" t="n">
        <v>1122751.7973108</v>
      </c>
      <c r="H212" s="191" t="n">
        <v>1122751.7973108</v>
      </c>
      <c r="I212" s="191" t="n">
        <v>1122751.7973108</v>
      </c>
      <c r="J212" s="191" t="n">
        <v>1122751.7973108</v>
      </c>
      <c r="K212" s="191" t="n">
        <v>1122751.7973108</v>
      </c>
      <c r="L212" s="191" t="n">
        <v>1122751.7973108</v>
      </c>
      <c r="M212" s="191" t="n">
        <v>1122751.7973108</v>
      </c>
      <c r="N212" s="191" t="n">
        <v>1122751.7973108</v>
      </c>
      <c r="O212" s="191" t="n">
        <v>1122751.7973108</v>
      </c>
      <c r="P212" s="191" t="n">
        <v>1122751.7973108</v>
      </c>
      <c r="Q212" s="191" t="n">
        <v>1122751.7973108</v>
      </c>
      <c r="R212" s="191" t="n">
        <v>1122751.7973108</v>
      </c>
      <c r="S212" s="191" t="n">
        <v>1122751.7973108</v>
      </c>
      <c r="T212" s="191" t="n">
        <v>1122751.7973108</v>
      </c>
      <c r="U212" s="191" t="n">
        <v>1122751.7973108</v>
      </c>
      <c r="V212" s="191" t="n">
        <v>1122751.7973108</v>
      </c>
    </row>
    <row r="213" customFormat="false" ht="12.75" hidden="false" customHeight="false" outlineLevel="0" collapsed="false">
      <c r="A213" s="55"/>
      <c r="B213" s="189" t="s">
        <v>108</v>
      </c>
      <c r="C213" s="190" t="n">
        <v>0</v>
      </c>
      <c r="D213" s="192" t="n">
        <v>0.786306830623584</v>
      </c>
      <c r="E213" s="192" t="n">
        <v>0.786306830623584</v>
      </c>
      <c r="F213" s="192" t="n">
        <v>0.786306830623584</v>
      </c>
      <c r="G213" s="192" t="n">
        <v>0.786306830623584</v>
      </c>
      <c r="H213" s="192" t="n">
        <v>0.786306830623584</v>
      </c>
      <c r="I213" s="192" t="n">
        <v>0.786306830623584</v>
      </c>
      <c r="J213" s="192" t="n">
        <v>0.786306830623584</v>
      </c>
      <c r="K213" s="192" t="n">
        <v>0.786306830623584</v>
      </c>
      <c r="L213" s="192" t="n">
        <v>0.786306830623584</v>
      </c>
      <c r="M213" s="192" t="n">
        <v>0.786306830623584</v>
      </c>
      <c r="N213" s="192" t="n">
        <v>0.786306830623584</v>
      </c>
      <c r="O213" s="192" t="n">
        <v>0.786306830623584</v>
      </c>
      <c r="P213" s="192" t="n">
        <v>0.786306830623584</v>
      </c>
      <c r="Q213" s="192" t="n">
        <v>0.786306830623584</v>
      </c>
      <c r="R213" s="192" t="n">
        <v>0.786306830623584</v>
      </c>
      <c r="S213" s="192" t="n">
        <v>0.786306830623584</v>
      </c>
      <c r="T213" s="192" t="n">
        <v>0.786306830623584</v>
      </c>
      <c r="U213" s="192" t="n">
        <v>0.786306830623584</v>
      </c>
      <c r="V213" s="192" t="n">
        <v>0.786306830623584</v>
      </c>
    </row>
    <row r="214" customFormat="false" ht="12.75" hidden="false" customHeight="false" outlineLevel="0" collapsed="false">
      <c r="A214" s="186" t="s">
        <v>109</v>
      </c>
      <c r="B214" s="189"/>
      <c r="C214" s="187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</row>
    <row r="215" customFormat="false" ht="12.75" hidden="false" customHeight="false" outlineLevel="0" collapsed="false">
      <c r="A215" s="55"/>
      <c r="B215" s="189" t="s">
        <v>20</v>
      </c>
      <c r="C215" s="193" t="n">
        <v>0</v>
      </c>
      <c r="D215" s="194" t="n">
        <v>39.4830479600139</v>
      </c>
      <c r="E215" s="194" t="n">
        <v>38.9354673272511</v>
      </c>
      <c r="F215" s="194" t="n">
        <v>39.6849082613523</v>
      </c>
      <c r="G215" s="194" t="n">
        <v>39.1224218116773</v>
      </c>
      <c r="H215" s="194" t="n">
        <v>39.417099156106</v>
      </c>
      <c r="I215" s="194" t="n">
        <v>42.0786149252578</v>
      </c>
      <c r="J215" s="194" t="n">
        <v>45.1190140269637</v>
      </c>
      <c r="K215" s="194" t="n">
        <v>46.2865929451868</v>
      </c>
      <c r="L215" s="194" t="n">
        <v>47.2554084179073</v>
      </c>
      <c r="M215" s="194" t="n">
        <v>47.424107614869</v>
      </c>
      <c r="N215" s="194" t="n">
        <v>48.4487023221245</v>
      </c>
      <c r="O215" s="194" t="n">
        <v>48.9927709342232</v>
      </c>
      <c r="P215" s="194" t="n">
        <v>49.5693200792454</v>
      </c>
      <c r="Q215" s="194" t="n">
        <v>51.3142206624761</v>
      </c>
      <c r="R215" s="194" t="n">
        <v>54.9549131355292</v>
      </c>
      <c r="S215" s="194" t="n">
        <v>54.6383329257431</v>
      </c>
      <c r="T215" s="194" t="n">
        <v>55.33468859591</v>
      </c>
      <c r="U215" s="194" t="n">
        <v>57.9938209162061</v>
      </c>
      <c r="V215" s="194" t="n">
        <v>59.7553005518293</v>
      </c>
    </row>
    <row r="216" customFormat="false" ht="12.75" hidden="false" customHeight="false" outlineLevel="0" collapsed="false">
      <c r="A216" s="55"/>
      <c r="B216" s="189" t="s">
        <v>21</v>
      </c>
      <c r="C216" s="193" t="n">
        <v>0</v>
      </c>
      <c r="D216" s="194" t="n">
        <v>12.250251</v>
      </c>
      <c r="E216" s="194" t="n">
        <v>12.4282665</v>
      </c>
      <c r="F216" s="194" t="n">
        <v>12.644073</v>
      </c>
      <c r="G216" s="194" t="n">
        <v>13.0050765</v>
      </c>
      <c r="H216" s="194" t="n">
        <v>13.4545905</v>
      </c>
      <c r="I216" s="194" t="n">
        <v>13.9697415</v>
      </c>
      <c r="J216" s="194" t="n">
        <v>14.2919595</v>
      </c>
      <c r="K216" s="194" t="n">
        <v>14.59926</v>
      </c>
      <c r="L216" s="194" t="n">
        <v>14.8409235</v>
      </c>
      <c r="M216" s="194" t="n">
        <v>14.963247</v>
      </c>
      <c r="N216" s="194" t="n">
        <v>15.168114</v>
      </c>
      <c r="O216" s="194" t="n">
        <v>15.498288</v>
      </c>
      <c r="P216" s="194" t="n">
        <v>15.8513355</v>
      </c>
      <c r="Q216" s="194" t="n">
        <v>16.1894655</v>
      </c>
      <c r="R216" s="194" t="n">
        <v>16.4201895</v>
      </c>
      <c r="S216" s="194" t="n">
        <v>16.757325</v>
      </c>
      <c r="T216" s="194" t="n">
        <v>17.1402075</v>
      </c>
      <c r="U216" s="194" t="n">
        <v>17.560881</v>
      </c>
      <c r="V216" s="194" t="n">
        <v>17.9954775</v>
      </c>
    </row>
    <row r="217" customFormat="false" ht="12.75" hidden="false" customHeight="false" outlineLevel="0" collapsed="false">
      <c r="A217" s="55"/>
      <c r="B217" s="189" t="s">
        <v>110</v>
      </c>
      <c r="C217" s="193" t="n">
        <v>0</v>
      </c>
      <c r="D217" s="194" t="n">
        <v>0.583818462489206</v>
      </c>
      <c r="E217" s="194" t="n">
        <v>0.595602461989515</v>
      </c>
      <c r="F217" s="194" t="n">
        <v>0.60762431392709</v>
      </c>
      <c r="G217" s="194" t="n">
        <v>0.619888819200123</v>
      </c>
      <c r="H217" s="194" t="n">
        <v>0.632400875609844</v>
      </c>
      <c r="I217" s="194" t="n">
        <v>0.645165479816446</v>
      </c>
      <c r="J217" s="194" t="n">
        <v>0.658187729334488</v>
      </c>
      <c r="K217" s="194" t="n">
        <v>0.671472824568575</v>
      </c>
      <c r="L217" s="194" t="n">
        <v>0.68502607089013</v>
      </c>
      <c r="M217" s="194" t="n">
        <v>0.698852880756078</v>
      </c>
      <c r="N217" s="194" t="n">
        <v>0.712958775870301</v>
      </c>
      <c r="O217" s="194" t="n">
        <v>0.727349389388716</v>
      </c>
      <c r="P217" s="194" t="n">
        <v>0.74203046816886</v>
      </c>
      <c r="Q217" s="194" t="n">
        <v>0.757007875064892</v>
      </c>
      <c r="R217" s="194" t="n">
        <v>0.7722875912689</v>
      </c>
      <c r="S217" s="194" t="n">
        <v>0.787875718699481</v>
      </c>
      <c r="T217" s="194" t="n">
        <v>0.80377848243853</v>
      </c>
      <c r="U217" s="194" t="n">
        <v>0.820002233217207</v>
      </c>
      <c r="V217" s="194" t="n">
        <v>0.836553449952089</v>
      </c>
    </row>
    <row r="218" customFormat="false" ht="12.75" hidden="false" customHeight="false" outlineLevel="0" collapsed="false">
      <c r="A218" s="55"/>
      <c r="B218" s="189" t="s">
        <v>111</v>
      </c>
      <c r="C218" s="193" t="n">
        <v>0</v>
      </c>
      <c r="D218" s="194" t="n">
        <v>0</v>
      </c>
      <c r="E218" s="194" t="n">
        <v>0</v>
      </c>
      <c r="F218" s="194" t="n">
        <v>0</v>
      </c>
      <c r="G218" s="194" t="n">
        <v>0</v>
      </c>
      <c r="H218" s="194" t="n">
        <v>0</v>
      </c>
      <c r="I218" s="194" t="n">
        <v>0.468841469732688</v>
      </c>
      <c r="J218" s="194" t="n">
        <v>0.51967331628751</v>
      </c>
      <c r="K218" s="194" t="n">
        <v>0.659378366654669</v>
      </c>
      <c r="L218" s="194" t="n">
        <v>0.629830916307003</v>
      </c>
      <c r="M218" s="194" t="n">
        <v>0.700468815743187</v>
      </c>
      <c r="N218" s="194" t="n">
        <v>0.771619372627394</v>
      </c>
      <c r="O218" s="194" t="n">
        <v>0.854931131022815</v>
      </c>
      <c r="P218" s="194" t="n">
        <v>0.958602695827345</v>
      </c>
      <c r="Q218" s="194" t="n">
        <v>1.06707438754821</v>
      </c>
      <c r="R218" s="194" t="n">
        <v>1.18199244903453</v>
      </c>
      <c r="S218" s="194" t="n">
        <v>1.2978262554722</v>
      </c>
      <c r="T218" s="194" t="n">
        <v>1.27505102392147</v>
      </c>
      <c r="U218" s="194" t="n">
        <v>1.09087511530789</v>
      </c>
      <c r="V218" s="194" t="n">
        <v>1.1310362318929</v>
      </c>
    </row>
    <row r="219" customFormat="false" ht="12.75" hidden="false" customHeight="false" outlineLevel="0" collapsed="false">
      <c r="A219" s="55"/>
      <c r="B219" s="189" t="s">
        <v>112</v>
      </c>
      <c r="C219" s="193" t="n">
        <v>0</v>
      </c>
      <c r="D219" s="194" t="n">
        <v>0</v>
      </c>
      <c r="E219" s="194" t="n">
        <v>0</v>
      </c>
      <c r="F219" s="194" t="n">
        <v>0.740277658010233</v>
      </c>
      <c r="G219" s="194" t="n">
        <v>0.630762967540864</v>
      </c>
      <c r="H219" s="194" t="n">
        <v>0.654818135334913</v>
      </c>
      <c r="I219" s="194" t="n">
        <v>0.680086288551502</v>
      </c>
      <c r="J219" s="194" t="n">
        <v>0.854336912542464</v>
      </c>
      <c r="K219" s="194" t="n">
        <v>0.746253718459518</v>
      </c>
      <c r="L219" s="194" t="n">
        <v>0.789856833802131</v>
      </c>
      <c r="M219" s="194" t="n">
        <v>0.751579028058005</v>
      </c>
      <c r="N219" s="194" t="n">
        <v>0.773104870856503</v>
      </c>
      <c r="O219" s="194" t="n">
        <v>0.793152154276689</v>
      </c>
      <c r="P219" s="194" t="n">
        <v>0.708451282637127</v>
      </c>
      <c r="Q219" s="194" t="n">
        <v>0.73378173050161</v>
      </c>
      <c r="R219" s="194" t="n">
        <v>0.74894560968122</v>
      </c>
      <c r="S219" s="194" t="n">
        <v>0.795327617874892</v>
      </c>
      <c r="T219" s="194" t="n">
        <v>0.747690449490698</v>
      </c>
      <c r="U219" s="194" t="n">
        <v>0.823489095018888</v>
      </c>
      <c r="V219" s="194" t="n">
        <v>0.448349094315038</v>
      </c>
    </row>
    <row r="220" customFormat="false" ht="12.75" hidden="false" customHeight="false" outlineLevel="0" collapsed="false">
      <c r="A220" s="186" t="s">
        <v>113</v>
      </c>
      <c r="B220" s="189"/>
      <c r="C220" s="187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</row>
    <row r="221" customFormat="false" ht="12.75" hidden="false" customHeight="false" outlineLevel="0" collapsed="false">
      <c r="A221" s="55"/>
      <c r="B221" s="189" t="s">
        <v>26</v>
      </c>
      <c r="C221" s="193" t="n">
        <v>0</v>
      </c>
      <c r="D221" s="194" t="n">
        <v>16.6858253606879</v>
      </c>
      <c r="E221" s="194" t="n">
        <v>17.0195418679017</v>
      </c>
      <c r="F221" s="194" t="n">
        <v>17.3599327052597</v>
      </c>
      <c r="G221" s="194" t="n">
        <v>17.7071313593649</v>
      </c>
      <c r="H221" s="194" t="n">
        <v>18.0612739865522</v>
      </c>
      <c r="I221" s="194" t="n">
        <v>18.4224994662833</v>
      </c>
      <c r="J221" s="194" t="n">
        <v>18.7909494556089</v>
      </c>
      <c r="K221" s="194" t="n">
        <v>19.1667684447211</v>
      </c>
      <c r="L221" s="194" t="n">
        <v>19.5501038136155</v>
      </c>
      <c r="M221" s="194" t="n">
        <v>19.9411058898879</v>
      </c>
      <c r="N221" s="194" t="n">
        <v>20.3399280076856</v>
      </c>
      <c r="O221" s="194" t="n">
        <v>20.7467265678393</v>
      </c>
      <c r="P221" s="194" t="n">
        <v>21.1616610991961</v>
      </c>
      <c r="Q221" s="194" t="n">
        <v>21.58489432118</v>
      </c>
      <c r="R221" s="194" t="n">
        <v>22.0165922076036</v>
      </c>
      <c r="S221" s="194" t="n">
        <v>22.4569240517557</v>
      </c>
      <c r="T221" s="194" t="n">
        <v>22.9060625327908</v>
      </c>
      <c r="U221" s="194" t="n">
        <v>23.3641837834466</v>
      </c>
      <c r="V221" s="194" t="n">
        <v>23.8314674591156</v>
      </c>
    </row>
    <row r="222" customFormat="false" ht="12.75" hidden="false" customHeight="false" outlineLevel="0" collapsed="false">
      <c r="A222" s="55"/>
      <c r="B222" s="189" t="s">
        <v>114</v>
      </c>
      <c r="C222" s="193" t="n">
        <v>0</v>
      </c>
      <c r="D222" s="194" t="n">
        <v>2.50500535882813</v>
      </c>
      <c r="E222" s="194" t="n">
        <v>2.56071911519144</v>
      </c>
      <c r="F222" s="194" t="n">
        <v>2.61765300281911</v>
      </c>
      <c r="G222" s="194" t="n">
        <v>2.73247613446034</v>
      </c>
      <c r="H222" s="194" t="n">
        <v>3.08457100263649</v>
      </c>
      <c r="I222" s="194" t="n">
        <v>3.91679698079532</v>
      </c>
      <c r="J222" s="194" t="n">
        <v>4.3444170169587</v>
      </c>
      <c r="K222" s="194" t="n">
        <v>4.78245181414205</v>
      </c>
      <c r="L222" s="194" t="n">
        <v>5.23183412858496</v>
      </c>
      <c r="M222" s="194" t="n">
        <v>5.49558415492897</v>
      </c>
      <c r="N222" s="194" t="n">
        <v>5.56468042769634</v>
      </c>
      <c r="O222" s="194" t="n">
        <v>5.63551792653745</v>
      </c>
      <c r="P222" s="194" t="n">
        <v>5.70815469784913</v>
      </c>
      <c r="Q222" s="194" t="n">
        <v>5.7826073884436</v>
      </c>
      <c r="R222" s="194" t="n">
        <v>5.85892884157199</v>
      </c>
      <c r="S222" s="194" t="n">
        <v>5.93715833102858</v>
      </c>
      <c r="T222" s="194" t="n">
        <v>6.0173279118237</v>
      </c>
      <c r="U222" s="194" t="n">
        <v>6.09950974909678</v>
      </c>
      <c r="V222" s="194" t="n">
        <v>6.18375435048542</v>
      </c>
    </row>
    <row r="223" customFormat="false" ht="12.75" hidden="false" customHeight="false" outlineLevel="0" collapsed="false">
      <c r="A223" s="55"/>
      <c r="B223" s="189" t="s">
        <v>28</v>
      </c>
      <c r="C223" s="193" t="n">
        <v>0</v>
      </c>
      <c r="D223" s="194" t="n">
        <v>2.80487730994761</v>
      </c>
      <c r="E223" s="194" t="n">
        <v>2.86406022118752</v>
      </c>
      <c r="F223" s="194" t="n">
        <v>2.92678314003153</v>
      </c>
      <c r="G223" s="194" t="n">
        <v>2.99292843899622</v>
      </c>
      <c r="H223" s="194" t="n">
        <v>3.06416013584433</v>
      </c>
      <c r="I223" s="194" t="n">
        <v>3.14094829689412</v>
      </c>
      <c r="J223" s="194" t="n">
        <v>3.21885256493591</v>
      </c>
      <c r="K223" s="194" t="n">
        <v>3.30032837535212</v>
      </c>
      <c r="L223" s="194" t="n">
        <v>3.38184648622332</v>
      </c>
      <c r="M223" s="194" t="n">
        <v>3.468083571622</v>
      </c>
      <c r="N223" s="194" t="n">
        <v>3.55201119405527</v>
      </c>
      <c r="O223" s="194" t="n">
        <v>3.64152187614545</v>
      </c>
      <c r="P223" s="194" t="n">
        <v>3.73401653179954</v>
      </c>
      <c r="Q223" s="194" t="n">
        <v>3.82736694509453</v>
      </c>
      <c r="R223" s="194" t="n">
        <v>3.9234338554164</v>
      </c>
      <c r="S223" s="194" t="n">
        <v>4.02151970180182</v>
      </c>
      <c r="T223" s="194" t="n">
        <v>4.1212533904065</v>
      </c>
      <c r="U223" s="194" t="n">
        <v>4.22469685050571</v>
      </c>
      <c r="V223" s="194" t="n">
        <v>4.3307367414534</v>
      </c>
    </row>
    <row r="224" customFormat="false" ht="12.75" hidden="false" customHeight="false" outlineLevel="0" collapsed="false">
      <c r="A224" s="55"/>
      <c r="B224" s="189" t="s">
        <v>33</v>
      </c>
      <c r="C224" s="193" t="n">
        <v>0</v>
      </c>
      <c r="D224" s="194" t="n">
        <v>3.85197349693252</v>
      </c>
      <c r="E224" s="194" t="n">
        <v>43.4690341104295</v>
      </c>
      <c r="F224" s="194" t="n">
        <v>7.41949846625767</v>
      </c>
      <c r="G224" s="194" t="n">
        <v>2.66642717791411</v>
      </c>
      <c r="H224" s="194" t="n">
        <v>13.6379093006135</v>
      </c>
      <c r="I224" s="194" t="n">
        <v>14.0470465796319</v>
      </c>
      <c r="J224" s="194" t="n">
        <v>14.4684579770209</v>
      </c>
      <c r="K224" s="194" t="n">
        <v>14.9025117163315</v>
      </c>
      <c r="L224" s="194" t="n">
        <v>15.3495870678214</v>
      </c>
      <c r="M224" s="194" t="n">
        <v>15.8100746798561</v>
      </c>
      <c r="N224" s="194" t="n">
        <v>16.2843769202518</v>
      </c>
      <c r="O224" s="194" t="n">
        <v>16.7729082278593</v>
      </c>
      <c r="P224" s="194" t="n">
        <v>17.2760954746951</v>
      </c>
      <c r="Q224" s="194" t="n">
        <v>17.7943783389359</v>
      </c>
      <c r="R224" s="194" t="n">
        <v>18.328209689104</v>
      </c>
      <c r="S224" s="194" t="n">
        <v>18.8780559797771</v>
      </c>
      <c r="T224" s="194" t="n">
        <v>19.4443976591705</v>
      </c>
      <c r="U224" s="194" t="n">
        <v>20.0277295889456</v>
      </c>
      <c r="V224" s="194" t="n">
        <v>20.6285614766139</v>
      </c>
    </row>
    <row r="225" customFormat="false" ht="12.75" hidden="false" customHeight="false" outlineLevel="0" collapsed="false">
      <c r="A225" s="55"/>
      <c r="B225" s="189" t="s">
        <v>115</v>
      </c>
      <c r="C225" s="195" t="n">
        <v>0</v>
      </c>
      <c r="D225" s="196" t="n">
        <v>0</v>
      </c>
      <c r="E225" s="196" t="n">
        <v>0</v>
      </c>
      <c r="F225" s="196" t="n">
        <v>0</v>
      </c>
      <c r="G225" s="196" t="n">
        <v>0</v>
      </c>
      <c r="H225" s="196" t="n">
        <v>0</v>
      </c>
      <c r="I225" s="196" t="n">
        <v>0</v>
      </c>
      <c r="J225" s="196" t="n">
        <v>0</v>
      </c>
      <c r="K225" s="196" t="n">
        <v>0</v>
      </c>
      <c r="L225" s="196" t="n">
        <v>0</v>
      </c>
      <c r="M225" s="196" t="n">
        <v>0</v>
      </c>
      <c r="N225" s="196" t="n">
        <v>0</v>
      </c>
      <c r="O225" s="196" t="n">
        <v>0</v>
      </c>
      <c r="P225" s="196" t="n">
        <v>0</v>
      </c>
      <c r="Q225" s="196" t="n">
        <v>0</v>
      </c>
      <c r="R225" s="196" t="n">
        <v>0</v>
      </c>
      <c r="S225" s="196" t="n">
        <v>0</v>
      </c>
      <c r="T225" s="196" t="n">
        <v>0</v>
      </c>
      <c r="U225" s="196" t="n">
        <v>0</v>
      </c>
      <c r="V225" s="196" t="n">
        <v>0</v>
      </c>
    </row>
    <row r="226" customFormat="false" ht="12.75" hidden="false" customHeight="false" outlineLevel="0" collapsed="false">
      <c r="A226" s="55"/>
      <c r="B226" s="189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</row>
    <row r="227" customFormat="false" ht="12.75" hidden="false" customHeight="false" outlineLevel="0" collapsed="false">
      <c r="A227" s="55"/>
      <c r="B227" s="189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</row>
    <row r="228" customFormat="false" ht="12.75" hidden="false" customHeight="false" outlineLevel="0" collapsed="false">
      <c r="A228" s="258"/>
      <c r="B228" s="259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</row>
    <row r="229" customFormat="false" ht="12.75" hidden="false" customHeight="false" outlineLevel="0" collapsed="false">
      <c r="A229" s="258"/>
      <c r="B229" s="259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</row>
    <row r="230" customFormat="false" ht="12.75" hidden="false" customHeight="false" outlineLevel="0" collapsed="false">
      <c r="A230" s="52" t="s">
        <v>105</v>
      </c>
      <c r="B230" s="182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</row>
    <row r="231" customFormat="false" ht="12.75" hidden="false" customHeight="false" outlineLevel="0" collapsed="false">
      <c r="A231" s="183" t="s">
        <v>79</v>
      </c>
      <c r="B231" s="182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</row>
    <row r="232" customFormat="false" ht="12.75" hidden="false" customHeight="false" outlineLevel="0" collapsed="false">
      <c r="A232" s="55"/>
      <c r="B232" s="182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</row>
    <row r="233" customFormat="false" ht="12.75" hidden="false" customHeight="false" outlineLevel="0" collapsed="false">
      <c r="A233" s="55"/>
      <c r="B233" s="182"/>
      <c r="C233" s="184" t="n">
        <v>2000</v>
      </c>
      <c r="D233" s="185" t="n">
        <v>2001</v>
      </c>
      <c r="E233" s="185" t="n">
        <v>2002</v>
      </c>
      <c r="F233" s="185" t="n">
        <v>2003</v>
      </c>
      <c r="G233" s="185" t="n">
        <v>2004</v>
      </c>
      <c r="H233" s="185" t="n">
        <v>2005</v>
      </c>
      <c r="I233" s="185" t="n">
        <v>2006</v>
      </c>
      <c r="J233" s="185" t="n">
        <v>2007</v>
      </c>
      <c r="K233" s="185" t="n">
        <v>2008</v>
      </c>
      <c r="L233" s="185" t="n">
        <v>2009</v>
      </c>
      <c r="M233" s="185" t="n">
        <v>2010</v>
      </c>
      <c r="N233" s="185" t="n">
        <v>2011</v>
      </c>
      <c r="O233" s="185" t="n">
        <v>2012</v>
      </c>
      <c r="P233" s="185" t="n">
        <v>2013</v>
      </c>
      <c r="Q233" s="185" t="n">
        <v>2014</v>
      </c>
      <c r="R233" s="185" t="n">
        <v>2015</v>
      </c>
      <c r="S233" s="185" t="n">
        <v>2016</v>
      </c>
      <c r="T233" s="185" t="n">
        <v>2017</v>
      </c>
      <c r="U233" s="185" t="n">
        <v>2018</v>
      </c>
      <c r="V233" s="185" t="n">
        <v>2019</v>
      </c>
    </row>
    <row r="234" customFormat="false" ht="12.75" hidden="false" customHeight="false" outlineLevel="0" collapsed="false">
      <c r="A234" s="186" t="s">
        <v>106</v>
      </c>
      <c r="B234" s="182"/>
      <c r="C234" s="187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</row>
    <row r="235" customFormat="false" ht="12.75" hidden="false" customHeight="false" outlineLevel="0" collapsed="false">
      <c r="A235" s="55"/>
      <c r="B235" s="189" t="s">
        <v>107</v>
      </c>
      <c r="C235" s="190" t="n">
        <v>0</v>
      </c>
      <c r="D235" s="191" t="n">
        <v>2374368.16941792</v>
      </c>
      <c r="E235" s="191" t="n">
        <v>2374368.16941792</v>
      </c>
      <c r="F235" s="191" t="n">
        <v>2374368.16941792</v>
      </c>
      <c r="G235" s="191" t="n">
        <v>2374368.16941792</v>
      </c>
      <c r="H235" s="191" t="n">
        <v>2374368.16941792</v>
      </c>
      <c r="I235" s="191" t="n">
        <v>2374368.16941792</v>
      </c>
      <c r="J235" s="191" t="n">
        <v>2374368.16941792</v>
      </c>
      <c r="K235" s="191" t="n">
        <v>2374368.16941792</v>
      </c>
      <c r="L235" s="191" t="n">
        <v>2374368.16941792</v>
      </c>
      <c r="M235" s="191" t="n">
        <v>2374368.16941792</v>
      </c>
      <c r="N235" s="191" t="n">
        <v>2374368.16941792</v>
      </c>
      <c r="O235" s="191" t="n">
        <v>2374368.16941792</v>
      </c>
      <c r="P235" s="191" t="n">
        <v>2374368.16941792</v>
      </c>
      <c r="Q235" s="191" t="n">
        <v>2374368.16941792</v>
      </c>
      <c r="R235" s="191" t="n">
        <v>2374368.16941792</v>
      </c>
      <c r="S235" s="191" t="n">
        <v>2374368.16941792</v>
      </c>
      <c r="T235" s="191" t="n">
        <v>2374368.16941792</v>
      </c>
      <c r="U235" s="191" t="n">
        <v>2374368.16941792</v>
      </c>
      <c r="V235" s="191" t="n">
        <v>2374368.16941792</v>
      </c>
    </row>
    <row r="236" customFormat="false" ht="12.75" hidden="false" customHeight="false" outlineLevel="0" collapsed="false">
      <c r="A236" s="55"/>
      <c r="B236" s="189" t="s">
        <v>108</v>
      </c>
      <c r="C236" s="190" t="n">
        <v>0</v>
      </c>
      <c r="D236" s="192" t="n">
        <v>0.847020608382534</v>
      </c>
      <c r="E236" s="192" t="n">
        <v>0.847020608382534</v>
      </c>
      <c r="F236" s="192" t="n">
        <v>0.847020608382534</v>
      </c>
      <c r="G236" s="192" t="n">
        <v>0.847020608382534</v>
      </c>
      <c r="H236" s="192" t="n">
        <v>0.847020608382534</v>
      </c>
      <c r="I236" s="192" t="n">
        <v>0.847020608382534</v>
      </c>
      <c r="J236" s="192" t="n">
        <v>0.847020608382534</v>
      </c>
      <c r="K236" s="192" t="n">
        <v>0.847020608382534</v>
      </c>
      <c r="L236" s="192" t="n">
        <v>0.847020608382534</v>
      </c>
      <c r="M236" s="192" t="n">
        <v>0.847020608382534</v>
      </c>
      <c r="N236" s="192" t="n">
        <v>0.847020608382534</v>
      </c>
      <c r="O236" s="192" t="n">
        <v>0.847020608382534</v>
      </c>
      <c r="P236" s="192" t="n">
        <v>0.847020608382534</v>
      </c>
      <c r="Q236" s="192" t="n">
        <v>0.847020608382534</v>
      </c>
      <c r="R236" s="192" t="n">
        <v>0.847020608382534</v>
      </c>
      <c r="S236" s="192" t="n">
        <v>0.847020608382534</v>
      </c>
      <c r="T236" s="192" t="n">
        <v>0.847020608382534</v>
      </c>
      <c r="U236" s="192" t="n">
        <v>0.847020608382534</v>
      </c>
      <c r="V236" s="192" t="n">
        <v>0.847020608382534</v>
      </c>
    </row>
    <row r="237" customFormat="false" ht="12.75" hidden="false" customHeight="false" outlineLevel="0" collapsed="false">
      <c r="A237" s="186" t="s">
        <v>109</v>
      </c>
      <c r="B237" s="189"/>
      <c r="C237" s="187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</row>
    <row r="238" customFormat="false" ht="12.75" hidden="false" customHeight="false" outlineLevel="0" collapsed="false">
      <c r="A238" s="55"/>
      <c r="B238" s="189" t="s">
        <v>20</v>
      </c>
      <c r="C238" s="193" t="n">
        <v>0</v>
      </c>
      <c r="D238" s="194" t="n">
        <v>39.4830479600139</v>
      </c>
      <c r="E238" s="194" t="n">
        <v>38.9354673272511</v>
      </c>
      <c r="F238" s="194" t="n">
        <v>39.6849082613523</v>
      </c>
      <c r="G238" s="194" t="n">
        <v>39.1224218116774</v>
      </c>
      <c r="H238" s="194" t="n">
        <v>39.417099156106</v>
      </c>
      <c r="I238" s="194" t="n">
        <v>42.0786149252578</v>
      </c>
      <c r="J238" s="194" t="n">
        <v>45.1190140269637</v>
      </c>
      <c r="K238" s="194" t="n">
        <v>46.2865929451868</v>
      </c>
      <c r="L238" s="194" t="n">
        <v>47.2554084179073</v>
      </c>
      <c r="M238" s="194" t="n">
        <v>47.424107614869</v>
      </c>
      <c r="N238" s="194" t="n">
        <v>48.4487023221246</v>
      </c>
      <c r="O238" s="194" t="n">
        <v>48.9927709342232</v>
      </c>
      <c r="P238" s="194" t="n">
        <v>49.5693200792455</v>
      </c>
      <c r="Q238" s="194" t="n">
        <v>51.3142206624762</v>
      </c>
      <c r="R238" s="194" t="n">
        <v>54.9549131355292</v>
      </c>
      <c r="S238" s="194" t="n">
        <v>54.6383329257431</v>
      </c>
      <c r="T238" s="194" t="n">
        <v>55.33468859591</v>
      </c>
      <c r="U238" s="194" t="n">
        <v>57.9938209162062</v>
      </c>
      <c r="V238" s="194" t="n">
        <v>59.7553005518294</v>
      </c>
    </row>
    <row r="239" customFormat="false" ht="12.75" hidden="false" customHeight="false" outlineLevel="0" collapsed="false">
      <c r="A239" s="55"/>
      <c r="B239" s="189" t="s">
        <v>21</v>
      </c>
      <c r="C239" s="193" t="n">
        <v>0</v>
      </c>
      <c r="D239" s="194" t="n">
        <v>12.4633524</v>
      </c>
      <c r="E239" s="194" t="n">
        <v>12.6444646</v>
      </c>
      <c r="F239" s="194" t="n">
        <v>12.8640252</v>
      </c>
      <c r="G239" s="194" t="n">
        <v>13.2313086</v>
      </c>
      <c r="H239" s="194" t="n">
        <v>13.6886422</v>
      </c>
      <c r="I239" s="194" t="n">
        <v>14.2127546</v>
      </c>
      <c r="J239" s="194" t="n">
        <v>14.5405778</v>
      </c>
      <c r="K239" s="194" t="n">
        <v>14.853224</v>
      </c>
      <c r="L239" s="194" t="n">
        <v>15.0990914</v>
      </c>
      <c r="M239" s="194" t="n">
        <v>15.2235428</v>
      </c>
      <c r="N239" s="194" t="n">
        <v>15.4319736</v>
      </c>
      <c r="O239" s="194" t="n">
        <v>15.7678912</v>
      </c>
      <c r="P239" s="194" t="n">
        <v>16.1270802</v>
      </c>
      <c r="Q239" s="194" t="n">
        <v>16.4710922</v>
      </c>
      <c r="R239" s="194" t="n">
        <v>16.7058298</v>
      </c>
      <c r="S239" s="194" t="n">
        <v>17.04883</v>
      </c>
      <c r="T239" s="194" t="n">
        <v>17.438373</v>
      </c>
      <c r="U239" s="194" t="n">
        <v>17.8663644</v>
      </c>
      <c r="V239" s="194" t="n">
        <v>18.308521</v>
      </c>
    </row>
    <row r="240" customFormat="false" ht="12.75" hidden="false" customHeight="false" outlineLevel="0" collapsed="false">
      <c r="A240" s="55"/>
      <c r="B240" s="189" t="s">
        <v>110</v>
      </c>
      <c r="C240" s="193" t="n">
        <v>0</v>
      </c>
      <c r="D240" s="194" t="n">
        <v>0.787691576374325</v>
      </c>
      <c r="E240" s="194" t="n">
        <v>0.803590623319188</v>
      </c>
      <c r="F240" s="194" t="n">
        <v>1.43261058228258</v>
      </c>
      <c r="G240" s="194" t="n">
        <v>1.46447793066683</v>
      </c>
      <c r="H240" s="194" t="n">
        <v>1.49706227661646</v>
      </c>
      <c r="I240" s="194" t="n">
        <v>1.53037993665711</v>
      </c>
      <c r="J240" s="194" t="n">
        <v>1.5644476027628</v>
      </c>
      <c r="K240" s="194" t="n">
        <v>1.59928235108682</v>
      </c>
      <c r="L240" s="194" t="n">
        <v>1.6349016508977</v>
      </c>
      <c r="M240" s="194" t="n">
        <v>1.67132337372513</v>
      </c>
      <c r="N240" s="194" t="n">
        <v>1.70856580272068</v>
      </c>
      <c r="O240" s="194" t="n">
        <v>1.74664764223855</v>
      </c>
      <c r="P240" s="194" t="n">
        <v>1.78558802764151</v>
      </c>
      <c r="Q240" s="194" t="n">
        <v>1.82540653533738</v>
      </c>
      <c r="R240" s="194" t="n">
        <v>1.86612319305141</v>
      </c>
      <c r="S240" s="194" t="n">
        <v>1.90775849034044</v>
      </c>
      <c r="T240" s="194" t="n">
        <v>1.95033338935423</v>
      </c>
      <c r="U240" s="194" t="n">
        <v>1.99386933585008</v>
      </c>
      <c r="V240" s="194" t="n">
        <v>2.03838827046663</v>
      </c>
    </row>
    <row r="241" customFormat="false" ht="12.75" hidden="false" customHeight="false" outlineLevel="0" collapsed="false">
      <c r="A241" s="55"/>
      <c r="B241" s="189" t="s">
        <v>111</v>
      </c>
      <c r="C241" s="193" t="n">
        <v>0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0</v>
      </c>
      <c r="I241" s="194" t="n">
        <v>0.466462107785259</v>
      </c>
      <c r="J241" s="194" t="n">
        <v>0.517035983641629</v>
      </c>
      <c r="K241" s="194" t="n">
        <v>0.657963172041647</v>
      </c>
      <c r="L241" s="194" t="n">
        <v>0.62663453584085</v>
      </c>
      <c r="M241" s="194" t="n">
        <v>0.696913949219773</v>
      </c>
      <c r="N241" s="194" t="n">
        <v>0.767703418319478</v>
      </c>
      <c r="O241" s="194" t="n">
        <v>0.850592371053504</v>
      </c>
      <c r="P241" s="194" t="n">
        <v>0.953737804548729</v>
      </c>
      <c r="Q241" s="194" t="n">
        <v>1.06165900440334</v>
      </c>
      <c r="R241" s="194" t="n">
        <v>1.17599385881386</v>
      </c>
      <c r="S241" s="194" t="n">
        <v>1.29123981078674</v>
      </c>
      <c r="T241" s="194" t="n">
        <v>1.26858016312266</v>
      </c>
      <c r="U241" s="194" t="n">
        <v>1.08533894390172</v>
      </c>
      <c r="V241" s="194" t="n">
        <v>1.12529624354916</v>
      </c>
    </row>
    <row r="242" customFormat="false" ht="12.75" hidden="false" customHeight="false" outlineLevel="0" collapsed="false">
      <c r="A242" s="55"/>
      <c r="B242" s="189" t="s">
        <v>112</v>
      </c>
      <c r="C242" s="193" t="n">
        <v>0</v>
      </c>
      <c r="D242" s="194" t="n">
        <v>0</v>
      </c>
      <c r="E242" s="194" t="n">
        <v>0</v>
      </c>
      <c r="F242" s="194" t="n">
        <v>0.70608308293246</v>
      </c>
      <c r="G242" s="194" t="n">
        <v>0.601627046151816</v>
      </c>
      <c r="H242" s="194" t="n">
        <v>0.624571068374685</v>
      </c>
      <c r="I242" s="194" t="n">
        <v>0.648672046338999</v>
      </c>
      <c r="J242" s="194" t="n">
        <v>0.814873763301721</v>
      </c>
      <c r="K242" s="194" t="n">
        <v>0.711783099865518</v>
      </c>
      <c r="L242" s="194" t="n">
        <v>0.753372119571075</v>
      </c>
      <c r="M242" s="194" t="n">
        <v>0.716862425140544</v>
      </c>
      <c r="N242" s="194" t="n">
        <v>0.737393955818825</v>
      </c>
      <c r="O242" s="194" t="n">
        <v>0.756515224073486</v>
      </c>
      <c r="P242" s="194" t="n">
        <v>0.675726817281529</v>
      </c>
      <c r="Q242" s="194" t="n">
        <v>0.699887212407173</v>
      </c>
      <c r="R242" s="194" t="n">
        <v>0.714350648449715</v>
      </c>
      <c r="S242" s="194" t="n">
        <v>0.758590199628409</v>
      </c>
      <c r="T242" s="194" t="n">
        <v>0.713153466058342</v>
      </c>
      <c r="U242" s="194" t="n">
        <v>0.785450854393015</v>
      </c>
      <c r="V242" s="194" t="n">
        <v>0.427639153118359</v>
      </c>
    </row>
    <row r="243" customFormat="false" ht="12.75" hidden="false" customHeight="false" outlineLevel="0" collapsed="false">
      <c r="A243" s="186" t="s">
        <v>113</v>
      </c>
      <c r="B243" s="189"/>
      <c r="C243" s="187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</row>
    <row r="244" customFormat="false" ht="12.75" hidden="false" customHeight="false" outlineLevel="0" collapsed="false">
      <c r="A244" s="55"/>
      <c r="B244" s="189" t="s">
        <v>26</v>
      </c>
      <c r="C244" s="193" t="n">
        <v>0</v>
      </c>
      <c r="D244" s="194" t="n">
        <v>11.9498177340994</v>
      </c>
      <c r="E244" s="194" t="n">
        <v>12.1888140887814</v>
      </c>
      <c r="F244" s="194" t="n">
        <v>12.647968495557</v>
      </c>
      <c r="G244" s="194" t="n">
        <v>12.9020047560931</v>
      </c>
      <c r="H244" s="194" t="n">
        <v>13.1611486641056</v>
      </c>
      <c r="I244" s="194" t="n">
        <v>13.4255030456006</v>
      </c>
      <c r="J244" s="194" t="n">
        <v>13.6951727999309</v>
      </c>
      <c r="K244" s="194" t="n">
        <v>13.9702649416832</v>
      </c>
      <c r="L244" s="194" t="n">
        <v>14.2508886434143</v>
      </c>
      <c r="M244" s="194" t="n">
        <v>14.5371552792526</v>
      </c>
      <c r="N244" s="194" t="n">
        <v>14.8291784693818</v>
      </c>
      <c r="O244" s="194" t="n">
        <v>15.1270741254272</v>
      </c>
      <c r="P244" s="194" t="n">
        <v>15.43096049676</v>
      </c>
      <c r="Q244" s="194" t="n">
        <v>15.7409582177401</v>
      </c>
      <c r="R244" s="194" t="n">
        <v>16.0571903559159</v>
      </c>
      <c r="S244" s="194" t="n">
        <v>16.3797824612007</v>
      </c>
      <c r="T244" s="194" t="n">
        <v>16.7088626160454</v>
      </c>
      <c r="U244" s="194" t="n">
        <v>17.0445614866274</v>
      </c>
      <c r="V244" s="194" t="n">
        <v>17.3870123750777</v>
      </c>
    </row>
    <row r="245" customFormat="false" ht="12.75" hidden="false" customHeight="false" outlineLevel="0" collapsed="false">
      <c r="A245" s="55"/>
      <c r="B245" s="189" t="s">
        <v>114</v>
      </c>
      <c r="C245" s="193" t="n">
        <v>0</v>
      </c>
      <c r="D245" s="194" t="n">
        <v>2.17372597324762</v>
      </c>
      <c r="E245" s="194" t="n">
        <v>2.21629299702208</v>
      </c>
      <c r="F245" s="194" t="n">
        <v>2.25979223861721</v>
      </c>
      <c r="G245" s="194" t="n">
        <v>2.30427456307239</v>
      </c>
      <c r="H245" s="194" t="n">
        <v>2.34981556684959</v>
      </c>
      <c r="I245" s="194" t="n">
        <v>2.39836165120544</v>
      </c>
      <c r="J245" s="194" t="n">
        <v>2.446201767361</v>
      </c>
      <c r="K245" s="194" t="n">
        <v>2.49721053163619</v>
      </c>
      <c r="L245" s="194" t="n">
        <v>2.5474731408913</v>
      </c>
      <c r="M245" s="194" t="n">
        <v>2.59901744668242</v>
      </c>
      <c r="N245" s="194" t="n">
        <v>2.65180912467368</v>
      </c>
      <c r="O245" s="194" t="n">
        <v>2.70593115295033</v>
      </c>
      <c r="P245" s="194" t="n">
        <v>2.7614278807452</v>
      </c>
      <c r="Q245" s="194" t="n">
        <v>2.81831202673494</v>
      </c>
      <c r="R245" s="194" t="n">
        <v>2.87662396478902</v>
      </c>
      <c r="S245" s="194" t="n">
        <v>2.93639370129446</v>
      </c>
      <c r="T245" s="194" t="n">
        <v>2.99764572726523</v>
      </c>
      <c r="U245" s="194" t="n">
        <v>3.06043517908786</v>
      </c>
      <c r="V245" s="194" t="n">
        <v>3.12480064615125</v>
      </c>
    </row>
    <row r="246" customFormat="false" ht="12.75" hidden="false" customHeight="false" outlineLevel="0" collapsed="false">
      <c r="A246" s="55"/>
      <c r="B246" s="189" t="s">
        <v>28</v>
      </c>
      <c r="C246" s="193" t="n">
        <v>0</v>
      </c>
      <c r="D246" s="194" t="n">
        <v>2.05316154567646</v>
      </c>
      <c r="E246" s="194" t="n">
        <v>2.09648325429024</v>
      </c>
      <c r="F246" s="194" t="n">
        <v>2.1423962375592</v>
      </c>
      <c r="G246" s="194" t="n">
        <v>2.19081439252802</v>
      </c>
      <c r="H246" s="194" t="n">
        <v>2.24295577507019</v>
      </c>
      <c r="I246" s="194" t="n">
        <v>2.29916447228183</v>
      </c>
      <c r="J246" s="194" t="n">
        <v>2.35619015637154</v>
      </c>
      <c r="K246" s="194" t="n">
        <v>2.41583019847111</v>
      </c>
      <c r="L246" s="194" t="n">
        <v>2.47550120437334</v>
      </c>
      <c r="M246" s="194" t="n">
        <v>2.53862648508486</v>
      </c>
      <c r="N246" s="194" t="n">
        <v>2.60006124602392</v>
      </c>
      <c r="O246" s="194" t="n">
        <v>2.66558278942372</v>
      </c>
      <c r="P246" s="194" t="n">
        <v>2.73328859227507</v>
      </c>
      <c r="Q246" s="194" t="n">
        <v>2.80162080708195</v>
      </c>
      <c r="R246" s="194" t="n">
        <v>2.87194148933971</v>
      </c>
      <c r="S246" s="194" t="n">
        <v>2.9437400265732</v>
      </c>
      <c r="T246" s="194" t="n">
        <v>3.01674477923222</v>
      </c>
      <c r="U246" s="194" t="n">
        <v>3.09246507319095</v>
      </c>
      <c r="V246" s="194" t="n">
        <v>3.17008594652803</v>
      </c>
    </row>
    <row r="247" customFormat="false" ht="12.75" hidden="false" customHeight="false" outlineLevel="0" collapsed="false">
      <c r="A247" s="55"/>
      <c r="B247" s="189" t="s">
        <v>33</v>
      </c>
      <c r="C247" s="193" t="n">
        <v>0</v>
      </c>
      <c r="D247" s="194" t="n">
        <v>6.6898011875</v>
      </c>
      <c r="E247" s="194" t="n">
        <v>6.5340365625</v>
      </c>
      <c r="F247" s="194" t="n">
        <v>11.748547625</v>
      </c>
      <c r="G247" s="194" t="n">
        <v>5.21644365625</v>
      </c>
      <c r="H247" s="194" t="n">
        <v>7.047815225</v>
      </c>
      <c r="I247" s="194" t="n">
        <v>7.25924968175</v>
      </c>
      <c r="J247" s="194" t="n">
        <v>7.4770271722025</v>
      </c>
      <c r="K247" s="194" t="n">
        <v>7.70133798736858</v>
      </c>
      <c r="L247" s="194" t="n">
        <v>7.93237812698964</v>
      </c>
      <c r="M247" s="194" t="n">
        <v>8.17034947079933</v>
      </c>
      <c r="N247" s="194" t="n">
        <v>8.4154599549233</v>
      </c>
      <c r="O247" s="194" t="n">
        <v>8.66792375357101</v>
      </c>
      <c r="P247" s="194" t="n">
        <v>8.92796146617813</v>
      </c>
      <c r="Q247" s="194" t="n">
        <v>9.19580031016348</v>
      </c>
      <c r="R247" s="194" t="n">
        <v>9.47167431946838</v>
      </c>
      <c r="S247" s="194" t="n">
        <v>9.75582454905243</v>
      </c>
      <c r="T247" s="194" t="n">
        <v>10.048499285524</v>
      </c>
      <c r="U247" s="194" t="n">
        <v>10.3499542640897</v>
      </c>
      <c r="V247" s="194" t="n">
        <v>10.6604528920124</v>
      </c>
    </row>
    <row r="248" customFormat="false" ht="12.75" hidden="false" customHeight="false" outlineLevel="0" collapsed="false">
      <c r="A248" s="55"/>
      <c r="B248" s="189" t="s">
        <v>115</v>
      </c>
      <c r="C248" s="195" t="n">
        <v>0</v>
      </c>
      <c r="D248" s="196" t="n">
        <v>86.21060378125</v>
      </c>
      <c r="E248" s="196" t="n">
        <v>11.73684453125</v>
      </c>
      <c r="F248" s="196" t="n">
        <v>0</v>
      </c>
      <c r="G248" s="196" t="n">
        <v>0</v>
      </c>
      <c r="H248" s="196" t="n">
        <v>0</v>
      </c>
      <c r="I248" s="196" t="n">
        <v>0</v>
      </c>
      <c r="J248" s="196" t="n">
        <v>0</v>
      </c>
      <c r="K248" s="196" t="n">
        <v>0</v>
      </c>
      <c r="L248" s="196" t="n">
        <v>0</v>
      </c>
      <c r="M248" s="196" t="n">
        <v>0</v>
      </c>
      <c r="N248" s="196" t="n">
        <v>0</v>
      </c>
      <c r="O248" s="196" t="n">
        <v>0</v>
      </c>
      <c r="P248" s="196" t="n">
        <v>0</v>
      </c>
      <c r="Q248" s="196" t="n">
        <v>0</v>
      </c>
      <c r="R248" s="196" t="n">
        <v>0</v>
      </c>
      <c r="S248" s="196" t="n">
        <v>0</v>
      </c>
      <c r="T248" s="196" t="n">
        <v>0</v>
      </c>
      <c r="U248" s="196" t="n">
        <v>0</v>
      </c>
      <c r="V248" s="196" t="n">
        <v>0</v>
      </c>
    </row>
    <row r="249" customFormat="false" ht="12.75" hidden="false" customHeight="false" outlineLevel="0" collapsed="false">
      <c r="A249" s="55"/>
      <c r="B249" s="189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</row>
    <row r="250" customFormat="false" ht="12.75" hidden="false" customHeight="false" outlineLevel="0" collapsed="false">
      <c r="A250" s="55"/>
      <c r="B250" s="189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</row>
    <row r="251" customFormat="false" ht="12.75" hidden="false" customHeight="false" outlineLevel="0" collapsed="false">
      <c r="A251" s="258"/>
      <c r="B251" s="259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</row>
    <row r="252" customFormat="false" ht="12.75" hidden="false" customHeight="false" outlineLevel="0" collapsed="false">
      <c r="A252" s="183" t="s">
        <v>81</v>
      </c>
      <c r="B252" s="182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</row>
    <row r="253" customFormat="false" ht="12.75" hidden="false" customHeight="false" outlineLevel="0" collapsed="false">
      <c r="A253" s="52" t="s">
        <v>105</v>
      </c>
      <c r="B253" s="182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</row>
    <row r="254" customFormat="false" ht="12.75" hidden="false" customHeight="false" outlineLevel="0" collapsed="false">
      <c r="A254" s="183" t="s">
        <v>80</v>
      </c>
      <c r="B254" s="182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</row>
    <row r="255" customFormat="false" ht="12.75" hidden="false" customHeight="false" outlineLevel="0" collapsed="false">
      <c r="A255" s="55"/>
      <c r="B255" s="182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</row>
    <row r="256" customFormat="false" ht="12.75" hidden="false" customHeight="false" outlineLevel="0" collapsed="false">
      <c r="A256" s="55"/>
      <c r="B256" s="182"/>
      <c r="C256" s="184" t="n">
        <v>2000</v>
      </c>
      <c r="D256" s="185" t="n">
        <v>2001</v>
      </c>
      <c r="E256" s="185" t="n">
        <v>2002</v>
      </c>
      <c r="F256" s="185" t="n">
        <v>2003</v>
      </c>
      <c r="G256" s="185" t="n">
        <v>2004</v>
      </c>
      <c r="H256" s="185" t="n">
        <v>2005</v>
      </c>
      <c r="I256" s="185" t="n">
        <v>2006</v>
      </c>
      <c r="J256" s="185" t="n">
        <v>2007</v>
      </c>
      <c r="K256" s="185" t="n">
        <v>2008</v>
      </c>
      <c r="L256" s="185" t="n">
        <v>2009</v>
      </c>
      <c r="M256" s="185" t="n">
        <v>2010</v>
      </c>
      <c r="N256" s="185" t="n">
        <v>2011</v>
      </c>
      <c r="O256" s="185" t="n">
        <v>2012</v>
      </c>
      <c r="P256" s="185" t="n">
        <v>2013</v>
      </c>
      <c r="Q256" s="185" t="n">
        <v>2014</v>
      </c>
      <c r="R256" s="185" t="n">
        <v>2015</v>
      </c>
      <c r="S256" s="185" t="n">
        <v>2016</v>
      </c>
      <c r="T256" s="185" t="n">
        <v>2017</v>
      </c>
      <c r="U256" s="185" t="n">
        <v>2018</v>
      </c>
      <c r="V256" s="185" t="n">
        <v>2019</v>
      </c>
    </row>
    <row r="257" customFormat="false" ht="12.75" hidden="false" customHeight="false" outlineLevel="0" collapsed="false">
      <c r="A257" s="186" t="s">
        <v>106</v>
      </c>
      <c r="B257" s="182"/>
      <c r="C257" s="187"/>
      <c r="D257" s="188"/>
      <c r="E257" s="188"/>
      <c r="F257" s="188"/>
      <c r="G257" s="188"/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</row>
    <row r="258" customFormat="false" ht="12.75" hidden="false" customHeight="false" outlineLevel="0" collapsed="false">
      <c r="A258" s="55"/>
      <c r="B258" s="189" t="s">
        <v>107</v>
      </c>
      <c r="C258" s="190" t="n">
        <v>0</v>
      </c>
      <c r="D258" s="191" t="n">
        <v>2546394.04834665</v>
      </c>
      <c r="E258" s="191" t="n">
        <v>2546394.04834665</v>
      </c>
      <c r="F258" s="191" t="n">
        <v>2546394.04834665</v>
      </c>
      <c r="G258" s="191" t="n">
        <v>2546394.04834665</v>
      </c>
      <c r="H258" s="191" t="n">
        <v>2546394.04834665</v>
      </c>
      <c r="I258" s="191" t="n">
        <v>2546394.04834664</v>
      </c>
      <c r="J258" s="191" t="n">
        <v>2546394.04834664</v>
      </c>
      <c r="K258" s="191" t="n">
        <v>2546394.04834664</v>
      </c>
      <c r="L258" s="191" t="n">
        <v>2546394.04834664</v>
      </c>
      <c r="M258" s="191" t="n">
        <v>2546394.04834664</v>
      </c>
      <c r="N258" s="191" t="n">
        <v>2546394.04834664</v>
      </c>
      <c r="O258" s="191" t="n">
        <v>2546394.04834664</v>
      </c>
      <c r="P258" s="191" t="n">
        <v>2546394.04834664</v>
      </c>
      <c r="Q258" s="191" t="n">
        <v>2546394.04834664</v>
      </c>
      <c r="R258" s="191" t="n">
        <v>2546394.04834664</v>
      </c>
      <c r="S258" s="191" t="n">
        <v>2546394.04834664</v>
      </c>
      <c r="T258" s="191" t="n">
        <v>2546394.04834664</v>
      </c>
      <c r="U258" s="191" t="n">
        <v>2546394.04834664</v>
      </c>
      <c r="V258" s="191" t="n">
        <v>2546394.04834664</v>
      </c>
    </row>
    <row r="259" customFormat="false" ht="12.75" hidden="false" customHeight="false" outlineLevel="0" collapsed="false">
      <c r="A259" s="55"/>
      <c r="B259" s="189" t="s">
        <v>108</v>
      </c>
      <c r="C259" s="190" t="n">
        <v>0</v>
      </c>
      <c r="D259" s="192" t="n">
        <v>0.908388287794894</v>
      </c>
      <c r="E259" s="192" t="n">
        <v>0.908388287794894</v>
      </c>
      <c r="F259" s="192" t="n">
        <v>0.908388287794894</v>
      </c>
      <c r="G259" s="192" t="n">
        <v>0.908388287794894</v>
      </c>
      <c r="H259" s="192" t="n">
        <v>0.908388287794894</v>
      </c>
      <c r="I259" s="192" t="n">
        <v>0.908388287794893</v>
      </c>
      <c r="J259" s="192" t="n">
        <v>0.908388287794893</v>
      </c>
      <c r="K259" s="192" t="n">
        <v>0.908388287794893</v>
      </c>
      <c r="L259" s="192" t="n">
        <v>0.908388287794893</v>
      </c>
      <c r="M259" s="192" t="n">
        <v>0.908388287794893</v>
      </c>
      <c r="N259" s="192" t="n">
        <v>0.908388287794893</v>
      </c>
      <c r="O259" s="192" t="n">
        <v>0.908388287794893</v>
      </c>
      <c r="P259" s="192" t="n">
        <v>0.908388287794893</v>
      </c>
      <c r="Q259" s="192" t="n">
        <v>0.908388287794893</v>
      </c>
      <c r="R259" s="192" t="n">
        <v>0.908388287794893</v>
      </c>
      <c r="S259" s="192" t="n">
        <v>0.908388287794893</v>
      </c>
      <c r="T259" s="192" t="n">
        <v>0.908388287794893</v>
      </c>
      <c r="U259" s="192" t="n">
        <v>0.908388287794893</v>
      </c>
      <c r="V259" s="192" t="n">
        <v>0.908388287794893</v>
      </c>
    </row>
    <row r="260" customFormat="false" ht="12.75" hidden="false" customHeight="false" outlineLevel="0" collapsed="false">
      <c r="A260" s="186" t="s">
        <v>109</v>
      </c>
      <c r="B260" s="189"/>
      <c r="C260" s="187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</row>
    <row r="261" customFormat="false" ht="12.75" hidden="false" customHeight="false" outlineLevel="0" collapsed="false">
      <c r="A261" s="55"/>
      <c r="B261" s="189" t="s">
        <v>20</v>
      </c>
      <c r="C261" s="193" t="n">
        <v>0</v>
      </c>
      <c r="D261" s="194" t="n">
        <v>39.4830479600139</v>
      </c>
      <c r="E261" s="194" t="n">
        <v>38.9354673272511</v>
      </c>
      <c r="F261" s="194" t="n">
        <v>39.6849082613523</v>
      </c>
      <c r="G261" s="194" t="n">
        <v>39.1224218116773</v>
      </c>
      <c r="H261" s="194" t="n">
        <v>39.417099156106</v>
      </c>
      <c r="I261" s="194" t="n">
        <v>42.0786149252578</v>
      </c>
      <c r="J261" s="194" t="n">
        <v>45.1190140269637</v>
      </c>
      <c r="K261" s="194" t="n">
        <v>46.2865929451868</v>
      </c>
      <c r="L261" s="194" t="n">
        <v>47.2554084179073</v>
      </c>
      <c r="M261" s="194" t="n">
        <v>47.424107614869</v>
      </c>
      <c r="N261" s="194" t="n">
        <v>48.4487023221246</v>
      </c>
      <c r="O261" s="194" t="n">
        <v>48.9927709342232</v>
      </c>
      <c r="P261" s="194" t="n">
        <v>49.5693200792455</v>
      </c>
      <c r="Q261" s="194" t="n">
        <v>51.3142206624762</v>
      </c>
      <c r="R261" s="194" t="n">
        <v>54.9549131355292</v>
      </c>
      <c r="S261" s="194" t="n">
        <v>54.6383329257432</v>
      </c>
      <c r="T261" s="194" t="n">
        <v>55.33468859591</v>
      </c>
      <c r="U261" s="194" t="n">
        <v>57.9938209162061</v>
      </c>
      <c r="V261" s="194" t="n">
        <v>59.7553005518293</v>
      </c>
    </row>
    <row r="262" customFormat="false" ht="12.75" hidden="false" customHeight="false" outlineLevel="0" collapsed="false">
      <c r="A262" s="55"/>
      <c r="B262" s="189" t="s">
        <v>21</v>
      </c>
      <c r="C262" s="193" t="n">
        <v>0</v>
      </c>
      <c r="D262" s="194" t="n">
        <v>12.2219196</v>
      </c>
      <c r="E262" s="194" t="n">
        <v>12.3995234</v>
      </c>
      <c r="F262" s="194" t="n">
        <v>12.6148308</v>
      </c>
      <c r="G262" s="194" t="n">
        <v>12.9749994</v>
      </c>
      <c r="H262" s="194" t="n">
        <v>13.4234738</v>
      </c>
      <c r="I262" s="194" t="n">
        <v>13.9374334</v>
      </c>
      <c r="J262" s="194" t="n">
        <v>14.2589062</v>
      </c>
      <c r="K262" s="194" t="n">
        <v>14.565496</v>
      </c>
      <c r="L262" s="194" t="n">
        <v>14.8066006</v>
      </c>
      <c r="M262" s="194" t="n">
        <v>14.9286412</v>
      </c>
      <c r="N262" s="194" t="n">
        <v>15.1330344</v>
      </c>
      <c r="O262" s="194" t="n">
        <v>15.4624448</v>
      </c>
      <c r="P262" s="194" t="n">
        <v>15.8146758</v>
      </c>
      <c r="Q262" s="194" t="n">
        <v>16.1520238</v>
      </c>
      <c r="R262" s="194" t="n">
        <v>16.3822142</v>
      </c>
      <c r="S262" s="194" t="n">
        <v>16.71857</v>
      </c>
      <c r="T262" s="194" t="n">
        <v>17.100567</v>
      </c>
      <c r="U262" s="194" t="n">
        <v>17.5202676</v>
      </c>
      <c r="V262" s="194" t="n">
        <v>17.953859</v>
      </c>
    </row>
    <row r="263" customFormat="false" ht="12.75" hidden="false" customHeight="false" outlineLevel="0" collapsed="false">
      <c r="A263" s="55"/>
      <c r="B263" s="189" t="s">
        <v>110</v>
      </c>
      <c r="C263" s="193" t="n">
        <v>0</v>
      </c>
      <c r="D263" s="194" t="n">
        <v>0.667221099987664</v>
      </c>
      <c r="E263" s="194" t="n">
        <v>0.680688527988017</v>
      </c>
      <c r="F263" s="194" t="n">
        <v>1.26082778734525</v>
      </c>
      <c r="G263" s="194" t="n">
        <v>1.28900436480014</v>
      </c>
      <c r="H263" s="194" t="n">
        <v>1.31781785783982</v>
      </c>
      <c r="I263" s="194" t="n">
        <v>1.34728282693308</v>
      </c>
      <c r="J263" s="194" t="n">
        <v>1.37741416906084</v>
      </c>
      <c r="K263" s="194" t="n">
        <v>1.40822712557391</v>
      </c>
      <c r="L263" s="194" t="n">
        <v>1.43973729023593</v>
      </c>
      <c r="M263" s="194" t="n">
        <v>1.47196061745605</v>
      </c>
      <c r="N263" s="194" t="n">
        <v>1.50491343071568</v>
      </c>
      <c r="O263" s="194" t="n">
        <v>1.53861243119403</v>
      </c>
      <c r="P263" s="194" t="n">
        <v>1.57307470659723</v>
      </c>
      <c r="Q263" s="194" t="n">
        <v>1.60831774019566</v>
      </c>
      <c r="R263" s="194" t="n">
        <v>1.6443594200747</v>
      </c>
      <c r="S263" s="194" t="n">
        <v>1.68121804860384</v>
      </c>
      <c r="T263" s="194" t="n">
        <v>1.71891235212929</v>
      </c>
      <c r="U263" s="194" t="n">
        <v>1.75746149089562</v>
      </c>
      <c r="V263" s="194" t="n">
        <v>1.79688506920167</v>
      </c>
    </row>
    <row r="264" customFormat="false" ht="12.75" hidden="false" customHeight="false" outlineLevel="0" collapsed="false">
      <c r="A264" s="55"/>
      <c r="B264" s="189" t="s">
        <v>111</v>
      </c>
      <c r="C264" s="193" t="n">
        <v>0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I264" s="194" t="n">
        <v>0.403186564722285</v>
      </c>
      <c r="J264" s="194" t="n">
        <v>0.446900098856998</v>
      </c>
      <c r="K264" s="194" t="n">
        <v>0.578877389103797</v>
      </c>
      <c r="L264" s="194" t="n">
        <v>0.54163161728525</v>
      </c>
      <c r="M264" s="194" t="n">
        <v>0.602377634545863</v>
      </c>
      <c r="N264" s="194" t="n">
        <v>0.663564518514504</v>
      </c>
      <c r="O264" s="194" t="n">
        <v>0.735209592248221</v>
      </c>
      <c r="P264" s="194" t="n">
        <v>0.824363356945601</v>
      </c>
      <c r="Q264" s="194" t="n">
        <v>0.917645055724266</v>
      </c>
      <c r="R264" s="194" t="n">
        <v>1.01647039739387</v>
      </c>
      <c r="S264" s="194" t="n">
        <v>1.11608324632325</v>
      </c>
      <c r="T264" s="194" t="n">
        <v>1.09649737783144</v>
      </c>
      <c r="U264" s="194" t="n">
        <v>0.938112813554621</v>
      </c>
      <c r="V264" s="194" t="n">
        <v>0.972649909090461</v>
      </c>
    </row>
    <row r="265" customFormat="false" ht="12.75" hidden="false" customHeight="false" outlineLevel="0" collapsed="false">
      <c r="A265" s="55"/>
      <c r="B265" s="189" t="s">
        <v>112</v>
      </c>
      <c r="C265" s="193" t="n">
        <v>0</v>
      </c>
      <c r="D265" s="194" t="n">
        <v>0</v>
      </c>
      <c r="E265" s="194" t="n">
        <v>0</v>
      </c>
      <c r="F265" s="194" t="n">
        <v>0.678557147843324</v>
      </c>
      <c r="G265" s="194" t="n">
        <v>0.578173224044272</v>
      </c>
      <c r="H265" s="194" t="n">
        <v>0.600222796758781</v>
      </c>
      <c r="I265" s="194" t="n">
        <v>0.623384222464917</v>
      </c>
      <c r="J265" s="194" t="n">
        <v>0.783106733533315</v>
      </c>
      <c r="K265" s="194" t="n">
        <v>0.684034955379359</v>
      </c>
      <c r="L265" s="194" t="n">
        <v>0.72400266920108</v>
      </c>
      <c r="M265" s="194" t="n">
        <v>0.688916268294089</v>
      </c>
      <c r="N265" s="194" t="n">
        <v>0.708647398007679</v>
      </c>
      <c r="O265" s="194" t="n">
        <v>0.727023242952361</v>
      </c>
      <c r="P265" s="194" t="n">
        <v>0.649384290516504</v>
      </c>
      <c r="Q265" s="194" t="n">
        <v>0.67260281706601</v>
      </c>
      <c r="R265" s="194" t="n">
        <v>0.686502410677971</v>
      </c>
      <c r="S265" s="194" t="n">
        <v>0.729017327683219</v>
      </c>
      <c r="T265" s="194" t="n">
        <v>0.685351899231691</v>
      </c>
      <c r="U265" s="194" t="n">
        <v>0.754830846979813</v>
      </c>
      <c r="V265" s="194" t="n">
        <v>0.410968073106894</v>
      </c>
    </row>
    <row r="266" customFormat="false" ht="12.75" hidden="false" customHeight="false" outlineLevel="0" collapsed="false">
      <c r="A266" s="186" t="s">
        <v>113</v>
      </c>
      <c r="B266" s="189"/>
      <c r="C266" s="187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</row>
    <row r="267" customFormat="false" ht="12.75" hidden="false" customHeight="false" outlineLevel="0" collapsed="false">
      <c r="A267" s="55"/>
      <c r="B267" s="189" t="s">
        <v>26</v>
      </c>
      <c r="C267" s="193" t="n">
        <v>0</v>
      </c>
      <c r="D267" s="194" t="n">
        <v>14.7281154141079</v>
      </c>
      <c r="E267" s="194" t="n">
        <v>15.0226777223901</v>
      </c>
      <c r="F267" s="194" t="n">
        <v>15.5385094018379</v>
      </c>
      <c r="G267" s="194" t="n">
        <v>15.8503564804996</v>
      </c>
      <c r="H267" s="194" t="n">
        <v>16.1684674230003</v>
      </c>
      <c r="I267" s="194" t="n">
        <v>16.4929681796731</v>
      </c>
      <c r="J267" s="194" t="n">
        <v>16.8239872366848</v>
      </c>
      <c r="K267" s="194" t="n">
        <v>17.1616556671722</v>
      </c>
      <c r="L267" s="194" t="n">
        <v>17.5061071834131</v>
      </c>
      <c r="M267" s="194" t="n">
        <v>17.8574781900514</v>
      </c>
      <c r="N267" s="194" t="n">
        <v>18.2159078383966</v>
      </c>
      <c r="O267" s="194" t="n">
        <v>18.5815380818223</v>
      </c>
      <c r="P267" s="194" t="n">
        <v>18.954513732283</v>
      </c>
      <c r="Q267" s="194" t="n">
        <v>19.3349825179735</v>
      </c>
      <c r="R267" s="194" t="n">
        <v>19.723095142154</v>
      </c>
      <c r="S267" s="194" t="n">
        <v>20.1190053431635</v>
      </c>
      <c r="T267" s="194" t="n">
        <v>20.5228699556475</v>
      </c>
      <c r="U267" s="194" t="n">
        <v>20.9348489730216</v>
      </c>
      <c r="V267" s="194" t="n">
        <v>21.3551056111997</v>
      </c>
    </row>
    <row r="268" customFormat="false" ht="12.75" hidden="false" customHeight="false" outlineLevel="0" collapsed="false">
      <c r="A268" s="55"/>
      <c r="B268" s="189" t="s">
        <v>114</v>
      </c>
      <c r="C268" s="193" t="n">
        <v>0</v>
      </c>
      <c r="D268" s="194" t="n">
        <v>2.17372597324762</v>
      </c>
      <c r="E268" s="194" t="n">
        <v>2.21629299702208</v>
      </c>
      <c r="F268" s="194" t="n">
        <v>2.25979223861721</v>
      </c>
      <c r="G268" s="194" t="n">
        <v>2.30427456307239</v>
      </c>
      <c r="H268" s="194" t="n">
        <v>2.34981556684959</v>
      </c>
      <c r="I268" s="194" t="n">
        <v>2.39836165120544</v>
      </c>
      <c r="J268" s="194" t="n">
        <v>2.44811324272961</v>
      </c>
      <c r="K268" s="194" t="n">
        <v>2.49716429109021</v>
      </c>
      <c r="L268" s="194" t="n">
        <v>2.54943573720379</v>
      </c>
      <c r="M268" s="194" t="n">
        <v>2.6009800429949</v>
      </c>
      <c r="N268" s="194" t="n">
        <v>2.65377172098617</v>
      </c>
      <c r="O268" s="194" t="n">
        <v>2.70789374926281</v>
      </c>
      <c r="P268" s="194" t="n">
        <v>2.76339047705768</v>
      </c>
      <c r="Q268" s="194" t="n">
        <v>2.82027462304742</v>
      </c>
      <c r="R268" s="194" t="n">
        <v>2.8785865611015</v>
      </c>
      <c r="S268" s="194" t="n">
        <v>2.93835629760694</v>
      </c>
      <c r="T268" s="194" t="n">
        <v>2.99960832357771</v>
      </c>
      <c r="U268" s="194" t="n">
        <v>3.06239777540035</v>
      </c>
      <c r="V268" s="194" t="n">
        <v>3.12676324246373</v>
      </c>
    </row>
    <row r="269" customFormat="false" ht="12.75" hidden="false" customHeight="false" outlineLevel="0" collapsed="false">
      <c r="A269" s="55"/>
      <c r="B269" s="189" t="s">
        <v>28</v>
      </c>
      <c r="C269" s="193" t="n">
        <v>0</v>
      </c>
      <c r="D269" s="194" t="n">
        <v>2.05316154567646</v>
      </c>
      <c r="E269" s="194" t="n">
        <v>2.09648325429024</v>
      </c>
      <c r="F269" s="194" t="n">
        <v>2.1423962375592</v>
      </c>
      <c r="G269" s="194" t="n">
        <v>2.19081439252802</v>
      </c>
      <c r="H269" s="194" t="n">
        <v>2.24295577507019</v>
      </c>
      <c r="I269" s="194" t="n">
        <v>2.29916447228183</v>
      </c>
      <c r="J269" s="194" t="n">
        <v>2.35619015637154</v>
      </c>
      <c r="K269" s="194" t="n">
        <v>2.41583019847111</v>
      </c>
      <c r="L269" s="194" t="n">
        <v>2.47550120437334</v>
      </c>
      <c r="M269" s="194" t="n">
        <v>2.53862648508486</v>
      </c>
      <c r="N269" s="194" t="n">
        <v>2.60006124602392</v>
      </c>
      <c r="O269" s="194" t="n">
        <v>2.66558278942372</v>
      </c>
      <c r="P269" s="194" t="n">
        <v>2.73328859227507</v>
      </c>
      <c r="Q269" s="194" t="n">
        <v>2.80162080708195</v>
      </c>
      <c r="R269" s="194" t="n">
        <v>2.87194148933971</v>
      </c>
      <c r="S269" s="194" t="n">
        <v>2.9437400265732</v>
      </c>
      <c r="T269" s="194" t="n">
        <v>3.01674477923222</v>
      </c>
      <c r="U269" s="194" t="n">
        <v>3.09246507319095</v>
      </c>
      <c r="V269" s="194" t="n">
        <v>3.17008594652803</v>
      </c>
    </row>
    <row r="270" customFormat="false" ht="12.75" hidden="false" customHeight="false" outlineLevel="0" collapsed="false">
      <c r="A270" s="55"/>
      <c r="B270" s="189" t="s">
        <v>33</v>
      </c>
      <c r="C270" s="193" t="n">
        <v>0</v>
      </c>
      <c r="D270" s="194" t="n">
        <v>54.447382375</v>
      </c>
      <c r="E270" s="194" t="n">
        <v>7.45097778125</v>
      </c>
      <c r="F270" s="194" t="n">
        <v>9.80510740625</v>
      </c>
      <c r="G270" s="194" t="n">
        <v>17.685693625</v>
      </c>
      <c r="H270" s="194" t="n">
        <v>15</v>
      </c>
      <c r="I270" s="194" t="n">
        <v>15.45</v>
      </c>
      <c r="J270" s="194" t="n">
        <v>15.9135</v>
      </c>
      <c r="K270" s="194" t="n">
        <v>16.390905</v>
      </c>
      <c r="L270" s="194" t="n">
        <v>16.88263215</v>
      </c>
      <c r="M270" s="194" t="n">
        <v>17.3891111145</v>
      </c>
      <c r="N270" s="194" t="n">
        <v>17.910784447935</v>
      </c>
      <c r="O270" s="194" t="n">
        <v>18.4481079813731</v>
      </c>
      <c r="P270" s="194" t="n">
        <v>19.0015512208142</v>
      </c>
      <c r="Q270" s="194" t="n">
        <v>19.5715977574387</v>
      </c>
      <c r="R270" s="194" t="n">
        <v>20.1587456901618</v>
      </c>
      <c r="S270" s="194" t="n">
        <v>20.7635080608667</v>
      </c>
      <c r="T270" s="194" t="n">
        <v>21.3864133026927</v>
      </c>
      <c r="U270" s="194" t="n">
        <v>22.0280057017735</v>
      </c>
      <c r="V270" s="194" t="n">
        <v>22.6888458728267</v>
      </c>
    </row>
    <row r="271" customFormat="false" ht="12.75" hidden="false" customHeight="false" outlineLevel="0" collapsed="false">
      <c r="A271" s="55"/>
      <c r="B271" s="189" t="s">
        <v>115</v>
      </c>
      <c r="C271" s="195" t="n">
        <v>0</v>
      </c>
      <c r="D271" s="196" t="n">
        <v>44.49766040625</v>
      </c>
      <c r="E271" s="196" t="n">
        <v>0.2229206875</v>
      </c>
      <c r="F271" s="196" t="n">
        <v>0</v>
      </c>
      <c r="G271" s="196" t="n">
        <v>0</v>
      </c>
      <c r="H271" s="196" t="n">
        <v>0</v>
      </c>
      <c r="I271" s="196" t="n">
        <v>0</v>
      </c>
      <c r="J271" s="196" t="n">
        <v>0</v>
      </c>
      <c r="K271" s="196" t="n">
        <v>0</v>
      </c>
      <c r="L271" s="196" t="n">
        <v>0</v>
      </c>
      <c r="M271" s="196" t="n">
        <v>0</v>
      </c>
      <c r="N271" s="196" t="n">
        <v>0</v>
      </c>
      <c r="O271" s="196" t="n">
        <v>0</v>
      </c>
      <c r="P271" s="196" t="n">
        <v>0</v>
      </c>
      <c r="Q271" s="196" t="n">
        <v>0</v>
      </c>
      <c r="R271" s="196" t="n">
        <v>0</v>
      </c>
      <c r="S271" s="196" t="n">
        <v>0</v>
      </c>
      <c r="T271" s="196" t="n">
        <v>0</v>
      </c>
      <c r="U271" s="196" t="n">
        <v>0</v>
      </c>
      <c r="V271" s="196" t="n">
        <v>0</v>
      </c>
    </row>
    <row r="272" customFormat="false" ht="12.75" hidden="false" customHeight="false" outlineLevel="0" collapsed="false">
      <c r="A272" s="55"/>
      <c r="B272" s="189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</row>
    <row r="273" customFormat="false" ht="12.75" hidden="false" customHeight="false" outlineLevel="0" collapsed="false">
      <c r="A273" s="55"/>
      <c r="B273" s="189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</row>
    <row r="274" customFormat="false" ht="12.75" hidden="false" customHeight="false" outlineLevel="0" collapsed="false">
      <c r="A274" s="11"/>
      <c r="B274" s="175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</row>
    <row r="275" customFormat="false" ht="12.75" hidden="false" customHeight="false" outlineLevel="0" collapsed="false">
      <c r="A275" s="11"/>
      <c r="B275" s="175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</row>
    <row r="276" customFormat="false" ht="12.75" hidden="false" customHeight="false" outlineLevel="0" collapsed="false">
      <c r="A276" s="52" t="s">
        <v>105</v>
      </c>
      <c r="B276" s="182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</row>
    <row r="277" customFormat="false" ht="12.75" hidden="false" customHeight="false" outlineLevel="0" collapsed="false">
      <c r="A277" s="183" t="s">
        <v>81</v>
      </c>
      <c r="B277" s="182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</row>
    <row r="278" customFormat="false" ht="12.75" hidden="false" customHeight="false" outlineLevel="0" collapsed="false">
      <c r="A278" s="55"/>
      <c r="B278" s="182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</row>
    <row r="279" customFormat="false" ht="12.75" hidden="false" customHeight="false" outlineLevel="0" collapsed="false">
      <c r="A279" s="55"/>
      <c r="B279" s="182"/>
      <c r="C279" s="184" t="n">
        <v>2000</v>
      </c>
      <c r="D279" s="185" t="n">
        <v>2001</v>
      </c>
      <c r="E279" s="185" t="n">
        <v>2002</v>
      </c>
      <c r="F279" s="185" t="n">
        <v>2003</v>
      </c>
      <c r="G279" s="185" t="n">
        <v>2004</v>
      </c>
      <c r="H279" s="185" t="n">
        <v>2005</v>
      </c>
      <c r="I279" s="185" t="n">
        <v>2006</v>
      </c>
      <c r="J279" s="185" t="n">
        <v>2007</v>
      </c>
      <c r="K279" s="185" t="n">
        <v>2008</v>
      </c>
      <c r="L279" s="185" t="n">
        <v>2009</v>
      </c>
      <c r="M279" s="185" t="n">
        <v>2010</v>
      </c>
      <c r="N279" s="185" t="n">
        <v>2011</v>
      </c>
      <c r="O279" s="185" t="n">
        <v>2012</v>
      </c>
      <c r="P279" s="185" t="n">
        <v>2013</v>
      </c>
      <c r="Q279" s="185" t="n">
        <v>2014</v>
      </c>
      <c r="R279" s="185" t="n">
        <v>2015</v>
      </c>
      <c r="S279" s="185" t="n">
        <v>2016</v>
      </c>
      <c r="T279" s="185" t="n">
        <v>2017</v>
      </c>
      <c r="U279" s="185" t="n">
        <v>2018</v>
      </c>
      <c r="V279" s="185" t="n">
        <v>2019</v>
      </c>
    </row>
    <row r="280" customFormat="false" ht="12.75" hidden="false" customHeight="false" outlineLevel="0" collapsed="false">
      <c r="A280" s="186" t="s">
        <v>106</v>
      </c>
      <c r="B280" s="182"/>
      <c r="C280" s="187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</row>
    <row r="281" customFormat="false" ht="12.75" hidden="false" customHeight="false" outlineLevel="0" collapsed="false">
      <c r="A281" s="55"/>
      <c r="B281" s="189" t="s">
        <v>107</v>
      </c>
      <c r="C281" s="190" t="n">
        <v>0</v>
      </c>
      <c r="D281" s="191" t="n">
        <v>735259.963968059</v>
      </c>
      <c r="E281" s="191" t="n">
        <v>735259.963968059</v>
      </c>
      <c r="F281" s="191" t="n">
        <v>735259.963968059</v>
      </c>
      <c r="G281" s="191" t="n">
        <v>735259.963968059</v>
      </c>
      <c r="H281" s="191" t="n">
        <v>735259.963968059</v>
      </c>
      <c r="I281" s="191" t="n">
        <v>735259.963968059</v>
      </c>
      <c r="J281" s="191" t="n">
        <v>735259.963968059</v>
      </c>
      <c r="K281" s="191" t="n">
        <v>735259.963968059</v>
      </c>
      <c r="L281" s="191" t="n">
        <v>735259.963968059</v>
      </c>
      <c r="M281" s="191" t="n">
        <v>735259.963968059</v>
      </c>
      <c r="N281" s="191" t="n">
        <v>725394.452363287</v>
      </c>
      <c r="O281" s="191" t="n">
        <v>735259.963968059</v>
      </c>
      <c r="P281" s="191" t="n">
        <v>735259.963968059</v>
      </c>
      <c r="Q281" s="191" t="n">
        <v>735259.963968059</v>
      </c>
      <c r="R281" s="191" t="n">
        <v>725394.452363287</v>
      </c>
      <c r="S281" s="191" t="n">
        <v>735259.963968059</v>
      </c>
      <c r="T281" s="191" t="n">
        <v>735259.963968059</v>
      </c>
      <c r="U281" s="191" t="n">
        <v>735259.963968059</v>
      </c>
      <c r="V281" s="191" t="n">
        <v>735259.963968059</v>
      </c>
    </row>
    <row r="282" customFormat="false" ht="12.75" hidden="false" customHeight="false" outlineLevel="0" collapsed="false">
      <c r="A282" s="55"/>
      <c r="B282" s="189" t="s">
        <v>108</v>
      </c>
      <c r="C282" s="190" t="n">
        <v>0</v>
      </c>
      <c r="D282" s="192" t="n">
        <v>0.892912615330879</v>
      </c>
      <c r="E282" s="192" t="n">
        <v>0.892912615330879</v>
      </c>
      <c r="F282" s="192" t="n">
        <v>0.892912615330879</v>
      </c>
      <c r="G282" s="192" t="n">
        <v>0.892912615330879</v>
      </c>
      <c r="H282" s="192" t="n">
        <v>0.892912615330879</v>
      </c>
      <c r="I282" s="192" t="n">
        <v>0.892912615330879</v>
      </c>
      <c r="J282" s="192" t="n">
        <v>0.892912615330879</v>
      </c>
      <c r="K282" s="192" t="n">
        <v>0.892912615330879</v>
      </c>
      <c r="L282" s="192" t="n">
        <v>0.892912615330879</v>
      </c>
      <c r="M282" s="192" t="n">
        <v>0.892912615330879</v>
      </c>
      <c r="N282" s="192" t="n">
        <v>0.880931764747021</v>
      </c>
      <c r="O282" s="192" t="n">
        <v>0.892912615330879</v>
      </c>
      <c r="P282" s="192" t="n">
        <v>0.892912615330879</v>
      </c>
      <c r="Q282" s="192" t="n">
        <v>0.892912615330879</v>
      </c>
      <c r="R282" s="192" t="n">
        <v>0.880931764747021</v>
      </c>
      <c r="S282" s="192" t="n">
        <v>0.892912615330879</v>
      </c>
      <c r="T282" s="192" t="n">
        <v>0.892912615330879</v>
      </c>
      <c r="U282" s="192" t="n">
        <v>0.892912615330879</v>
      </c>
      <c r="V282" s="192" t="n">
        <v>0.892912615330879</v>
      </c>
    </row>
    <row r="283" customFormat="false" ht="12.75" hidden="false" customHeight="false" outlineLevel="0" collapsed="false">
      <c r="A283" s="186" t="s">
        <v>109</v>
      </c>
      <c r="B283" s="189"/>
      <c r="C283" s="187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</row>
    <row r="284" customFormat="false" ht="12.75" hidden="false" customHeight="false" outlineLevel="0" collapsed="false">
      <c r="A284" s="55"/>
      <c r="B284" s="189" t="s">
        <v>20</v>
      </c>
      <c r="C284" s="193" t="n">
        <v>0</v>
      </c>
      <c r="D284" s="194" t="n">
        <v>39.4830479600139</v>
      </c>
      <c r="E284" s="194" t="n">
        <v>38.9354673272511</v>
      </c>
      <c r="F284" s="194" t="n">
        <v>39.6849082613523</v>
      </c>
      <c r="G284" s="194" t="n">
        <v>39.1224218116774</v>
      </c>
      <c r="H284" s="194" t="n">
        <v>39.417099156106</v>
      </c>
      <c r="I284" s="194" t="n">
        <v>42.0786149252578</v>
      </c>
      <c r="J284" s="194" t="n">
        <v>45.1190140269637</v>
      </c>
      <c r="K284" s="194" t="n">
        <v>46.2865929451868</v>
      </c>
      <c r="L284" s="194" t="n">
        <v>47.2554084179072</v>
      </c>
      <c r="M284" s="194" t="n">
        <v>47.424107614869</v>
      </c>
      <c r="N284" s="194" t="n">
        <v>48.7801053960474</v>
      </c>
      <c r="O284" s="194" t="n">
        <v>48.9927709342232</v>
      </c>
      <c r="P284" s="194" t="n">
        <v>49.5693200792455</v>
      </c>
      <c r="Q284" s="194" t="n">
        <v>51.3142206624761</v>
      </c>
      <c r="R284" s="194" t="n">
        <v>55.3335061977908</v>
      </c>
      <c r="S284" s="194" t="n">
        <v>54.638332925743</v>
      </c>
      <c r="T284" s="194" t="n">
        <v>55.3346885959101</v>
      </c>
      <c r="U284" s="194" t="n">
        <v>57.9938209162061</v>
      </c>
      <c r="V284" s="194" t="n">
        <v>59.7553005518293</v>
      </c>
    </row>
    <row r="285" customFormat="false" ht="12.75" hidden="false" customHeight="false" outlineLevel="0" collapsed="false">
      <c r="A285" s="55"/>
      <c r="B285" s="189" t="s">
        <v>21</v>
      </c>
      <c r="C285" s="193" t="n">
        <v>0</v>
      </c>
      <c r="D285" s="194" t="n">
        <v>13.3987608</v>
      </c>
      <c r="E285" s="194" t="n">
        <v>13.5915408</v>
      </c>
      <c r="F285" s="194" t="n">
        <v>13.8283848</v>
      </c>
      <c r="G285" s="194" t="n">
        <v>14.2238592</v>
      </c>
      <c r="H285" s="194" t="n">
        <v>14.7184776</v>
      </c>
      <c r="I285" s="194" t="n">
        <v>15.2835984</v>
      </c>
      <c r="J285" s="194" t="n">
        <v>15.6361104</v>
      </c>
      <c r="K285" s="194" t="n">
        <v>15.9720984</v>
      </c>
      <c r="L285" s="194" t="n">
        <v>16.2353808</v>
      </c>
      <c r="M285" s="194" t="n">
        <v>16.3653696</v>
      </c>
      <c r="N285" s="194" t="n">
        <v>16.5878928</v>
      </c>
      <c r="O285" s="194" t="n">
        <v>16.948116</v>
      </c>
      <c r="P285" s="194" t="n">
        <v>17.3347776</v>
      </c>
      <c r="Q285" s="194" t="n">
        <v>17.702712</v>
      </c>
      <c r="R285" s="194" t="n">
        <v>17.9538768</v>
      </c>
      <c r="S285" s="194" t="n">
        <v>18.3218112</v>
      </c>
      <c r="T285" s="194" t="n">
        <v>18.7404192</v>
      </c>
      <c r="U285" s="194" t="n">
        <v>19.1997864</v>
      </c>
      <c r="V285" s="194" t="n">
        <v>19.674576</v>
      </c>
    </row>
    <row r="286" customFormat="false" ht="12.75" hidden="false" customHeight="false" outlineLevel="0" collapsed="false">
      <c r="A286" s="55"/>
      <c r="B286" s="189" t="s">
        <v>110</v>
      </c>
      <c r="C286" s="193" t="n">
        <v>0</v>
      </c>
      <c r="D286" s="194" t="n">
        <v>1.04716644859175</v>
      </c>
      <c r="E286" s="194" t="n">
        <v>1.06830282864786</v>
      </c>
      <c r="F286" s="194" t="n">
        <v>1.08986583291684</v>
      </c>
      <c r="G286" s="194" t="n">
        <v>1.11186407253355</v>
      </c>
      <c r="H286" s="194" t="n">
        <v>1.13430633244305</v>
      </c>
      <c r="I286" s="194" t="n">
        <v>1.15720157490886</v>
      </c>
      <c r="J286" s="194" t="n">
        <v>1.18055894309202</v>
      </c>
      <c r="K286" s="194" t="n">
        <v>1.20438776470237</v>
      </c>
      <c r="L286" s="194" t="n">
        <v>1.22869755572357</v>
      </c>
      <c r="M286" s="194" t="n">
        <v>1.25349802421328</v>
      </c>
      <c r="N286" s="194" t="n">
        <v>1.27881508529959</v>
      </c>
      <c r="O286" s="194" t="n">
        <v>1.30461080953849</v>
      </c>
      <c r="P286" s="194" t="n">
        <v>1.33094353814415</v>
      </c>
      <c r="Q286" s="194" t="n">
        <v>1.35780777591004</v>
      </c>
      <c r="R286" s="194" t="n">
        <v>1.38520022473796</v>
      </c>
      <c r="S286" s="194" t="n">
        <v>1.41317390814351</v>
      </c>
      <c r="T286" s="194" t="n">
        <v>1.4416979129453</v>
      </c>
      <c r="U286" s="194" t="n">
        <v>1.47079765640547</v>
      </c>
      <c r="V286" s="194" t="n">
        <v>1.50048475943788</v>
      </c>
    </row>
    <row r="287" customFormat="false" ht="12.75" hidden="false" customHeight="false" outlineLevel="0" collapsed="false">
      <c r="A287" s="55"/>
      <c r="B287" s="189" t="s">
        <v>111</v>
      </c>
      <c r="C287" s="193" t="n">
        <v>0</v>
      </c>
      <c r="D287" s="194" t="n">
        <v>0</v>
      </c>
      <c r="E287" s="194" t="n">
        <v>0</v>
      </c>
      <c r="F287" s="194" t="n">
        <v>0</v>
      </c>
      <c r="G287" s="194" t="n">
        <v>0</v>
      </c>
      <c r="H287" s="194" t="n">
        <v>0</v>
      </c>
      <c r="I287" s="194" t="n">
        <v>1.2595706910165</v>
      </c>
      <c r="J287" s="194" t="n">
        <v>1.39613349150257</v>
      </c>
      <c r="K287" s="194" t="n">
        <v>1.63577087481974</v>
      </c>
      <c r="L287" s="194" t="n">
        <v>1.69207848215449</v>
      </c>
      <c r="M287" s="194" t="n">
        <v>1.88185143004563</v>
      </c>
      <c r="N287" s="194" t="n">
        <v>2.05517867633541</v>
      </c>
      <c r="O287" s="194" t="n">
        <v>2.29682369199954</v>
      </c>
      <c r="P287" s="194" t="n">
        <v>2.57534356054712</v>
      </c>
      <c r="Q287" s="194" t="n">
        <v>2.86675925757257</v>
      </c>
      <c r="R287" s="194" t="n">
        <v>3.14819166420576</v>
      </c>
      <c r="S287" s="194" t="n">
        <v>3.48668797228306</v>
      </c>
      <c r="T287" s="194" t="n">
        <v>3.42550094853542</v>
      </c>
      <c r="U287" s="194" t="n">
        <v>2.93070133831054</v>
      </c>
      <c r="V287" s="194" t="n">
        <v>3.0385965835793</v>
      </c>
    </row>
    <row r="288" customFormat="false" ht="12.75" hidden="false" customHeight="false" outlineLevel="0" collapsed="false">
      <c r="A288" s="55"/>
      <c r="B288" s="189" t="s">
        <v>112</v>
      </c>
      <c r="C288" s="193" t="n">
        <v>0</v>
      </c>
      <c r="D288" s="194" t="n">
        <v>0</v>
      </c>
      <c r="E288" s="194" t="n">
        <v>0</v>
      </c>
      <c r="F288" s="194" t="n">
        <v>3.27999946933765</v>
      </c>
      <c r="G288" s="194" t="n">
        <v>2.79476514848875</v>
      </c>
      <c r="H288" s="194" t="n">
        <v>2.90134804579161</v>
      </c>
      <c r="I288" s="194" t="n">
        <v>3.01330540158204</v>
      </c>
      <c r="J288" s="194" t="n">
        <v>3.78536970480353</v>
      </c>
      <c r="K288" s="194" t="n">
        <v>3.30647801409756</v>
      </c>
      <c r="L288" s="194" t="n">
        <v>3.49967335592329</v>
      </c>
      <c r="M288" s="194" t="n">
        <v>3.33007323201085</v>
      </c>
      <c r="N288" s="194" t="n">
        <v>3.42544927394881</v>
      </c>
      <c r="O288" s="194" t="n">
        <v>3.51427416048748</v>
      </c>
      <c r="P288" s="194" t="n">
        <v>3.13898414460758</v>
      </c>
      <c r="Q288" s="194" t="n">
        <v>3.25121751360713</v>
      </c>
      <c r="R288" s="194" t="n">
        <v>3.31840516289525</v>
      </c>
      <c r="S288" s="194" t="n">
        <v>3.52391313766106</v>
      </c>
      <c r="T288" s="194" t="n">
        <v>3.3128438377434</v>
      </c>
      <c r="U288" s="194" t="n">
        <v>3.64869014408369</v>
      </c>
      <c r="V288" s="194" t="n">
        <v>1.98653137173432</v>
      </c>
    </row>
    <row r="289" customFormat="false" ht="12.75" hidden="false" customHeight="false" outlineLevel="0" collapsed="false">
      <c r="A289" s="186" t="s">
        <v>113</v>
      </c>
      <c r="B289" s="189"/>
      <c r="C289" s="187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</row>
    <row r="290" customFormat="false" ht="12.75" hidden="false" customHeight="false" outlineLevel="0" collapsed="false">
      <c r="A290" s="55"/>
      <c r="B290" s="189" t="s">
        <v>26</v>
      </c>
      <c r="C290" s="193" t="n">
        <v>0</v>
      </c>
      <c r="D290" s="194" t="n">
        <v>30.6663120998156</v>
      </c>
      <c r="E290" s="194" t="n">
        <v>31.2796383418119</v>
      </c>
      <c r="F290" s="194" t="n">
        <v>31.9052311086482</v>
      </c>
      <c r="G290" s="194" t="n">
        <v>32.5433357308211</v>
      </c>
      <c r="H290" s="194" t="n">
        <v>33.1942024454376</v>
      </c>
      <c r="I290" s="194" t="n">
        <v>33.8580864943463</v>
      </c>
      <c r="J290" s="194" t="n">
        <v>34.5352482242332</v>
      </c>
      <c r="K290" s="194" t="n">
        <v>35.2259531887179</v>
      </c>
      <c r="L290" s="194" t="n">
        <v>35.9304722524922</v>
      </c>
      <c r="M290" s="194" t="n">
        <v>36.6490816975421</v>
      </c>
      <c r="N290" s="194" t="n">
        <v>37.3820633314929</v>
      </c>
      <c r="O290" s="194" t="n">
        <v>38.1297045981228</v>
      </c>
      <c r="P290" s="194" t="n">
        <v>38.8922986900853</v>
      </c>
      <c r="Q290" s="194" t="n">
        <v>39.670144663887</v>
      </c>
      <c r="R290" s="194" t="n">
        <v>40.4635475571647</v>
      </c>
      <c r="S290" s="194" t="n">
        <v>41.272818508308</v>
      </c>
      <c r="T290" s="194" t="n">
        <v>42.0982748784741</v>
      </c>
      <c r="U290" s="194" t="n">
        <v>42.9402403760436</v>
      </c>
      <c r="V290" s="194" t="n">
        <v>43.7990451835645</v>
      </c>
    </row>
    <row r="291" customFormat="false" ht="12.75" hidden="false" customHeight="false" outlineLevel="0" collapsed="false">
      <c r="A291" s="55"/>
      <c r="B291" s="189" t="s">
        <v>114</v>
      </c>
      <c r="C291" s="193" t="n">
        <v>0</v>
      </c>
      <c r="D291" s="194" t="n">
        <v>2.6253414896787</v>
      </c>
      <c r="E291" s="194" t="n">
        <v>2.68382348783041</v>
      </c>
      <c r="F291" s="194" t="n">
        <v>2.74675480419909</v>
      </c>
      <c r="G291" s="194" t="n">
        <v>2.86447073450189</v>
      </c>
      <c r="H291" s="194" t="n">
        <v>3.39730079499228</v>
      </c>
      <c r="I291" s="194" t="n">
        <v>4.23256263959915</v>
      </c>
      <c r="J291" s="194" t="n">
        <v>4.7276120455512</v>
      </c>
      <c r="K291" s="194" t="n">
        <v>5.23114249702189</v>
      </c>
      <c r="L291" s="194" t="n">
        <v>5.62352238389024</v>
      </c>
      <c r="M291" s="194" t="n">
        <v>5.82519567617672</v>
      </c>
      <c r="N291" s="194" t="n">
        <v>5.89772512599377</v>
      </c>
      <c r="O291" s="194" t="n">
        <v>5.97602273306936</v>
      </c>
      <c r="P291" s="194" t="n">
        <v>6.05226859769739</v>
      </c>
      <c r="Q291" s="194" t="n">
        <v>6.13042060894111</v>
      </c>
      <c r="R291" s="194" t="n">
        <v>6.21053423566706</v>
      </c>
      <c r="S291" s="194" t="n">
        <v>6.29265070306115</v>
      </c>
      <c r="T291" s="194" t="n">
        <v>6.37680365884661</v>
      </c>
      <c r="U291" s="194" t="n">
        <v>6.46306885382229</v>
      </c>
      <c r="V291" s="194" t="n">
        <v>6.55149930519186</v>
      </c>
    </row>
    <row r="292" customFormat="false" ht="12.75" hidden="false" customHeight="false" outlineLevel="0" collapsed="false">
      <c r="A292" s="55"/>
      <c r="B292" s="189" t="s">
        <v>28</v>
      </c>
      <c r="C292" s="193" t="n">
        <v>0</v>
      </c>
      <c r="D292" s="194" t="n">
        <v>3.26661672377148</v>
      </c>
      <c r="E292" s="194" t="n">
        <v>3.33554233664307</v>
      </c>
      <c r="F292" s="194" t="n">
        <v>3.40859071381556</v>
      </c>
      <c r="G292" s="194" t="n">
        <v>3.48562486394778</v>
      </c>
      <c r="H292" s="194" t="n">
        <v>3.56858273570973</v>
      </c>
      <c r="I292" s="194" t="n">
        <v>3.65801177782266</v>
      </c>
      <c r="J292" s="194" t="n">
        <v>3.74874066066397</v>
      </c>
      <c r="K292" s="194" t="n">
        <v>3.84362903383613</v>
      </c>
      <c r="L292" s="194" t="n">
        <v>3.93856667097188</v>
      </c>
      <c r="M292" s="194" t="n">
        <v>4.03900012108166</v>
      </c>
      <c r="N292" s="194" t="n">
        <v>4.13674392401185</v>
      </c>
      <c r="O292" s="194" t="n">
        <v>4.24098987089694</v>
      </c>
      <c r="P292" s="194" t="n">
        <v>4.34871101361771</v>
      </c>
      <c r="Q292" s="194" t="n">
        <v>4.45742878895815</v>
      </c>
      <c r="R292" s="194" t="n">
        <v>4.569310251561</v>
      </c>
      <c r="S292" s="194" t="n">
        <v>4.68354300785003</v>
      </c>
      <c r="T292" s="194" t="n">
        <v>4.7996948744447</v>
      </c>
      <c r="U292" s="194" t="n">
        <v>4.92016721579328</v>
      </c>
      <c r="V292" s="194" t="n">
        <v>5.04366341290969</v>
      </c>
    </row>
    <row r="293" customFormat="false" ht="12.75" hidden="false" customHeight="false" outlineLevel="0" collapsed="false">
      <c r="A293" s="55"/>
      <c r="B293" s="189" t="s">
        <v>33</v>
      </c>
      <c r="C293" s="193" t="n">
        <v>0</v>
      </c>
      <c r="D293" s="194" t="n">
        <v>57.877794787234</v>
      </c>
      <c r="E293" s="194" t="n">
        <v>12.8499569148936</v>
      </c>
      <c r="F293" s="194" t="n">
        <v>3.12865</v>
      </c>
      <c r="G293" s="194" t="n">
        <v>8.26304297872341</v>
      </c>
      <c r="H293" s="194" t="n">
        <v>18.3457575744681</v>
      </c>
      <c r="I293" s="194" t="n">
        <v>18.8961303017021</v>
      </c>
      <c r="J293" s="194" t="n">
        <v>19.4630142107532</v>
      </c>
      <c r="K293" s="194" t="n">
        <v>20.0469046370758</v>
      </c>
      <c r="L293" s="194" t="n">
        <v>20.6483117761881</v>
      </c>
      <c r="M293" s="194" t="n">
        <v>21.2677611294737</v>
      </c>
      <c r="N293" s="194" t="n">
        <v>21.9057939633579</v>
      </c>
      <c r="O293" s="194" t="n">
        <v>22.5629677822587</v>
      </c>
      <c r="P293" s="194" t="n">
        <v>23.2398568157264</v>
      </c>
      <c r="Q293" s="194" t="n">
        <v>23.9370525201982</v>
      </c>
      <c r="R293" s="194" t="n">
        <v>24.6551640958042</v>
      </c>
      <c r="S293" s="194" t="n">
        <v>25.3948190186783</v>
      </c>
      <c r="T293" s="194" t="n">
        <v>26.1566635892386</v>
      </c>
      <c r="U293" s="194" t="n">
        <v>26.9413634969158</v>
      </c>
      <c r="V293" s="194" t="n">
        <v>27.7496044018233</v>
      </c>
    </row>
    <row r="294" customFormat="false" ht="12.75" hidden="false" customHeight="false" outlineLevel="0" collapsed="false">
      <c r="A294" s="55"/>
      <c r="B294" s="189" t="s">
        <v>115</v>
      </c>
      <c r="C294" s="195" t="n">
        <v>0</v>
      </c>
      <c r="D294" s="196" t="n">
        <v>0</v>
      </c>
      <c r="E294" s="196" t="n">
        <v>0</v>
      </c>
      <c r="F294" s="196" t="n">
        <v>0</v>
      </c>
      <c r="G294" s="196" t="n">
        <v>0</v>
      </c>
      <c r="H294" s="196" t="n">
        <v>0</v>
      </c>
      <c r="I294" s="196" t="n">
        <v>0</v>
      </c>
      <c r="J294" s="196" t="n">
        <v>0</v>
      </c>
      <c r="K294" s="196" t="n">
        <v>0</v>
      </c>
      <c r="L294" s="196" t="n">
        <v>0</v>
      </c>
      <c r="M294" s="196" t="n">
        <v>0</v>
      </c>
      <c r="N294" s="196" t="n">
        <v>0</v>
      </c>
      <c r="O294" s="196" t="n">
        <v>0</v>
      </c>
      <c r="P294" s="196" t="n">
        <v>0</v>
      </c>
      <c r="Q294" s="196" t="n">
        <v>0</v>
      </c>
      <c r="R294" s="196" t="n">
        <v>0</v>
      </c>
      <c r="S294" s="196" t="n">
        <v>0</v>
      </c>
      <c r="T294" s="196" t="n">
        <v>0</v>
      </c>
      <c r="U294" s="196" t="n">
        <v>0</v>
      </c>
      <c r="V294" s="196" t="n">
        <v>0</v>
      </c>
    </row>
    <row r="295" customFormat="false" ht="12.75" hidden="false" customHeight="false" outlineLevel="0" collapsed="false">
      <c r="A295" s="55"/>
      <c r="B295" s="189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</row>
    <row r="296" customFormat="false" ht="12.75" hidden="false" customHeight="false" outlineLevel="0" collapsed="false">
      <c r="A296" s="55"/>
      <c r="B296" s="189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</row>
    <row r="297" customFormat="false" ht="12.75" hidden="false" customHeight="false" outlineLevel="0" collapsed="false">
      <c r="A297" s="169"/>
      <c r="B297" s="175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</row>
    <row r="298" customFormat="false" ht="12.75" hidden="false" customHeight="false" outlineLevel="0" collapsed="false">
      <c r="A298" s="11"/>
      <c r="B298" s="156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</row>
    <row r="299" customFormat="false" ht="12.75" hidden="false" customHeight="false" outlineLevel="0" collapsed="false">
      <c r="A299" s="52" t="s">
        <v>105</v>
      </c>
      <c r="B299" s="182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</row>
    <row r="300" customFormat="false" ht="12.75" hidden="false" customHeight="false" outlineLevel="0" collapsed="false">
      <c r="A300" s="183" t="s">
        <v>82</v>
      </c>
      <c r="B300" s="182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</row>
    <row r="301" customFormat="false" ht="12.75" hidden="false" customHeight="false" outlineLevel="0" collapsed="false">
      <c r="A301" s="55"/>
      <c r="B301" s="182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</row>
    <row r="302" customFormat="false" ht="12.75" hidden="false" customHeight="false" outlineLevel="0" collapsed="false">
      <c r="A302" s="55"/>
      <c r="B302" s="182"/>
      <c r="C302" s="184" t="n">
        <v>2000</v>
      </c>
      <c r="D302" s="185" t="n">
        <v>2001</v>
      </c>
      <c r="E302" s="185" t="n">
        <v>2002</v>
      </c>
      <c r="F302" s="185" t="n">
        <v>2003</v>
      </c>
      <c r="G302" s="185" t="n">
        <v>2004</v>
      </c>
      <c r="H302" s="185" t="n">
        <v>2005</v>
      </c>
      <c r="I302" s="185" t="n">
        <v>2006</v>
      </c>
      <c r="J302" s="185" t="n">
        <v>2007</v>
      </c>
      <c r="K302" s="185" t="n">
        <v>2008</v>
      </c>
      <c r="L302" s="185" t="n">
        <v>2009</v>
      </c>
      <c r="M302" s="185" t="n">
        <v>2010</v>
      </c>
      <c r="N302" s="185" t="n">
        <v>2011</v>
      </c>
      <c r="O302" s="185" t="n">
        <v>2012</v>
      </c>
      <c r="P302" s="185" t="n">
        <v>2013</v>
      </c>
      <c r="Q302" s="185" t="n">
        <v>2014</v>
      </c>
      <c r="R302" s="185" t="n">
        <v>2015</v>
      </c>
      <c r="S302" s="185" t="n">
        <v>2016</v>
      </c>
      <c r="T302" s="185" t="n">
        <v>2017</v>
      </c>
      <c r="U302" s="185" t="n">
        <v>2018</v>
      </c>
      <c r="V302" s="185" t="n">
        <v>2019</v>
      </c>
    </row>
    <row r="303" customFormat="false" ht="12.75" hidden="false" customHeight="false" outlineLevel="0" collapsed="false">
      <c r="A303" s="186" t="s">
        <v>106</v>
      </c>
      <c r="B303" s="182"/>
      <c r="C303" s="187"/>
      <c r="D303" s="188"/>
      <c r="E303" s="188"/>
      <c r="F303" s="188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</row>
    <row r="304" customFormat="false" ht="12.75" hidden="false" customHeight="false" outlineLevel="0" collapsed="false">
      <c r="A304" s="55"/>
      <c r="B304" s="189" t="s">
        <v>107</v>
      </c>
      <c r="C304" s="190" t="n">
        <v>0</v>
      </c>
      <c r="D304" s="191" t="n">
        <v>709887.604907868</v>
      </c>
      <c r="E304" s="191" t="n">
        <v>709887.604907868</v>
      </c>
      <c r="F304" s="191" t="n">
        <v>709887.604907868</v>
      </c>
      <c r="G304" s="191" t="n">
        <v>709887.604907868</v>
      </c>
      <c r="H304" s="191" t="n">
        <v>709887.604907868</v>
      </c>
      <c r="I304" s="191" t="n">
        <v>709887.604907868</v>
      </c>
      <c r="J304" s="191" t="n">
        <v>709887.604907868</v>
      </c>
      <c r="K304" s="191" t="n">
        <v>709887.604907868</v>
      </c>
      <c r="L304" s="191" t="n">
        <v>709887.604907868</v>
      </c>
      <c r="M304" s="191" t="n">
        <v>709887.604907868</v>
      </c>
      <c r="N304" s="191" t="n">
        <v>709887.604907868</v>
      </c>
      <c r="O304" s="191" t="n">
        <v>709887.604907868</v>
      </c>
      <c r="P304" s="191" t="n">
        <v>709887.604907868</v>
      </c>
      <c r="Q304" s="191" t="n">
        <v>709887.604907868</v>
      </c>
      <c r="R304" s="191" t="n">
        <v>709887.604907868</v>
      </c>
      <c r="S304" s="191" t="n">
        <v>709887.604907868</v>
      </c>
      <c r="T304" s="191" t="n">
        <v>709887.604907868</v>
      </c>
      <c r="U304" s="191" t="n">
        <v>709887.604907868</v>
      </c>
      <c r="V304" s="191" t="n">
        <v>709887.604907868</v>
      </c>
    </row>
    <row r="305" customFormat="false" ht="12.75" hidden="false" customHeight="false" outlineLevel="0" collapsed="false">
      <c r="A305" s="55"/>
      <c r="B305" s="189" t="s">
        <v>108</v>
      </c>
      <c r="C305" s="190" t="n">
        <v>0</v>
      </c>
      <c r="D305" s="192" t="n">
        <v>0.862099976814179</v>
      </c>
      <c r="E305" s="192" t="n">
        <v>0.862099976814179</v>
      </c>
      <c r="F305" s="192" t="n">
        <v>0.862099976814179</v>
      </c>
      <c r="G305" s="192" t="n">
        <v>0.862099976814179</v>
      </c>
      <c r="H305" s="192" t="n">
        <v>0.862099976814179</v>
      </c>
      <c r="I305" s="192" t="n">
        <v>0.862099976814179</v>
      </c>
      <c r="J305" s="192" t="n">
        <v>0.862099976814179</v>
      </c>
      <c r="K305" s="192" t="n">
        <v>0.862099976814179</v>
      </c>
      <c r="L305" s="192" t="n">
        <v>0.862099976814179</v>
      </c>
      <c r="M305" s="192" t="n">
        <v>0.862099976814179</v>
      </c>
      <c r="N305" s="192" t="n">
        <v>0.862099976814179</v>
      </c>
      <c r="O305" s="192" t="n">
        <v>0.862099976814179</v>
      </c>
      <c r="P305" s="192" t="n">
        <v>0.862099976814179</v>
      </c>
      <c r="Q305" s="192" t="n">
        <v>0.862099976814179</v>
      </c>
      <c r="R305" s="192" t="n">
        <v>0.862099976814179</v>
      </c>
      <c r="S305" s="192" t="n">
        <v>0.862099976814179</v>
      </c>
      <c r="T305" s="192" t="n">
        <v>0.862099976814179</v>
      </c>
      <c r="U305" s="192" t="n">
        <v>0.862099976814179</v>
      </c>
      <c r="V305" s="192" t="n">
        <v>0.862099976814179</v>
      </c>
    </row>
    <row r="306" customFormat="false" ht="12.75" hidden="false" customHeight="false" outlineLevel="0" collapsed="false">
      <c r="A306" s="186" t="s">
        <v>109</v>
      </c>
      <c r="B306" s="189"/>
      <c r="C306" s="187"/>
      <c r="D306" s="188"/>
      <c r="E306" s="188"/>
      <c r="F306" s="188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</row>
    <row r="307" customFormat="false" ht="12.75" hidden="false" customHeight="false" outlineLevel="0" collapsed="false">
      <c r="A307" s="55"/>
      <c r="B307" s="189" t="s">
        <v>20</v>
      </c>
      <c r="C307" s="193" t="n">
        <v>0</v>
      </c>
      <c r="D307" s="194" t="n">
        <v>39.4830479600139</v>
      </c>
      <c r="E307" s="194" t="n">
        <v>38.9354673272511</v>
      </c>
      <c r="F307" s="194" t="n">
        <v>39.6849082613523</v>
      </c>
      <c r="G307" s="194" t="n">
        <v>39.1224218116774</v>
      </c>
      <c r="H307" s="194" t="n">
        <v>39.417099156106</v>
      </c>
      <c r="I307" s="194" t="n">
        <v>42.0786149252578</v>
      </c>
      <c r="J307" s="194" t="n">
        <v>45.1190140269637</v>
      </c>
      <c r="K307" s="194" t="n">
        <v>46.2865929451868</v>
      </c>
      <c r="L307" s="194" t="n">
        <v>47.2554084179073</v>
      </c>
      <c r="M307" s="194" t="n">
        <v>47.424107614869</v>
      </c>
      <c r="N307" s="194" t="n">
        <v>48.4487023221245</v>
      </c>
      <c r="O307" s="194" t="n">
        <v>48.9927709342232</v>
      </c>
      <c r="P307" s="194" t="n">
        <v>49.5693200792455</v>
      </c>
      <c r="Q307" s="194" t="n">
        <v>51.3142206624761</v>
      </c>
      <c r="R307" s="194" t="n">
        <v>54.9549131355291</v>
      </c>
      <c r="S307" s="194" t="n">
        <v>54.6383329257431</v>
      </c>
      <c r="T307" s="194" t="n">
        <v>55.33468859591</v>
      </c>
      <c r="U307" s="194" t="n">
        <v>57.9938209162061</v>
      </c>
      <c r="V307" s="194" t="n">
        <v>59.7553005518293</v>
      </c>
    </row>
    <row r="308" customFormat="false" ht="12.75" hidden="false" customHeight="false" outlineLevel="0" collapsed="false">
      <c r="A308" s="55"/>
      <c r="B308" s="189" t="s">
        <v>21</v>
      </c>
      <c r="C308" s="193" t="n">
        <v>0</v>
      </c>
      <c r="D308" s="194" t="n">
        <v>12.9244038</v>
      </c>
      <c r="E308" s="194" t="n">
        <v>13.1103588</v>
      </c>
      <c r="F308" s="194" t="n">
        <v>13.3388178</v>
      </c>
      <c r="G308" s="194" t="n">
        <v>13.7202912</v>
      </c>
      <c r="H308" s="194" t="n">
        <v>14.1973986</v>
      </c>
      <c r="I308" s="194" t="n">
        <v>14.7425124</v>
      </c>
      <c r="J308" s="194" t="n">
        <v>15.0825444</v>
      </c>
      <c r="K308" s="194" t="n">
        <v>15.4066374</v>
      </c>
      <c r="L308" s="194" t="n">
        <v>15.6605988</v>
      </c>
      <c r="M308" s="194" t="n">
        <v>15.7859856</v>
      </c>
      <c r="N308" s="194" t="n">
        <v>16.0006308</v>
      </c>
      <c r="O308" s="194" t="n">
        <v>16.348101</v>
      </c>
      <c r="P308" s="194" t="n">
        <v>16.7210736</v>
      </c>
      <c r="Q308" s="194" t="n">
        <v>17.075982</v>
      </c>
      <c r="R308" s="194" t="n">
        <v>17.3182548</v>
      </c>
      <c r="S308" s="194" t="n">
        <v>17.6731632</v>
      </c>
      <c r="T308" s="194" t="n">
        <v>18.0769512</v>
      </c>
      <c r="U308" s="194" t="n">
        <v>18.5200554</v>
      </c>
      <c r="V308" s="194" t="n">
        <v>18.978036</v>
      </c>
    </row>
    <row r="309" customFormat="false" ht="12.75" hidden="false" customHeight="false" outlineLevel="0" collapsed="false">
      <c r="A309" s="55"/>
      <c r="B309" s="189" t="s">
        <v>110</v>
      </c>
      <c r="C309" s="193" t="n">
        <v>0</v>
      </c>
      <c r="D309" s="194" t="n">
        <v>1.04716644859175</v>
      </c>
      <c r="E309" s="194" t="n">
        <v>1.06830282864786</v>
      </c>
      <c r="F309" s="194" t="n">
        <v>1.08986583291684</v>
      </c>
      <c r="G309" s="194" t="n">
        <v>1.11186407253355</v>
      </c>
      <c r="H309" s="194" t="n">
        <v>1.13430633244305</v>
      </c>
      <c r="I309" s="194" t="n">
        <v>1.15720157490886</v>
      </c>
      <c r="J309" s="194" t="n">
        <v>1.18055894309202</v>
      </c>
      <c r="K309" s="194" t="n">
        <v>1.20438776470237</v>
      </c>
      <c r="L309" s="194" t="n">
        <v>1.22869755572357</v>
      </c>
      <c r="M309" s="194" t="n">
        <v>1.25349802421328</v>
      </c>
      <c r="N309" s="194" t="n">
        <v>1.27879907418007</v>
      </c>
      <c r="O309" s="194" t="n">
        <v>1.30461080953849</v>
      </c>
      <c r="P309" s="194" t="n">
        <v>1.33094353814415</v>
      </c>
      <c r="Q309" s="194" t="n">
        <v>1.35780777591005</v>
      </c>
      <c r="R309" s="194" t="n">
        <v>1.38521425100612</v>
      </c>
      <c r="S309" s="194" t="n">
        <v>1.41317390814352</v>
      </c>
      <c r="T309" s="194" t="n">
        <v>1.4416979129453</v>
      </c>
      <c r="U309" s="194" t="n">
        <v>1.47079765640547</v>
      </c>
      <c r="V309" s="194" t="n">
        <v>1.50048475943788</v>
      </c>
    </row>
    <row r="310" customFormat="false" ht="12.75" hidden="false" customHeight="false" outlineLevel="0" collapsed="false">
      <c r="A310" s="55"/>
      <c r="B310" s="189" t="s">
        <v>111</v>
      </c>
      <c r="C310" s="193" t="n">
        <v>0</v>
      </c>
      <c r="D310" s="194" t="n">
        <v>0</v>
      </c>
      <c r="E310" s="194" t="n">
        <v>0</v>
      </c>
      <c r="F310" s="194" t="n">
        <v>0</v>
      </c>
      <c r="G310" s="194" t="n">
        <v>0</v>
      </c>
      <c r="H310" s="194" t="n">
        <v>0</v>
      </c>
      <c r="I310" s="194" t="n">
        <v>1.14796278330705</v>
      </c>
      <c r="J310" s="194" t="n">
        <v>1.2724250414878</v>
      </c>
      <c r="K310" s="194" t="n">
        <v>1.49589352693167</v>
      </c>
      <c r="L310" s="194" t="n">
        <v>1.54214696944119</v>
      </c>
      <c r="M310" s="194" t="n">
        <v>1.71510453586542</v>
      </c>
      <c r="N310" s="194" t="n">
        <v>1.88931734891118</v>
      </c>
      <c r="O310" s="194" t="n">
        <v>2.09330697914662</v>
      </c>
      <c r="P310" s="194" t="n">
        <v>2.34714778838788</v>
      </c>
      <c r="Q310" s="194" t="n">
        <v>2.6127417538895</v>
      </c>
      <c r="R310" s="194" t="n">
        <v>2.89411971687409</v>
      </c>
      <c r="S310" s="194" t="n">
        <v>3.17773989005342</v>
      </c>
      <c r="T310" s="194" t="n">
        <v>3.12197451968986</v>
      </c>
      <c r="U310" s="194" t="n">
        <v>2.67101806144248</v>
      </c>
      <c r="V310" s="194" t="n">
        <v>2.7693529361325</v>
      </c>
    </row>
    <row r="311" customFormat="false" ht="12.75" hidden="false" customHeight="false" outlineLevel="0" collapsed="false">
      <c r="A311" s="55"/>
      <c r="B311" s="189" t="s">
        <v>112</v>
      </c>
      <c r="C311" s="193" t="n">
        <v>0</v>
      </c>
      <c r="D311" s="194" t="n">
        <v>0</v>
      </c>
      <c r="E311" s="194" t="n">
        <v>0</v>
      </c>
      <c r="F311" s="194" t="n">
        <v>3.16387748376742</v>
      </c>
      <c r="G311" s="194" t="n">
        <v>2.69582193789411</v>
      </c>
      <c r="H311" s="194" t="n">
        <v>2.798631475543</v>
      </c>
      <c r="I311" s="194" t="n">
        <v>2.90662519945631</v>
      </c>
      <c r="J311" s="194" t="n">
        <v>3.65135607146354</v>
      </c>
      <c r="K311" s="194" t="n">
        <v>3.18941860728038</v>
      </c>
      <c r="L311" s="194" t="n">
        <v>3.37577424473864</v>
      </c>
      <c r="M311" s="194" t="n">
        <v>3.21217848251156</v>
      </c>
      <c r="N311" s="194" t="n">
        <v>3.3041779216576</v>
      </c>
      <c r="O311" s="194" t="n">
        <v>3.38985813628722</v>
      </c>
      <c r="P311" s="194" t="n">
        <v>3.02785453164489</v>
      </c>
      <c r="Q311" s="194" t="n">
        <v>3.13611449705786</v>
      </c>
      <c r="R311" s="194" t="n">
        <v>3.20092349863153</v>
      </c>
      <c r="S311" s="194" t="n">
        <v>3.39915586426892</v>
      </c>
      <c r="T311" s="194" t="n">
        <v>3.19555906135271</v>
      </c>
      <c r="U311" s="194" t="n">
        <v>3.51951538408072</v>
      </c>
      <c r="V311" s="194" t="n">
        <v>1.91620210203785</v>
      </c>
    </row>
    <row r="312" customFormat="false" ht="12.75" hidden="false" customHeight="false" outlineLevel="0" collapsed="false">
      <c r="A312" s="186" t="s">
        <v>113</v>
      </c>
      <c r="B312" s="189"/>
      <c r="C312" s="187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</row>
    <row r="313" customFormat="false" ht="12.75" hidden="false" customHeight="false" outlineLevel="0" collapsed="false">
      <c r="A313" s="55"/>
      <c r="B313" s="189" t="s">
        <v>26</v>
      </c>
      <c r="C313" s="193" t="n">
        <v>0</v>
      </c>
      <c r="D313" s="194" t="n">
        <v>33.1427852442118</v>
      </c>
      <c r="E313" s="194" t="n">
        <v>33.805640949096</v>
      </c>
      <c r="F313" s="194" t="n">
        <v>34.4817537680779</v>
      </c>
      <c r="G313" s="194" t="n">
        <v>35.1713888434395</v>
      </c>
      <c r="H313" s="194" t="n">
        <v>35.8748166203083</v>
      </c>
      <c r="I313" s="194" t="n">
        <v>36.5923129527144</v>
      </c>
      <c r="J313" s="194" t="n">
        <v>37.3241592117687</v>
      </c>
      <c r="K313" s="194" t="n">
        <v>38.0706423960041</v>
      </c>
      <c r="L313" s="194" t="n">
        <v>38.8320552439242</v>
      </c>
      <c r="M313" s="194" t="n">
        <v>39.6086963488027</v>
      </c>
      <c r="N313" s="194" t="n">
        <v>40.4008702757787</v>
      </c>
      <c r="O313" s="194" t="n">
        <v>41.2088876812943</v>
      </c>
      <c r="P313" s="194" t="n">
        <v>42.0330654349202</v>
      </c>
      <c r="Q313" s="194" t="n">
        <v>42.8737267436186</v>
      </c>
      <c r="R313" s="194" t="n">
        <v>43.731201278491</v>
      </c>
      <c r="S313" s="194" t="n">
        <v>44.6058253040608</v>
      </c>
      <c r="T313" s="194" t="n">
        <v>45.497941810142</v>
      </c>
      <c r="U313" s="194" t="n">
        <v>46.4079006463448</v>
      </c>
      <c r="V313" s="194" t="n">
        <v>47.3360586592717</v>
      </c>
    </row>
    <row r="314" customFormat="false" ht="12.75" hidden="false" customHeight="false" outlineLevel="0" collapsed="false">
      <c r="A314" s="55"/>
      <c r="B314" s="189" t="s">
        <v>114</v>
      </c>
      <c r="C314" s="193" t="n">
        <v>0</v>
      </c>
      <c r="D314" s="194" t="n">
        <v>2.6253414896787</v>
      </c>
      <c r="E314" s="194" t="n">
        <v>2.68382348783041</v>
      </c>
      <c r="F314" s="194" t="n">
        <v>2.74358624174165</v>
      </c>
      <c r="G314" s="194" t="n">
        <v>2.86130217204445</v>
      </c>
      <c r="H314" s="194" t="n">
        <v>3.39081313510684</v>
      </c>
      <c r="I314" s="194" t="n">
        <v>4.28539236402821</v>
      </c>
      <c r="J314" s="194" t="n">
        <v>4.71612356458508</v>
      </c>
      <c r="K314" s="194" t="n">
        <v>5.21965401605577</v>
      </c>
      <c r="L314" s="194" t="n">
        <v>5.67230503577794</v>
      </c>
      <c r="M314" s="194" t="n">
        <v>5.87397832806442</v>
      </c>
      <c r="N314" s="194" t="n">
        <v>5.94650777788146</v>
      </c>
      <c r="O314" s="194" t="n">
        <v>6.0208649698339</v>
      </c>
      <c r="P314" s="194" t="n">
        <v>6.09711083446192</v>
      </c>
      <c r="Q314" s="194" t="n">
        <v>6.17526284570565</v>
      </c>
      <c r="R314" s="194" t="n">
        <v>6.25537647243159</v>
      </c>
      <c r="S314" s="194" t="n">
        <v>6.33749293982568</v>
      </c>
      <c r="T314" s="194" t="n">
        <v>6.42164589561115</v>
      </c>
      <c r="U314" s="194" t="n">
        <v>6.50791109058683</v>
      </c>
      <c r="V314" s="194" t="n">
        <v>6.5963415419564</v>
      </c>
    </row>
    <row r="315" customFormat="false" ht="12.75" hidden="false" customHeight="false" outlineLevel="0" collapsed="false">
      <c r="A315" s="55"/>
      <c r="B315" s="189" t="s">
        <v>28</v>
      </c>
      <c r="C315" s="193" t="n">
        <v>0</v>
      </c>
      <c r="D315" s="194" t="n">
        <v>3.26661672377148</v>
      </c>
      <c r="E315" s="194" t="n">
        <v>3.33554233664307</v>
      </c>
      <c r="F315" s="194" t="n">
        <v>3.40859071381556</v>
      </c>
      <c r="G315" s="194" t="n">
        <v>3.48562486394778</v>
      </c>
      <c r="H315" s="194" t="n">
        <v>3.56858273570973</v>
      </c>
      <c r="I315" s="194" t="n">
        <v>3.65801177782266</v>
      </c>
      <c r="J315" s="194" t="n">
        <v>3.74874066066397</v>
      </c>
      <c r="K315" s="194" t="n">
        <v>3.84362903383613</v>
      </c>
      <c r="L315" s="194" t="n">
        <v>3.93856667097188</v>
      </c>
      <c r="M315" s="194" t="n">
        <v>4.03900012108166</v>
      </c>
      <c r="N315" s="194" t="n">
        <v>4.13674392401185</v>
      </c>
      <c r="O315" s="194" t="n">
        <v>4.24098987089694</v>
      </c>
      <c r="P315" s="194" t="n">
        <v>4.34871101361771</v>
      </c>
      <c r="Q315" s="194" t="n">
        <v>4.45742878895815</v>
      </c>
      <c r="R315" s="194" t="n">
        <v>4.569310251561</v>
      </c>
      <c r="S315" s="194" t="n">
        <v>4.68354300785003</v>
      </c>
      <c r="T315" s="194" t="n">
        <v>4.7996948744447</v>
      </c>
      <c r="U315" s="194" t="n">
        <v>4.92016721579328</v>
      </c>
      <c r="V315" s="194" t="n">
        <v>5.04366341290969</v>
      </c>
    </row>
    <row r="316" customFormat="false" ht="12.75" hidden="false" customHeight="false" outlineLevel="0" collapsed="false">
      <c r="A316" s="55"/>
      <c r="B316" s="189" t="s">
        <v>33</v>
      </c>
      <c r="C316" s="193" t="n">
        <v>0</v>
      </c>
      <c r="D316" s="194" t="n">
        <v>7.05779287234043</v>
      </c>
      <c r="E316" s="194" t="n">
        <v>62.7982328723404</v>
      </c>
      <c r="F316" s="194" t="n">
        <v>3.10245893617021</v>
      </c>
      <c r="G316" s="194" t="n">
        <v>8.26304297872341</v>
      </c>
      <c r="H316" s="194" t="n">
        <v>18.1312391276596</v>
      </c>
      <c r="I316" s="194" t="n">
        <v>18.6751763014894</v>
      </c>
      <c r="J316" s="194" t="n">
        <v>19.235431590534</v>
      </c>
      <c r="K316" s="194" t="n">
        <v>19.8124945382501</v>
      </c>
      <c r="L316" s="194" t="n">
        <v>20.4068693743976</v>
      </c>
      <c r="M316" s="194" t="n">
        <v>21.0190754556295</v>
      </c>
      <c r="N316" s="194" t="n">
        <v>21.6496477192984</v>
      </c>
      <c r="O316" s="194" t="n">
        <v>22.2991371508773</v>
      </c>
      <c r="P316" s="194" t="n">
        <v>22.9681112654037</v>
      </c>
      <c r="Q316" s="194" t="n">
        <v>23.6571546033658</v>
      </c>
      <c r="R316" s="194" t="n">
        <v>24.3668692414667</v>
      </c>
      <c r="S316" s="194" t="n">
        <v>25.0978753187107</v>
      </c>
      <c r="T316" s="194" t="n">
        <v>25.8508115782721</v>
      </c>
      <c r="U316" s="194" t="n">
        <v>26.6263359256202</v>
      </c>
      <c r="V316" s="194" t="n">
        <v>27.4251260033888</v>
      </c>
    </row>
    <row r="317" customFormat="false" ht="12.75" hidden="false" customHeight="false" outlineLevel="0" collapsed="false">
      <c r="A317" s="55"/>
      <c r="B317" s="189" t="s">
        <v>115</v>
      </c>
      <c r="C317" s="195" t="n">
        <v>0</v>
      </c>
      <c r="D317" s="196" t="n">
        <v>0</v>
      </c>
      <c r="E317" s="196" t="n">
        <v>0</v>
      </c>
      <c r="F317" s="196" t="n">
        <v>0</v>
      </c>
      <c r="G317" s="196" t="n">
        <v>0</v>
      </c>
      <c r="H317" s="196" t="n">
        <v>0</v>
      </c>
      <c r="I317" s="196" t="n">
        <v>0</v>
      </c>
      <c r="J317" s="196" t="n">
        <v>0</v>
      </c>
      <c r="K317" s="196" t="n">
        <v>0</v>
      </c>
      <c r="L317" s="196" t="n">
        <v>0</v>
      </c>
      <c r="M317" s="196" t="n">
        <v>0</v>
      </c>
      <c r="N317" s="196" t="n">
        <v>0</v>
      </c>
      <c r="O317" s="196" t="n">
        <v>0</v>
      </c>
      <c r="P317" s="196" t="n">
        <v>0</v>
      </c>
      <c r="Q317" s="196" t="n">
        <v>0</v>
      </c>
      <c r="R317" s="196" t="n">
        <v>0</v>
      </c>
      <c r="S317" s="196" t="n">
        <v>0</v>
      </c>
      <c r="T317" s="196" t="n">
        <v>0</v>
      </c>
      <c r="U317" s="196" t="n">
        <v>0</v>
      </c>
      <c r="V317" s="196" t="n">
        <v>0</v>
      </c>
    </row>
    <row r="318" customFormat="false" ht="12.75" hidden="false" customHeight="false" outlineLevel="0" collapsed="false">
      <c r="A318" s="55"/>
      <c r="B318" s="189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</row>
    <row r="319" customFormat="false" ht="12.75" hidden="false" customHeight="false" outlineLevel="0" collapsed="false">
      <c r="A319" s="55"/>
      <c r="B319" s="189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</row>
    <row r="320" customFormat="false" ht="12.75" hidden="false" customHeight="false" outlineLevel="0" collapsed="false">
      <c r="A320" s="11"/>
      <c r="B320" s="156"/>
      <c r="C320" s="255"/>
      <c r="D320" s="256"/>
      <c r="E320" s="256"/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</row>
    <row r="321" customFormat="false" ht="12.75" hidden="false" customHeight="false" outlineLevel="0" collapsed="false">
      <c r="A321" s="169"/>
      <c r="B321" s="156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</row>
    <row r="322" customFormat="false" ht="12.75" hidden="false" customHeight="false" outlineLevel="0" collapsed="false">
      <c r="A322" s="52" t="s">
        <v>105</v>
      </c>
      <c r="B322" s="182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</row>
    <row r="323" customFormat="false" ht="12.75" hidden="false" customHeight="false" outlineLevel="0" collapsed="false">
      <c r="A323" s="183" t="s">
        <v>83</v>
      </c>
      <c r="B323" s="182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</row>
    <row r="324" customFormat="false" ht="12.75" hidden="false" customHeight="false" outlineLevel="0" collapsed="false">
      <c r="A324" s="55"/>
      <c r="B324" s="182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</row>
    <row r="325" customFormat="false" ht="12.75" hidden="false" customHeight="false" outlineLevel="0" collapsed="false">
      <c r="A325" s="55"/>
      <c r="B325" s="182"/>
      <c r="C325" s="184" t="n">
        <v>2000</v>
      </c>
      <c r="D325" s="185" t="n">
        <v>2001</v>
      </c>
      <c r="E325" s="185" t="n">
        <v>2002</v>
      </c>
      <c r="F325" s="185" t="n">
        <v>2003</v>
      </c>
      <c r="G325" s="185" t="n">
        <v>2004</v>
      </c>
      <c r="H325" s="185" t="n">
        <v>2005</v>
      </c>
      <c r="I325" s="185" t="n">
        <v>2006</v>
      </c>
      <c r="J325" s="185" t="n">
        <v>2007</v>
      </c>
      <c r="K325" s="185" t="n">
        <v>2008</v>
      </c>
      <c r="L325" s="185" t="n">
        <v>2009</v>
      </c>
      <c r="M325" s="185" t="n">
        <v>2010</v>
      </c>
      <c r="N325" s="185" t="n">
        <v>2011</v>
      </c>
      <c r="O325" s="185" t="n">
        <v>2012</v>
      </c>
      <c r="P325" s="185" t="n">
        <v>2013</v>
      </c>
      <c r="Q325" s="185" t="n">
        <v>2014</v>
      </c>
      <c r="R325" s="185" t="n">
        <v>2015</v>
      </c>
      <c r="S325" s="185" t="n">
        <v>2016</v>
      </c>
      <c r="T325" s="185" t="n">
        <v>2017</v>
      </c>
      <c r="U325" s="185" t="n">
        <v>2018</v>
      </c>
      <c r="V325" s="185" t="n">
        <v>2019</v>
      </c>
    </row>
    <row r="326" customFormat="false" ht="12.75" hidden="false" customHeight="false" outlineLevel="0" collapsed="false">
      <c r="A326" s="186" t="s">
        <v>106</v>
      </c>
      <c r="B326" s="182"/>
      <c r="C326" s="187"/>
      <c r="D326" s="188"/>
      <c r="E326" s="188"/>
      <c r="F326" s="188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</row>
    <row r="327" customFormat="false" ht="12.75" hidden="false" customHeight="false" outlineLevel="0" collapsed="false">
      <c r="A327" s="55"/>
      <c r="B327" s="189" t="s">
        <v>107</v>
      </c>
      <c r="C327" s="190" t="n">
        <v>0</v>
      </c>
      <c r="D327" s="191" t="n">
        <v>994245.146879148</v>
      </c>
      <c r="E327" s="191" t="n">
        <v>994245.146879148</v>
      </c>
      <c r="F327" s="191" t="n">
        <v>994245.146879148</v>
      </c>
      <c r="G327" s="191" t="n">
        <v>994245.146879148</v>
      </c>
      <c r="H327" s="191" t="n">
        <v>994245.146879148</v>
      </c>
      <c r="I327" s="191" t="n">
        <v>994245.146879148</v>
      </c>
      <c r="J327" s="191" t="n">
        <v>994245.146879148</v>
      </c>
      <c r="K327" s="191" t="n">
        <v>994245.146879148</v>
      </c>
      <c r="L327" s="191" t="n">
        <v>994245.146879148</v>
      </c>
      <c r="M327" s="191" t="n">
        <v>994245.146879148</v>
      </c>
      <c r="N327" s="191" t="n">
        <v>994245.146879148</v>
      </c>
      <c r="O327" s="191" t="n">
        <v>994245.146879148</v>
      </c>
      <c r="P327" s="191" t="n">
        <v>994245.146879148</v>
      </c>
      <c r="Q327" s="191" t="n">
        <v>994245.146879148</v>
      </c>
      <c r="R327" s="191" t="n">
        <v>994245.146879148</v>
      </c>
      <c r="S327" s="191" t="n">
        <v>994245.146879148</v>
      </c>
      <c r="T327" s="191" t="n">
        <v>994245.146879148</v>
      </c>
      <c r="U327" s="191" t="n">
        <v>994245.146879148</v>
      </c>
      <c r="V327" s="191" t="n">
        <v>994245.146879148</v>
      </c>
    </row>
    <row r="328" customFormat="false" ht="12.75" hidden="false" customHeight="false" outlineLevel="0" collapsed="false">
      <c r="A328" s="55"/>
      <c r="B328" s="189" t="s">
        <v>108</v>
      </c>
      <c r="C328" s="190" t="n">
        <v>0</v>
      </c>
      <c r="D328" s="192" t="n">
        <v>0.886705503423898</v>
      </c>
      <c r="E328" s="192" t="n">
        <v>0.886705503423898</v>
      </c>
      <c r="F328" s="192" t="n">
        <v>0.886705503423898</v>
      </c>
      <c r="G328" s="192" t="n">
        <v>0.886705503423898</v>
      </c>
      <c r="H328" s="192" t="n">
        <v>0.886705503423898</v>
      </c>
      <c r="I328" s="192" t="n">
        <v>0.886705503423898</v>
      </c>
      <c r="J328" s="192" t="n">
        <v>0.886705503423898</v>
      </c>
      <c r="K328" s="192" t="n">
        <v>0.886705503423898</v>
      </c>
      <c r="L328" s="192" t="n">
        <v>0.886705503423898</v>
      </c>
      <c r="M328" s="192" t="n">
        <v>0.886705503423898</v>
      </c>
      <c r="N328" s="192" t="n">
        <v>0.886705503423898</v>
      </c>
      <c r="O328" s="192" t="n">
        <v>0.886705503423898</v>
      </c>
      <c r="P328" s="192" t="n">
        <v>0.886705503423898</v>
      </c>
      <c r="Q328" s="192" t="n">
        <v>0.886705503423898</v>
      </c>
      <c r="R328" s="192" t="n">
        <v>0.886705503423898</v>
      </c>
      <c r="S328" s="192" t="n">
        <v>0.886705503423898</v>
      </c>
      <c r="T328" s="192" t="n">
        <v>0.886705503423898</v>
      </c>
      <c r="U328" s="192" t="n">
        <v>0.886705503423898</v>
      </c>
      <c r="V328" s="192" t="n">
        <v>0.886705503423898</v>
      </c>
    </row>
    <row r="329" customFormat="false" ht="12.75" hidden="false" customHeight="false" outlineLevel="0" collapsed="false">
      <c r="A329" s="186" t="s">
        <v>109</v>
      </c>
      <c r="B329" s="189"/>
      <c r="C329" s="187"/>
      <c r="D329" s="188"/>
      <c r="E329" s="188"/>
      <c r="F329" s="188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</row>
    <row r="330" customFormat="false" ht="12.75" hidden="false" customHeight="false" outlineLevel="0" collapsed="false">
      <c r="A330" s="55"/>
      <c r="B330" s="189" t="s">
        <v>20</v>
      </c>
      <c r="C330" s="193" t="n">
        <v>0</v>
      </c>
      <c r="D330" s="194" t="n">
        <v>39.4830479600139</v>
      </c>
      <c r="E330" s="194" t="n">
        <v>38.9354673272511</v>
      </c>
      <c r="F330" s="194" t="n">
        <v>39.6849082613523</v>
      </c>
      <c r="G330" s="194" t="n">
        <v>39.1224218116773</v>
      </c>
      <c r="H330" s="194" t="n">
        <v>39.417099156106</v>
      </c>
      <c r="I330" s="194" t="n">
        <v>42.0786149252578</v>
      </c>
      <c r="J330" s="194" t="n">
        <v>45.1190140269637</v>
      </c>
      <c r="K330" s="194" t="n">
        <v>46.2865929451868</v>
      </c>
      <c r="L330" s="194" t="n">
        <v>47.2554084179073</v>
      </c>
      <c r="M330" s="194" t="n">
        <v>47.424107614869</v>
      </c>
      <c r="N330" s="194" t="n">
        <v>48.4487023221246</v>
      </c>
      <c r="O330" s="194" t="n">
        <v>48.9927709342232</v>
      </c>
      <c r="P330" s="194" t="n">
        <v>49.5693200792454</v>
      </c>
      <c r="Q330" s="194" t="n">
        <v>51.3142206624761</v>
      </c>
      <c r="R330" s="194" t="n">
        <v>54.9549131355291</v>
      </c>
      <c r="S330" s="194" t="n">
        <v>54.6383329257431</v>
      </c>
      <c r="T330" s="194" t="n">
        <v>55.33468859591</v>
      </c>
      <c r="U330" s="194" t="n">
        <v>57.9938209162061</v>
      </c>
      <c r="V330" s="194" t="n">
        <v>59.7553005518293</v>
      </c>
    </row>
    <row r="331" customFormat="false" ht="12.75" hidden="false" customHeight="false" outlineLevel="0" collapsed="false">
      <c r="A331" s="55"/>
      <c r="B331" s="189" t="s">
        <v>21</v>
      </c>
      <c r="C331" s="193" t="n">
        <v>0</v>
      </c>
      <c r="D331" s="194" t="n">
        <v>12.3722036</v>
      </c>
      <c r="E331" s="194" t="n">
        <v>12.5502136</v>
      </c>
      <c r="F331" s="194" t="n">
        <v>12.7689116</v>
      </c>
      <c r="G331" s="194" t="n">
        <v>13.1340864</v>
      </c>
      <c r="H331" s="194" t="n">
        <v>13.5908092</v>
      </c>
      <c r="I331" s="194" t="n">
        <v>14.1126328</v>
      </c>
      <c r="J331" s="194" t="n">
        <v>14.4381368</v>
      </c>
      <c r="K331" s="194" t="n">
        <v>14.7483828</v>
      </c>
      <c r="L331" s="194" t="n">
        <v>14.9914936</v>
      </c>
      <c r="M331" s="194" t="n">
        <v>15.1115232</v>
      </c>
      <c r="N331" s="194" t="n">
        <v>15.3169976</v>
      </c>
      <c r="O331" s="194" t="n">
        <v>15.649622</v>
      </c>
      <c r="P331" s="194" t="n">
        <v>16.0066592</v>
      </c>
      <c r="Q331" s="194" t="n">
        <v>16.346404</v>
      </c>
      <c r="R331" s="194" t="n">
        <v>16.5783256</v>
      </c>
      <c r="S331" s="194" t="n">
        <v>16.9180704</v>
      </c>
      <c r="T331" s="194" t="n">
        <v>17.3046064</v>
      </c>
      <c r="U331" s="194" t="n">
        <v>17.7287788</v>
      </c>
      <c r="V331" s="194" t="n">
        <v>18.167192</v>
      </c>
    </row>
    <row r="332" customFormat="false" ht="12.75" hidden="false" customHeight="false" outlineLevel="0" collapsed="false">
      <c r="A332" s="55"/>
      <c r="B332" s="189" t="s">
        <v>110</v>
      </c>
      <c r="C332" s="193" t="n">
        <v>0</v>
      </c>
      <c r="D332" s="194" t="n">
        <v>1.04716644859175</v>
      </c>
      <c r="E332" s="194" t="n">
        <v>1.06830282864786</v>
      </c>
      <c r="F332" s="194" t="n">
        <v>1.08986583291684</v>
      </c>
      <c r="G332" s="194" t="n">
        <v>1.11186407253355</v>
      </c>
      <c r="H332" s="194" t="n">
        <v>1.13430633244305</v>
      </c>
      <c r="I332" s="194" t="n">
        <v>1.15720157490886</v>
      </c>
      <c r="J332" s="194" t="n">
        <v>1.18055894309202</v>
      </c>
      <c r="K332" s="194" t="n">
        <v>1.20438776470237</v>
      </c>
      <c r="L332" s="194" t="n">
        <v>1.22869755572357</v>
      </c>
      <c r="M332" s="194" t="n">
        <v>1.25349802421328</v>
      </c>
      <c r="N332" s="194" t="n">
        <v>1.27879907418006</v>
      </c>
      <c r="O332" s="194" t="n">
        <v>1.30461080953849</v>
      </c>
      <c r="P332" s="194" t="n">
        <v>1.33094353814415</v>
      </c>
      <c r="Q332" s="194" t="n">
        <v>1.35780777591004</v>
      </c>
      <c r="R332" s="194" t="n">
        <v>1.38521425100612</v>
      </c>
      <c r="S332" s="194" t="n">
        <v>1.41317390814351</v>
      </c>
      <c r="T332" s="194" t="n">
        <v>1.4416979129453</v>
      </c>
      <c r="U332" s="194" t="n">
        <v>1.47079765640547</v>
      </c>
      <c r="V332" s="194" t="n">
        <v>1.50048475943788</v>
      </c>
    </row>
    <row r="333" customFormat="false" ht="12.75" hidden="false" customHeight="false" outlineLevel="0" collapsed="false">
      <c r="A333" s="55"/>
      <c r="B333" s="189" t="s">
        <v>111</v>
      </c>
      <c r="C333" s="193" t="n">
        <v>0</v>
      </c>
      <c r="D333" s="194" t="n">
        <v>0</v>
      </c>
      <c r="E333" s="194" t="n">
        <v>0</v>
      </c>
      <c r="F333" s="194" t="n">
        <v>0</v>
      </c>
      <c r="G333" s="194" t="n">
        <v>0</v>
      </c>
      <c r="H333" s="194" t="n">
        <v>0</v>
      </c>
      <c r="I333" s="194" t="n">
        <v>1.08712815903536</v>
      </c>
      <c r="J333" s="194" t="n">
        <v>1.20499472019305</v>
      </c>
      <c r="K333" s="194" t="n">
        <v>1.41756369468582</v>
      </c>
      <c r="L333" s="194" t="n">
        <v>1.46042312540905</v>
      </c>
      <c r="M333" s="194" t="n">
        <v>1.6242150562209</v>
      </c>
      <c r="N333" s="194" t="n">
        <v>1.78919571367847</v>
      </c>
      <c r="O333" s="194" t="n">
        <v>1.98237520904617</v>
      </c>
      <c r="P333" s="194" t="n">
        <v>2.222764092424</v>
      </c>
      <c r="Q333" s="194" t="n">
        <v>2.47428329057683</v>
      </c>
      <c r="R333" s="194" t="n">
        <v>2.74075003613746</v>
      </c>
      <c r="S333" s="194" t="n">
        <v>3.00934016921259</v>
      </c>
      <c r="T333" s="194" t="n">
        <v>2.9565300038459</v>
      </c>
      <c r="U333" s="194" t="n">
        <v>2.52947132965502</v>
      </c>
      <c r="V333" s="194" t="n">
        <v>2.62259509015078</v>
      </c>
    </row>
    <row r="334" customFormat="false" ht="12.75" hidden="false" customHeight="false" outlineLevel="0" collapsed="false">
      <c r="A334" s="55"/>
      <c r="B334" s="189" t="s">
        <v>112</v>
      </c>
      <c r="C334" s="193" t="n">
        <v>0</v>
      </c>
      <c r="D334" s="194" t="n">
        <v>0</v>
      </c>
      <c r="E334" s="194" t="n">
        <v>0</v>
      </c>
      <c r="F334" s="194" t="n">
        <v>2.72582962435478</v>
      </c>
      <c r="G334" s="194" t="n">
        <v>2.3225777034663</v>
      </c>
      <c r="H334" s="194" t="n">
        <v>2.41115296746669</v>
      </c>
      <c r="I334" s="194" t="n">
        <v>2.5041946523605</v>
      </c>
      <c r="J334" s="194" t="n">
        <v>3.14581541154097</v>
      </c>
      <c r="K334" s="194" t="n">
        <v>2.74783450648696</v>
      </c>
      <c r="L334" s="194" t="n">
        <v>2.90838867454671</v>
      </c>
      <c r="M334" s="194" t="n">
        <v>2.76744321209268</v>
      </c>
      <c r="N334" s="194" t="n">
        <v>2.84670506655289</v>
      </c>
      <c r="O334" s="194" t="n">
        <v>2.92052261115022</v>
      </c>
      <c r="P334" s="194" t="n">
        <v>2.60863943782257</v>
      </c>
      <c r="Q334" s="194" t="n">
        <v>2.70191050232122</v>
      </c>
      <c r="R334" s="194" t="n">
        <v>2.75774651282439</v>
      </c>
      <c r="S334" s="194" t="n">
        <v>2.92853304218042</v>
      </c>
      <c r="T334" s="194" t="n">
        <v>2.75312479718349</v>
      </c>
      <c r="U334" s="194" t="n">
        <v>3.03222844326955</v>
      </c>
      <c r="V334" s="194" t="n">
        <v>1.65089845696745</v>
      </c>
    </row>
    <row r="335" customFormat="false" ht="12.75" hidden="false" customHeight="false" outlineLevel="0" collapsed="false">
      <c r="A335" s="186" t="s">
        <v>113</v>
      </c>
      <c r="B335" s="189"/>
      <c r="C335" s="187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</row>
    <row r="336" customFormat="false" ht="12.75" hidden="false" customHeight="false" outlineLevel="0" collapsed="false">
      <c r="A336" s="55"/>
      <c r="B336" s="189" t="s">
        <v>26</v>
      </c>
      <c r="C336" s="193" t="n">
        <v>0</v>
      </c>
      <c r="D336" s="194" t="n">
        <v>22.5713373020444</v>
      </c>
      <c r="E336" s="194" t="n">
        <v>23.0227640480852</v>
      </c>
      <c r="F336" s="194" t="n">
        <v>23.4832193290469</v>
      </c>
      <c r="G336" s="194" t="n">
        <v>23.9528837156279</v>
      </c>
      <c r="H336" s="194" t="n">
        <v>24.4319413899404</v>
      </c>
      <c r="I336" s="194" t="n">
        <v>24.9205802177392</v>
      </c>
      <c r="J336" s="194" t="n">
        <v>25.418991822094</v>
      </c>
      <c r="K336" s="194" t="n">
        <v>25.9273716585359</v>
      </c>
      <c r="L336" s="194" t="n">
        <v>26.4459190917066</v>
      </c>
      <c r="M336" s="194" t="n">
        <v>26.9748374735408</v>
      </c>
      <c r="N336" s="194" t="n">
        <v>27.5143342230116</v>
      </c>
      <c r="O336" s="194" t="n">
        <v>28.0646209074718</v>
      </c>
      <c r="P336" s="194" t="n">
        <v>28.6259133256212</v>
      </c>
      <c r="Q336" s="194" t="n">
        <v>29.1984315921337</v>
      </c>
      <c r="R336" s="194" t="n">
        <v>29.7824002239763</v>
      </c>
      <c r="S336" s="194" t="n">
        <v>30.3780482284559</v>
      </c>
      <c r="T336" s="194" t="n">
        <v>30.985609193025</v>
      </c>
      <c r="U336" s="194" t="n">
        <v>31.6053213768855</v>
      </c>
      <c r="V336" s="194" t="n">
        <v>32.2374278044232</v>
      </c>
    </row>
    <row r="337" customFormat="false" ht="12.75" hidden="false" customHeight="false" outlineLevel="0" collapsed="false">
      <c r="A337" s="55"/>
      <c r="B337" s="189" t="s">
        <v>114</v>
      </c>
      <c r="C337" s="193" t="n">
        <v>0</v>
      </c>
      <c r="D337" s="194" t="n">
        <v>2.62268904010184</v>
      </c>
      <c r="E337" s="194" t="n">
        <v>2.67980362560207</v>
      </c>
      <c r="F337" s="194" t="n">
        <v>2.74384093946668</v>
      </c>
      <c r="G337" s="194" t="n">
        <v>2.86012793046779</v>
      </c>
      <c r="H337" s="194" t="n">
        <v>3.38782754087897</v>
      </c>
      <c r="I337" s="194" t="n">
        <v>4.22158977580338</v>
      </c>
      <c r="J337" s="194" t="n">
        <v>4.71473665222313</v>
      </c>
      <c r="K337" s="194" t="n">
        <v>5.21669139982379</v>
      </c>
      <c r="L337" s="194" t="n">
        <v>5.60707230926959</v>
      </c>
      <c r="M337" s="194" t="n">
        <v>5.81044370981924</v>
      </c>
      <c r="N337" s="194" t="n">
        <v>5.8812772926957</v>
      </c>
      <c r="O337" s="194" t="n">
        <v>5.95742267287018</v>
      </c>
      <c r="P337" s="194" t="n">
        <v>6.03188577419991</v>
      </c>
      <c r="Q337" s="194" t="n">
        <v>6.10821045306288</v>
      </c>
      <c r="R337" s="194" t="n">
        <v>6.18645088136531</v>
      </c>
      <c r="S337" s="194" t="n">
        <v>6.2666473203753</v>
      </c>
      <c r="T337" s="194" t="n">
        <v>6.34883263107274</v>
      </c>
      <c r="U337" s="194" t="n">
        <v>6.43308079306868</v>
      </c>
      <c r="V337" s="194" t="n">
        <v>6.51944358393073</v>
      </c>
    </row>
    <row r="338" customFormat="false" ht="12.75" hidden="false" customHeight="false" outlineLevel="0" collapsed="false">
      <c r="A338" s="55"/>
      <c r="B338" s="189" t="s">
        <v>28</v>
      </c>
      <c r="C338" s="193" t="n">
        <v>0</v>
      </c>
      <c r="D338" s="194" t="n">
        <v>3.26661672377148</v>
      </c>
      <c r="E338" s="194" t="n">
        <v>3.33554233664308</v>
      </c>
      <c r="F338" s="194" t="n">
        <v>3.40859071381557</v>
      </c>
      <c r="G338" s="194" t="n">
        <v>3.48562486394777</v>
      </c>
      <c r="H338" s="194" t="n">
        <v>3.56858273570973</v>
      </c>
      <c r="I338" s="194" t="n">
        <v>3.65801177782266</v>
      </c>
      <c r="J338" s="194" t="n">
        <v>3.74874066066398</v>
      </c>
      <c r="K338" s="194" t="n">
        <v>3.84362903383613</v>
      </c>
      <c r="L338" s="194" t="n">
        <v>3.93856667097189</v>
      </c>
      <c r="M338" s="194" t="n">
        <v>4.03900012108166</v>
      </c>
      <c r="N338" s="194" t="n">
        <v>4.13674392401185</v>
      </c>
      <c r="O338" s="194" t="n">
        <v>4.24098987089694</v>
      </c>
      <c r="P338" s="194" t="n">
        <v>4.34871101361771</v>
      </c>
      <c r="Q338" s="194" t="n">
        <v>4.45742878895815</v>
      </c>
      <c r="R338" s="194" t="n">
        <v>4.569310251561</v>
      </c>
      <c r="S338" s="194" t="n">
        <v>4.68354300785003</v>
      </c>
      <c r="T338" s="194" t="n">
        <v>4.79969487444471</v>
      </c>
      <c r="U338" s="194" t="n">
        <v>4.92016721579328</v>
      </c>
      <c r="V338" s="194" t="n">
        <v>5.04366341290969</v>
      </c>
    </row>
    <row r="339" customFormat="false" ht="12.75" hidden="false" customHeight="false" outlineLevel="0" collapsed="false">
      <c r="A339" s="55"/>
      <c r="B339" s="189" t="s">
        <v>33</v>
      </c>
      <c r="C339" s="193" t="n">
        <v>0</v>
      </c>
      <c r="D339" s="194" t="n">
        <v>6.283526171875</v>
      </c>
      <c r="E339" s="194" t="n">
        <v>75.159967109375</v>
      </c>
      <c r="F339" s="194" t="n">
        <v>4.7203946875</v>
      </c>
      <c r="G339" s="194" t="n">
        <v>8.26460078125</v>
      </c>
      <c r="H339" s="194" t="n">
        <v>20.701472078125</v>
      </c>
      <c r="I339" s="194" t="n">
        <v>21.3225162404688</v>
      </c>
      <c r="J339" s="194" t="n">
        <v>21.9621917276828</v>
      </c>
      <c r="K339" s="194" t="n">
        <v>22.6210574795133</v>
      </c>
      <c r="L339" s="194" t="n">
        <v>23.2996892038987</v>
      </c>
      <c r="M339" s="194" t="n">
        <v>23.9986798800157</v>
      </c>
      <c r="N339" s="194" t="n">
        <v>24.7186402764161</v>
      </c>
      <c r="O339" s="194" t="n">
        <v>25.4601994847086</v>
      </c>
      <c r="P339" s="194" t="n">
        <v>26.2240054692499</v>
      </c>
      <c r="Q339" s="194" t="n">
        <v>27.0107256333274</v>
      </c>
      <c r="R339" s="194" t="n">
        <v>27.8210474023272</v>
      </c>
      <c r="S339" s="194" t="n">
        <v>28.655678824397</v>
      </c>
      <c r="T339" s="194" t="n">
        <v>29.5153491891289</v>
      </c>
      <c r="U339" s="194" t="n">
        <v>30.4008096648028</v>
      </c>
      <c r="V339" s="194" t="n">
        <v>31.3128339547469</v>
      </c>
    </row>
    <row r="340" customFormat="false" ht="12.75" hidden="false" customHeight="false" outlineLevel="0" collapsed="false">
      <c r="A340" s="55"/>
      <c r="B340" s="189" t="s">
        <v>115</v>
      </c>
      <c r="C340" s="195" t="n">
        <v>0</v>
      </c>
      <c r="D340" s="196" t="n">
        <v>0</v>
      </c>
      <c r="E340" s="196" t="n">
        <v>0</v>
      </c>
      <c r="F340" s="196" t="n">
        <v>0</v>
      </c>
      <c r="G340" s="196" t="n">
        <v>0</v>
      </c>
      <c r="H340" s="196" t="n">
        <v>0</v>
      </c>
      <c r="I340" s="196" t="n">
        <v>0</v>
      </c>
      <c r="J340" s="196" t="n">
        <v>0</v>
      </c>
      <c r="K340" s="196" t="n">
        <v>0</v>
      </c>
      <c r="L340" s="196" t="n">
        <v>0</v>
      </c>
      <c r="M340" s="196" t="n">
        <v>0</v>
      </c>
      <c r="N340" s="196" t="n">
        <v>0</v>
      </c>
      <c r="O340" s="196" t="n">
        <v>0</v>
      </c>
      <c r="P340" s="196" t="n">
        <v>0</v>
      </c>
      <c r="Q340" s="196" t="n">
        <v>0</v>
      </c>
      <c r="R340" s="196" t="n">
        <v>0</v>
      </c>
      <c r="S340" s="196" t="n">
        <v>0</v>
      </c>
      <c r="T340" s="196" t="n">
        <v>0</v>
      </c>
      <c r="U340" s="196" t="n">
        <v>0</v>
      </c>
      <c r="V340" s="196" t="n">
        <v>0</v>
      </c>
    </row>
    <row r="341" customFormat="false" ht="12.75" hidden="false" customHeight="false" outlineLevel="0" collapsed="false">
      <c r="A341" s="55"/>
      <c r="B341" s="189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</row>
    <row r="342" customFormat="false" ht="12.75" hidden="false" customHeight="false" outlineLevel="0" collapsed="false">
      <c r="A342" s="55"/>
      <c r="B342" s="189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</row>
    <row r="343" customFormat="false" ht="12.75" hidden="false" customHeight="false" outlineLevel="0" collapsed="false">
      <c r="A343" s="11"/>
      <c r="B343" s="156"/>
      <c r="C343" s="257"/>
      <c r="D343" s="257"/>
      <c r="E343" s="257"/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</row>
    <row r="344" customFormat="false" ht="12.75" hidden="false" customHeight="false" outlineLevel="0" collapsed="false">
      <c r="A344" s="11"/>
      <c r="B344" s="156"/>
      <c r="C344" s="257"/>
      <c r="D344" s="257"/>
      <c r="E344" s="257"/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</row>
    <row r="345" customFormat="false" ht="12.75" hidden="false" customHeight="false" outlineLevel="0" collapsed="false">
      <c r="A345" s="52" t="s">
        <v>105</v>
      </c>
      <c r="B345" s="182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</row>
    <row r="346" customFormat="false" ht="12.75" hidden="false" customHeight="false" outlineLevel="0" collapsed="false">
      <c r="A346" s="183" t="s">
        <v>84</v>
      </c>
      <c r="B346" s="182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</row>
    <row r="347" customFormat="false" ht="12.75" hidden="false" customHeight="false" outlineLevel="0" collapsed="false">
      <c r="A347" s="55"/>
      <c r="B347" s="182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</row>
    <row r="348" customFormat="false" ht="12.75" hidden="false" customHeight="false" outlineLevel="0" collapsed="false">
      <c r="A348" s="55"/>
      <c r="B348" s="182"/>
      <c r="C348" s="184" t="n">
        <v>2000</v>
      </c>
      <c r="D348" s="185" t="n">
        <v>2001</v>
      </c>
      <c r="E348" s="185" t="n">
        <v>2002</v>
      </c>
      <c r="F348" s="185" t="n">
        <v>2003</v>
      </c>
      <c r="G348" s="185" t="n">
        <v>2004</v>
      </c>
      <c r="H348" s="185" t="n">
        <v>2005</v>
      </c>
      <c r="I348" s="185" t="n">
        <v>2006</v>
      </c>
      <c r="J348" s="185" t="n">
        <v>2007</v>
      </c>
      <c r="K348" s="185" t="n">
        <v>2008</v>
      </c>
      <c r="L348" s="185" t="n">
        <v>2009</v>
      </c>
      <c r="M348" s="185" t="n">
        <v>2010</v>
      </c>
      <c r="N348" s="185" t="n">
        <v>2011</v>
      </c>
      <c r="O348" s="185" t="n">
        <v>2012</v>
      </c>
      <c r="P348" s="185" t="n">
        <v>2013</v>
      </c>
      <c r="Q348" s="185" t="n">
        <v>2014</v>
      </c>
      <c r="R348" s="185" t="n">
        <v>2015</v>
      </c>
      <c r="S348" s="185" t="n">
        <v>2016</v>
      </c>
      <c r="T348" s="185" t="n">
        <v>2017</v>
      </c>
      <c r="U348" s="185" t="n">
        <v>2018</v>
      </c>
      <c r="V348" s="185" t="n">
        <v>2019</v>
      </c>
    </row>
    <row r="349" customFormat="false" ht="12.75" hidden="false" customHeight="false" outlineLevel="0" collapsed="false">
      <c r="A349" s="186" t="s">
        <v>106</v>
      </c>
      <c r="B349" s="182"/>
      <c r="C349" s="187"/>
      <c r="D349" s="188"/>
      <c r="E349" s="188"/>
      <c r="F349" s="188"/>
      <c r="G349" s="188"/>
      <c r="H349" s="188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</row>
    <row r="350" customFormat="false" ht="12.75" hidden="false" customHeight="false" outlineLevel="0" collapsed="false">
      <c r="A350" s="55"/>
      <c r="B350" s="189" t="s">
        <v>107</v>
      </c>
      <c r="C350" s="190" t="n">
        <v>0</v>
      </c>
      <c r="D350" s="191" t="n">
        <v>1112073.77829222</v>
      </c>
      <c r="E350" s="191" t="n">
        <v>1112073.77829222</v>
      </c>
      <c r="F350" s="191" t="n">
        <v>1112073.77829222</v>
      </c>
      <c r="G350" s="191" t="n">
        <v>1112073.77829222</v>
      </c>
      <c r="H350" s="191" t="n">
        <v>1112073.77829222</v>
      </c>
      <c r="I350" s="191" t="n">
        <v>1112073.77829222</v>
      </c>
      <c r="J350" s="191" t="n">
        <v>1112073.77829222</v>
      </c>
      <c r="K350" s="191" t="n">
        <v>1112073.77829222</v>
      </c>
      <c r="L350" s="191" t="n">
        <v>1112073.77829222</v>
      </c>
      <c r="M350" s="191" t="n">
        <v>1112073.77829222</v>
      </c>
      <c r="N350" s="191" t="n">
        <v>1112073.77829222</v>
      </c>
      <c r="O350" s="191" t="n">
        <v>1112073.77829222</v>
      </c>
      <c r="P350" s="191" t="n">
        <v>1112073.77829222</v>
      </c>
      <c r="Q350" s="191" t="n">
        <v>1112073.77829222</v>
      </c>
      <c r="R350" s="191" t="n">
        <v>1112073.77829222</v>
      </c>
      <c r="S350" s="191" t="n">
        <v>1112073.77829222</v>
      </c>
      <c r="T350" s="191" t="n">
        <v>1112073.77829222</v>
      </c>
      <c r="U350" s="191" t="n">
        <v>1112073.77829222</v>
      </c>
      <c r="V350" s="191" t="n">
        <v>1112073.77829222</v>
      </c>
    </row>
    <row r="351" customFormat="false" ht="12.75" hidden="false" customHeight="false" outlineLevel="0" collapsed="false">
      <c r="A351" s="55"/>
      <c r="B351" s="189" t="s">
        <v>108</v>
      </c>
      <c r="C351" s="190" t="n">
        <v>0</v>
      </c>
      <c r="D351" s="192" t="n">
        <v>0.846327076325888</v>
      </c>
      <c r="E351" s="192" t="n">
        <v>0.846327076325888</v>
      </c>
      <c r="F351" s="192" t="n">
        <v>0.846327076325888</v>
      </c>
      <c r="G351" s="192" t="n">
        <v>0.846327076325888</v>
      </c>
      <c r="H351" s="192" t="n">
        <v>0.846327076325888</v>
      </c>
      <c r="I351" s="192" t="n">
        <v>0.846327076325888</v>
      </c>
      <c r="J351" s="192" t="n">
        <v>0.846327076325888</v>
      </c>
      <c r="K351" s="192" t="n">
        <v>0.846327076325888</v>
      </c>
      <c r="L351" s="192" t="n">
        <v>0.846327076325888</v>
      </c>
      <c r="M351" s="192" t="n">
        <v>0.846327076325888</v>
      </c>
      <c r="N351" s="192" t="n">
        <v>0.846327076325888</v>
      </c>
      <c r="O351" s="192" t="n">
        <v>0.846327076325888</v>
      </c>
      <c r="P351" s="192" t="n">
        <v>0.846327076325888</v>
      </c>
      <c r="Q351" s="192" t="n">
        <v>0.846327076325888</v>
      </c>
      <c r="R351" s="192" t="n">
        <v>0.846327076325888</v>
      </c>
      <c r="S351" s="192" t="n">
        <v>0.846327076325888</v>
      </c>
      <c r="T351" s="192" t="n">
        <v>0.846327076325888</v>
      </c>
      <c r="U351" s="192" t="n">
        <v>0.846327076325888</v>
      </c>
      <c r="V351" s="192" t="n">
        <v>0.846327076325888</v>
      </c>
    </row>
    <row r="352" customFormat="false" ht="12.75" hidden="false" customHeight="false" outlineLevel="0" collapsed="false">
      <c r="A352" s="186" t="s">
        <v>109</v>
      </c>
      <c r="B352" s="189"/>
      <c r="C352" s="187"/>
      <c r="D352" s="188"/>
      <c r="E352" s="188"/>
      <c r="F352" s="188"/>
      <c r="G352" s="188"/>
      <c r="H352" s="188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</row>
    <row r="353" customFormat="false" ht="12.75" hidden="false" customHeight="false" outlineLevel="0" collapsed="false">
      <c r="A353" s="55"/>
      <c r="B353" s="189" t="s">
        <v>20</v>
      </c>
      <c r="C353" s="193" t="n">
        <v>0</v>
      </c>
      <c r="D353" s="194" t="n">
        <v>39.4830479600139</v>
      </c>
      <c r="E353" s="194" t="n">
        <v>38.9354673272511</v>
      </c>
      <c r="F353" s="194" t="n">
        <v>39.6849082613523</v>
      </c>
      <c r="G353" s="194" t="n">
        <v>39.1224218116773</v>
      </c>
      <c r="H353" s="194" t="n">
        <v>39.417099156106</v>
      </c>
      <c r="I353" s="194" t="n">
        <v>42.0786149252578</v>
      </c>
      <c r="J353" s="194" t="n">
        <v>45.1190140269637</v>
      </c>
      <c r="K353" s="194" t="n">
        <v>46.2865929451868</v>
      </c>
      <c r="L353" s="194" t="n">
        <v>47.2554084179073</v>
      </c>
      <c r="M353" s="194" t="n">
        <v>47.424107614869</v>
      </c>
      <c r="N353" s="194" t="n">
        <v>48.4487023221246</v>
      </c>
      <c r="O353" s="194" t="n">
        <v>48.9927709342232</v>
      </c>
      <c r="P353" s="194" t="n">
        <v>49.5693200792454</v>
      </c>
      <c r="Q353" s="194" t="n">
        <v>51.3142206624761</v>
      </c>
      <c r="R353" s="194" t="n">
        <v>54.9549131355291</v>
      </c>
      <c r="S353" s="194" t="n">
        <v>54.6383329257431</v>
      </c>
      <c r="T353" s="194" t="n">
        <v>55.3346885959101</v>
      </c>
      <c r="U353" s="194" t="n">
        <v>57.9938209162061</v>
      </c>
      <c r="V353" s="194" t="n">
        <v>59.7553005518293</v>
      </c>
    </row>
    <row r="354" customFormat="false" ht="12.75" hidden="false" customHeight="false" outlineLevel="0" collapsed="false">
      <c r="A354" s="55"/>
      <c r="B354" s="189" t="s">
        <v>21</v>
      </c>
      <c r="C354" s="193" t="n">
        <v>0</v>
      </c>
      <c r="D354" s="194" t="n">
        <v>12.0851568</v>
      </c>
      <c r="E354" s="194" t="n">
        <v>12.2590368</v>
      </c>
      <c r="F354" s="194" t="n">
        <v>12.4726608</v>
      </c>
      <c r="G354" s="194" t="n">
        <v>12.8293632</v>
      </c>
      <c r="H354" s="194" t="n">
        <v>13.2754896</v>
      </c>
      <c r="I354" s="194" t="n">
        <v>13.7852064</v>
      </c>
      <c r="J354" s="194" t="n">
        <v>14.1031584</v>
      </c>
      <c r="K354" s="194" t="n">
        <v>14.4062064</v>
      </c>
      <c r="L354" s="194" t="n">
        <v>14.6436768</v>
      </c>
      <c r="M354" s="194" t="n">
        <v>14.7609216</v>
      </c>
      <c r="N354" s="194" t="n">
        <v>14.9616288</v>
      </c>
      <c r="O354" s="194" t="n">
        <v>15.286536</v>
      </c>
      <c r="P354" s="194" t="n">
        <v>15.6352896</v>
      </c>
      <c r="Q354" s="194" t="n">
        <v>15.967152</v>
      </c>
      <c r="R354" s="194" t="n">
        <v>16.1936928</v>
      </c>
      <c r="S354" s="194" t="n">
        <v>16.5255552</v>
      </c>
      <c r="T354" s="194" t="n">
        <v>16.9031232</v>
      </c>
      <c r="U354" s="194" t="n">
        <v>17.3174544</v>
      </c>
      <c r="V354" s="194" t="n">
        <v>17.745696</v>
      </c>
    </row>
    <row r="355" customFormat="false" ht="12.75" hidden="false" customHeight="false" outlineLevel="0" collapsed="false">
      <c r="A355" s="55"/>
      <c r="B355" s="189" t="s">
        <v>110</v>
      </c>
      <c r="C355" s="193" t="n">
        <v>0</v>
      </c>
      <c r="D355" s="194" t="n">
        <v>1.04716644859175</v>
      </c>
      <c r="E355" s="194" t="n">
        <v>1.06830282864786</v>
      </c>
      <c r="F355" s="194" t="n">
        <v>1.08986583291684</v>
      </c>
      <c r="G355" s="194" t="n">
        <v>1.11186407253355</v>
      </c>
      <c r="H355" s="194" t="n">
        <v>1.13430633244305</v>
      </c>
      <c r="I355" s="194" t="n">
        <v>1.15720157490886</v>
      </c>
      <c r="J355" s="194" t="n">
        <v>1.18055894309202</v>
      </c>
      <c r="K355" s="194" t="n">
        <v>1.20438776470237</v>
      </c>
      <c r="L355" s="194" t="n">
        <v>1.22869755572357</v>
      </c>
      <c r="M355" s="194" t="n">
        <v>1.25349802421328</v>
      </c>
      <c r="N355" s="194" t="n">
        <v>1.27879907418006</v>
      </c>
      <c r="O355" s="194" t="n">
        <v>1.30461080953849</v>
      </c>
      <c r="P355" s="194" t="n">
        <v>1.33094353814415</v>
      </c>
      <c r="Q355" s="194" t="n">
        <v>1.35780777591005</v>
      </c>
      <c r="R355" s="194" t="n">
        <v>1.38521425100612</v>
      </c>
      <c r="S355" s="194" t="n">
        <v>1.41317390814351</v>
      </c>
      <c r="T355" s="194" t="n">
        <v>1.4416979129453</v>
      </c>
      <c r="U355" s="194" t="n">
        <v>1.47079765640547</v>
      </c>
      <c r="V355" s="194" t="n">
        <v>1.50048475943788</v>
      </c>
    </row>
    <row r="356" customFormat="false" ht="12.75" hidden="false" customHeight="false" outlineLevel="0" collapsed="false">
      <c r="A356" s="55"/>
      <c r="B356" s="189" t="s">
        <v>111</v>
      </c>
      <c r="C356" s="193" t="n">
        <v>0</v>
      </c>
      <c r="D356" s="194" t="n">
        <v>0</v>
      </c>
      <c r="E356" s="194" t="n">
        <v>0</v>
      </c>
      <c r="F356" s="194" t="n">
        <v>0</v>
      </c>
      <c r="G356" s="194" t="n">
        <v>0</v>
      </c>
      <c r="H356" s="194" t="n">
        <v>0</v>
      </c>
      <c r="I356" s="194" t="n">
        <v>0.920752395008407</v>
      </c>
      <c r="J356" s="194" t="n">
        <v>1.02058047652333</v>
      </c>
      <c r="K356" s="194" t="n">
        <v>1.21203082858561</v>
      </c>
      <c r="L356" s="194" t="n">
        <v>1.23691772609333</v>
      </c>
      <c r="M356" s="194" t="n">
        <v>1.37564268811794</v>
      </c>
      <c r="N356" s="194" t="n">
        <v>1.51537445223571</v>
      </c>
      <c r="O356" s="194" t="n">
        <v>1.67898946077726</v>
      </c>
      <c r="P356" s="194" t="n">
        <v>1.88258886004213</v>
      </c>
      <c r="Q356" s="194" t="n">
        <v>2.09561517360512</v>
      </c>
      <c r="R356" s="194" t="n">
        <v>2.32130143895101</v>
      </c>
      <c r="S356" s="194" t="n">
        <v>2.54878612532321</v>
      </c>
      <c r="T356" s="194" t="n">
        <v>2.50405810881656</v>
      </c>
      <c r="U356" s="194" t="n">
        <v>2.14235715037642</v>
      </c>
      <c r="V356" s="194" t="n">
        <v>2.22122910746448</v>
      </c>
    </row>
    <row r="357" customFormat="false" ht="12.75" hidden="false" customHeight="false" outlineLevel="0" collapsed="false">
      <c r="A357" s="55"/>
      <c r="B357" s="189" t="s">
        <v>112</v>
      </c>
      <c r="C357" s="193" t="n">
        <v>0</v>
      </c>
      <c r="D357" s="194" t="n">
        <v>0</v>
      </c>
      <c r="E357" s="194" t="n">
        <v>0</v>
      </c>
      <c r="F357" s="194" t="n">
        <v>1.53838406483444</v>
      </c>
      <c r="G357" s="194" t="n">
        <v>1.31079965395786</v>
      </c>
      <c r="H357" s="194" t="n">
        <v>1.36078912265364</v>
      </c>
      <c r="I357" s="194" t="n">
        <v>1.41329931776162</v>
      </c>
      <c r="J357" s="194" t="n">
        <v>1.77541261448824</v>
      </c>
      <c r="K357" s="194" t="n">
        <v>1.55080302151399</v>
      </c>
      <c r="L357" s="194" t="n">
        <v>1.64141542497422</v>
      </c>
      <c r="M357" s="194" t="n">
        <v>1.56186964136666</v>
      </c>
      <c r="N357" s="194" t="n">
        <v>1.60660287515403</v>
      </c>
      <c r="O357" s="194" t="n">
        <v>1.64826348860511</v>
      </c>
      <c r="P357" s="194" t="n">
        <v>1.47224511252967</v>
      </c>
      <c r="Q357" s="194" t="n">
        <v>1.52488476324476</v>
      </c>
      <c r="R357" s="194" t="n">
        <v>1.55639708816577</v>
      </c>
      <c r="S357" s="194" t="n">
        <v>1.65278435789907</v>
      </c>
      <c r="T357" s="194" t="n">
        <v>1.55378871762396</v>
      </c>
      <c r="U357" s="194" t="n">
        <v>1.71130722051925</v>
      </c>
      <c r="V357" s="194" t="n">
        <v>0.931722164938922</v>
      </c>
    </row>
    <row r="358" customFormat="false" ht="12.75" hidden="false" customHeight="false" outlineLevel="0" collapsed="false">
      <c r="A358" s="186" t="s">
        <v>113</v>
      </c>
      <c r="B358" s="189"/>
      <c r="C358" s="187"/>
      <c r="D358" s="188"/>
      <c r="E358" s="188"/>
      <c r="F358" s="188"/>
      <c r="G358" s="188"/>
      <c r="H358" s="188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</row>
    <row r="359" customFormat="false" ht="12.75" hidden="false" customHeight="false" outlineLevel="0" collapsed="false">
      <c r="A359" s="55"/>
      <c r="B359" s="189" t="s">
        <v>26</v>
      </c>
      <c r="C359" s="193" t="n">
        <v>0</v>
      </c>
      <c r="D359" s="194" t="n">
        <v>24.4281877550601</v>
      </c>
      <c r="E359" s="194" t="n">
        <v>24.9167515101613</v>
      </c>
      <c r="F359" s="194" t="n">
        <v>25.4150865403645</v>
      </c>
      <c r="G359" s="194" t="n">
        <v>25.9233882711718</v>
      </c>
      <c r="H359" s="194" t="n">
        <v>26.4418560365952</v>
      </c>
      <c r="I359" s="194" t="n">
        <v>26.9706931573271</v>
      </c>
      <c r="J359" s="194" t="n">
        <v>27.5101070204737</v>
      </c>
      <c r="K359" s="194" t="n">
        <v>28.0603091608831</v>
      </c>
      <c r="L359" s="194" t="n">
        <v>28.6215153441008</v>
      </c>
      <c r="M359" s="194" t="n">
        <v>29.1939456509828</v>
      </c>
      <c r="N359" s="194" t="n">
        <v>29.7778245640025</v>
      </c>
      <c r="O359" s="194" t="n">
        <v>30.3733810552825</v>
      </c>
      <c r="P359" s="194" t="n">
        <v>30.9808486763882</v>
      </c>
      <c r="Q359" s="194" t="n">
        <v>31.6004656499159</v>
      </c>
      <c r="R359" s="194" t="n">
        <v>32.2324749629143</v>
      </c>
      <c r="S359" s="194" t="n">
        <v>32.8771244621725</v>
      </c>
      <c r="T359" s="194" t="n">
        <v>33.534666951416</v>
      </c>
      <c r="U359" s="194" t="n">
        <v>34.2053602904443</v>
      </c>
      <c r="V359" s="194" t="n">
        <v>34.8894674962532</v>
      </c>
    </row>
    <row r="360" customFormat="false" ht="12.75" hidden="false" customHeight="false" outlineLevel="0" collapsed="false">
      <c r="A360" s="55"/>
      <c r="B360" s="189" t="s">
        <v>114</v>
      </c>
      <c r="C360" s="193" t="n">
        <v>0</v>
      </c>
      <c r="D360" s="194" t="n">
        <v>2.62097951791483</v>
      </c>
      <c r="E360" s="194" t="n">
        <v>2.67721279645754</v>
      </c>
      <c r="F360" s="194" t="n">
        <v>2.73467758380035</v>
      </c>
      <c r="G360" s="194" t="n">
        <v>2.85004361349027</v>
      </c>
      <c r="H360" s="194" t="n">
        <v>3.20277684049975</v>
      </c>
      <c r="I360" s="194" t="n">
        <v>4.03557256656141</v>
      </c>
      <c r="J360" s="194" t="n">
        <v>4.46672216994189</v>
      </c>
      <c r="K360" s="194" t="n">
        <v>4.90535562555345</v>
      </c>
      <c r="L360" s="194" t="n">
        <v>5.35535138528775</v>
      </c>
      <c r="M360" s="194" t="n">
        <v>5.61973049977807</v>
      </c>
      <c r="N360" s="194" t="n">
        <v>5.69696325926041</v>
      </c>
      <c r="O360" s="194" t="n">
        <v>5.76846130684539</v>
      </c>
      <c r="P360" s="194" t="n">
        <v>5.84177540483902</v>
      </c>
      <c r="Q360" s="194" t="n">
        <v>5.91692235528249</v>
      </c>
      <c r="R360" s="194" t="n">
        <v>5.99395549418209</v>
      </c>
      <c r="S360" s="194" t="n">
        <v>6.07291446155418</v>
      </c>
      <c r="T360" s="194" t="n">
        <v>6.15383161131711</v>
      </c>
      <c r="U360" s="194" t="n">
        <v>6.23677978153907</v>
      </c>
      <c r="V360" s="194" t="n">
        <v>6.32180995083362</v>
      </c>
    </row>
    <row r="361" customFormat="false" ht="12.75" hidden="false" customHeight="false" outlineLevel="0" collapsed="false">
      <c r="A361" s="55"/>
      <c r="B361" s="189" t="s">
        <v>28</v>
      </c>
      <c r="C361" s="193" t="n">
        <v>0</v>
      </c>
      <c r="D361" s="194" t="n">
        <v>3.26661672377148</v>
      </c>
      <c r="E361" s="194" t="n">
        <v>3.33554233664308</v>
      </c>
      <c r="F361" s="194" t="n">
        <v>3.40859071381557</v>
      </c>
      <c r="G361" s="194" t="n">
        <v>3.48562486394777</v>
      </c>
      <c r="H361" s="194" t="n">
        <v>3.56858273570974</v>
      </c>
      <c r="I361" s="194" t="n">
        <v>3.65801177782266</v>
      </c>
      <c r="J361" s="194" t="n">
        <v>3.74874066066397</v>
      </c>
      <c r="K361" s="194" t="n">
        <v>3.84362903383613</v>
      </c>
      <c r="L361" s="194" t="n">
        <v>3.93856667097189</v>
      </c>
      <c r="M361" s="194" t="n">
        <v>4.03900012108165</v>
      </c>
      <c r="N361" s="194" t="n">
        <v>4.13674392401185</v>
      </c>
      <c r="O361" s="194" t="n">
        <v>4.24098987089694</v>
      </c>
      <c r="P361" s="194" t="n">
        <v>4.34871101361771</v>
      </c>
      <c r="Q361" s="194" t="n">
        <v>4.45742878895815</v>
      </c>
      <c r="R361" s="194" t="n">
        <v>4.569310251561</v>
      </c>
      <c r="S361" s="194" t="n">
        <v>4.68354300785003</v>
      </c>
      <c r="T361" s="194" t="n">
        <v>4.79969487444471</v>
      </c>
      <c r="U361" s="194" t="n">
        <v>4.92016721579328</v>
      </c>
      <c r="V361" s="194" t="n">
        <v>5.04366341290969</v>
      </c>
    </row>
    <row r="362" customFormat="false" ht="12.75" hidden="false" customHeight="false" outlineLevel="0" collapsed="false">
      <c r="A362" s="55"/>
      <c r="B362" s="189" t="s">
        <v>33</v>
      </c>
      <c r="C362" s="193" t="n">
        <v>0</v>
      </c>
      <c r="D362" s="194" t="n">
        <v>11.0560984666667</v>
      </c>
      <c r="E362" s="194" t="n">
        <v>9.71376573333333</v>
      </c>
      <c r="F362" s="194" t="n">
        <v>46.9174015333333</v>
      </c>
      <c r="G362" s="194" t="n">
        <v>8.26453433333333</v>
      </c>
      <c r="H362" s="194" t="n">
        <v>16.64590228</v>
      </c>
      <c r="I362" s="194" t="n">
        <v>17.1452793484</v>
      </c>
      <c r="J362" s="194" t="n">
        <v>17.659637728852</v>
      </c>
      <c r="K362" s="194" t="n">
        <v>18.1894268607176</v>
      </c>
      <c r="L362" s="194" t="n">
        <v>18.7351096665391</v>
      </c>
      <c r="M362" s="194" t="n">
        <v>19.2971629565353</v>
      </c>
      <c r="N362" s="194" t="n">
        <v>19.8760778452313</v>
      </c>
      <c r="O362" s="194" t="n">
        <v>20.4723601805883</v>
      </c>
      <c r="P362" s="194" t="n">
        <v>21.0865309860059</v>
      </c>
      <c r="Q362" s="194" t="n">
        <v>21.7191269155861</v>
      </c>
      <c r="R362" s="194" t="n">
        <v>22.3707007230537</v>
      </c>
      <c r="S362" s="194" t="n">
        <v>23.0418217447453</v>
      </c>
      <c r="T362" s="194" t="n">
        <v>23.7330763970876</v>
      </c>
      <c r="U362" s="194" t="n">
        <v>24.4450686890003</v>
      </c>
      <c r="V362" s="194" t="n">
        <v>25.1784207496703</v>
      </c>
    </row>
    <row r="363" customFormat="false" ht="12.75" hidden="false" customHeight="false" outlineLevel="0" collapsed="false">
      <c r="A363" s="55"/>
      <c r="B363" s="189" t="s">
        <v>115</v>
      </c>
      <c r="C363" s="195" t="n">
        <v>0</v>
      </c>
      <c r="D363" s="196" t="n">
        <v>0</v>
      </c>
      <c r="E363" s="196" t="n">
        <v>0</v>
      </c>
      <c r="F363" s="196" t="n">
        <v>0</v>
      </c>
      <c r="G363" s="196" t="n">
        <v>0</v>
      </c>
      <c r="H363" s="196" t="n">
        <v>0</v>
      </c>
      <c r="I363" s="196" t="n">
        <v>0</v>
      </c>
      <c r="J363" s="196" t="n">
        <v>0</v>
      </c>
      <c r="K363" s="196" t="n">
        <v>0</v>
      </c>
      <c r="L363" s="196" t="n">
        <v>0</v>
      </c>
      <c r="M363" s="196" t="n">
        <v>0</v>
      </c>
      <c r="N363" s="196" t="n">
        <v>0</v>
      </c>
      <c r="O363" s="196" t="n">
        <v>0</v>
      </c>
      <c r="P363" s="196" t="n">
        <v>0</v>
      </c>
      <c r="Q363" s="196" t="n">
        <v>0</v>
      </c>
      <c r="R363" s="196" t="n">
        <v>0</v>
      </c>
      <c r="S363" s="196" t="n">
        <v>0</v>
      </c>
      <c r="T363" s="196" t="n">
        <v>0</v>
      </c>
      <c r="U363" s="196" t="n">
        <v>0</v>
      </c>
      <c r="V363" s="196" t="n">
        <v>0</v>
      </c>
    </row>
    <row r="364" customFormat="false" ht="12.75" hidden="false" customHeight="false" outlineLevel="0" collapsed="false">
      <c r="A364" s="55"/>
      <c r="B364" s="189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</row>
    <row r="365" customFormat="false" ht="12.75" hidden="false" customHeight="false" outlineLevel="0" collapsed="false">
      <c r="A365" s="55"/>
      <c r="B365" s="189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</row>
    <row r="366" customFormat="false" ht="12.75" hidden="false" customHeight="false" outlineLevel="0" collapsed="false">
      <c r="A366" s="11"/>
      <c r="B366" s="156"/>
      <c r="C366" s="257"/>
      <c r="D366" s="257"/>
      <c r="E366" s="257"/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</row>
    <row r="367" customFormat="false" ht="12.75" hidden="false" customHeight="false" outlineLevel="0" collapsed="false">
      <c r="A367" s="11"/>
      <c r="B367" s="156"/>
      <c r="C367" s="257"/>
      <c r="D367" s="257"/>
      <c r="E367" s="257"/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</row>
    <row r="368" customFormat="false" ht="12.75" hidden="false" customHeight="false" outlineLevel="0" collapsed="false">
      <c r="A368" s="52" t="s">
        <v>105</v>
      </c>
      <c r="B368" s="182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</row>
    <row r="369" customFormat="false" ht="12.75" hidden="false" customHeight="false" outlineLevel="0" collapsed="false">
      <c r="A369" s="183" t="s">
        <v>85</v>
      </c>
      <c r="B369" s="182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</row>
    <row r="370" customFormat="false" ht="12.75" hidden="false" customHeight="false" outlineLevel="0" collapsed="false">
      <c r="A370" s="55"/>
      <c r="B370" s="182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</row>
    <row r="371" customFormat="false" ht="12.75" hidden="false" customHeight="false" outlineLevel="0" collapsed="false">
      <c r="A371" s="55"/>
      <c r="B371" s="182"/>
      <c r="C371" s="184" t="n">
        <v>2000</v>
      </c>
      <c r="D371" s="185" t="n">
        <v>2001</v>
      </c>
      <c r="E371" s="185" t="n">
        <v>2002</v>
      </c>
      <c r="F371" s="185" t="n">
        <v>2003</v>
      </c>
      <c r="G371" s="185" t="n">
        <v>2004</v>
      </c>
      <c r="H371" s="185" t="n">
        <v>2005</v>
      </c>
      <c r="I371" s="185" t="n">
        <v>2006</v>
      </c>
      <c r="J371" s="185" t="n">
        <v>2007</v>
      </c>
      <c r="K371" s="185" t="n">
        <v>2008</v>
      </c>
      <c r="L371" s="185" t="n">
        <v>2009</v>
      </c>
      <c r="M371" s="185" t="n">
        <v>2010</v>
      </c>
      <c r="N371" s="185" t="n">
        <v>2011</v>
      </c>
      <c r="O371" s="185" t="n">
        <v>2012</v>
      </c>
      <c r="P371" s="185" t="n">
        <v>2013</v>
      </c>
      <c r="Q371" s="185" t="n">
        <v>2014</v>
      </c>
      <c r="R371" s="185" t="n">
        <v>2015</v>
      </c>
      <c r="S371" s="185" t="n">
        <v>2016</v>
      </c>
      <c r="T371" s="185" t="n">
        <v>2017</v>
      </c>
      <c r="U371" s="185" t="n">
        <v>2018</v>
      </c>
      <c r="V371" s="185" t="n">
        <v>2019</v>
      </c>
    </row>
    <row r="372" customFormat="false" ht="12.75" hidden="false" customHeight="false" outlineLevel="0" collapsed="false">
      <c r="A372" s="186" t="s">
        <v>106</v>
      </c>
      <c r="B372" s="182"/>
      <c r="C372" s="187"/>
      <c r="D372" s="188"/>
      <c r="E372" s="188"/>
      <c r="F372" s="188"/>
      <c r="G372" s="188"/>
      <c r="H372" s="188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</row>
    <row r="373" customFormat="false" ht="12.75" hidden="false" customHeight="false" outlineLevel="0" collapsed="false">
      <c r="A373" s="55"/>
      <c r="B373" s="189" t="s">
        <v>107</v>
      </c>
      <c r="C373" s="190" t="n">
        <v>0</v>
      </c>
      <c r="D373" s="191" t="n">
        <v>1747428.40774205</v>
      </c>
      <c r="E373" s="191" t="n">
        <v>1747428.40774205</v>
      </c>
      <c r="F373" s="191" t="n">
        <v>1747428.40774205</v>
      </c>
      <c r="G373" s="191" t="n">
        <v>1747428.40774205</v>
      </c>
      <c r="H373" s="191" t="n">
        <v>1747428.40774205</v>
      </c>
      <c r="I373" s="191" t="n">
        <v>1747428.40774205</v>
      </c>
      <c r="J373" s="191" t="n">
        <v>1747428.40774205</v>
      </c>
      <c r="K373" s="191" t="n">
        <v>1747428.40774205</v>
      </c>
      <c r="L373" s="191" t="n">
        <v>1747428.40774205</v>
      </c>
      <c r="M373" s="191" t="n">
        <v>1747428.40774205</v>
      </c>
      <c r="N373" s="191" t="n">
        <v>1747428.40774205</v>
      </c>
      <c r="O373" s="191" t="n">
        <v>1747428.40774205</v>
      </c>
      <c r="P373" s="191" t="n">
        <v>1747428.40774205</v>
      </c>
      <c r="Q373" s="191" t="n">
        <v>1747428.40774205</v>
      </c>
      <c r="R373" s="191" t="n">
        <v>1747428.40774205</v>
      </c>
      <c r="S373" s="191" t="n">
        <v>1747428.40774205</v>
      </c>
      <c r="T373" s="191" t="n">
        <v>1747428.40774205</v>
      </c>
      <c r="U373" s="191" t="n">
        <v>1747428.40774205</v>
      </c>
      <c r="V373" s="191" t="n">
        <v>1747428.40774205</v>
      </c>
    </row>
    <row r="374" customFormat="false" ht="12.75" hidden="false" customHeight="false" outlineLevel="0" collapsed="false">
      <c r="A374" s="55"/>
      <c r="B374" s="189" t="s">
        <v>108</v>
      </c>
      <c r="C374" s="190" t="n">
        <v>0</v>
      </c>
      <c r="D374" s="192" t="n">
        <v>0.838143398057466</v>
      </c>
      <c r="E374" s="192" t="n">
        <v>0.838143398057466</v>
      </c>
      <c r="F374" s="192" t="n">
        <v>0.838143398057466</v>
      </c>
      <c r="G374" s="192" t="n">
        <v>0.838143398057466</v>
      </c>
      <c r="H374" s="192" t="n">
        <v>0.838143398057466</v>
      </c>
      <c r="I374" s="192" t="n">
        <v>0.838143398057466</v>
      </c>
      <c r="J374" s="192" t="n">
        <v>0.838143398057466</v>
      </c>
      <c r="K374" s="192" t="n">
        <v>0.838143398057466</v>
      </c>
      <c r="L374" s="192" t="n">
        <v>0.838143398057466</v>
      </c>
      <c r="M374" s="192" t="n">
        <v>0.838143398057466</v>
      </c>
      <c r="N374" s="192" t="n">
        <v>0.838143398057466</v>
      </c>
      <c r="O374" s="192" t="n">
        <v>0.838143398057466</v>
      </c>
      <c r="P374" s="192" t="n">
        <v>0.838143398057466</v>
      </c>
      <c r="Q374" s="192" t="n">
        <v>0.838143398057466</v>
      </c>
      <c r="R374" s="192" t="n">
        <v>0.838143398057466</v>
      </c>
      <c r="S374" s="192" t="n">
        <v>0.838143398057466</v>
      </c>
      <c r="T374" s="192" t="n">
        <v>0.838143398057466</v>
      </c>
      <c r="U374" s="192" t="n">
        <v>0.838143398057466</v>
      </c>
      <c r="V374" s="192" t="n">
        <v>0.838143398057466</v>
      </c>
    </row>
    <row r="375" customFormat="false" ht="12.75" hidden="false" customHeight="false" outlineLevel="0" collapsed="false">
      <c r="A375" s="186" t="s">
        <v>109</v>
      </c>
      <c r="B375" s="189"/>
      <c r="C375" s="187"/>
      <c r="D375" s="188"/>
      <c r="E375" s="188"/>
      <c r="F375" s="188"/>
      <c r="G375" s="188"/>
      <c r="H375" s="188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</row>
    <row r="376" customFormat="false" ht="12.75" hidden="false" customHeight="false" outlineLevel="0" collapsed="false">
      <c r="A376" s="55"/>
      <c r="B376" s="189" t="s">
        <v>20</v>
      </c>
      <c r="C376" s="193" t="n">
        <v>0</v>
      </c>
      <c r="D376" s="194" t="n">
        <v>39.4830479600139</v>
      </c>
      <c r="E376" s="194" t="n">
        <v>38.9354673272511</v>
      </c>
      <c r="F376" s="194" t="n">
        <v>39.6849082613523</v>
      </c>
      <c r="G376" s="194" t="n">
        <v>39.1224218116773</v>
      </c>
      <c r="H376" s="194" t="n">
        <v>39.417099156106</v>
      </c>
      <c r="I376" s="194" t="n">
        <v>42.0786149252578</v>
      </c>
      <c r="J376" s="194" t="n">
        <v>45.1190140269637</v>
      </c>
      <c r="K376" s="194" t="n">
        <v>46.2865929451868</v>
      </c>
      <c r="L376" s="194" t="n">
        <v>47.2554084179073</v>
      </c>
      <c r="M376" s="194" t="n">
        <v>47.424107614869</v>
      </c>
      <c r="N376" s="194" t="n">
        <v>48.4487023221245</v>
      </c>
      <c r="O376" s="194" t="n">
        <v>48.9927709342232</v>
      </c>
      <c r="P376" s="194" t="n">
        <v>49.5693200792455</v>
      </c>
      <c r="Q376" s="194" t="n">
        <v>51.3142206624762</v>
      </c>
      <c r="R376" s="194" t="n">
        <v>54.9549131355292</v>
      </c>
      <c r="S376" s="194" t="n">
        <v>54.6383329257431</v>
      </c>
      <c r="T376" s="194" t="n">
        <v>55.33468859591</v>
      </c>
      <c r="U376" s="194" t="n">
        <v>57.9938209162061</v>
      </c>
      <c r="V376" s="194" t="n">
        <v>59.7553005518294</v>
      </c>
    </row>
    <row r="377" customFormat="false" ht="12.75" hidden="false" customHeight="false" outlineLevel="0" collapsed="false">
      <c r="A377" s="55"/>
      <c r="B377" s="189" t="s">
        <v>21</v>
      </c>
      <c r="C377" s="193" t="n">
        <v>0</v>
      </c>
      <c r="D377" s="194" t="n">
        <v>12.2627366</v>
      </c>
      <c r="E377" s="194" t="n">
        <v>12.4391716</v>
      </c>
      <c r="F377" s="194" t="n">
        <v>12.6559346</v>
      </c>
      <c r="G377" s="194" t="n">
        <v>13.0178784</v>
      </c>
      <c r="H377" s="194" t="n">
        <v>13.4705602</v>
      </c>
      <c r="I377" s="194" t="n">
        <v>13.9877668</v>
      </c>
      <c r="J377" s="194" t="n">
        <v>14.3103908</v>
      </c>
      <c r="K377" s="194" t="n">
        <v>14.6178918</v>
      </c>
      <c r="L377" s="194" t="n">
        <v>14.8588516</v>
      </c>
      <c r="M377" s="194" t="n">
        <v>14.9778192</v>
      </c>
      <c r="N377" s="194" t="n">
        <v>15.1814756</v>
      </c>
      <c r="O377" s="194" t="n">
        <v>15.511157</v>
      </c>
      <c r="P377" s="194" t="n">
        <v>15.8650352</v>
      </c>
      <c r="Q377" s="194" t="n">
        <v>16.201774</v>
      </c>
      <c r="R377" s="194" t="n">
        <v>16.4316436</v>
      </c>
      <c r="S377" s="194" t="n">
        <v>16.7683824</v>
      </c>
      <c r="T377" s="194" t="n">
        <v>17.1514984</v>
      </c>
      <c r="U377" s="194" t="n">
        <v>17.5719178</v>
      </c>
      <c r="V377" s="194" t="n">
        <v>18.006452</v>
      </c>
    </row>
    <row r="378" customFormat="false" ht="12.75" hidden="false" customHeight="false" outlineLevel="0" collapsed="false">
      <c r="A378" s="55"/>
      <c r="B378" s="189" t="s">
        <v>110</v>
      </c>
      <c r="C378" s="193" t="n">
        <v>0</v>
      </c>
      <c r="D378" s="194" t="n">
        <v>1.0193655694256</v>
      </c>
      <c r="E378" s="194" t="n">
        <v>1.03994080664836</v>
      </c>
      <c r="F378" s="194" t="n">
        <v>1.06093134177746</v>
      </c>
      <c r="G378" s="194" t="n">
        <v>1.08234555733355</v>
      </c>
      <c r="H378" s="194" t="n">
        <v>1.10419200503306</v>
      </c>
      <c r="I378" s="194" t="n">
        <v>1.12647940920332</v>
      </c>
      <c r="J378" s="194" t="n">
        <v>1.14921667026657</v>
      </c>
      <c r="K378" s="194" t="n">
        <v>1.17241286829434</v>
      </c>
      <c r="L378" s="194" t="n">
        <v>1.19607726663356</v>
      </c>
      <c r="M378" s="194" t="n">
        <v>1.22021931560585</v>
      </c>
      <c r="N378" s="194" t="n">
        <v>1.24484865628148</v>
      </c>
      <c r="O378" s="194" t="n">
        <v>1.26997512432951</v>
      </c>
      <c r="P378" s="194" t="n">
        <v>1.29560875394563</v>
      </c>
      <c r="Q378" s="194" t="n">
        <v>1.32175978185934</v>
      </c>
      <c r="R378" s="194" t="n">
        <v>1.34843865142189</v>
      </c>
      <c r="S378" s="194" t="n">
        <v>1.37565601677687</v>
      </c>
      <c r="T378" s="194" t="n">
        <v>1.4034227471149</v>
      </c>
      <c r="U378" s="194" t="n">
        <v>1.43174993101417</v>
      </c>
      <c r="V378" s="194" t="n">
        <v>1.46064888086873</v>
      </c>
    </row>
    <row r="379" customFormat="false" ht="12.75" hidden="false" customHeight="false" outlineLevel="0" collapsed="false">
      <c r="A379" s="55"/>
      <c r="B379" s="189" t="s">
        <v>111</v>
      </c>
      <c r="C379" s="193" t="n">
        <v>0</v>
      </c>
      <c r="D379" s="194" t="n">
        <v>0</v>
      </c>
      <c r="E379" s="194" t="n">
        <v>0</v>
      </c>
      <c r="F379" s="194" t="n">
        <v>0</v>
      </c>
      <c r="G379" s="194" t="n">
        <v>0</v>
      </c>
      <c r="H379" s="194" t="n">
        <v>0</v>
      </c>
      <c r="I379" s="194" t="n">
        <v>0.955312930064744</v>
      </c>
      <c r="J379" s="194" t="n">
        <v>1.05888806880103</v>
      </c>
      <c r="K379" s="194" t="n">
        <v>1.25556333464935</v>
      </c>
      <c r="L379" s="194" t="n">
        <v>1.28334555909838</v>
      </c>
      <c r="M379" s="194" t="n">
        <v>1.42727757672147</v>
      </c>
      <c r="N379" s="194" t="n">
        <v>1.57225418685697</v>
      </c>
      <c r="O379" s="194" t="n">
        <v>1.7420105014316</v>
      </c>
      <c r="P379" s="194" t="n">
        <v>1.95325202491347</v>
      </c>
      <c r="Q379" s="194" t="n">
        <v>2.17427430288309</v>
      </c>
      <c r="R379" s="194" t="n">
        <v>2.40843172521701</v>
      </c>
      <c r="S379" s="194" t="n">
        <v>2.6444550724939</v>
      </c>
      <c r="T379" s="194" t="n">
        <v>2.59804818532576</v>
      </c>
      <c r="U379" s="194" t="n">
        <v>2.22277074451983</v>
      </c>
      <c r="V379" s="194" t="n">
        <v>2.30460316856153</v>
      </c>
    </row>
    <row r="380" customFormat="false" ht="12.75" hidden="false" customHeight="false" outlineLevel="0" collapsed="false">
      <c r="A380" s="55"/>
      <c r="B380" s="189" t="s">
        <v>112</v>
      </c>
      <c r="C380" s="193" t="n">
        <v>0</v>
      </c>
      <c r="D380" s="194" t="n">
        <v>0</v>
      </c>
      <c r="E380" s="194" t="n">
        <v>0</v>
      </c>
      <c r="F380" s="194" t="n">
        <v>3.37713997649736</v>
      </c>
      <c r="G380" s="194" t="n">
        <v>2.87753494965927</v>
      </c>
      <c r="H380" s="194" t="n">
        <v>2.9872744074419</v>
      </c>
      <c r="I380" s="194" t="n">
        <v>3.10254749374491</v>
      </c>
      <c r="J380" s="194" t="n">
        <v>3.89747726346295</v>
      </c>
      <c r="K380" s="194" t="n">
        <v>3.40440271018501</v>
      </c>
      <c r="L380" s="194" t="n">
        <v>3.60331972777968</v>
      </c>
      <c r="M380" s="194" t="n">
        <v>3.42869672438046</v>
      </c>
      <c r="N380" s="194" t="n">
        <v>3.5268974244232</v>
      </c>
      <c r="O380" s="194" t="n">
        <v>3.6183529499627</v>
      </c>
      <c r="P380" s="194" t="n">
        <v>3.23194834006675</v>
      </c>
      <c r="Q380" s="194" t="n">
        <v>3.3475056139897</v>
      </c>
      <c r="R380" s="194" t="n">
        <v>3.4166830935774</v>
      </c>
      <c r="S380" s="194" t="n">
        <v>3.62827739521026</v>
      </c>
      <c r="T380" s="194" t="n">
        <v>3.41095706414716</v>
      </c>
      <c r="U380" s="194" t="n">
        <v>3.75674979908617</v>
      </c>
      <c r="V380" s="194" t="n">
        <v>2.04536451080734</v>
      </c>
    </row>
    <row r="381" customFormat="false" ht="12.75" hidden="false" customHeight="false" outlineLevel="0" collapsed="false">
      <c r="A381" s="186" t="s">
        <v>113</v>
      </c>
      <c r="B381" s="189"/>
      <c r="C381" s="187"/>
      <c r="D381" s="188"/>
      <c r="E381" s="188"/>
      <c r="F381" s="188"/>
      <c r="G381" s="188"/>
      <c r="H381" s="188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</row>
    <row r="382" customFormat="false" ht="12.75" hidden="false" customHeight="false" outlineLevel="0" collapsed="false">
      <c r="A382" s="55"/>
      <c r="B382" s="189" t="s">
        <v>26</v>
      </c>
      <c r="C382" s="193" t="n">
        <v>0</v>
      </c>
      <c r="D382" s="194" t="n">
        <v>20.0019001579172</v>
      </c>
      <c r="E382" s="194" t="n">
        <v>20.4019381610756</v>
      </c>
      <c r="F382" s="194" t="n">
        <v>20.8099769242971</v>
      </c>
      <c r="G382" s="194" t="n">
        <v>21.226176462783</v>
      </c>
      <c r="H382" s="194" t="n">
        <v>21.6506999920387</v>
      </c>
      <c r="I382" s="194" t="n">
        <v>22.0837139918795</v>
      </c>
      <c r="J382" s="194" t="n">
        <v>22.525388271717</v>
      </c>
      <c r="K382" s="194" t="n">
        <v>22.9758960371514</v>
      </c>
      <c r="L382" s="194" t="n">
        <v>23.4354139578944</v>
      </c>
      <c r="M382" s="194" t="n">
        <v>23.9041222370523</v>
      </c>
      <c r="N382" s="194" t="n">
        <v>24.3822046817934</v>
      </c>
      <c r="O382" s="194" t="n">
        <v>24.8698487754292</v>
      </c>
      <c r="P382" s="194" t="n">
        <v>25.3672457509378</v>
      </c>
      <c r="Q382" s="194" t="n">
        <v>25.8745906659566</v>
      </c>
      <c r="R382" s="194" t="n">
        <v>26.3920824792757</v>
      </c>
      <c r="S382" s="194" t="n">
        <v>26.9199241288612</v>
      </c>
      <c r="T382" s="194" t="n">
        <v>27.4583226114384</v>
      </c>
      <c r="U382" s="194" t="n">
        <v>28.0074890636672</v>
      </c>
      <c r="V382" s="194" t="n">
        <v>28.5676388449405</v>
      </c>
    </row>
    <row r="383" customFormat="false" ht="12.75" hidden="false" customHeight="false" outlineLevel="0" collapsed="false">
      <c r="A383" s="55"/>
      <c r="B383" s="189" t="s">
        <v>114</v>
      </c>
      <c r="C383" s="193" t="n">
        <v>0</v>
      </c>
      <c r="D383" s="194" t="n">
        <v>2.61419337203955</v>
      </c>
      <c r="E383" s="194" t="n">
        <v>2.66692820076982</v>
      </c>
      <c r="F383" s="194" t="n">
        <v>2.72081792224928</v>
      </c>
      <c r="G383" s="194" t="n">
        <v>2.83252808958734</v>
      </c>
      <c r="H383" s="194" t="n">
        <v>3.18108965818409</v>
      </c>
      <c r="I383" s="194" t="n">
        <v>4.01004871562443</v>
      </c>
      <c r="J383" s="194" t="n">
        <v>4.49765048759115</v>
      </c>
      <c r="K383" s="194" t="n">
        <v>4.99455833169512</v>
      </c>
      <c r="L383" s="194" t="n">
        <v>5.44042316564862</v>
      </c>
      <c r="M383" s="194" t="n">
        <v>5.70056601575073</v>
      </c>
      <c r="N383" s="194" t="n">
        <v>5.77147162800113</v>
      </c>
      <c r="O383" s="194" t="n">
        <v>5.83852155629364</v>
      </c>
      <c r="P383" s="194" t="n">
        <v>5.90727455276478</v>
      </c>
      <c r="Q383" s="194" t="n">
        <v>5.9777463741477</v>
      </c>
      <c r="R383" s="194" t="n">
        <v>6.04998703824732</v>
      </c>
      <c r="S383" s="194" t="n">
        <v>6.12403371894944</v>
      </c>
      <c r="T383" s="194" t="n">
        <v>6.19991675733297</v>
      </c>
      <c r="U383" s="194" t="n">
        <v>6.27770445997993</v>
      </c>
      <c r="V383" s="194" t="n">
        <v>6.35744463396333</v>
      </c>
    </row>
    <row r="384" customFormat="false" ht="12.75" hidden="false" customHeight="false" outlineLevel="0" collapsed="false">
      <c r="A384" s="55"/>
      <c r="B384" s="189" t="s">
        <v>28</v>
      </c>
      <c r="C384" s="193" t="n">
        <v>0</v>
      </c>
      <c r="D384" s="194" t="n">
        <v>3.26661672377148</v>
      </c>
      <c r="E384" s="194" t="n">
        <v>3.33554233664308</v>
      </c>
      <c r="F384" s="194" t="n">
        <v>3.40859071381557</v>
      </c>
      <c r="G384" s="194" t="n">
        <v>3.48562486394777</v>
      </c>
      <c r="H384" s="194" t="n">
        <v>3.56858273570974</v>
      </c>
      <c r="I384" s="194" t="n">
        <v>3.65801177782266</v>
      </c>
      <c r="J384" s="194" t="n">
        <v>3.74874066066397</v>
      </c>
      <c r="K384" s="194" t="n">
        <v>3.84362903383613</v>
      </c>
      <c r="L384" s="194" t="n">
        <v>3.93856667097189</v>
      </c>
      <c r="M384" s="194" t="n">
        <v>4.03900012108166</v>
      </c>
      <c r="N384" s="194" t="n">
        <v>4.13674392401185</v>
      </c>
      <c r="O384" s="194" t="n">
        <v>4.24098987089693</v>
      </c>
      <c r="P384" s="194" t="n">
        <v>4.34871101361769</v>
      </c>
      <c r="Q384" s="194" t="n">
        <v>4.45742878895815</v>
      </c>
      <c r="R384" s="194" t="n">
        <v>4.56931025156101</v>
      </c>
      <c r="S384" s="194" t="n">
        <v>4.68354300785004</v>
      </c>
      <c r="T384" s="194" t="n">
        <v>4.79969487444471</v>
      </c>
      <c r="U384" s="194" t="n">
        <v>4.92016721579328</v>
      </c>
      <c r="V384" s="194" t="n">
        <v>5.04366341290971</v>
      </c>
    </row>
    <row r="385" customFormat="false" ht="12.75" hidden="false" customHeight="false" outlineLevel="0" collapsed="false">
      <c r="A385" s="55"/>
      <c r="B385" s="189" t="s">
        <v>33</v>
      </c>
      <c r="C385" s="193" t="n">
        <v>0</v>
      </c>
      <c r="D385" s="194" t="n">
        <v>13.9799648319328</v>
      </c>
      <c r="E385" s="194" t="n">
        <v>8.95451987394958</v>
      </c>
      <c r="F385" s="194" t="n">
        <v>14.0110690756303</v>
      </c>
      <c r="G385" s="194" t="n">
        <v>2.6280612605042</v>
      </c>
      <c r="H385" s="194" t="n">
        <v>9.53524563865546</v>
      </c>
      <c r="I385" s="194" t="n">
        <v>9.82130300781513</v>
      </c>
      <c r="J385" s="194" t="n">
        <v>10.1159420980496</v>
      </c>
      <c r="K385" s="194" t="n">
        <v>10.4194203609911</v>
      </c>
      <c r="L385" s="194" t="n">
        <v>10.7320029718208</v>
      </c>
      <c r="M385" s="194" t="n">
        <v>11.0539630609754</v>
      </c>
      <c r="N385" s="194" t="n">
        <v>11.3855819528047</v>
      </c>
      <c r="O385" s="194" t="n">
        <v>11.7271494113888</v>
      </c>
      <c r="P385" s="194" t="n">
        <v>12.0789638937305</v>
      </c>
      <c r="Q385" s="194" t="n">
        <v>12.4413328105424</v>
      </c>
      <c r="R385" s="194" t="n">
        <v>12.8145727948587</v>
      </c>
      <c r="S385" s="194" t="n">
        <v>13.1990099787044</v>
      </c>
      <c r="T385" s="194" t="n">
        <v>13.5949802780656</v>
      </c>
      <c r="U385" s="194" t="n">
        <v>14.0028296864075</v>
      </c>
      <c r="V385" s="194" t="n">
        <v>14.4229145769998</v>
      </c>
    </row>
    <row r="386" customFormat="false" ht="12.75" hidden="false" customHeight="false" outlineLevel="0" collapsed="false">
      <c r="A386" s="55"/>
      <c r="B386" s="189" t="s">
        <v>115</v>
      </c>
      <c r="C386" s="195" t="n">
        <v>0</v>
      </c>
      <c r="D386" s="196" t="n">
        <v>0</v>
      </c>
      <c r="E386" s="196" t="n">
        <v>0</v>
      </c>
      <c r="F386" s="196" t="n">
        <v>0</v>
      </c>
      <c r="G386" s="196" t="n">
        <v>0</v>
      </c>
      <c r="H386" s="196" t="n">
        <v>0</v>
      </c>
      <c r="I386" s="196" t="n">
        <v>0</v>
      </c>
      <c r="J386" s="196" t="n">
        <v>0</v>
      </c>
      <c r="K386" s="196" t="n">
        <v>0</v>
      </c>
      <c r="L386" s="196" t="n">
        <v>0</v>
      </c>
      <c r="M386" s="196" t="n">
        <v>0</v>
      </c>
      <c r="N386" s="196" t="n">
        <v>0</v>
      </c>
      <c r="O386" s="196" t="n">
        <v>0</v>
      </c>
      <c r="P386" s="196" t="n">
        <v>0</v>
      </c>
      <c r="Q386" s="196" t="n">
        <v>0</v>
      </c>
      <c r="R386" s="196" t="n">
        <v>0</v>
      </c>
      <c r="S386" s="196" t="n">
        <v>0</v>
      </c>
      <c r="T386" s="196" t="n">
        <v>0</v>
      </c>
      <c r="U386" s="196" t="n">
        <v>0</v>
      </c>
      <c r="V386" s="196" t="n">
        <v>0</v>
      </c>
    </row>
    <row r="387" customFormat="false" ht="12.75" hidden="false" customHeight="false" outlineLevel="0" collapsed="false">
      <c r="A387" s="55"/>
      <c r="B387" s="189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</row>
    <row r="388" customFormat="false" ht="12.75" hidden="false" customHeight="false" outlineLevel="0" collapsed="false">
      <c r="A388" s="55"/>
      <c r="B388" s="189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</row>
    <row r="389" customFormat="false" ht="12.75" hidden="false" customHeight="false" outlineLevel="0" collapsed="false">
      <c r="A389" s="11"/>
      <c r="B389" s="156"/>
      <c r="C389" s="257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</row>
    <row r="390" customFormat="false" ht="12.75" hidden="false" customHeight="false" outlineLevel="0" collapsed="false">
      <c r="A390" s="169"/>
      <c r="B390" s="156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</row>
    <row r="391" customFormat="false" ht="12.75" hidden="false" customHeight="false" outlineLevel="0" collapsed="false">
      <c r="A391" s="52" t="s">
        <v>105</v>
      </c>
      <c r="B391" s="182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</row>
    <row r="392" customFormat="false" ht="12.75" hidden="false" customHeight="false" outlineLevel="0" collapsed="false">
      <c r="A392" s="183" t="s">
        <v>86</v>
      </c>
      <c r="B392" s="182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</row>
    <row r="393" customFormat="false" ht="12.75" hidden="false" customHeight="false" outlineLevel="0" collapsed="false">
      <c r="A393" s="55"/>
      <c r="B393" s="182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</row>
    <row r="394" customFormat="false" ht="12.75" hidden="false" customHeight="false" outlineLevel="0" collapsed="false">
      <c r="A394" s="55"/>
      <c r="B394" s="182"/>
      <c r="C394" s="184" t="n">
        <v>2000</v>
      </c>
      <c r="D394" s="185" t="n">
        <v>2001</v>
      </c>
      <c r="E394" s="185" t="n">
        <v>2002</v>
      </c>
      <c r="F394" s="185" t="n">
        <v>2003</v>
      </c>
      <c r="G394" s="185" t="n">
        <v>2004</v>
      </c>
      <c r="H394" s="185" t="n">
        <v>2005</v>
      </c>
      <c r="I394" s="185" t="n">
        <v>2006</v>
      </c>
      <c r="J394" s="185" t="n">
        <v>2007</v>
      </c>
      <c r="K394" s="185" t="n">
        <v>2008</v>
      </c>
      <c r="L394" s="185" t="n">
        <v>2009</v>
      </c>
      <c r="M394" s="185" t="n">
        <v>2010</v>
      </c>
      <c r="N394" s="185" t="n">
        <v>2011</v>
      </c>
      <c r="O394" s="185" t="n">
        <v>2012</v>
      </c>
      <c r="P394" s="185" t="n">
        <v>2013</v>
      </c>
      <c r="Q394" s="185" t="n">
        <v>2014</v>
      </c>
      <c r="R394" s="185" t="n">
        <v>2015</v>
      </c>
      <c r="S394" s="185" t="n">
        <v>2016</v>
      </c>
      <c r="T394" s="185" t="n">
        <v>2017</v>
      </c>
      <c r="U394" s="185" t="n">
        <v>2018</v>
      </c>
      <c r="V394" s="185" t="n">
        <v>2019</v>
      </c>
    </row>
    <row r="395" customFormat="false" ht="12.75" hidden="false" customHeight="false" outlineLevel="0" collapsed="false">
      <c r="A395" s="186" t="s">
        <v>106</v>
      </c>
      <c r="B395" s="182"/>
      <c r="C395" s="187"/>
      <c r="D395" s="188"/>
      <c r="E395" s="188"/>
      <c r="F395" s="188"/>
      <c r="G395" s="188"/>
      <c r="H395" s="188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</row>
    <row r="396" customFormat="false" ht="12.75" hidden="false" customHeight="false" outlineLevel="0" collapsed="false">
      <c r="A396" s="55"/>
      <c r="B396" s="189" t="s">
        <v>107</v>
      </c>
      <c r="C396" s="190" t="n">
        <v>0</v>
      </c>
      <c r="D396" s="191" t="n">
        <v>1094054.23064073</v>
      </c>
      <c r="E396" s="191" t="n">
        <v>1094054.23064073</v>
      </c>
      <c r="F396" s="191" t="n">
        <v>1094054.23064073</v>
      </c>
      <c r="G396" s="191" t="n">
        <v>1094054.23064073</v>
      </c>
      <c r="H396" s="191" t="n">
        <v>1094054.23064073</v>
      </c>
      <c r="I396" s="191" t="n">
        <v>1094054.23064073</v>
      </c>
      <c r="J396" s="191" t="n">
        <v>1094054.23064073</v>
      </c>
      <c r="K396" s="191" t="n">
        <v>1094054.23064073</v>
      </c>
      <c r="L396" s="191" t="n">
        <v>1094054.23064073</v>
      </c>
      <c r="M396" s="191" t="n">
        <v>1094054.23064073</v>
      </c>
      <c r="N396" s="191" t="n">
        <v>1094054.23064073</v>
      </c>
      <c r="O396" s="191" t="n">
        <v>1094054.23064073</v>
      </c>
      <c r="P396" s="191" t="n">
        <v>1094054.23064073</v>
      </c>
      <c r="Q396" s="191" t="n">
        <v>1094054.23064073</v>
      </c>
      <c r="R396" s="191" t="n">
        <v>1094054.23064073</v>
      </c>
      <c r="S396" s="191" t="n">
        <v>1094054.23064073</v>
      </c>
      <c r="T396" s="191" t="n">
        <v>1094054.23064073</v>
      </c>
      <c r="U396" s="191" t="n">
        <v>1094054.23064073</v>
      </c>
      <c r="V396" s="191" t="n">
        <v>1094054.23064073</v>
      </c>
    </row>
    <row r="397" customFormat="false" ht="12.75" hidden="false" customHeight="false" outlineLevel="0" collapsed="false">
      <c r="A397" s="55"/>
      <c r="B397" s="189" t="s">
        <v>108</v>
      </c>
      <c r="C397" s="190" t="n">
        <v>0</v>
      </c>
      <c r="D397" s="192" t="n">
        <v>0.80445755530609</v>
      </c>
      <c r="E397" s="192" t="n">
        <v>0.80445755530609</v>
      </c>
      <c r="F397" s="192" t="n">
        <v>0.80445755530609</v>
      </c>
      <c r="G397" s="192" t="n">
        <v>0.80445755530609</v>
      </c>
      <c r="H397" s="192" t="n">
        <v>0.80445755530609</v>
      </c>
      <c r="I397" s="192" t="n">
        <v>0.80445755530609</v>
      </c>
      <c r="J397" s="192" t="n">
        <v>0.80445755530609</v>
      </c>
      <c r="K397" s="192" t="n">
        <v>0.80445755530609</v>
      </c>
      <c r="L397" s="192" t="n">
        <v>0.80445755530609</v>
      </c>
      <c r="M397" s="192" t="n">
        <v>0.80445755530609</v>
      </c>
      <c r="N397" s="192" t="n">
        <v>0.80445755530609</v>
      </c>
      <c r="O397" s="192" t="n">
        <v>0.80445755530609</v>
      </c>
      <c r="P397" s="192" t="n">
        <v>0.80445755530609</v>
      </c>
      <c r="Q397" s="192" t="n">
        <v>0.80445755530609</v>
      </c>
      <c r="R397" s="192" t="n">
        <v>0.80445755530609</v>
      </c>
      <c r="S397" s="192" t="n">
        <v>0.80445755530609</v>
      </c>
      <c r="T397" s="192" t="n">
        <v>0.80445755530609</v>
      </c>
      <c r="U397" s="192" t="n">
        <v>0.80445755530609</v>
      </c>
      <c r="V397" s="192" t="n">
        <v>0.80445755530609</v>
      </c>
    </row>
    <row r="398" customFormat="false" ht="12.75" hidden="false" customHeight="false" outlineLevel="0" collapsed="false">
      <c r="A398" s="186" t="s">
        <v>109</v>
      </c>
      <c r="B398" s="189"/>
      <c r="C398" s="187"/>
      <c r="D398" s="188"/>
      <c r="E398" s="188"/>
      <c r="F398" s="188"/>
      <c r="G398" s="188"/>
      <c r="H398" s="188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</row>
    <row r="399" customFormat="false" ht="12.75" hidden="false" customHeight="false" outlineLevel="0" collapsed="false">
      <c r="A399" s="55"/>
      <c r="B399" s="189" t="s">
        <v>20</v>
      </c>
      <c r="C399" s="193" t="n">
        <v>0</v>
      </c>
      <c r="D399" s="194" t="n">
        <v>39.8874382465925</v>
      </c>
      <c r="E399" s="194" t="n">
        <v>39.3409969533091</v>
      </c>
      <c r="F399" s="194" t="n">
        <v>40.0960561459026</v>
      </c>
      <c r="G399" s="194" t="n">
        <v>39.5319398111272</v>
      </c>
      <c r="H399" s="194" t="n">
        <v>39.8310073260467</v>
      </c>
      <c r="I399" s="194" t="n">
        <v>42.4846412843624</v>
      </c>
      <c r="J399" s="194" t="n">
        <v>45.5707127731711</v>
      </c>
      <c r="K399" s="194" t="n">
        <v>46.7522634979828</v>
      </c>
      <c r="L399" s="194" t="n">
        <v>47.7305135107771</v>
      </c>
      <c r="M399" s="194" t="n">
        <v>47.899176268429</v>
      </c>
      <c r="N399" s="194" t="n">
        <v>48.9343601017304</v>
      </c>
      <c r="O399" s="194" t="n">
        <v>49.4840501763387</v>
      </c>
      <c r="P399" s="194" t="n">
        <v>50.0672913775694</v>
      </c>
      <c r="Q399" s="194" t="n">
        <v>51.827770015446</v>
      </c>
      <c r="R399" s="194" t="n">
        <v>55.5097342568171</v>
      </c>
      <c r="S399" s="194" t="n">
        <v>55.1915860650824</v>
      </c>
      <c r="T399" s="194" t="n">
        <v>55.8968102018228</v>
      </c>
      <c r="U399" s="194" t="n">
        <v>58.5782528277722</v>
      </c>
      <c r="V399" s="194" t="n">
        <v>60.3575800784466</v>
      </c>
    </row>
    <row r="400" customFormat="false" ht="12.75" hidden="false" customHeight="false" outlineLevel="0" collapsed="false">
      <c r="A400" s="55"/>
      <c r="B400" s="189" t="s">
        <v>21</v>
      </c>
      <c r="C400" s="193" t="n">
        <v>0</v>
      </c>
      <c r="D400" s="194" t="n">
        <v>12.4433800052932</v>
      </c>
      <c r="E400" s="194" t="n">
        <v>12.6224140841329</v>
      </c>
      <c r="F400" s="194" t="n">
        <v>12.8423702381358</v>
      </c>
      <c r="G400" s="194" t="n">
        <v>13.2096458627268</v>
      </c>
      <c r="H400" s="194" t="n">
        <v>13.6689961564353</v>
      </c>
      <c r="I400" s="194" t="n">
        <v>14.1938217704052</v>
      </c>
      <c r="J400" s="194" t="n">
        <v>14.5211983717119</v>
      </c>
      <c r="K400" s="194" t="n">
        <v>14.8332291948324</v>
      </c>
      <c r="L400" s="194" t="n">
        <v>15.0777385939334</v>
      </c>
      <c r="M400" s="194" t="n">
        <v>15.1984587156652</v>
      </c>
      <c r="N400" s="194" t="n">
        <v>15.4051151952401</v>
      </c>
      <c r="O400" s="194" t="n">
        <v>15.7396531597004</v>
      </c>
      <c r="P400" s="194" t="n">
        <v>16.0987443692588</v>
      </c>
      <c r="Q400" s="194" t="n">
        <v>16.4404436968727</v>
      </c>
      <c r="R400" s="194" t="n">
        <v>16.6736995253037</v>
      </c>
      <c r="S400" s="194" t="n">
        <v>17.0153988529176</v>
      </c>
      <c r="T400" s="194" t="n">
        <v>17.4041585669694</v>
      </c>
      <c r="U400" s="194" t="n">
        <v>17.8307712005472</v>
      </c>
      <c r="V400" s="194" t="n">
        <v>18.2717065604322</v>
      </c>
    </row>
    <row r="401" customFormat="false" ht="12.75" hidden="false" customHeight="false" outlineLevel="0" collapsed="false">
      <c r="A401" s="55"/>
      <c r="B401" s="189" t="s">
        <v>110</v>
      </c>
      <c r="C401" s="193" t="n">
        <v>0</v>
      </c>
      <c r="D401" s="194" t="n">
        <v>1.03018955168794</v>
      </c>
      <c r="E401" s="194" t="n">
        <v>1.05098326401857</v>
      </c>
      <c r="F401" s="194" t="n">
        <v>1.07219668403483</v>
      </c>
      <c r="G401" s="194" t="n">
        <v>1.09383828326592</v>
      </c>
      <c r="H401" s="194" t="n">
        <v>1.1159167042334</v>
      </c>
      <c r="I401" s="194" t="n">
        <v>1.13844076390258</v>
      </c>
      <c r="J401" s="194" t="n">
        <v>1.16141945720351</v>
      </c>
      <c r="K401" s="194" t="n">
        <v>1.18486196062312</v>
      </c>
      <c r="L401" s="194" t="n">
        <v>1.20877763586982</v>
      </c>
      <c r="M401" s="194" t="n">
        <v>1.23317603361206</v>
      </c>
      <c r="N401" s="194" t="n">
        <v>1.25806689729239</v>
      </c>
      <c r="O401" s="194" t="n">
        <v>1.28346016701846</v>
      </c>
      <c r="P401" s="194" t="n">
        <v>1.3093659835326</v>
      </c>
      <c r="Q401" s="194" t="n">
        <v>1.33579469226148</v>
      </c>
      <c r="R401" s="194" t="n">
        <v>1.36275684744755</v>
      </c>
      <c r="S401" s="194" t="n">
        <v>1.39026321636383</v>
      </c>
      <c r="T401" s="194" t="n">
        <v>1.41832478361383</v>
      </c>
      <c r="U401" s="194" t="n">
        <v>1.44695275551818</v>
      </c>
      <c r="V401" s="194" t="n">
        <v>1.47615856458989</v>
      </c>
    </row>
    <row r="402" customFormat="false" ht="12.75" hidden="false" customHeight="false" outlineLevel="0" collapsed="false">
      <c r="A402" s="55"/>
      <c r="B402" s="189" t="s">
        <v>111</v>
      </c>
      <c r="C402" s="193" t="n">
        <v>0</v>
      </c>
      <c r="D402" s="194" t="n">
        <v>0</v>
      </c>
      <c r="E402" s="194" t="n">
        <v>0</v>
      </c>
      <c r="F402" s="194" t="n">
        <v>0</v>
      </c>
      <c r="G402" s="194" t="n">
        <v>0</v>
      </c>
      <c r="H402" s="194" t="n">
        <v>0</v>
      </c>
      <c r="I402" s="194" t="n">
        <v>0.855653821043627</v>
      </c>
      <c r="J402" s="194" t="n">
        <v>0.948423907614967</v>
      </c>
      <c r="K402" s="194" t="n">
        <v>1.13492627615566</v>
      </c>
      <c r="L402" s="194" t="n">
        <v>1.14946578948479</v>
      </c>
      <c r="M402" s="194" t="n">
        <v>1.27838268883145</v>
      </c>
      <c r="N402" s="194" t="n">
        <v>1.4082352078547</v>
      </c>
      <c r="O402" s="194" t="n">
        <v>1.56028239013477</v>
      </c>
      <c r="P402" s="194" t="n">
        <v>1.7494870068022</v>
      </c>
      <c r="Q402" s="194" t="n">
        <v>1.94745204080175</v>
      </c>
      <c r="R402" s="194" t="n">
        <v>2.15718194902373</v>
      </c>
      <c r="S402" s="194" t="n">
        <v>2.36858312721074</v>
      </c>
      <c r="T402" s="194" t="n">
        <v>2.32701744849071</v>
      </c>
      <c r="U402" s="194" t="n">
        <v>1.99088928977804</v>
      </c>
      <c r="V402" s="194" t="n">
        <v>2.06418488131975</v>
      </c>
    </row>
    <row r="403" customFormat="false" ht="12.75" hidden="false" customHeight="false" outlineLevel="0" collapsed="false">
      <c r="A403" s="55"/>
      <c r="B403" s="189" t="s">
        <v>112</v>
      </c>
      <c r="C403" s="193" t="n">
        <v>0</v>
      </c>
      <c r="D403" s="194" t="n">
        <v>0</v>
      </c>
      <c r="E403" s="194" t="n">
        <v>0</v>
      </c>
      <c r="F403" s="194" t="n">
        <v>3.23936935862231</v>
      </c>
      <c r="G403" s="194" t="n">
        <v>2.76014574733702</v>
      </c>
      <c r="H403" s="194" t="n">
        <v>2.86540837768305</v>
      </c>
      <c r="I403" s="194" t="n">
        <v>2.97597889185851</v>
      </c>
      <c r="J403" s="194" t="n">
        <v>3.75714676271338</v>
      </c>
      <c r="K403" s="194" t="n">
        <v>3.28178773473378</v>
      </c>
      <c r="L403" s="194" t="n">
        <v>3.47358050736128</v>
      </c>
      <c r="M403" s="194" t="n">
        <v>3.30524488727513</v>
      </c>
      <c r="N403" s="194" t="n">
        <v>3.39990982495689</v>
      </c>
      <c r="O403" s="194" t="n">
        <v>3.48807245131374</v>
      </c>
      <c r="P403" s="194" t="n">
        <v>3.11558052101363</v>
      </c>
      <c r="Q403" s="194" t="n">
        <v>3.22697710097515</v>
      </c>
      <c r="R403" s="194" t="n">
        <v>3.29366381289575</v>
      </c>
      <c r="S403" s="194" t="n">
        <v>3.4976395622455</v>
      </c>
      <c r="T403" s="194" t="n">
        <v>3.28814395184647</v>
      </c>
      <c r="U403" s="194" t="n">
        <v>3.62148625683571</v>
      </c>
      <c r="V403" s="194" t="n">
        <v>1.97172020024067</v>
      </c>
    </row>
    <row r="404" customFormat="false" ht="12.75" hidden="false" customHeight="false" outlineLevel="0" collapsed="false">
      <c r="A404" s="186" t="s">
        <v>113</v>
      </c>
      <c r="B404" s="189"/>
      <c r="C404" s="187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</row>
    <row r="405" customFormat="false" ht="12.75" hidden="false" customHeight="false" outlineLevel="0" collapsed="false">
      <c r="A405" s="55"/>
      <c r="B405" s="189" t="s">
        <v>26</v>
      </c>
      <c r="C405" s="193" t="n">
        <v>0</v>
      </c>
      <c r="D405" s="194" t="n">
        <v>11.8257322395268</v>
      </c>
      <c r="E405" s="194" t="n">
        <v>12.0622468843173</v>
      </c>
      <c r="F405" s="194" t="n">
        <v>12.3034918220037</v>
      </c>
      <c r="G405" s="194" t="n">
        <v>12.5495616584438</v>
      </c>
      <c r="H405" s="194" t="n">
        <v>12.8005528916126</v>
      </c>
      <c r="I405" s="194" t="n">
        <v>13.0565639494449</v>
      </c>
      <c r="J405" s="194" t="n">
        <v>13.3176952284338</v>
      </c>
      <c r="K405" s="194" t="n">
        <v>13.5840491330025</v>
      </c>
      <c r="L405" s="194" t="n">
        <v>13.8557301156625</v>
      </c>
      <c r="M405" s="194" t="n">
        <v>14.1328447179758</v>
      </c>
      <c r="N405" s="194" t="n">
        <v>14.4155016123353</v>
      </c>
      <c r="O405" s="194" t="n">
        <v>14.703811644582</v>
      </c>
      <c r="P405" s="194" t="n">
        <v>14.9978878774736</v>
      </c>
      <c r="Q405" s="194" t="n">
        <v>15.2978456350231</v>
      </c>
      <c r="R405" s="194" t="n">
        <v>15.6038025477236</v>
      </c>
      <c r="S405" s="194" t="n">
        <v>15.915878598678</v>
      </c>
      <c r="T405" s="194" t="n">
        <v>16.2341961706516</v>
      </c>
      <c r="U405" s="194" t="n">
        <v>16.5588800940646</v>
      </c>
      <c r="V405" s="194" t="n">
        <v>16.8900576959459</v>
      </c>
    </row>
    <row r="406" customFormat="false" ht="12.75" hidden="false" customHeight="false" outlineLevel="0" collapsed="false">
      <c r="A406" s="55"/>
      <c r="B406" s="189" t="s">
        <v>114</v>
      </c>
      <c r="C406" s="193" t="n">
        <v>0</v>
      </c>
      <c r="D406" s="194" t="n">
        <v>1.68440976823001</v>
      </c>
      <c r="E406" s="194" t="n">
        <v>1.73079109322049</v>
      </c>
      <c r="F406" s="194" t="n">
        <v>1.77818816922827</v>
      </c>
      <c r="G406" s="194" t="n">
        <v>1.82665641915381</v>
      </c>
      <c r="H406" s="194" t="n">
        <v>1.87824794559815</v>
      </c>
      <c r="I406" s="194" t="n">
        <v>1.92911326702499</v>
      </c>
      <c r="J406" s="194" t="n">
        <v>1.98330784653494</v>
      </c>
      <c r="K406" s="194" t="n">
        <v>2.0367542097853</v>
      </c>
      <c r="L406" s="194" t="n">
        <v>2.09369367122667</v>
      </c>
      <c r="M406" s="194" t="n">
        <v>2.15358142696819</v>
      </c>
      <c r="N406" s="194" t="n">
        <v>2.21492703798639</v>
      </c>
      <c r="O406" s="194" t="n">
        <v>2.28564894433029</v>
      </c>
      <c r="P406" s="194" t="n">
        <v>2.34611856469652</v>
      </c>
      <c r="Q406" s="194" t="n">
        <v>2.4080999255719</v>
      </c>
      <c r="R406" s="194" t="n">
        <v>2.47163701860525</v>
      </c>
      <c r="S406" s="194" t="n">
        <v>2.53676253896444</v>
      </c>
      <c r="T406" s="194" t="n">
        <v>2.60350317222853</v>
      </c>
      <c r="U406" s="194" t="n">
        <v>2.67191899538756</v>
      </c>
      <c r="V406" s="194" t="n">
        <v>2.74205205570787</v>
      </c>
    </row>
    <row r="407" customFormat="false" ht="12.75" hidden="false" customHeight="false" outlineLevel="0" collapsed="false">
      <c r="A407" s="55"/>
      <c r="B407" s="189" t="s">
        <v>28</v>
      </c>
      <c r="C407" s="193" t="n">
        <v>0</v>
      </c>
      <c r="D407" s="194" t="n">
        <v>2.31160304985891</v>
      </c>
      <c r="E407" s="194" t="n">
        <v>2.36037787421094</v>
      </c>
      <c r="F407" s="194" t="n">
        <v>2.41207014965617</v>
      </c>
      <c r="G407" s="194" t="n">
        <v>2.46658293503838</v>
      </c>
      <c r="H407" s="194" t="n">
        <v>2.5252876088923</v>
      </c>
      <c r="I407" s="194" t="n">
        <v>2.58857157024284</v>
      </c>
      <c r="J407" s="194" t="n">
        <v>2.65277535661302</v>
      </c>
      <c r="K407" s="194" t="n">
        <v>2.71992258304602</v>
      </c>
      <c r="L407" s="194" t="n">
        <v>2.78710467084726</v>
      </c>
      <c r="M407" s="194" t="n">
        <v>2.85817583995386</v>
      </c>
      <c r="N407" s="194" t="n">
        <v>2.92734369528075</v>
      </c>
      <c r="O407" s="194" t="n">
        <v>3.00111275640182</v>
      </c>
      <c r="P407" s="194" t="n">
        <v>3.07734102041442</v>
      </c>
      <c r="Q407" s="194" t="n">
        <v>3.15427454592477</v>
      </c>
      <c r="R407" s="194" t="n">
        <v>3.23344683702749</v>
      </c>
      <c r="S407" s="194" t="n">
        <v>3.31428300795318</v>
      </c>
      <c r="T407" s="194" t="n">
        <v>3.39647722655042</v>
      </c>
      <c r="U407" s="194" t="n">
        <v>3.48172880493684</v>
      </c>
      <c r="V407" s="194" t="n">
        <v>3.56912019794075</v>
      </c>
    </row>
    <row r="408" customFormat="false" ht="12.75" hidden="false" customHeight="false" outlineLevel="0" collapsed="false">
      <c r="A408" s="55"/>
      <c r="B408" s="189" t="s">
        <v>33</v>
      </c>
      <c r="C408" s="193" t="n">
        <v>0</v>
      </c>
      <c r="D408" s="194" t="n">
        <v>29.0215212882448</v>
      </c>
      <c r="E408" s="194" t="n">
        <v>13.5878593880837</v>
      </c>
      <c r="F408" s="194" t="n">
        <v>3.92673668276973</v>
      </c>
      <c r="G408" s="194" t="n">
        <v>15.153588921095</v>
      </c>
      <c r="H408" s="194" t="n">
        <v>15.6790766376812</v>
      </c>
      <c r="I408" s="194" t="n">
        <v>16.1494489368116</v>
      </c>
      <c r="J408" s="194" t="n">
        <v>16.6339324049159</v>
      </c>
      <c r="K408" s="194" t="n">
        <v>17.1329503770634</v>
      </c>
      <c r="L408" s="194" t="n">
        <v>17.6469388883753</v>
      </c>
      <c r="M408" s="194" t="n">
        <v>18.1763470550266</v>
      </c>
      <c r="N408" s="194" t="n">
        <v>18.7216374666774</v>
      </c>
      <c r="O408" s="194" t="n">
        <v>19.2832865906777</v>
      </c>
      <c r="P408" s="194" t="n">
        <v>19.861785188398</v>
      </c>
      <c r="Q408" s="194" t="n">
        <v>20.45763874405</v>
      </c>
      <c r="R408" s="194" t="n">
        <v>21.0713679063715</v>
      </c>
      <c r="S408" s="194" t="n">
        <v>21.7035089435626</v>
      </c>
      <c r="T408" s="194" t="n">
        <v>22.3546142118695</v>
      </c>
      <c r="U408" s="194" t="n">
        <v>23.0252526382256</v>
      </c>
      <c r="V408" s="194" t="n">
        <v>23.7160102173724</v>
      </c>
    </row>
    <row r="409" customFormat="false" ht="12.75" hidden="false" customHeight="false" outlineLevel="0" collapsed="false">
      <c r="A409" s="55"/>
      <c r="B409" s="189" t="s">
        <v>115</v>
      </c>
      <c r="C409" s="195" t="n">
        <v>0</v>
      </c>
      <c r="D409" s="196" t="n">
        <v>0</v>
      </c>
      <c r="E409" s="196" t="n">
        <v>0</v>
      </c>
      <c r="F409" s="196" t="n">
        <v>0</v>
      </c>
      <c r="G409" s="196" t="n">
        <v>0</v>
      </c>
      <c r="H409" s="196" t="n">
        <v>0</v>
      </c>
      <c r="I409" s="196" t="n">
        <v>0</v>
      </c>
      <c r="J409" s="196" t="n">
        <v>0</v>
      </c>
      <c r="K409" s="196" t="n">
        <v>0</v>
      </c>
      <c r="L409" s="196" t="n">
        <v>0</v>
      </c>
      <c r="M409" s="196" t="n">
        <v>0</v>
      </c>
      <c r="N409" s="196" t="n">
        <v>0</v>
      </c>
      <c r="O409" s="196" t="n">
        <v>0</v>
      </c>
      <c r="P409" s="196" t="n">
        <v>0</v>
      </c>
      <c r="Q409" s="196" t="n">
        <v>0</v>
      </c>
      <c r="R409" s="196" t="n">
        <v>0</v>
      </c>
      <c r="S409" s="196" t="n">
        <v>0</v>
      </c>
      <c r="T409" s="196" t="n">
        <v>0</v>
      </c>
      <c r="U409" s="196" t="n">
        <v>0</v>
      </c>
      <c r="V409" s="196" t="n">
        <v>0</v>
      </c>
    </row>
    <row r="410" customFormat="false" ht="12.75" hidden="false" customHeight="false" outlineLevel="0" collapsed="false">
      <c r="A410" s="55"/>
      <c r="B410" s="189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</row>
    <row r="411" customFormat="false" ht="12.75" hidden="false" customHeight="false" outlineLevel="0" collapsed="false">
      <c r="A411" s="55"/>
      <c r="B411" s="189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</row>
    <row r="412" customFormat="false" ht="12.75" hidden="false" customHeight="false" outlineLevel="0" collapsed="false">
      <c r="A412" s="11"/>
      <c r="B412" s="156"/>
      <c r="C412" s="257"/>
      <c r="D412" s="257"/>
      <c r="E412" s="257"/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</row>
    <row r="413" customFormat="false" ht="12.75" hidden="false" customHeight="false" outlineLevel="0" collapsed="false">
      <c r="A413" s="11"/>
      <c r="B413" s="156"/>
      <c r="C413" s="257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</row>
    <row r="414" customFormat="false" ht="12.75" hidden="false" customHeight="false" outlineLevel="0" collapsed="false">
      <c r="A414" s="52" t="s">
        <v>105</v>
      </c>
      <c r="B414" s="182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</row>
    <row r="415" customFormat="false" ht="12.75" hidden="false" customHeight="false" outlineLevel="0" collapsed="false">
      <c r="A415" s="183" t="s">
        <v>87</v>
      </c>
      <c r="B415" s="182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</row>
    <row r="416" customFormat="false" ht="12.75" hidden="false" customHeight="false" outlineLevel="0" collapsed="false">
      <c r="A416" s="55"/>
      <c r="B416" s="182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</row>
    <row r="417" customFormat="false" ht="12.75" hidden="false" customHeight="false" outlineLevel="0" collapsed="false">
      <c r="A417" s="55"/>
      <c r="B417" s="182"/>
      <c r="C417" s="184" t="n">
        <v>2000</v>
      </c>
      <c r="D417" s="185" t="n">
        <v>2001</v>
      </c>
      <c r="E417" s="185" t="n">
        <v>2002</v>
      </c>
      <c r="F417" s="185" t="n">
        <v>2003</v>
      </c>
      <c r="G417" s="185" t="n">
        <v>2004</v>
      </c>
      <c r="H417" s="185" t="n">
        <v>2005</v>
      </c>
      <c r="I417" s="185" t="n">
        <v>2006</v>
      </c>
      <c r="J417" s="185" t="n">
        <v>2007</v>
      </c>
      <c r="K417" s="185" t="n">
        <v>2008</v>
      </c>
      <c r="L417" s="185" t="n">
        <v>2009</v>
      </c>
      <c r="M417" s="185" t="n">
        <v>2010</v>
      </c>
      <c r="N417" s="185" t="n">
        <v>2011</v>
      </c>
      <c r="O417" s="185" t="n">
        <v>2012</v>
      </c>
      <c r="P417" s="185" t="n">
        <v>2013</v>
      </c>
      <c r="Q417" s="185" t="n">
        <v>2014</v>
      </c>
      <c r="R417" s="185" t="n">
        <v>2015</v>
      </c>
      <c r="S417" s="185" t="n">
        <v>2016</v>
      </c>
      <c r="T417" s="185" t="n">
        <v>2017</v>
      </c>
      <c r="U417" s="185" t="n">
        <v>2018</v>
      </c>
      <c r="V417" s="185" t="n">
        <v>2019</v>
      </c>
    </row>
    <row r="418" customFormat="false" ht="12.75" hidden="false" customHeight="false" outlineLevel="0" collapsed="false">
      <c r="A418" s="186" t="s">
        <v>106</v>
      </c>
      <c r="B418" s="182"/>
      <c r="C418" s="187"/>
      <c r="D418" s="188"/>
      <c r="E418" s="188"/>
      <c r="F418" s="188"/>
      <c r="G418" s="188"/>
      <c r="H418" s="188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</row>
    <row r="419" customFormat="false" ht="12.75" hidden="false" customHeight="false" outlineLevel="0" collapsed="false">
      <c r="A419" s="55"/>
      <c r="B419" s="189" t="s">
        <v>107</v>
      </c>
      <c r="C419" s="190" t="n">
        <v>0</v>
      </c>
      <c r="D419" s="191" t="n">
        <v>4511667.2535946</v>
      </c>
      <c r="E419" s="191" t="n">
        <v>4511667.2535946</v>
      </c>
      <c r="F419" s="191" t="n">
        <v>4511667.2535946</v>
      </c>
      <c r="G419" s="191" t="n">
        <v>4511667.2535946</v>
      </c>
      <c r="H419" s="191" t="n">
        <v>4511667.2535946</v>
      </c>
      <c r="I419" s="191" t="n">
        <v>4511667.25359459</v>
      </c>
      <c r="J419" s="191" t="n">
        <v>4511667.25359459</v>
      </c>
      <c r="K419" s="191" t="n">
        <v>4511667.25359459</v>
      </c>
      <c r="L419" s="191" t="n">
        <v>4511667.25359459</v>
      </c>
      <c r="M419" s="191" t="n">
        <v>4511667.25359459</v>
      </c>
      <c r="N419" s="191" t="n">
        <v>4511667.25359459</v>
      </c>
      <c r="O419" s="191" t="n">
        <v>4511667.25359459</v>
      </c>
      <c r="P419" s="191" t="n">
        <v>4511667.25359459</v>
      </c>
      <c r="Q419" s="191" t="n">
        <v>4511667.25359459</v>
      </c>
      <c r="R419" s="191" t="n">
        <v>4511667.25359459</v>
      </c>
      <c r="S419" s="191" t="n">
        <v>4511667.25359459</v>
      </c>
      <c r="T419" s="191" t="n">
        <v>4511667.25359459</v>
      </c>
      <c r="U419" s="191" t="n">
        <v>4511667.25359459</v>
      </c>
      <c r="V419" s="191" t="n">
        <v>4511667.25359459</v>
      </c>
    </row>
    <row r="420" customFormat="false" ht="12.75" hidden="false" customHeight="false" outlineLevel="0" collapsed="false">
      <c r="A420" s="55"/>
      <c r="B420" s="189" t="s">
        <v>108</v>
      </c>
      <c r="C420" s="190" t="n">
        <v>0</v>
      </c>
      <c r="D420" s="192" t="n">
        <v>0.851994223988767</v>
      </c>
      <c r="E420" s="192" t="n">
        <v>0.851994223988767</v>
      </c>
      <c r="F420" s="192" t="n">
        <v>0.851994223988767</v>
      </c>
      <c r="G420" s="192" t="n">
        <v>0.851994223988767</v>
      </c>
      <c r="H420" s="192" t="n">
        <v>0.851994223988767</v>
      </c>
      <c r="I420" s="192" t="n">
        <v>0.851994223988767</v>
      </c>
      <c r="J420" s="192" t="n">
        <v>0.851994223988767</v>
      </c>
      <c r="K420" s="192" t="n">
        <v>0.851994223988767</v>
      </c>
      <c r="L420" s="192" t="n">
        <v>0.851994223988767</v>
      </c>
      <c r="M420" s="192" t="n">
        <v>0.851994223988767</v>
      </c>
      <c r="N420" s="192" t="n">
        <v>0.851994223988767</v>
      </c>
      <c r="O420" s="192" t="n">
        <v>0.851994223988767</v>
      </c>
      <c r="P420" s="192" t="n">
        <v>0.851994223988767</v>
      </c>
      <c r="Q420" s="192" t="n">
        <v>0.851994223988767</v>
      </c>
      <c r="R420" s="192" t="n">
        <v>0.851994223988767</v>
      </c>
      <c r="S420" s="192" t="n">
        <v>0.851994223988767</v>
      </c>
      <c r="T420" s="192" t="n">
        <v>0.851994223988767</v>
      </c>
      <c r="U420" s="192" t="n">
        <v>0.851994223988767</v>
      </c>
      <c r="V420" s="192" t="n">
        <v>0.851994223988767</v>
      </c>
    </row>
    <row r="421" customFormat="false" ht="12.75" hidden="false" customHeight="false" outlineLevel="0" collapsed="false">
      <c r="A421" s="186" t="s">
        <v>109</v>
      </c>
      <c r="B421" s="189"/>
      <c r="C421" s="187"/>
      <c r="D421" s="188"/>
      <c r="E421" s="188"/>
      <c r="F421" s="188"/>
      <c r="G421" s="188"/>
      <c r="H421" s="188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</row>
    <row r="422" customFormat="false" ht="12.75" hidden="false" customHeight="false" outlineLevel="0" collapsed="false">
      <c r="A422" s="55"/>
      <c r="B422" s="189" t="s">
        <v>20</v>
      </c>
      <c r="C422" s="193" t="n">
        <v>0</v>
      </c>
      <c r="D422" s="194" t="n">
        <v>39.4830479600139</v>
      </c>
      <c r="E422" s="194" t="n">
        <v>38.9354673272511</v>
      </c>
      <c r="F422" s="194" t="n">
        <v>39.6849082613523</v>
      </c>
      <c r="G422" s="194" t="n">
        <v>39.1224218116774</v>
      </c>
      <c r="H422" s="194" t="n">
        <v>39.417099156106</v>
      </c>
      <c r="I422" s="194" t="n">
        <v>42.0786149252578</v>
      </c>
      <c r="J422" s="194" t="n">
        <v>45.1190140269637</v>
      </c>
      <c r="K422" s="194" t="n">
        <v>46.2865929451868</v>
      </c>
      <c r="L422" s="194" t="n">
        <v>47.2554084179073</v>
      </c>
      <c r="M422" s="194" t="n">
        <v>47.424107614869</v>
      </c>
      <c r="N422" s="194" t="n">
        <v>48.4487023221246</v>
      </c>
      <c r="O422" s="194" t="n">
        <v>48.9927709342232</v>
      </c>
      <c r="P422" s="194" t="n">
        <v>49.5693200792455</v>
      </c>
      <c r="Q422" s="194" t="n">
        <v>51.3142206624761</v>
      </c>
      <c r="R422" s="194" t="n">
        <v>54.9549131355292</v>
      </c>
      <c r="S422" s="194" t="n">
        <v>54.6383329257431</v>
      </c>
      <c r="T422" s="194" t="n">
        <v>55.33468859591</v>
      </c>
      <c r="U422" s="194" t="n">
        <v>57.9938209162061</v>
      </c>
      <c r="V422" s="194" t="n">
        <v>59.7553005518294</v>
      </c>
    </row>
    <row r="423" customFormat="false" ht="12.75" hidden="false" customHeight="false" outlineLevel="0" collapsed="false">
      <c r="A423" s="55"/>
      <c r="B423" s="189" t="s">
        <v>21</v>
      </c>
      <c r="C423" s="193" t="n">
        <v>0</v>
      </c>
      <c r="D423" s="194" t="n">
        <v>8.6777082</v>
      </c>
      <c r="E423" s="194" t="n">
        <v>8.6432994</v>
      </c>
      <c r="F423" s="194" t="n">
        <v>8.659548</v>
      </c>
      <c r="G423" s="194" t="n">
        <v>8.7627744</v>
      </c>
      <c r="H423" s="194" t="n">
        <v>8.927172</v>
      </c>
      <c r="I423" s="194" t="n">
        <v>9.2339838</v>
      </c>
      <c r="J423" s="194" t="n">
        <v>9.6048342</v>
      </c>
      <c r="K423" s="194" t="n">
        <v>9.9039996</v>
      </c>
      <c r="L423" s="194" t="n">
        <v>10.2050766</v>
      </c>
      <c r="M423" s="194" t="n">
        <v>10.5654132</v>
      </c>
      <c r="N423" s="194" t="n">
        <v>10.9161918</v>
      </c>
      <c r="O423" s="194" t="n">
        <v>11.1379374</v>
      </c>
      <c r="P423" s="194" t="n">
        <v>11.287998</v>
      </c>
      <c r="Q423" s="194" t="n">
        <v>11.5106994</v>
      </c>
      <c r="R423" s="194" t="n">
        <v>11.732445</v>
      </c>
      <c r="S423" s="194" t="n">
        <v>11.961837</v>
      </c>
      <c r="T423" s="194" t="n">
        <v>12.1940964</v>
      </c>
      <c r="U423" s="194" t="n">
        <v>12.4311348</v>
      </c>
      <c r="V423" s="194" t="n">
        <v>12.6719964</v>
      </c>
    </row>
    <row r="424" customFormat="false" ht="12.75" hidden="false" customHeight="false" outlineLevel="0" collapsed="false">
      <c r="A424" s="55"/>
      <c r="B424" s="189" t="s">
        <v>110</v>
      </c>
      <c r="C424" s="193" t="n">
        <v>0</v>
      </c>
      <c r="D424" s="194" t="n">
        <v>0.963763811093292</v>
      </c>
      <c r="E424" s="194" t="n">
        <v>0.983216762649359</v>
      </c>
      <c r="F424" s="194" t="n">
        <v>1.53086235949869</v>
      </c>
      <c r="G424" s="194" t="n">
        <v>1.56430352693354</v>
      </c>
      <c r="H424" s="194" t="n">
        <v>1.59848322521308</v>
      </c>
      <c r="I424" s="194" t="n">
        <v>1.63341794966723</v>
      </c>
      <c r="J424" s="194" t="n">
        <v>1.66912456828754</v>
      </c>
      <c r="K424" s="194" t="n">
        <v>1.70562033024196</v>
      </c>
      <c r="L424" s="194" t="n">
        <v>1.74292287458631</v>
      </c>
      <c r="M424" s="194" t="n">
        <v>1.78105023917707</v>
      </c>
      <c r="N424" s="194" t="n">
        <v>1.82002086979004</v>
      </c>
      <c r="O424" s="194" t="n">
        <v>1.85985362944991</v>
      </c>
      <c r="P424" s="194" t="n">
        <v>1.90056780797543</v>
      </c>
      <c r="Q424" s="194" t="n">
        <v>1.94218313174543</v>
      </c>
      <c r="R424" s="194" t="n">
        <v>1.98471977369062</v>
      </c>
      <c r="S424" s="194" t="n">
        <v>2.02819836351671</v>
      </c>
      <c r="T424" s="194" t="n">
        <v>2.07263999816404</v>
      </c>
      <c r="U424" s="194" t="n">
        <v>2.11806625250928</v>
      </c>
      <c r="V424" s="194" t="n">
        <v>2.16449919031508</v>
      </c>
    </row>
    <row r="425" customFormat="false" ht="12.75" hidden="false" customHeight="false" outlineLevel="0" collapsed="false">
      <c r="A425" s="55"/>
      <c r="B425" s="189" t="s">
        <v>111</v>
      </c>
      <c r="C425" s="193" t="n">
        <v>0</v>
      </c>
      <c r="D425" s="194" t="n">
        <v>0</v>
      </c>
      <c r="E425" s="194" t="n">
        <v>0</v>
      </c>
      <c r="F425" s="194" t="n">
        <v>0</v>
      </c>
      <c r="G425" s="194" t="n">
        <v>0</v>
      </c>
      <c r="H425" s="194" t="n">
        <v>0</v>
      </c>
      <c r="I425" s="194" t="n">
        <v>-0.0694655665375045</v>
      </c>
      <c r="J425" s="194" t="n">
        <v>-0.0769970313225871</v>
      </c>
      <c r="K425" s="194" t="n">
        <v>-0.063724009853603</v>
      </c>
      <c r="L425" s="194" t="n">
        <v>-0.0933184546346692</v>
      </c>
      <c r="M425" s="194" t="n">
        <v>-0.103784469311552</v>
      </c>
      <c r="N425" s="194" t="n">
        <v>-0.114326441518572</v>
      </c>
      <c r="O425" s="194" t="n">
        <v>-0.126670269592213</v>
      </c>
      <c r="P425" s="194" t="n">
        <v>-0.142030694059533</v>
      </c>
      <c r="Q425" s="194" t="n">
        <v>-0.15810232595457</v>
      </c>
      <c r="R425" s="194" t="n">
        <v>-0.175129079690946</v>
      </c>
      <c r="S425" s="194" t="n">
        <v>-0.19229151413382</v>
      </c>
      <c r="T425" s="194" t="n">
        <v>-0.188917037973261</v>
      </c>
      <c r="U425" s="194" t="n">
        <v>-0.161628744039501</v>
      </c>
      <c r="V425" s="194" t="n">
        <v>-0.167579187625362</v>
      </c>
    </row>
    <row r="426" customFormat="false" ht="12.75" hidden="false" customHeight="false" outlineLevel="0" collapsed="false">
      <c r="A426" s="55"/>
      <c r="B426" s="189" t="s">
        <v>112</v>
      </c>
      <c r="C426" s="193" t="n">
        <v>0</v>
      </c>
      <c r="D426" s="194" t="n">
        <v>0</v>
      </c>
      <c r="E426" s="194" t="n">
        <v>0</v>
      </c>
      <c r="F426" s="194" t="n">
        <v>0.573623068959762</v>
      </c>
      <c r="G426" s="194" t="n">
        <v>0.488762811239611</v>
      </c>
      <c r="H426" s="194" t="n">
        <v>0.507402572989889</v>
      </c>
      <c r="I426" s="194" t="n">
        <v>0.526982247505536</v>
      </c>
      <c r="J426" s="194" t="n">
        <v>0.662004798328577</v>
      </c>
      <c r="K426" s="194" t="n">
        <v>0.578253772180527</v>
      </c>
      <c r="L426" s="194" t="n">
        <v>0.612040760844029</v>
      </c>
      <c r="M426" s="194" t="n">
        <v>0.582380224467707</v>
      </c>
      <c r="N426" s="194" t="n">
        <v>0.599060074081444</v>
      </c>
      <c r="O426" s="194" t="n">
        <v>0.614594224160621</v>
      </c>
      <c r="P426" s="194" t="n">
        <v>0.548961588341183</v>
      </c>
      <c r="Q426" s="194" t="n">
        <v>0.56858953345735</v>
      </c>
      <c r="R426" s="194" t="n">
        <v>0.580339652913505</v>
      </c>
      <c r="S426" s="194" t="n">
        <v>0.616279937746745</v>
      </c>
      <c r="T426" s="194" t="n">
        <v>0.579367059950943</v>
      </c>
      <c r="U426" s="194" t="n">
        <v>0.638101578277136</v>
      </c>
      <c r="V426" s="194" t="n">
        <v>0.347414758048482</v>
      </c>
    </row>
    <row r="427" customFormat="false" ht="12.75" hidden="false" customHeight="false" outlineLevel="0" collapsed="false">
      <c r="A427" s="186" t="s">
        <v>113</v>
      </c>
      <c r="B427" s="189"/>
      <c r="C427" s="187"/>
      <c r="D427" s="188"/>
      <c r="E427" s="188"/>
      <c r="F427" s="188"/>
      <c r="G427" s="188"/>
      <c r="H427" s="188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</row>
    <row r="428" customFormat="false" ht="12.75" hidden="false" customHeight="false" outlineLevel="0" collapsed="false">
      <c r="A428" s="55"/>
      <c r="B428" s="189" t="s">
        <v>26</v>
      </c>
      <c r="C428" s="193" t="n">
        <v>0</v>
      </c>
      <c r="D428" s="194" t="n">
        <v>18.0513389219255</v>
      </c>
      <c r="E428" s="194" t="n">
        <v>18.412365700364</v>
      </c>
      <c r="F428" s="194" t="n">
        <v>18.8679049912116</v>
      </c>
      <c r="G428" s="194" t="n">
        <v>19.24569955092</v>
      </c>
      <c r="H428" s="194" t="n">
        <v>19.6310609133197</v>
      </c>
      <c r="I428" s="194" t="n">
        <v>20.024140687252</v>
      </c>
      <c r="J428" s="194" t="n">
        <v>20.4250935205545</v>
      </c>
      <c r="K428" s="194" t="n">
        <v>20.834077161012</v>
      </c>
      <c r="L428" s="194" t="n">
        <v>21.2512525185298</v>
      </c>
      <c r="M428" s="194" t="n">
        <v>21.6767837285555</v>
      </c>
      <c r="N428" s="194" t="n">
        <v>22.110838216773</v>
      </c>
      <c r="O428" s="194" t="n">
        <v>22.553586765096</v>
      </c>
      <c r="P428" s="194" t="n">
        <v>23.0052035789852</v>
      </c>
      <c r="Q428" s="194" t="n">
        <v>23.4658663561168</v>
      </c>
      <c r="R428" s="194" t="n">
        <v>23.9357563564299</v>
      </c>
      <c r="S428" s="194" t="n">
        <v>24.4150584735789</v>
      </c>
      <c r="T428" s="194" t="n">
        <v>24.9039613078215</v>
      </c>
      <c r="U428" s="194" t="n">
        <v>25.4026572403682</v>
      </c>
      <c r="V428" s="194" t="n">
        <v>25.9113425092257</v>
      </c>
    </row>
    <row r="429" customFormat="false" ht="12.75" hidden="false" customHeight="false" outlineLevel="0" collapsed="false">
      <c r="A429" s="55"/>
      <c r="B429" s="189" t="s">
        <v>114</v>
      </c>
      <c r="C429" s="193" t="n">
        <v>0</v>
      </c>
      <c r="D429" s="194" t="n">
        <v>6.2787493185101</v>
      </c>
      <c r="E429" s="194" t="n">
        <v>6.29239688571896</v>
      </c>
      <c r="F429" s="194" t="n">
        <v>6.30634333464969</v>
      </c>
      <c r="G429" s="194" t="n">
        <v>6.32060497332625</v>
      </c>
      <c r="H429" s="194" t="n">
        <v>6.33520603900332</v>
      </c>
      <c r="I429" s="194" t="n">
        <v>6.35017300885412</v>
      </c>
      <c r="J429" s="194" t="n">
        <v>6.36551120125328</v>
      </c>
      <c r="K429" s="194" t="n">
        <v>6.38123763499958</v>
      </c>
      <c r="L429" s="194" t="n">
        <v>6.39735251165941</v>
      </c>
      <c r="M429" s="194" t="n">
        <v>6.41387831767407</v>
      </c>
      <c r="N429" s="194" t="n">
        <v>6.43080404819428</v>
      </c>
      <c r="O429" s="194" t="n">
        <v>6.4481563071236</v>
      </c>
      <c r="P429" s="194" t="n">
        <v>6.46594931342972</v>
      </c>
      <c r="Q429" s="194" t="n">
        <v>6.4841871448935</v>
      </c>
      <c r="R429" s="194" t="n">
        <v>6.50288274592702</v>
      </c>
      <c r="S429" s="194" t="n">
        <v>6.52204573698638</v>
      </c>
      <c r="T429" s="194" t="n">
        <v>6.54168397022401</v>
      </c>
      <c r="U429" s="194" t="n">
        <v>6.5618151231159</v>
      </c>
      <c r="V429" s="194" t="n">
        <v>6.58245156794538</v>
      </c>
    </row>
    <row r="430" customFormat="false" ht="12.75" hidden="false" customHeight="false" outlineLevel="0" collapsed="false">
      <c r="A430" s="55"/>
      <c r="B430" s="189" t="s">
        <v>28</v>
      </c>
      <c r="C430" s="193" t="n">
        <v>0</v>
      </c>
      <c r="D430" s="194" t="n">
        <v>2.17456975857538</v>
      </c>
      <c r="E430" s="194" t="n">
        <v>2.22045318048134</v>
      </c>
      <c r="F430" s="194" t="n">
        <v>2.2690811051339</v>
      </c>
      <c r="G430" s="194" t="n">
        <v>2.32036233810989</v>
      </c>
      <c r="H430" s="194" t="n">
        <v>2.37558696175692</v>
      </c>
      <c r="I430" s="194" t="n">
        <v>2.43511940984058</v>
      </c>
      <c r="J430" s="194" t="n">
        <v>2.49551715513476</v>
      </c>
      <c r="K430" s="194" t="n">
        <v>2.5586838515026</v>
      </c>
      <c r="L430" s="194" t="n">
        <v>2.62188334263471</v>
      </c>
      <c r="M430" s="194" t="n">
        <v>2.68874136787188</v>
      </c>
      <c r="N430" s="194" t="n">
        <v>2.75380890897439</v>
      </c>
      <c r="O430" s="194" t="n">
        <v>2.82320489348055</v>
      </c>
      <c r="P430" s="194" t="n">
        <v>2.89491429777494</v>
      </c>
      <c r="Q430" s="194" t="n">
        <v>2.96728715521932</v>
      </c>
      <c r="R430" s="194" t="n">
        <v>3.04176606281532</v>
      </c>
      <c r="S430" s="194" t="n">
        <v>3.11781021438571</v>
      </c>
      <c r="T430" s="194" t="n">
        <v>3.19513190770246</v>
      </c>
      <c r="U430" s="194" t="n">
        <v>3.27532971858581</v>
      </c>
      <c r="V430" s="194" t="n">
        <v>3.35754049452232</v>
      </c>
    </row>
    <row r="431" customFormat="false" ht="12.75" hidden="false" customHeight="false" outlineLevel="0" collapsed="false">
      <c r="A431" s="55"/>
      <c r="B431" s="189" t="s">
        <v>33</v>
      </c>
      <c r="C431" s="193" t="n">
        <v>0</v>
      </c>
      <c r="D431" s="194" t="n">
        <v>3.38724848635236</v>
      </c>
      <c r="E431" s="194" t="n">
        <v>12.8620323738627</v>
      </c>
      <c r="F431" s="194" t="n">
        <v>5.05121516956162</v>
      </c>
      <c r="G431" s="194" t="n">
        <v>8.89207439205955</v>
      </c>
      <c r="H431" s="194" t="n">
        <v>10.2860072588916</v>
      </c>
      <c r="I431" s="194" t="n">
        <v>10.5945874766584</v>
      </c>
      <c r="J431" s="194" t="n">
        <v>10.9124251009582</v>
      </c>
      <c r="K431" s="194" t="n">
        <v>11.2397978539869</v>
      </c>
      <c r="L431" s="194" t="n">
        <v>11.5769917896065</v>
      </c>
      <c r="M431" s="194" t="n">
        <v>11.9243015432947</v>
      </c>
      <c r="N431" s="194" t="n">
        <v>12.2820305895935</v>
      </c>
      <c r="O431" s="194" t="n">
        <v>12.6504915072813</v>
      </c>
      <c r="P431" s="194" t="n">
        <v>13.0300062524998</v>
      </c>
      <c r="Q431" s="194" t="n">
        <v>13.4209064400748</v>
      </c>
      <c r="R431" s="194" t="n">
        <v>13.823533633277</v>
      </c>
      <c r="S431" s="194" t="n">
        <v>14.2382396422753</v>
      </c>
      <c r="T431" s="194" t="n">
        <v>14.6653868315436</v>
      </c>
      <c r="U431" s="194" t="n">
        <v>15.1053484364899</v>
      </c>
      <c r="V431" s="194" t="n">
        <v>15.5585088895846</v>
      </c>
    </row>
    <row r="432" customFormat="false" ht="12.75" hidden="false" customHeight="false" outlineLevel="0" collapsed="false">
      <c r="A432" s="55"/>
      <c r="B432" s="189" t="s">
        <v>115</v>
      </c>
      <c r="C432" s="195" t="n">
        <v>0</v>
      </c>
      <c r="D432" s="196" t="n">
        <v>4.47612580645161</v>
      </c>
      <c r="E432" s="196" t="n">
        <v>55.5761752026468</v>
      </c>
      <c r="F432" s="196" t="n">
        <v>8.33547727047146</v>
      </c>
      <c r="G432" s="196" t="n">
        <v>0</v>
      </c>
      <c r="H432" s="196" t="n">
        <v>0</v>
      </c>
      <c r="I432" s="196" t="n">
        <v>0</v>
      </c>
      <c r="J432" s="196" t="n">
        <v>0</v>
      </c>
      <c r="K432" s="196" t="n">
        <v>0</v>
      </c>
      <c r="L432" s="196" t="n">
        <v>0</v>
      </c>
      <c r="M432" s="196" t="n">
        <v>0</v>
      </c>
      <c r="N432" s="196" t="n">
        <v>0</v>
      </c>
      <c r="O432" s="196" t="n">
        <v>0</v>
      </c>
      <c r="P432" s="196" t="n">
        <v>0</v>
      </c>
      <c r="Q432" s="196" t="n">
        <v>0</v>
      </c>
      <c r="R432" s="196" t="n">
        <v>0</v>
      </c>
      <c r="S432" s="196" t="n">
        <v>0</v>
      </c>
      <c r="T432" s="196" t="n">
        <v>0</v>
      </c>
      <c r="U432" s="196" t="n">
        <v>0</v>
      </c>
      <c r="V432" s="196" t="n">
        <v>0</v>
      </c>
    </row>
    <row r="433" customFormat="false" ht="12.75" hidden="false" customHeight="false" outlineLevel="0" collapsed="false">
      <c r="A433" s="55"/>
      <c r="B433" s="189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</row>
    <row r="434" customFormat="false" ht="12.75" hidden="false" customHeight="false" outlineLevel="0" collapsed="false">
      <c r="A434" s="55"/>
      <c r="B434" s="189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</row>
    <row r="435" customFormat="false" ht="12.75" hidden="false" customHeight="false" outlineLevel="0" collapsed="false">
      <c r="A435" s="11"/>
      <c r="B435" s="156"/>
      <c r="C435" s="257"/>
      <c r="D435" s="257"/>
      <c r="E435" s="257"/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</row>
    <row r="436" customFormat="false" ht="12.75" hidden="false" customHeight="false" outlineLevel="0" collapsed="false">
      <c r="A436" s="11"/>
      <c r="B436" s="156"/>
      <c r="C436" s="257"/>
      <c r="D436" s="257"/>
      <c r="E436" s="257"/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</row>
    <row r="437" customFormat="false" ht="12.75" hidden="false" customHeight="false" outlineLevel="0" collapsed="false">
      <c r="A437" s="52" t="s">
        <v>105</v>
      </c>
      <c r="B437" s="182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</row>
    <row r="438" customFormat="false" ht="12.75" hidden="false" customHeight="false" outlineLevel="0" collapsed="false">
      <c r="A438" s="183" t="s">
        <v>88</v>
      </c>
      <c r="B438" s="182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</row>
    <row r="439" customFormat="false" ht="12.75" hidden="false" customHeight="false" outlineLevel="0" collapsed="false">
      <c r="A439" s="55"/>
      <c r="B439" s="182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</row>
    <row r="440" customFormat="false" ht="12.75" hidden="false" customHeight="false" outlineLevel="0" collapsed="false">
      <c r="A440" s="55"/>
      <c r="B440" s="182"/>
      <c r="C440" s="184" t="n">
        <v>2000</v>
      </c>
      <c r="D440" s="185" t="n">
        <v>2001</v>
      </c>
      <c r="E440" s="185" t="n">
        <v>2002</v>
      </c>
      <c r="F440" s="185" t="n">
        <v>2003</v>
      </c>
      <c r="G440" s="185" t="n">
        <v>2004</v>
      </c>
      <c r="H440" s="185" t="n">
        <v>2005</v>
      </c>
      <c r="I440" s="185" t="n">
        <v>2006</v>
      </c>
      <c r="J440" s="185" t="n">
        <v>2007</v>
      </c>
      <c r="K440" s="185" t="n">
        <v>2008</v>
      </c>
      <c r="L440" s="185" t="n">
        <v>2009</v>
      </c>
      <c r="M440" s="185" t="n">
        <v>2010</v>
      </c>
      <c r="N440" s="185" t="n">
        <v>2011</v>
      </c>
      <c r="O440" s="185" t="n">
        <v>2012</v>
      </c>
      <c r="P440" s="185" t="n">
        <v>2013</v>
      </c>
      <c r="Q440" s="185" t="n">
        <v>2014</v>
      </c>
      <c r="R440" s="185" t="n">
        <v>2015</v>
      </c>
      <c r="S440" s="185" t="n">
        <v>2016</v>
      </c>
      <c r="T440" s="185" t="n">
        <v>2017</v>
      </c>
      <c r="U440" s="185" t="n">
        <v>2018</v>
      </c>
      <c r="V440" s="185" t="n">
        <v>2019</v>
      </c>
    </row>
    <row r="441" customFormat="false" ht="12.75" hidden="false" customHeight="false" outlineLevel="0" collapsed="false">
      <c r="A441" s="186" t="s">
        <v>106</v>
      </c>
      <c r="B441" s="182"/>
      <c r="C441" s="187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</row>
    <row r="442" customFormat="false" ht="12.75" hidden="false" customHeight="false" outlineLevel="0" collapsed="false">
      <c r="A442" s="55"/>
      <c r="B442" s="189" t="s">
        <v>107</v>
      </c>
      <c r="C442" s="190" t="n">
        <v>0</v>
      </c>
      <c r="D442" s="191" t="n">
        <v>9914.3394521409</v>
      </c>
      <c r="E442" s="191" t="n">
        <v>11868.0706838355</v>
      </c>
      <c r="F442" s="191" t="n">
        <v>10705.6578859983</v>
      </c>
      <c r="G442" s="191" t="n">
        <v>10325.245088161</v>
      </c>
      <c r="H442" s="191" t="n">
        <v>14288.3267842147</v>
      </c>
      <c r="I442" s="191" t="n">
        <v>13054.3411078489</v>
      </c>
      <c r="J442" s="191" t="n">
        <v>15049.1523798892</v>
      </c>
      <c r="K442" s="191" t="n">
        <v>27931.2693460433</v>
      </c>
      <c r="L442" s="191" t="n">
        <v>27212.7925590199</v>
      </c>
      <c r="M442" s="191" t="n">
        <v>26901.2694178606</v>
      </c>
      <c r="N442" s="191" t="n">
        <v>27218.1590027212</v>
      </c>
      <c r="O442" s="191" t="n">
        <v>28100.8102658874</v>
      </c>
      <c r="P442" s="191" t="n">
        <v>31545.6998507481</v>
      </c>
      <c r="Q442" s="191" t="n">
        <v>37469.1479905031</v>
      </c>
      <c r="R442" s="191" t="n">
        <v>28507.7639117515</v>
      </c>
      <c r="S442" s="191" t="n">
        <v>24100.6005196442</v>
      </c>
      <c r="T442" s="191" t="n">
        <v>28906.6678920636</v>
      </c>
      <c r="U442" s="191" t="n">
        <v>33633.2584056424</v>
      </c>
      <c r="V442" s="191" t="n">
        <v>28069.0486593991</v>
      </c>
    </row>
    <row r="443" customFormat="false" ht="12.75" hidden="false" customHeight="false" outlineLevel="0" collapsed="false">
      <c r="A443" s="55"/>
      <c r="B443" s="189" t="s">
        <v>108</v>
      </c>
      <c r="C443" s="190" t="n">
        <v>0</v>
      </c>
      <c r="D443" s="192" t="n">
        <v>0.0123018903267581</v>
      </c>
      <c r="E443" s="192" t="n">
        <v>0.0147261151030319</v>
      </c>
      <c r="F443" s="192" t="n">
        <v>0.0132837724414312</v>
      </c>
      <c r="G443" s="192" t="n">
        <v>0.0128117494145337</v>
      </c>
      <c r="H443" s="192" t="n">
        <v>0.0177292123091804</v>
      </c>
      <c r="I443" s="192" t="n">
        <v>0.0161980607353694</v>
      </c>
      <c r="J443" s="192" t="n">
        <v>0.0186732583629754</v>
      </c>
      <c r="K443" s="192" t="n">
        <v>0.0346576202923905</v>
      </c>
      <c r="L443" s="192" t="n">
        <v>0.0337661214004119</v>
      </c>
      <c r="M443" s="192" t="n">
        <v>0.0333795778958961</v>
      </c>
      <c r="N443" s="192" t="n">
        <v>0.033772780180069</v>
      </c>
      <c r="O443" s="192" t="n">
        <v>0.0348679897085163</v>
      </c>
      <c r="P443" s="192" t="n">
        <v>0.039142470531502</v>
      </c>
      <c r="Q443" s="192" t="n">
        <v>0.0464923912925638</v>
      </c>
      <c r="R443" s="192" t="n">
        <v>0.0353729450959791</v>
      </c>
      <c r="S443" s="192" t="n">
        <v>0.0299044576628501</v>
      </c>
      <c r="T443" s="192" t="n">
        <v>0.0358679123139563</v>
      </c>
      <c r="U443" s="192" t="n">
        <v>0.0417327506522265</v>
      </c>
      <c r="V443" s="192" t="n">
        <v>0.034828579337154</v>
      </c>
    </row>
    <row r="444" customFormat="false" ht="12.75" hidden="false" customHeight="false" outlineLevel="0" collapsed="false">
      <c r="A444" s="186" t="s">
        <v>109</v>
      </c>
      <c r="B444" s="189"/>
      <c r="C444" s="187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</row>
    <row r="445" customFormat="false" ht="12.75" hidden="false" customHeight="false" outlineLevel="0" collapsed="false">
      <c r="A445" s="55"/>
      <c r="B445" s="189" t="s">
        <v>20</v>
      </c>
      <c r="C445" s="193" t="n">
        <v>0</v>
      </c>
      <c r="D445" s="194" t="n">
        <v>616.831483369642</v>
      </c>
      <c r="E445" s="194" t="n">
        <v>385.140241772727</v>
      </c>
      <c r="F445" s="194" t="n">
        <v>335.335636965144</v>
      </c>
      <c r="G445" s="194" t="n">
        <v>298.968820959476</v>
      </c>
      <c r="H445" s="194" t="n">
        <v>223.222303348951</v>
      </c>
      <c r="I445" s="194" t="n">
        <v>185.158440600793</v>
      </c>
      <c r="J445" s="194" t="n">
        <v>181.481489762498</v>
      </c>
      <c r="K445" s="194" t="n">
        <v>159.958270511393</v>
      </c>
      <c r="L445" s="194" t="n">
        <v>164.892434122292</v>
      </c>
      <c r="M445" s="194" t="n">
        <v>180.656758210121</v>
      </c>
      <c r="N445" s="194" t="n">
        <v>151.568214101332</v>
      </c>
      <c r="O445" s="194" t="n">
        <v>158.431113778229</v>
      </c>
      <c r="P445" s="194" t="n">
        <v>161.742307992812</v>
      </c>
      <c r="Q445" s="194" t="n">
        <v>164.190314824826</v>
      </c>
      <c r="R445" s="194" t="n">
        <v>171.918704038257</v>
      </c>
      <c r="S445" s="194" t="n">
        <v>166.322745296344</v>
      </c>
      <c r="T445" s="194" t="n">
        <v>172.047941923279</v>
      </c>
      <c r="U445" s="194" t="n">
        <v>177.699858597493</v>
      </c>
      <c r="V445" s="194" t="n">
        <v>168.487052141629</v>
      </c>
    </row>
    <row r="446" customFormat="false" ht="12.75" hidden="false" customHeight="false" outlineLevel="0" collapsed="false">
      <c r="A446" s="55"/>
      <c r="B446" s="189" t="s">
        <v>21</v>
      </c>
      <c r="C446" s="193" t="n">
        <v>0</v>
      </c>
      <c r="D446" s="194" t="n">
        <v>89.2579015259803</v>
      </c>
      <c r="E446" s="194" t="n">
        <v>82.7871501023937</v>
      </c>
      <c r="F446" s="194" t="n">
        <v>79.5089059321047</v>
      </c>
      <c r="G446" s="194" t="n">
        <v>79.583957393795</v>
      </c>
      <c r="H446" s="194" t="n">
        <v>80.3627894677162</v>
      </c>
      <c r="I446" s="194" t="n">
        <v>83.0562158778884</v>
      </c>
      <c r="J446" s="194" t="n">
        <v>83.6473665907162</v>
      </c>
      <c r="K446" s="194" t="n">
        <v>79.7695156013092</v>
      </c>
      <c r="L446" s="194" t="n">
        <v>80.858791607473</v>
      </c>
      <c r="M446" s="194" t="n">
        <v>82.6881117180623</v>
      </c>
      <c r="N446" s="194" t="n">
        <v>86.1141862766533</v>
      </c>
      <c r="O446" s="194" t="n">
        <v>83.7181609005262</v>
      </c>
      <c r="P446" s="194" t="n">
        <v>90.3739340357243</v>
      </c>
      <c r="Q446" s="194" t="n">
        <v>89.3292273102129</v>
      </c>
      <c r="R446" s="194" t="n">
        <v>95.9687916927812</v>
      </c>
      <c r="S446" s="194" t="n">
        <v>101.751602920707</v>
      </c>
      <c r="T446" s="194" t="n">
        <v>103.128167533974</v>
      </c>
      <c r="U446" s="194" t="n">
        <v>110.535784296089</v>
      </c>
      <c r="V446" s="194" t="n">
        <v>112.19424696612</v>
      </c>
    </row>
    <row r="447" customFormat="false" ht="12.75" hidden="false" customHeight="false" outlineLevel="0" collapsed="false">
      <c r="A447" s="55"/>
      <c r="B447" s="189" t="s">
        <v>110</v>
      </c>
      <c r="C447" s="193" t="n">
        <v>0</v>
      </c>
      <c r="D447" s="194" t="n">
        <v>3.7810904835758</v>
      </c>
      <c r="E447" s="194" t="n">
        <v>3.8914905992282</v>
      </c>
      <c r="F447" s="194" t="n">
        <v>3.92661258486886</v>
      </c>
      <c r="G447" s="194" t="n">
        <v>3.97932130933171</v>
      </c>
      <c r="H447" s="194" t="n">
        <v>4.07377842930975</v>
      </c>
      <c r="I447" s="194" t="n">
        <v>4.222490074364</v>
      </c>
      <c r="J447" s="194" t="n">
        <v>4.27908020329542</v>
      </c>
      <c r="K447" s="194" t="n">
        <v>4.49096265346093</v>
      </c>
      <c r="L447" s="194" t="n">
        <v>4.54077465785639</v>
      </c>
      <c r="M447" s="194" t="n">
        <v>4.57857541651708</v>
      </c>
      <c r="N447" s="194" t="n">
        <v>4.70411690409827</v>
      </c>
      <c r="O447" s="194" t="n">
        <v>4.75064376460718</v>
      </c>
      <c r="P447" s="194" t="n">
        <v>4.92663138347096</v>
      </c>
      <c r="Q447" s="194" t="n">
        <v>5.01234377315164</v>
      </c>
      <c r="R447" s="194" t="n">
        <v>5.02207423340927</v>
      </c>
      <c r="S447" s="194" t="n">
        <v>5.18646090310016</v>
      </c>
      <c r="T447" s="194" t="n">
        <v>5.23988595422095</v>
      </c>
      <c r="U447" s="194" t="n">
        <v>5.35933350660623</v>
      </c>
      <c r="V447" s="194" t="n">
        <v>5.47720709116003</v>
      </c>
    </row>
    <row r="448" customFormat="false" ht="12.75" hidden="false" customHeight="false" outlineLevel="0" collapsed="false">
      <c r="A448" s="55"/>
      <c r="B448" s="189" t="s">
        <v>111</v>
      </c>
      <c r="C448" s="193" t="n">
        <v>0</v>
      </c>
      <c r="D448" s="194" t="n">
        <v>0</v>
      </c>
      <c r="E448" s="194" t="n">
        <v>0</v>
      </c>
      <c r="F448" s="194" t="n">
        <v>0</v>
      </c>
      <c r="G448" s="194" t="n">
        <v>0</v>
      </c>
      <c r="H448" s="194" t="n">
        <v>0</v>
      </c>
      <c r="I448" s="194" t="n">
        <v>1.18454352897945</v>
      </c>
      <c r="J448" s="194" t="n">
        <v>1.30530034456147</v>
      </c>
      <c r="K448" s="194" t="n">
        <v>1.545982198301</v>
      </c>
      <c r="L448" s="194" t="n">
        <v>1.61315606972159</v>
      </c>
      <c r="M448" s="194" t="n">
        <v>1.77101900674082</v>
      </c>
      <c r="N448" s="194" t="n">
        <v>1.97066763948919</v>
      </c>
      <c r="O448" s="194" t="n">
        <v>2.15627887498778</v>
      </c>
      <c r="P448" s="194" t="n">
        <v>2.45620591717851</v>
      </c>
      <c r="Q448" s="194" t="n">
        <v>2.73040959857076</v>
      </c>
      <c r="R448" s="194" t="n">
        <v>2.9721514826436</v>
      </c>
      <c r="S448" s="194" t="n">
        <v>3.30115418483695</v>
      </c>
      <c r="T448" s="194" t="n">
        <v>3.20983665587516</v>
      </c>
      <c r="U448" s="194" t="n">
        <v>2.75252937611127</v>
      </c>
      <c r="V448" s="194" t="n">
        <v>2.86350753383745</v>
      </c>
    </row>
    <row r="449" customFormat="false" ht="12.75" hidden="false" customHeight="false" outlineLevel="0" collapsed="false">
      <c r="A449" s="55"/>
      <c r="B449" s="189" t="s">
        <v>112</v>
      </c>
      <c r="C449" s="193" t="n">
        <v>0</v>
      </c>
      <c r="D449" s="194" t="n">
        <v>0</v>
      </c>
      <c r="E449" s="194" t="n">
        <v>0</v>
      </c>
      <c r="F449" s="194" t="n">
        <v>0</v>
      </c>
      <c r="G449" s="194" t="n">
        <v>0</v>
      </c>
      <c r="H449" s="194" t="n">
        <v>0</v>
      </c>
      <c r="I449" s="194" t="n">
        <v>1.18454352897945</v>
      </c>
      <c r="J449" s="194" t="n">
        <v>1.30530034456147</v>
      </c>
      <c r="K449" s="194" t="n">
        <v>1.545982198301</v>
      </c>
      <c r="L449" s="194" t="n">
        <v>1.61315606972159</v>
      </c>
      <c r="M449" s="194" t="n">
        <v>1.77101900674082</v>
      </c>
      <c r="N449" s="194" t="n">
        <v>1.97066763948919</v>
      </c>
      <c r="O449" s="194" t="n">
        <v>2.15627887498778</v>
      </c>
      <c r="P449" s="194" t="n">
        <v>2.45620591717851</v>
      </c>
      <c r="Q449" s="194" t="n">
        <v>2.73040959857076</v>
      </c>
      <c r="R449" s="194" t="n">
        <v>2.9721514826436</v>
      </c>
      <c r="S449" s="194" t="n">
        <v>3.30115418483695</v>
      </c>
      <c r="T449" s="194" t="n">
        <v>3.20983665587516</v>
      </c>
      <c r="U449" s="194" t="n">
        <v>2.75252937611127</v>
      </c>
      <c r="V449" s="194" t="n">
        <v>2.86350753383745</v>
      </c>
    </row>
    <row r="450" customFormat="false" ht="12.75" hidden="false" customHeight="false" outlineLevel="0" collapsed="false">
      <c r="A450" s="186" t="s">
        <v>113</v>
      </c>
      <c r="B450" s="189"/>
      <c r="C450" s="187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</row>
    <row r="451" customFormat="false" ht="12.75" hidden="false" customHeight="false" outlineLevel="0" collapsed="false">
      <c r="A451" s="55"/>
      <c r="B451" s="189" t="s">
        <v>26</v>
      </c>
      <c r="C451" s="193" t="n">
        <v>0</v>
      </c>
      <c r="D451" s="194" t="n">
        <v>2.93567778763163</v>
      </c>
      <c r="E451" s="194" t="n">
        <v>2.99439134338427</v>
      </c>
      <c r="F451" s="194" t="n">
        <v>3.05427917025195</v>
      </c>
      <c r="G451" s="194" t="n">
        <v>3.11536475365699</v>
      </c>
      <c r="H451" s="194" t="n">
        <v>3.17767204873013</v>
      </c>
      <c r="I451" s="194" t="n">
        <v>3.24122548970473</v>
      </c>
      <c r="J451" s="194" t="n">
        <v>3.30604999949883</v>
      </c>
      <c r="K451" s="194" t="n">
        <v>3.37217099948881</v>
      </c>
      <c r="L451" s="194" t="n">
        <v>3.43961441947858</v>
      </c>
      <c r="M451" s="194" t="n">
        <v>3.50840670786815</v>
      </c>
      <c r="N451" s="194" t="n">
        <v>3.57857484202552</v>
      </c>
      <c r="O451" s="194" t="n">
        <v>3.65014633886603</v>
      </c>
      <c r="P451" s="194" t="n">
        <v>3.72314926564335</v>
      </c>
      <c r="Q451" s="194" t="n">
        <v>3.79761225095622</v>
      </c>
      <c r="R451" s="194" t="n">
        <v>3.87356449597534</v>
      </c>
      <c r="S451" s="194" t="n">
        <v>3.95103578589485</v>
      </c>
      <c r="T451" s="194" t="n">
        <v>4.03005650161274</v>
      </c>
      <c r="U451" s="194" t="n">
        <v>4.110657631645</v>
      </c>
      <c r="V451" s="194" t="n">
        <v>4.1928707842779</v>
      </c>
    </row>
    <row r="452" customFormat="false" ht="12.75" hidden="false" customHeight="false" outlineLevel="0" collapsed="false">
      <c r="A452" s="55"/>
      <c r="B452" s="189" t="s">
        <v>114</v>
      </c>
      <c r="C452" s="193" t="n">
        <v>0</v>
      </c>
      <c r="D452" s="194" t="n">
        <v>0.776059450850739</v>
      </c>
      <c r="E452" s="194" t="n">
        <v>0.776059450850739</v>
      </c>
      <c r="F452" s="194" t="n">
        <v>0.776059450850739</v>
      </c>
      <c r="G452" s="194" t="n">
        <v>0.776059450850739</v>
      </c>
      <c r="H452" s="194" t="n">
        <v>0.776059450850739</v>
      </c>
      <c r="I452" s="194" t="n">
        <v>0.776059450850739</v>
      </c>
      <c r="J452" s="194" t="n">
        <v>0.776059450850739</v>
      </c>
      <c r="K452" s="194" t="n">
        <v>0.776059450850739</v>
      </c>
      <c r="L452" s="194" t="n">
        <v>0.776059450850739</v>
      </c>
      <c r="M452" s="194" t="n">
        <v>0.776059450850739</v>
      </c>
      <c r="N452" s="194" t="n">
        <v>0.776059450850739</v>
      </c>
      <c r="O452" s="194" t="n">
        <v>0.776059450850739</v>
      </c>
      <c r="P452" s="194" t="n">
        <v>0.776059450850739</v>
      </c>
      <c r="Q452" s="194" t="n">
        <v>0.776059450850739</v>
      </c>
      <c r="R452" s="194" t="n">
        <v>0.776059450850739</v>
      </c>
      <c r="S452" s="194" t="n">
        <v>0.776059450850739</v>
      </c>
      <c r="T452" s="194" t="n">
        <v>0.776059450850739</v>
      </c>
      <c r="U452" s="194" t="n">
        <v>0.776059450850739</v>
      </c>
      <c r="V452" s="194" t="n">
        <v>0.776059450850739</v>
      </c>
    </row>
    <row r="453" customFormat="false" ht="12.75" hidden="false" customHeight="false" outlineLevel="0" collapsed="false">
      <c r="A453" s="55"/>
      <c r="B453" s="189" t="s">
        <v>28</v>
      </c>
      <c r="C453" s="193" t="n">
        <v>0</v>
      </c>
      <c r="D453" s="194" t="n">
        <v>0.121752213941348</v>
      </c>
      <c r="E453" s="194" t="n">
        <v>0.124321185655511</v>
      </c>
      <c r="F453" s="194" t="n">
        <v>0.127043819621366</v>
      </c>
      <c r="G453" s="194" t="n">
        <v>0.129915009944809</v>
      </c>
      <c r="H453" s="194" t="n">
        <v>0.133006987181496</v>
      </c>
      <c r="I453" s="194" t="n">
        <v>0.136340155651695</v>
      </c>
      <c r="J453" s="194" t="n">
        <v>0.139721771338032</v>
      </c>
      <c r="K453" s="194" t="n">
        <v>0.143258418116005</v>
      </c>
      <c r="L453" s="194" t="n">
        <v>0.146796901043471</v>
      </c>
      <c r="M453" s="194" t="n">
        <v>0.150540222020079</v>
      </c>
      <c r="N453" s="194" t="n">
        <v>0.154183295392966</v>
      </c>
      <c r="O453" s="194" t="n">
        <v>0.158068714436868</v>
      </c>
      <c r="P453" s="194" t="n">
        <v>0.162083659783564</v>
      </c>
      <c r="Q453" s="194" t="n">
        <v>0.166135751278153</v>
      </c>
      <c r="R453" s="194" t="n">
        <v>0.170305758635235</v>
      </c>
      <c r="S453" s="194" t="n">
        <v>0.174563402601116</v>
      </c>
      <c r="T453" s="194" t="n">
        <v>0.178892574985624</v>
      </c>
      <c r="U453" s="194" t="n">
        <v>0.183382778617763</v>
      </c>
      <c r="V453" s="194" t="n">
        <v>0.187985686361068</v>
      </c>
    </row>
    <row r="454" customFormat="false" ht="12.75" hidden="false" customHeight="false" outlineLevel="0" collapsed="false">
      <c r="A454" s="55"/>
      <c r="B454" s="189" t="s">
        <v>33</v>
      </c>
      <c r="C454" s="193" t="n">
        <v>0</v>
      </c>
      <c r="D454" s="194" t="n">
        <v>0.0306071739130435</v>
      </c>
      <c r="E454" s="194" t="n">
        <v>3.61956217391304</v>
      </c>
      <c r="F454" s="194" t="n">
        <v>0.033128152173913</v>
      </c>
      <c r="G454" s="194" t="n">
        <v>0.0346009782608696</v>
      </c>
      <c r="H454" s="194" t="n">
        <v>0.75004197826087</v>
      </c>
      <c r="I454" s="194" t="n">
        <v>0.772543237608696</v>
      </c>
      <c r="J454" s="194" t="n">
        <v>0.795719534736957</v>
      </c>
      <c r="K454" s="194" t="n">
        <v>0.819591120779065</v>
      </c>
      <c r="L454" s="194" t="n">
        <v>0.844178854402437</v>
      </c>
      <c r="M454" s="194" t="n">
        <v>0.86950422003451</v>
      </c>
      <c r="N454" s="194" t="n">
        <v>0.895589346635546</v>
      </c>
      <c r="O454" s="194" t="n">
        <v>0.922457027034612</v>
      </c>
      <c r="P454" s="194" t="n">
        <v>0.950130737845651</v>
      </c>
      <c r="Q454" s="194" t="n">
        <v>0.97863465998102</v>
      </c>
      <c r="R454" s="194" t="n">
        <v>1.00799369978045</v>
      </c>
      <c r="S454" s="194" t="n">
        <v>1.03823351077386</v>
      </c>
      <c r="T454" s="194" t="n">
        <v>1.06938051609708</v>
      </c>
      <c r="U454" s="194" t="n">
        <v>1.10146193157999</v>
      </c>
      <c r="V454" s="194" t="n">
        <v>1.13450578952739</v>
      </c>
    </row>
    <row r="455" customFormat="false" ht="12.75" hidden="false" customHeight="false" outlineLevel="0" collapsed="false">
      <c r="A455" s="55"/>
      <c r="B455" s="189" t="s">
        <v>115</v>
      </c>
      <c r="C455" s="195" t="n">
        <v>0</v>
      </c>
      <c r="D455" s="196" t="n">
        <v>0</v>
      </c>
      <c r="E455" s="196" t="n">
        <v>0</v>
      </c>
      <c r="F455" s="196" t="n">
        <v>0</v>
      </c>
      <c r="G455" s="196" t="n">
        <v>0</v>
      </c>
      <c r="H455" s="196" t="n">
        <v>0</v>
      </c>
      <c r="I455" s="196" t="n">
        <v>0</v>
      </c>
      <c r="J455" s="196" t="n">
        <v>0</v>
      </c>
      <c r="K455" s="196" t="n">
        <v>0</v>
      </c>
      <c r="L455" s="196" t="n">
        <v>0</v>
      </c>
      <c r="M455" s="196" t="n">
        <v>0</v>
      </c>
      <c r="N455" s="196" t="n">
        <v>0</v>
      </c>
      <c r="O455" s="196" t="n">
        <v>0</v>
      </c>
      <c r="P455" s="196" t="n">
        <v>0</v>
      </c>
      <c r="Q455" s="196" t="n">
        <v>0</v>
      </c>
      <c r="R455" s="196" t="n">
        <v>0</v>
      </c>
      <c r="S455" s="196" t="n">
        <v>0</v>
      </c>
      <c r="T455" s="196" t="n">
        <v>0</v>
      </c>
      <c r="U455" s="196" t="n">
        <v>0</v>
      </c>
      <c r="V455" s="196" t="n">
        <v>0</v>
      </c>
    </row>
    <row r="456" customFormat="false" ht="12.75" hidden="false" customHeight="false" outlineLevel="0" collapsed="false">
      <c r="A456" s="55"/>
      <c r="B456" s="189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</row>
    <row r="457" customFormat="false" ht="12.75" hidden="false" customHeight="false" outlineLevel="0" collapsed="false">
      <c r="A457" s="55"/>
      <c r="B457" s="189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</row>
    <row r="458" customFormat="false" ht="12.75" hidden="false" customHeight="false" outlineLevel="0" collapsed="false">
      <c r="A458" s="11"/>
      <c r="B458" s="156"/>
      <c r="C458" s="257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</row>
    <row r="459" customFormat="false" ht="12.75" hidden="false" customHeight="false" outlineLevel="0" collapsed="false">
      <c r="A459" s="258"/>
      <c r="B459" s="259"/>
      <c r="C459" s="260"/>
      <c r="D459" s="260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</row>
    <row r="460" customFormat="false" ht="12.75" hidden="false" customHeight="false" outlineLevel="0" collapsed="false">
      <c r="A460" s="52" t="s">
        <v>105</v>
      </c>
      <c r="B460" s="182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</row>
    <row r="461" customFormat="false" ht="12.75" hidden="false" customHeight="false" outlineLevel="0" collapsed="false">
      <c r="A461" s="183" t="s">
        <v>89</v>
      </c>
      <c r="B461" s="182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</row>
    <row r="462" customFormat="false" ht="12.75" hidden="false" customHeight="false" outlineLevel="0" collapsed="false">
      <c r="A462" s="55"/>
      <c r="B462" s="182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</row>
    <row r="463" customFormat="false" ht="12.75" hidden="false" customHeight="false" outlineLevel="0" collapsed="false">
      <c r="A463" s="55"/>
      <c r="B463" s="182"/>
      <c r="C463" s="184" t="n">
        <v>2000</v>
      </c>
      <c r="D463" s="185" t="n">
        <v>2001</v>
      </c>
      <c r="E463" s="185" t="n">
        <v>2002</v>
      </c>
      <c r="F463" s="185" t="n">
        <v>2003</v>
      </c>
      <c r="G463" s="185" t="n">
        <v>2004</v>
      </c>
      <c r="H463" s="185" t="n">
        <v>2005</v>
      </c>
      <c r="I463" s="185" t="n">
        <v>2006</v>
      </c>
      <c r="J463" s="185" t="n">
        <v>2007</v>
      </c>
      <c r="K463" s="185" t="n">
        <v>2008</v>
      </c>
      <c r="L463" s="185" t="n">
        <v>2009</v>
      </c>
      <c r="M463" s="185" t="n">
        <v>2010</v>
      </c>
      <c r="N463" s="185" t="n">
        <v>2011</v>
      </c>
      <c r="O463" s="185" t="n">
        <v>2012</v>
      </c>
      <c r="P463" s="185" t="n">
        <v>2013</v>
      </c>
      <c r="Q463" s="185" t="n">
        <v>2014</v>
      </c>
      <c r="R463" s="185" t="n">
        <v>2015</v>
      </c>
      <c r="S463" s="185" t="n">
        <v>2016</v>
      </c>
      <c r="T463" s="185" t="n">
        <v>2017</v>
      </c>
      <c r="U463" s="185" t="n">
        <v>2018</v>
      </c>
      <c r="V463" s="185" t="n">
        <v>2019</v>
      </c>
    </row>
    <row r="464" customFormat="false" ht="12.75" hidden="false" customHeight="false" outlineLevel="0" collapsed="false">
      <c r="A464" s="186" t="s">
        <v>106</v>
      </c>
      <c r="B464" s="182"/>
      <c r="C464" s="187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</row>
    <row r="465" customFormat="false" ht="12.75" hidden="false" customHeight="false" outlineLevel="0" collapsed="false">
      <c r="A465" s="55"/>
      <c r="B465" s="189" t="s">
        <v>107</v>
      </c>
      <c r="C465" s="190" t="n">
        <v>0</v>
      </c>
      <c r="D465" s="191" t="n">
        <v>1530.2567415261</v>
      </c>
      <c r="E465" s="191" t="n">
        <v>1831.81090989635</v>
      </c>
      <c r="F465" s="191" t="n">
        <v>1652.39502153451</v>
      </c>
      <c r="G465" s="191" t="n">
        <v>1593.67913317268</v>
      </c>
      <c r="H465" s="191" t="n">
        <v>2205.37217756357</v>
      </c>
      <c r="I465" s="191" t="n">
        <v>2014.90917099407</v>
      </c>
      <c r="J465" s="191" t="n">
        <v>2322.80395428724</v>
      </c>
      <c r="K465" s="191" t="n">
        <v>4311.13070341103</v>
      </c>
      <c r="L465" s="191" t="n">
        <v>4200.23537324003</v>
      </c>
      <c r="M465" s="191" t="n">
        <v>4152.15245362631</v>
      </c>
      <c r="N465" s="191" t="n">
        <v>4201.06367215915</v>
      </c>
      <c r="O465" s="191" t="n">
        <v>4337.29897582176</v>
      </c>
      <c r="P465" s="191" t="n">
        <v>4869.01019435459</v>
      </c>
      <c r="Q465" s="191" t="n">
        <v>5783.2815376646</v>
      </c>
      <c r="R465" s="191" t="n">
        <v>4400.11138637904</v>
      </c>
      <c r="S465" s="191" t="n">
        <v>3719.87529759725</v>
      </c>
      <c r="T465" s="191" t="n">
        <v>4461.68134855765</v>
      </c>
      <c r="U465" s="191" t="n">
        <v>5191.22031913176</v>
      </c>
      <c r="V465" s="191" t="n">
        <v>4332.39664090726</v>
      </c>
    </row>
    <row r="466" customFormat="false" ht="12.75" hidden="false" customHeight="false" outlineLevel="0" collapsed="false">
      <c r="A466" s="55"/>
      <c r="B466" s="189" t="s">
        <v>108</v>
      </c>
      <c r="C466" s="190" t="n">
        <v>0</v>
      </c>
      <c r="D466" s="192" t="n">
        <v>0.0123018903267581</v>
      </c>
      <c r="E466" s="192" t="n">
        <v>0.0147261151030319</v>
      </c>
      <c r="F466" s="192" t="n">
        <v>0.0132837724414312</v>
      </c>
      <c r="G466" s="192" t="n">
        <v>0.0128117494145337</v>
      </c>
      <c r="H466" s="192" t="n">
        <v>0.0177292123091804</v>
      </c>
      <c r="I466" s="192" t="n">
        <v>0.0161980607353694</v>
      </c>
      <c r="J466" s="192" t="n">
        <v>0.0186732583629754</v>
      </c>
      <c r="K466" s="192" t="n">
        <v>0.0346576202923905</v>
      </c>
      <c r="L466" s="192" t="n">
        <v>0.0337661214004119</v>
      </c>
      <c r="M466" s="192" t="n">
        <v>0.0333795778958961</v>
      </c>
      <c r="N466" s="192" t="n">
        <v>0.033772780180069</v>
      </c>
      <c r="O466" s="192" t="n">
        <v>0.0348679897085163</v>
      </c>
      <c r="P466" s="192" t="n">
        <v>0.039142470531502</v>
      </c>
      <c r="Q466" s="192" t="n">
        <v>0.0464923912925638</v>
      </c>
      <c r="R466" s="192" t="n">
        <v>0.0353729450959791</v>
      </c>
      <c r="S466" s="192" t="n">
        <v>0.0299044576628501</v>
      </c>
      <c r="T466" s="192" t="n">
        <v>0.0358679123139563</v>
      </c>
      <c r="U466" s="192" t="n">
        <v>0.0417327506522265</v>
      </c>
      <c r="V466" s="192" t="n">
        <v>0.034828579337154</v>
      </c>
    </row>
    <row r="467" customFormat="false" ht="12.75" hidden="false" customHeight="false" outlineLevel="0" collapsed="false">
      <c r="A467" s="186" t="s">
        <v>109</v>
      </c>
      <c r="B467" s="189"/>
      <c r="C467" s="187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</row>
    <row r="468" customFormat="false" ht="12.75" hidden="false" customHeight="false" outlineLevel="0" collapsed="false">
      <c r="A468" s="55"/>
      <c r="B468" s="189" t="s">
        <v>20</v>
      </c>
      <c r="C468" s="193" t="n">
        <v>0</v>
      </c>
      <c r="D468" s="194" t="n">
        <v>615.80003086552</v>
      </c>
      <c r="E468" s="194" t="n">
        <v>385.918806131467</v>
      </c>
      <c r="F468" s="194" t="n">
        <v>335.810239137585</v>
      </c>
      <c r="G468" s="194" t="n">
        <v>298.7703170807</v>
      </c>
      <c r="H468" s="194" t="n">
        <v>222.811652671375</v>
      </c>
      <c r="I468" s="194" t="n">
        <v>186.180331327696</v>
      </c>
      <c r="J468" s="194" t="n">
        <v>182.289277653558</v>
      </c>
      <c r="K468" s="194" t="n">
        <v>163.963170693259</v>
      </c>
      <c r="L468" s="194" t="n">
        <v>166.862874559773</v>
      </c>
      <c r="M468" s="194" t="n">
        <v>181.047401498637</v>
      </c>
      <c r="N468" s="194" t="n">
        <v>154.697429758902</v>
      </c>
      <c r="O468" s="194" t="n">
        <v>158.87561001394</v>
      </c>
      <c r="P468" s="194" t="n">
        <v>164.255420502224</v>
      </c>
      <c r="Q468" s="194" t="n">
        <v>166.576130627931</v>
      </c>
      <c r="R468" s="194" t="n">
        <v>172.83314119004</v>
      </c>
      <c r="S468" s="194" t="n">
        <v>167.149678624778</v>
      </c>
      <c r="T468" s="194" t="n">
        <v>172.064053106883</v>
      </c>
      <c r="U468" s="194" t="n">
        <v>178.662069827613</v>
      </c>
      <c r="V468" s="194" t="n">
        <v>170.164150091451</v>
      </c>
    </row>
    <row r="469" customFormat="false" ht="12.75" hidden="false" customHeight="false" outlineLevel="0" collapsed="false">
      <c r="A469" s="55"/>
      <c r="B469" s="189" t="s">
        <v>21</v>
      </c>
      <c r="C469" s="193" t="n">
        <v>0</v>
      </c>
      <c r="D469" s="194" t="n">
        <v>88.9267344673075</v>
      </c>
      <c r="E469" s="194" t="n">
        <v>83.5609707932654</v>
      </c>
      <c r="F469" s="194" t="n">
        <v>79.9271665499385</v>
      </c>
      <c r="G469" s="194" t="n">
        <v>79.4355657390326</v>
      </c>
      <c r="H469" s="194" t="n">
        <v>80.1549332220947</v>
      </c>
      <c r="I469" s="194" t="n">
        <v>83.7130503880476</v>
      </c>
      <c r="J469" s="194" t="n">
        <v>84.2684119783381</v>
      </c>
      <c r="K469" s="194" t="n">
        <v>82.3597027939894</v>
      </c>
      <c r="L469" s="194" t="n">
        <v>82.2200688247542</v>
      </c>
      <c r="M469" s="194" t="n">
        <v>82.988356213547</v>
      </c>
      <c r="N469" s="194" t="n">
        <v>88.1879778401566</v>
      </c>
      <c r="O469" s="194" t="n">
        <v>84.0447632649671</v>
      </c>
      <c r="P469" s="194" t="n">
        <v>92.0569624994218</v>
      </c>
      <c r="Q469" s="194" t="n">
        <v>91.0723753807264</v>
      </c>
      <c r="R469" s="194" t="n">
        <v>96.719943151741</v>
      </c>
      <c r="S469" s="194" t="n">
        <v>102.473562789569</v>
      </c>
      <c r="T469" s="194" t="n">
        <v>103.223781350792</v>
      </c>
      <c r="U469" s="194" t="n">
        <v>111.371098250411</v>
      </c>
      <c r="V469" s="194" t="n">
        <v>113.620679564383</v>
      </c>
    </row>
    <row r="470" customFormat="false" ht="12.75" hidden="false" customHeight="false" outlineLevel="0" collapsed="false">
      <c r="A470" s="55"/>
      <c r="B470" s="189" t="s">
        <v>110</v>
      </c>
      <c r="C470" s="193" t="n">
        <v>0</v>
      </c>
      <c r="D470" s="194" t="n">
        <v>3.76703315807841</v>
      </c>
      <c r="E470" s="194" t="n">
        <v>3.922343938384</v>
      </c>
      <c r="F470" s="194" t="n">
        <v>3.94405945789423</v>
      </c>
      <c r="G470" s="194" t="n">
        <v>3.97219100849585</v>
      </c>
      <c r="H470" s="194" t="n">
        <v>4.06321269345887</v>
      </c>
      <c r="I470" s="194" t="n">
        <v>4.2506522968635</v>
      </c>
      <c r="J470" s="194" t="n">
        <v>4.30596851628866</v>
      </c>
      <c r="K470" s="194" t="n">
        <v>4.62304189607585</v>
      </c>
      <c r="L470" s="194" t="n">
        <v>4.60750073743901</v>
      </c>
      <c r="M470" s="194" t="n">
        <v>4.59202078376478</v>
      </c>
      <c r="N470" s="194" t="n">
        <v>4.80484124153961</v>
      </c>
      <c r="O470" s="194" t="n">
        <v>4.76562841866786</v>
      </c>
      <c r="P470" s="194" t="n">
        <v>5.00869511962325</v>
      </c>
      <c r="Q470" s="194" t="n">
        <v>5.09831386292337</v>
      </c>
      <c r="R470" s="194" t="n">
        <v>5.05542155467808</v>
      </c>
      <c r="S470" s="194" t="n">
        <v>5.21689227861463</v>
      </c>
      <c r="T470" s="194" t="n">
        <v>5.24203448426697</v>
      </c>
      <c r="U470" s="194" t="n">
        <v>5.39457521235241</v>
      </c>
      <c r="V470" s="194" t="n">
        <v>5.53775993140966</v>
      </c>
    </row>
    <row r="471" customFormat="false" ht="12.75" hidden="false" customHeight="false" outlineLevel="0" collapsed="false">
      <c r="A471" s="55"/>
      <c r="B471" s="189" t="s">
        <v>111</v>
      </c>
      <c r="C471" s="193" t="n">
        <v>0</v>
      </c>
      <c r="D471" s="194" t="n">
        <v>0</v>
      </c>
      <c r="E471" s="194" t="n">
        <v>0</v>
      </c>
      <c r="F471" s="194" t="n">
        <v>0</v>
      </c>
      <c r="G471" s="194" t="n">
        <v>0</v>
      </c>
      <c r="H471" s="194" t="n">
        <v>0</v>
      </c>
      <c r="I471" s="194" t="n">
        <v>1.19236323504621</v>
      </c>
      <c r="J471" s="194" t="n">
        <v>1.31361297276121</v>
      </c>
      <c r="K471" s="194" t="n">
        <v>1.59162699557194</v>
      </c>
      <c r="L471" s="194" t="n">
        <v>1.63703855303541</v>
      </c>
      <c r="M471" s="194" t="n">
        <v>1.77623009388357</v>
      </c>
      <c r="N471" s="194" t="n">
        <v>2.01326381698664</v>
      </c>
      <c r="O471" s="194" t="n">
        <v>2.16306713140885</v>
      </c>
      <c r="P471" s="194" t="n">
        <v>2.49697363895853</v>
      </c>
      <c r="Q471" s="194" t="n">
        <v>2.77743626716847</v>
      </c>
      <c r="R471" s="194" t="n">
        <v>2.99211336641109</v>
      </c>
      <c r="S471" s="194" t="n">
        <v>3.32088925586176</v>
      </c>
      <c r="T471" s="194" t="n">
        <v>3.21132668057451</v>
      </c>
      <c r="U471" s="194" t="n">
        <v>2.77055717927972</v>
      </c>
      <c r="V471" s="194" t="n">
        <v>2.89538692513946</v>
      </c>
    </row>
    <row r="472" customFormat="false" ht="12.75" hidden="false" customHeight="false" outlineLevel="0" collapsed="false">
      <c r="A472" s="55"/>
      <c r="B472" s="189" t="s">
        <v>112</v>
      </c>
      <c r="C472" s="193" t="n">
        <v>0</v>
      </c>
      <c r="D472" s="194" t="n">
        <v>0</v>
      </c>
      <c r="E472" s="194" t="n">
        <v>0</v>
      </c>
      <c r="F472" s="194" t="n">
        <v>0</v>
      </c>
      <c r="G472" s="194" t="n">
        <v>0</v>
      </c>
      <c r="H472" s="194" t="n">
        <v>0</v>
      </c>
      <c r="I472" s="194" t="n">
        <v>1.19236323504621</v>
      </c>
      <c r="J472" s="194" t="n">
        <v>1.31361297276121</v>
      </c>
      <c r="K472" s="194" t="n">
        <v>1.59162699557194</v>
      </c>
      <c r="L472" s="194" t="n">
        <v>1.63703855303541</v>
      </c>
      <c r="M472" s="194" t="n">
        <v>1.77623009388357</v>
      </c>
      <c r="N472" s="194" t="n">
        <v>2.01326381698664</v>
      </c>
      <c r="O472" s="194" t="n">
        <v>2.16306713140885</v>
      </c>
      <c r="P472" s="194" t="n">
        <v>2.49697363895853</v>
      </c>
      <c r="Q472" s="194" t="n">
        <v>2.77743626716847</v>
      </c>
      <c r="R472" s="194" t="n">
        <v>2.99211336641109</v>
      </c>
      <c r="S472" s="194" t="n">
        <v>3.32088925586176</v>
      </c>
      <c r="T472" s="194" t="n">
        <v>3.21132668057451</v>
      </c>
      <c r="U472" s="194" t="n">
        <v>2.77055717927972</v>
      </c>
      <c r="V472" s="194" t="n">
        <v>2.89538692513946</v>
      </c>
    </row>
    <row r="473" customFormat="false" ht="12.75" hidden="false" customHeight="false" outlineLevel="0" collapsed="false">
      <c r="A473" s="186" t="s">
        <v>113</v>
      </c>
      <c r="B473" s="189"/>
      <c r="C473" s="187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</row>
    <row r="474" customFormat="false" ht="12.75" hidden="false" customHeight="false" outlineLevel="0" collapsed="false">
      <c r="A474" s="55"/>
      <c r="B474" s="189" t="s">
        <v>26</v>
      </c>
      <c r="C474" s="193" t="n">
        <v>0</v>
      </c>
      <c r="D474" s="194" t="n">
        <v>3.07268427202629</v>
      </c>
      <c r="E474" s="194" t="n">
        <v>3.13413795746681</v>
      </c>
      <c r="F474" s="194" t="n">
        <v>3.19682071661615</v>
      </c>
      <c r="G474" s="194" t="n">
        <v>3.26075713094847</v>
      </c>
      <c r="H474" s="194" t="n">
        <v>3.32597227356744</v>
      </c>
      <c r="I474" s="194" t="n">
        <v>3.39249171903879</v>
      </c>
      <c r="J474" s="194" t="n">
        <v>3.46034155341957</v>
      </c>
      <c r="K474" s="194" t="n">
        <v>3.52954838448796</v>
      </c>
      <c r="L474" s="194" t="n">
        <v>3.60013935217772</v>
      </c>
      <c r="M474" s="194" t="n">
        <v>3.67214213922127</v>
      </c>
      <c r="N474" s="194" t="n">
        <v>3.7455849820057</v>
      </c>
      <c r="O474" s="194" t="n">
        <v>3.82049668164581</v>
      </c>
      <c r="P474" s="194" t="n">
        <v>3.89690661527873</v>
      </c>
      <c r="Q474" s="194" t="n">
        <v>3.9748447475843</v>
      </c>
      <c r="R474" s="194" t="n">
        <v>4.05434164253599</v>
      </c>
      <c r="S474" s="194" t="n">
        <v>4.13542847538671</v>
      </c>
      <c r="T474" s="194" t="n">
        <v>4.21813704489444</v>
      </c>
      <c r="U474" s="194" t="n">
        <v>4.30249978579233</v>
      </c>
      <c r="V474" s="194" t="n">
        <v>4.38854978150818</v>
      </c>
    </row>
    <row r="475" customFormat="false" ht="12.75" hidden="false" customHeight="false" outlineLevel="0" collapsed="false">
      <c r="A475" s="55"/>
      <c r="B475" s="189" t="s">
        <v>114</v>
      </c>
      <c r="C475" s="193" t="n">
        <v>0</v>
      </c>
      <c r="D475" s="194" t="n">
        <v>0.796513395378809</v>
      </c>
      <c r="E475" s="194" t="n">
        <v>0.796513395378809</v>
      </c>
      <c r="F475" s="194" t="n">
        <v>0.796513395378809</v>
      </c>
      <c r="G475" s="194" t="n">
        <v>0.796513395378809</v>
      </c>
      <c r="H475" s="194" t="n">
        <v>0.796513395378809</v>
      </c>
      <c r="I475" s="194" t="n">
        <v>0.796513395378809</v>
      </c>
      <c r="J475" s="194" t="n">
        <v>0.796513395378809</v>
      </c>
      <c r="K475" s="194" t="n">
        <v>0.796513395378809</v>
      </c>
      <c r="L475" s="194" t="n">
        <v>0.796513395378809</v>
      </c>
      <c r="M475" s="194" t="n">
        <v>0.796513395378809</v>
      </c>
      <c r="N475" s="194" t="n">
        <v>0.796513395378809</v>
      </c>
      <c r="O475" s="194" t="n">
        <v>0.796513395378809</v>
      </c>
      <c r="P475" s="194" t="n">
        <v>0.796513395378809</v>
      </c>
      <c r="Q475" s="194" t="n">
        <v>0.796513395378809</v>
      </c>
      <c r="R475" s="194" t="n">
        <v>0.796513395378809</v>
      </c>
      <c r="S475" s="194" t="n">
        <v>0.796513395378809</v>
      </c>
      <c r="T475" s="194" t="n">
        <v>0.796513395378809</v>
      </c>
      <c r="U475" s="194" t="n">
        <v>0.796513395378809</v>
      </c>
      <c r="V475" s="194" t="n">
        <v>0.796513395378809</v>
      </c>
    </row>
    <row r="476" customFormat="false" ht="12.75" hidden="false" customHeight="false" outlineLevel="0" collapsed="false">
      <c r="A476" s="55"/>
      <c r="B476" s="189" t="s">
        <v>28</v>
      </c>
      <c r="C476" s="193" t="n">
        <v>0</v>
      </c>
      <c r="D476" s="194" t="n">
        <v>0.121752213941348</v>
      </c>
      <c r="E476" s="194" t="n">
        <v>0.124321185655511</v>
      </c>
      <c r="F476" s="194" t="n">
        <v>0.127043819621367</v>
      </c>
      <c r="G476" s="194" t="n">
        <v>0.129915009944808</v>
      </c>
      <c r="H476" s="194" t="n">
        <v>0.133006987181495</v>
      </c>
      <c r="I476" s="194" t="n">
        <v>0.136340155651695</v>
      </c>
      <c r="J476" s="194" t="n">
        <v>0.139721771338032</v>
      </c>
      <c r="K476" s="194" t="n">
        <v>0.143258418116006</v>
      </c>
      <c r="L476" s="194" t="n">
        <v>0.146796901043471</v>
      </c>
      <c r="M476" s="194" t="n">
        <v>0.150540222020079</v>
      </c>
      <c r="N476" s="194" t="n">
        <v>0.154183295392966</v>
      </c>
      <c r="O476" s="194" t="n">
        <v>0.158068714436868</v>
      </c>
      <c r="P476" s="194" t="n">
        <v>0.162083659783564</v>
      </c>
      <c r="Q476" s="194" t="n">
        <v>0.166135751278154</v>
      </c>
      <c r="R476" s="194" t="n">
        <v>0.170305758635235</v>
      </c>
      <c r="S476" s="194" t="n">
        <v>0.174563402601116</v>
      </c>
      <c r="T476" s="194" t="n">
        <v>0.178892574985623</v>
      </c>
      <c r="U476" s="194" t="n">
        <v>0.183382778617763</v>
      </c>
      <c r="V476" s="194" t="n">
        <v>0.187985686361069</v>
      </c>
    </row>
    <row r="477" customFormat="false" ht="12.75" hidden="false" customHeight="false" outlineLevel="0" collapsed="false">
      <c r="A477" s="55"/>
      <c r="B477" s="189" t="s">
        <v>33</v>
      </c>
      <c r="C477" s="193" t="n">
        <v>0</v>
      </c>
      <c r="D477" s="194" t="n">
        <v>0.0308464788732394</v>
      </c>
      <c r="E477" s="194" t="n">
        <v>0.0320915492957746</v>
      </c>
      <c r="F477" s="194" t="n">
        <v>0.033387323943662</v>
      </c>
      <c r="G477" s="194" t="n">
        <v>0.0348718309859155</v>
      </c>
      <c r="H477" s="194" t="n">
        <v>3.52112676056338</v>
      </c>
      <c r="I477" s="194" t="n">
        <v>3.62676056338028</v>
      </c>
      <c r="J477" s="194" t="n">
        <v>3.73556338028169</v>
      </c>
      <c r="K477" s="194" t="n">
        <v>3.84763028169014</v>
      </c>
      <c r="L477" s="194" t="n">
        <v>3.96305919014084</v>
      </c>
      <c r="M477" s="194" t="n">
        <v>4.08195096584507</v>
      </c>
      <c r="N477" s="194" t="n">
        <v>4.20440949482042</v>
      </c>
      <c r="O477" s="194" t="n">
        <v>4.33054177966504</v>
      </c>
      <c r="P477" s="194" t="n">
        <v>4.46045803305499</v>
      </c>
      <c r="Q477" s="194" t="n">
        <v>4.59427177404664</v>
      </c>
      <c r="R477" s="194" t="n">
        <v>4.73209992726804</v>
      </c>
      <c r="S477" s="194" t="n">
        <v>4.87406292508608</v>
      </c>
      <c r="T477" s="194" t="n">
        <v>5.02028481283866</v>
      </c>
      <c r="U477" s="194" t="n">
        <v>5.17089335722382</v>
      </c>
      <c r="V477" s="194" t="n">
        <v>5.32602015794053</v>
      </c>
    </row>
    <row r="478" customFormat="false" ht="12.75" hidden="false" customHeight="false" outlineLevel="0" collapsed="false">
      <c r="A478" s="55"/>
      <c r="B478" s="189" t="s">
        <v>115</v>
      </c>
      <c r="C478" s="195" t="n">
        <v>0</v>
      </c>
      <c r="D478" s="196" t="n">
        <v>0</v>
      </c>
      <c r="E478" s="196" t="n">
        <v>0</v>
      </c>
      <c r="F478" s="196" t="n">
        <v>0</v>
      </c>
      <c r="G478" s="196" t="n">
        <v>0</v>
      </c>
      <c r="H478" s="196" t="n">
        <v>0</v>
      </c>
      <c r="I478" s="196" t="n">
        <v>0</v>
      </c>
      <c r="J478" s="196" t="n">
        <v>0</v>
      </c>
      <c r="K478" s="196" t="n">
        <v>0</v>
      </c>
      <c r="L478" s="196" t="n">
        <v>0</v>
      </c>
      <c r="M478" s="196" t="n">
        <v>0</v>
      </c>
      <c r="N478" s="196" t="n">
        <v>0</v>
      </c>
      <c r="O478" s="196" t="n">
        <v>0</v>
      </c>
      <c r="P478" s="196" t="n">
        <v>0</v>
      </c>
      <c r="Q478" s="196" t="n">
        <v>0</v>
      </c>
      <c r="R478" s="196" t="n">
        <v>0</v>
      </c>
      <c r="S478" s="196" t="n">
        <v>0</v>
      </c>
      <c r="T478" s="196" t="n">
        <v>0</v>
      </c>
      <c r="U478" s="196" t="n">
        <v>0</v>
      </c>
      <c r="V478" s="196" t="n">
        <v>0</v>
      </c>
    </row>
    <row r="479" customFormat="false" ht="12.75" hidden="false" customHeight="false" outlineLevel="0" collapsed="false">
      <c r="A479" s="55"/>
      <c r="B479" s="189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</row>
    <row r="480" customFormat="false" ht="12.75" hidden="false" customHeight="false" outlineLevel="0" collapsed="false">
      <c r="A480" s="55"/>
      <c r="B480" s="189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</row>
    <row r="481" customFormat="false" ht="12.75" hidden="false" customHeight="false" outlineLevel="0" collapsed="false">
      <c r="A481" s="258"/>
      <c r="B481" s="259"/>
      <c r="C481" s="260"/>
      <c r="D481" s="260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</row>
    <row r="482" customFormat="false" ht="12.75" hidden="false" customHeight="false" outlineLevel="0" collapsed="false">
      <c r="A482" s="258"/>
      <c r="B482" s="259"/>
      <c r="C482" s="260"/>
      <c r="D482" s="260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</row>
    <row r="483" customFormat="false" ht="12.75" hidden="false" customHeight="false" outlineLevel="0" collapsed="false">
      <c r="A483" s="52" t="s">
        <v>105</v>
      </c>
      <c r="B483" s="182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</row>
    <row r="484" customFormat="false" ht="12.75" hidden="false" customHeight="false" outlineLevel="0" collapsed="false">
      <c r="A484" s="183" t="s">
        <v>90</v>
      </c>
      <c r="B484" s="182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</row>
    <row r="485" customFormat="false" ht="12.75" hidden="false" customHeight="false" outlineLevel="0" collapsed="false">
      <c r="A485" s="55"/>
      <c r="B485" s="182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</row>
    <row r="486" customFormat="false" ht="12.75" hidden="false" customHeight="false" outlineLevel="0" collapsed="false">
      <c r="A486" s="55"/>
      <c r="B486" s="182"/>
      <c r="C486" s="184" t="n">
        <v>2000</v>
      </c>
      <c r="D486" s="185" t="n">
        <v>2001</v>
      </c>
      <c r="E486" s="185" t="n">
        <v>2002</v>
      </c>
      <c r="F486" s="185" t="n">
        <v>2003</v>
      </c>
      <c r="G486" s="185" t="n">
        <v>2004</v>
      </c>
      <c r="H486" s="185" t="n">
        <v>2005</v>
      </c>
      <c r="I486" s="185" t="n">
        <v>2006</v>
      </c>
      <c r="J486" s="185" t="n">
        <v>2007</v>
      </c>
      <c r="K486" s="185" t="n">
        <v>2008</v>
      </c>
      <c r="L486" s="185" t="n">
        <v>2009</v>
      </c>
      <c r="M486" s="185" t="n">
        <v>2010</v>
      </c>
      <c r="N486" s="185" t="n">
        <v>2011</v>
      </c>
      <c r="O486" s="185" t="n">
        <v>2012</v>
      </c>
      <c r="P486" s="185" t="n">
        <v>2013</v>
      </c>
      <c r="Q486" s="185" t="n">
        <v>2014</v>
      </c>
      <c r="R486" s="185" t="n">
        <v>2015</v>
      </c>
      <c r="S486" s="185" t="n">
        <v>2016</v>
      </c>
      <c r="T486" s="185" t="n">
        <v>2017</v>
      </c>
      <c r="U486" s="185" t="n">
        <v>2018</v>
      </c>
      <c r="V486" s="185" t="n">
        <v>2019</v>
      </c>
    </row>
    <row r="487" customFormat="false" ht="12.75" hidden="false" customHeight="false" outlineLevel="0" collapsed="false">
      <c r="A487" s="186" t="s">
        <v>106</v>
      </c>
      <c r="B487" s="182"/>
      <c r="C487" s="187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</row>
    <row r="488" customFormat="false" ht="12.75" hidden="false" customHeight="false" outlineLevel="0" collapsed="false">
      <c r="A488" s="55"/>
      <c r="B488" s="189" t="s">
        <v>107</v>
      </c>
      <c r="C488" s="190" t="n">
        <v>0</v>
      </c>
      <c r="D488" s="191" t="n">
        <v>3423.10952951156</v>
      </c>
      <c r="E488" s="191" t="n">
        <v>4097.67146372837</v>
      </c>
      <c r="F488" s="191" t="n">
        <v>3286.7450316316</v>
      </c>
      <c r="G488" s="191" t="n">
        <v>3564.98231944179</v>
      </c>
      <c r="H488" s="191" t="n">
        <v>4384.14603934875</v>
      </c>
      <c r="I488" s="191" t="n">
        <v>3958.08960377489</v>
      </c>
      <c r="J488" s="191" t="n">
        <v>5195.9989035423</v>
      </c>
      <c r="K488" s="191" t="n">
        <v>8288.28035683939</v>
      </c>
      <c r="L488" s="191" t="n">
        <v>9264.37664388661</v>
      </c>
      <c r="M488" s="191" t="n">
        <v>9018.16207522041</v>
      </c>
      <c r="N488" s="191" t="n">
        <v>8164.24664040951</v>
      </c>
      <c r="O488" s="191" t="n">
        <v>8468.99835531345</v>
      </c>
      <c r="P488" s="191" t="n">
        <v>9244.24664040951</v>
      </c>
      <c r="Q488" s="191" t="n">
        <v>11313.2123757508</v>
      </c>
      <c r="R488" s="191" t="n">
        <v>9580.14494289105</v>
      </c>
      <c r="S488" s="191" t="n">
        <v>7923.49006326319</v>
      </c>
      <c r="T488" s="191" t="n">
        <v>9980.56308293757</v>
      </c>
      <c r="U488" s="191" t="n">
        <v>10251.4895150343</v>
      </c>
      <c r="V488" s="191" t="n">
        <v>9428.67036727066</v>
      </c>
    </row>
    <row r="489" customFormat="false" ht="12.75" hidden="false" customHeight="false" outlineLevel="0" collapsed="false">
      <c r="A489" s="55"/>
      <c r="B489" s="189" t="s">
        <v>108</v>
      </c>
      <c r="C489" s="190" t="n">
        <v>0</v>
      </c>
      <c r="D489" s="192" t="n">
        <v>0.0130255309342145</v>
      </c>
      <c r="E489" s="192" t="n">
        <v>0.0155923571679162</v>
      </c>
      <c r="F489" s="192" t="n">
        <v>0.0125066401508052</v>
      </c>
      <c r="G489" s="192" t="n">
        <v>0.0135653817330357</v>
      </c>
      <c r="H489" s="192" t="n">
        <v>0.0166824430721033</v>
      </c>
      <c r="I489" s="192" t="n">
        <v>0.0150612237586563</v>
      </c>
      <c r="J489" s="192" t="n">
        <v>0.0197716853255034</v>
      </c>
      <c r="K489" s="192" t="n">
        <v>0.0315383575222199</v>
      </c>
      <c r="L489" s="192" t="n">
        <v>0.035252574748427</v>
      </c>
      <c r="M489" s="192" t="n">
        <v>0.0343156852177337</v>
      </c>
      <c r="N489" s="192" t="n">
        <v>0.0310663875205842</v>
      </c>
      <c r="O489" s="192" t="n">
        <v>0.0322260211389401</v>
      </c>
      <c r="P489" s="192" t="n">
        <v>0.03517597656168</v>
      </c>
      <c r="Q489" s="192" t="n">
        <v>0.043048753332385</v>
      </c>
      <c r="R489" s="192" t="n">
        <v>0.0364541283976067</v>
      </c>
      <c r="S489" s="192" t="n">
        <v>0.0301502666029802</v>
      </c>
      <c r="T489" s="192" t="n">
        <v>0.0379777895088949</v>
      </c>
      <c r="U489" s="192" t="n">
        <v>0.0390087120054579</v>
      </c>
      <c r="V489" s="192" t="n">
        <v>0.0358777411235566</v>
      </c>
    </row>
    <row r="490" customFormat="false" ht="12.75" hidden="false" customHeight="false" outlineLevel="0" collapsed="false">
      <c r="A490" s="186" t="s">
        <v>109</v>
      </c>
      <c r="B490" s="189"/>
      <c r="C490" s="187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</row>
    <row r="491" customFormat="false" ht="12.75" hidden="false" customHeight="false" outlineLevel="0" collapsed="false">
      <c r="A491" s="55"/>
      <c r="B491" s="189" t="s">
        <v>20</v>
      </c>
      <c r="C491" s="193" t="n">
        <v>0</v>
      </c>
      <c r="D491" s="194" t="n">
        <v>621.244248762276</v>
      </c>
      <c r="E491" s="194" t="n">
        <v>391.068608355186</v>
      </c>
      <c r="F491" s="194" t="n">
        <v>364.780724417555</v>
      </c>
      <c r="G491" s="194" t="n">
        <v>299.818061271626</v>
      </c>
      <c r="H491" s="194" t="n">
        <v>240.247880551886</v>
      </c>
      <c r="I491" s="194" t="n">
        <v>201.227178152722</v>
      </c>
      <c r="J491" s="194" t="n">
        <v>185.025351315798</v>
      </c>
      <c r="K491" s="194" t="n">
        <v>176.71084111393</v>
      </c>
      <c r="L491" s="194" t="n">
        <v>171.337857288274</v>
      </c>
      <c r="M491" s="194" t="n">
        <v>186.115729525745</v>
      </c>
      <c r="N491" s="194" t="n">
        <v>165.502605462172</v>
      </c>
      <c r="O491" s="194" t="n">
        <v>170.753016082913</v>
      </c>
      <c r="P491" s="194" t="n">
        <v>179.510469495401</v>
      </c>
      <c r="Q491" s="194" t="n">
        <v>177.189725160633</v>
      </c>
      <c r="R491" s="194" t="n">
        <v>175.103227674849</v>
      </c>
      <c r="S491" s="194" t="n">
        <v>171.442953183197</v>
      </c>
      <c r="T491" s="194" t="n">
        <v>175.681451289341</v>
      </c>
      <c r="U491" s="194" t="n">
        <v>186.81360773973</v>
      </c>
      <c r="V491" s="194" t="n">
        <v>172.439316228077</v>
      </c>
    </row>
    <row r="492" customFormat="false" ht="12.75" hidden="false" customHeight="false" outlineLevel="0" collapsed="false">
      <c r="A492" s="55"/>
      <c r="B492" s="189" t="s">
        <v>21</v>
      </c>
      <c r="C492" s="193" t="n">
        <v>0</v>
      </c>
      <c r="D492" s="194" t="n">
        <v>90.6747021346872</v>
      </c>
      <c r="E492" s="194" t="n">
        <v>85.1981061434455</v>
      </c>
      <c r="F492" s="194" t="n">
        <v>80.5229503022333</v>
      </c>
      <c r="G492" s="194" t="n">
        <v>80.2188073321823</v>
      </c>
      <c r="H492" s="194" t="n">
        <v>81.4700787662289</v>
      </c>
      <c r="I492" s="194" t="n">
        <v>86.2476206962388</v>
      </c>
      <c r="J492" s="194" t="n">
        <v>85.5823279412168</v>
      </c>
      <c r="K492" s="194" t="n">
        <v>83.729076095082</v>
      </c>
      <c r="L492" s="194" t="n">
        <v>84.0216931783802</v>
      </c>
      <c r="M492" s="194" t="n">
        <v>84.880794628372</v>
      </c>
      <c r="N492" s="194" t="n">
        <v>91.0531175746966</v>
      </c>
      <c r="O492" s="194" t="n">
        <v>86.3840739596107</v>
      </c>
      <c r="P492" s="194" t="n">
        <v>96.4362254377933</v>
      </c>
      <c r="Q492" s="194" t="n">
        <v>92.2939021233374</v>
      </c>
      <c r="R492" s="194" t="n">
        <v>96.8964276974409</v>
      </c>
      <c r="S492" s="194" t="n">
        <v>103.557998474303</v>
      </c>
      <c r="T492" s="194" t="n">
        <v>105.656085499376</v>
      </c>
      <c r="U492" s="194" t="n">
        <v>113.032095453211</v>
      </c>
      <c r="V492" s="194" t="n">
        <v>114.249166173984</v>
      </c>
    </row>
    <row r="493" customFormat="false" ht="12.75" hidden="false" customHeight="false" outlineLevel="0" collapsed="false">
      <c r="A493" s="55"/>
      <c r="B493" s="189" t="s">
        <v>110</v>
      </c>
      <c r="C493" s="193" t="n">
        <v>0</v>
      </c>
      <c r="D493" s="194" t="n">
        <v>3.84123060560757</v>
      </c>
      <c r="E493" s="194" t="n">
        <v>3.99846453289935</v>
      </c>
      <c r="F493" s="194" t="n">
        <v>3.96974662167689</v>
      </c>
      <c r="G493" s="194" t="n">
        <v>4.00982619893335</v>
      </c>
      <c r="H493" s="194" t="n">
        <v>4.13118185786115</v>
      </c>
      <c r="I493" s="194" t="n">
        <v>4.37343997721297</v>
      </c>
      <c r="J493" s="194" t="n">
        <v>4.37230669641965</v>
      </c>
      <c r="K493" s="194" t="n">
        <v>4.71367419830858</v>
      </c>
      <c r="L493" s="194" t="n">
        <v>4.71636362523655</v>
      </c>
      <c r="M493" s="194" t="n">
        <v>4.68919459391574</v>
      </c>
      <c r="N493" s="194" t="n">
        <v>4.93487092114319</v>
      </c>
      <c r="O493" s="194" t="n">
        <v>4.89431025349454</v>
      </c>
      <c r="P493" s="194" t="n">
        <v>5.21780781473982</v>
      </c>
      <c r="Q493" s="194" t="n">
        <v>5.18916869085014</v>
      </c>
      <c r="R493" s="194" t="n">
        <v>5.08742713183708</v>
      </c>
      <c r="S493" s="194" t="n">
        <v>5.29950812327732</v>
      </c>
      <c r="T493" s="194" t="n">
        <v>5.36309987050679</v>
      </c>
      <c r="U493" s="194" t="n">
        <v>5.48109487988471</v>
      </c>
      <c r="V493" s="194" t="n">
        <v>5.59061008129564</v>
      </c>
    </row>
    <row r="494" customFormat="false" ht="12.75" hidden="false" customHeight="false" outlineLevel="0" collapsed="false">
      <c r="A494" s="55"/>
      <c r="B494" s="189" t="s">
        <v>111</v>
      </c>
      <c r="C494" s="193" t="n">
        <v>0</v>
      </c>
      <c r="D494" s="194" t="n">
        <v>0</v>
      </c>
      <c r="E494" s="194" t="n">
        <v>0</v>
      </c>
      <c r="F494" s="194" t="n">
        <v>0</v>
      </c>
      <c r="G494" s="194" t="n">
        <v>0</v>
      </c>
      <c r="H494" s="194" t="n">
        <v>0</v>
      </c>
      <c r="I494" s="194" t="n">
        <v>1.226532664319</v>
      </c>
      <c r="J494" s="194" t="n">
        <v>1.33383324670422</v>
      </c>
      <c r="K494" s="194" t="n">
        <v>1.6270346093143</v>
      </c>
      <c r="L494" s="194" t="n">
        <v>1.67531087439369</v>
      </c>
      <c r="M494" s="194" t="n">
        <v>1.81378004153709</v>
      </c>
      <c r="N494" s="194" t="n">
        <v>2.06814136988285</v>
      </c>
      <c r="O494" s="194" t="n">
        <v>2.22078220169541</v>
      </c>
      <c r="P494" s="194" t="n">
        <v>2.60005824590413</v>
      </c>
      <c r="Q494" s="194" t="n">
        <v>2.82573092585079</v>
      </c>
      <c r="R494" s="194" t="n">
        <v>3.01018816017972</v>
      </c>
      <c r="S494" s="194" t="n">
        <v>3.37162409777056</v>
      </c>
      <c r="T494" s="194" t="n">
        <v>3.2853353234076</v>
      </c>
      <c r="U494" s="194" t="n">
        <v>2.81509757856484</v>
      </c>
      <c r="V494" s="194" t="n">
        <v>2.92303153535566</v>
      </c>
    </row>
    <row r="495" customFormat="false" ht="12.75" hidden="false" customHeight="false" outlineLevel="0" collapsed="false">
      <c r="A495" s="55"/>
      <c r="B495" s="189" t="s">
        <v>112</v>
      </c>
      <c r="C495" s="193" t="n">
        <v>0</v>
      </c>
      <c r="D495" s="194" t="n">
        <v>0</v>
      </c>
      <c r="E495" s="194" t="n">
        <v>0</v>
      </c>
      <c r="F495" s="194" t="n">
        <v>0</v>
      </c>
      <c r="G495" s="194" t="n">
        <v>0</v>
      </c>
      <c r="H495" s="194" t="n">
        <v>0</v>
      </c>
      <c r="I495" s="194" t="n">
        <v>1.226532664319</v>
      </c>
      <c r="J495" s="194" t="n">
        <v>1.33383324670422</v>
      </c>
      <c r="K495" s="194" t="n">
        <v>1.6270346093143</v>
      </c>
      <c r="L495" s="194" t="n">
        <v>1.67531087439369</v>
      </c>
      <c r="M495" s="194" t="n">
        <v>1.81378004153709</v>
      </c>
      <c r="N495" s="194" t="n">
        <v>2.06814136988285</v>
      </c>
      <c r="O495" s="194" t="n">
        <v>2.22078220169541</v>
      </c>
      <c r="P495" s="194" t="n">
        <v>2.60005824590413</v>
      </c>
      <c r="Q495" s="194" t="n">
        <v>2.82573092585079</v>
      </c>
      <c r="R495" s="194" t="n">
        <v>3.01018816017972</v>
      </c>
      <c r="S495" s="194" t="n">
        <v>3.37162409777056</v>
      </c>
      <c r="T495" s="194" t="n">
        <v>3.2853353234076</v>
      </c>
      <c r="U495" s="194" t="n">
        <v>2.81509757856484</v>
      </c>
      <c r="V495" s="194" t="n">
        <v>2.92303153535566</v>
      </c>
    </row>
    <row r="496" customFormat="false" ht="12.75" hidden="false" customHeight="false" outlineLevel="0" collapsed="false">
      <c r="A496" s="186" t="s">
        <v>113</v>
      </c>
      <c r="B496" s="189"/>
      <c r="C496" s="187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</row>
    <row r="497" customFormat="false" ht="12.75" hidden="false" customHeight="false" outlineLevel="0" collapsed="false">
      <c r="A497" s="55"/>
      <c r="B497" s="189" t="s">
        <v>26</v>
      </c>
      <c r="C497" s="193" t="n">
        <v>0</v>
      </c>
      <c r="D497" s="194" t="n">
        <v>3.1960472921885</v>
      </c>
      <c r="E497" s="194" t="n">
        <v>3.25996823803227</v>
      </c>
      <c r="F497" s="194" t="n">
        <v>3.32516760279292</v>
      </c>
      <c r="G497" s="194" t="n">
        <v>3.39167095484878</v>
      </c>
      <c r="H497" s="194" t="n">
        <v>3.45950437394575</v>
      </c>
      <c r="I497" s="194" t="n">
        <v>3.52869446142467</v>
      </c>
      <c r="J497" s="194" t="n">
        <v>3.59926835065316</v>
      </c>
      <c r="K497" s="194" t="n">
        <v>3.67125371766622</v>
      </c>
      <c r="L497" s="194" t="n">
        <v>3.74467879201955</v>
      </c>
      <c r="M497" s="194" t="n">
        <v>3.81957236785994</v>
      </c>
      <c r="N497" s="194" t="n">
        <v>3.89596381521714</v>
      </c>
      <c r="O497" s="194" t="n">
        <v>3.97388309152148</v>
      </c>
      <c r="P497" s="194" t="n">
        <v>4.05336075335191</v>
      </c>
      <c r="Q497" s="194" t="n">
        <v>4.13442796841895</v>
      </c>
      <c r="R497" s="194" t="n">
        <v>4.21711652778733</v>
      </c>
      <c r="S497" s="194" t="n">
        <v>4.30145885834307</v>
      </c>
      <c r="T497" s="194" t="n">
        <v>4.38748803550994</v>
      </c>
      <c r="U497" s="194" t="n">
        <v>4.47523779622013</v>
      </c>
      <c r="V497" s="194" t="n">
        <v>4.56474255214454</v>
      </c>
    </row>
    <row r="498" customFormat="false" ht="12.75" hidden="false" customHeight="false" outlineLevel="0" collapsed="false">
      <c r="A498" s="55"/>
      <c r="B498" s="189" t="s">
        <v>114</v>
      </c>
      <c r="C498" s="193" t="n">
        <v>0</v>
      </c>
      <c r="D498" s="194" t="n">
        <v>0.848286766078431</v>
      </c>
      <c r="E498" s="194" t="n">
        <v>0.848286766078431</v>
      </c>
      <c r="F498" s="194" t="n">
        <v>0.848286766078431</v>
      </c>
      <c r="G498" s="194" t="n">
        <v>0.848286766078431</v>
      </c>
      <c r="H498" s="194" t="n">
        <v>0.848286766078431</v>
      </c>
      <c r="I498" s="194" t="n">
        <v>0.848286766078431</v>
      </c>
      <c r="J498" s="194" t="n">
        <v>0.848286766078431</v>
      </c>
      <c r="K498" s="194" t="n">
        <v>0.848286766078431</v>
      </c>
      <c r="L498" s="194" t="n">
        <v>0.848286766078431</v>
      </c>
      <c r="M498" s="194" t="n">
        <v>0.848286766078431</v>
      </c>
      <c r="N498" s="194" t="n">
        <v>0.848286766078431</v>
      </c>
      <c r="O498" s="194" t="n">
        <v>0.848286766078431</v>
      </c>
      <c r="P498" s="194" t="n">
        <v>0.848286766078431</v>
      </c>
      <c r="Q498" s="194" t="n">
        <v>0.848286766078431</v>
      </c>
      <c r="R498" s="194" t="n">
        <v>0.848286766078431</v>
      </c>
      <c r="S498" s="194" t="n">
        <v>0.848286766078431</v>
      </c>
      <c r="T498" s="194" t="n">
        <v>0.848286766078431</v>
      </c>
      <c r="U498" s="194" t="n">
        <v>0.848286766078431</v>
      </c>
      <c r="V498" s="194" t="n">
        <v>0.848286766078431</v>
      </c>
    </row>
    <row r="499" customFormat="false" ht="12.75" hidden="false" customHeight="false" outlineLevel="0" collapsed="false">
      <c r="A499" s="55"/>
      <c r="B499" s="189" t="s">
        <v>28</v>
      </c>
      <c r="C499" s="193" t="n">
        <v>0</v>
      </c>
      <c r="D499" s="194" t="n">
        <v>0.121752213941348</v>
      </c>
      <c r="E499" s="194" t="n">
        <v>0.124321185655511</v>
      </c>
      <c r="F499" s="194" t="n">
        <v>0.127043819621367</v>
      </c>
      <c r="G499" s="194" t="n">
        <v>0.129915009944808</v>
      </c>
      <c r="H499" s="194" t="n">
        <v>0.133006987181495</v>
      </c>
      <c r="I499" s="194" t="n">
        <v>0.136340155651695</v>
      </c>
      <c r="J499" s="194" t="n">
        <v>0.139721771338032</v>
      </c>
      <c r="K499" s="194" t="n">
        <v>0.143258418116006</v>
      </c>
      <c r="L499" s="194" t="n">
        <v>0.146796901043471</v>
      </c>
      <c r="M499" s="194" t="n">
        <v>0.150540222020079</v>
      </c>
      <c r="N499" s="194" t="n">
        <v>0.154183295392966</v>
      </c>
      <c r="O499" s="194" t="n">
        <v>0.158068714436868</v>
      </c>
      <c r="P499" s="194" t="n">
        <v>0.162083659783564</v>
      </c>
      <c r="Q499" s="194" t="n">
        <v>0.166135751278153</v>
      </c>
      <c r="R499" s="194" t="n">
        <v>0.170305758635235</v>
      </c>
      <c r="S499" s="194" t="n">
        <v>0.174563402601116</v>
      </c>
      <c r="T499" s="194" t="n">
        <v>0.178892574985623</v>
      </c>
      <c r="U499" s="194" t="n">
        <v>0.183382778617763</v>
      </c>
      <c r="V499" s="194" t="n">
        <v>0.187985686361069</v>
      </c>
    </row>
    <row r="500" customFormat="false" ht="12.75" hidden="false" customHeight="false" outlineLevel="0" collapsed="false">
      <c r="A500" s="55"/>
      <c r="B500" s="189" t="s">
        <v>33</v>
      </c>
      <c r="C500" s="193" t="n">
        <v>0</v>
      </c>
      <c r="D500" s="194" t="n">
        <v>0.0302446666666667</v>
      </c>
      <c r="E500" s="194" t="n">
        <v>0.0314646666666667</v>
      </c>
      <c r="F500" s="194" t="n">
        <v>0.0327353333333333</v>
      </c>
      <c r="G500" s="194" t="n">
        <v>0.0341906666666667</v>
      </c>
      <c r="H500" s="194" t="n">
        <v>3.33333333333333</v>
      </c>
      <c r="I500" s="194" t="n">
        <v>3.43333333333333</v>
      </c>
      <c r="J500" s="194" t="n">
        <v>3.53633333333333</v>
      </c>
      <c r="K500" s="194" t="n">
        <v>3.64242333333333</v>
      </c>
      <c r="L500" s="194" t="n">
        <v>3.75169603333333</v>
      </c>
      <c r="M500" s="194" t="n">
        <v>3.86424691433333</v>
      </c>
      <c r="N500" s="194" t="n">
        <v>3.98017432176333</v>
      </c>
      <c r="O500" s="194" t="n">
        <v>4.09957955141623</v>
      </c>
      <c r="P500" s="194" t="n">
        <v>4.22256693795872</v>
      </c>
      <c r="Q500" s="194" t="n">
        <v>4.34924394609748</v>
      </c>
      <c r="R500" s="194" t="n">
        <v>4.47972126448041</v>
      </c>
      <c r="S500" s="194" t="n">
        <v>4.61411290241482</v>
      </c>
      <c r="T500" s="194" t="n">
        <v>4.75253628948726</v>
      </c>
      <c r="U500" s="194" t="n">
        <v>4.89511237817188</v>
      </c>
      <c r="V500" s="194" t="n">
        <v>5.04196574951704</v>
      </c>
    </row>
    <row r="501" customFormat="false" ht="12.75" hidden="false" customHeight="false" outlineLevel="0" collapsed="false">
      <c r="A501" s="55"/>
      <c r="B501" s="189" t="s">
        <v>115</v>
      </c>
      <c r="C501" s="195" t="n">
        <v>0</v>
      </c>
      <c r="D501" s="196" t="n">
        <v>0</v>
      </c>
      <c r="E501" s="196" t="n">
        <v>0</v>
      </c>
      <c r="F501" s="196" t="n">
        <v>0</v>
      </c>
      <c r="G501" s="196" t="n">
        <v>0</v>
      </c>
      <c r="H501" s="196" t="n">
        <v>0</v>
      </c>
      <c r="I501" s="196" t="n">
        <v>0</v>
      </c>
      <c r="J501" s="196" t="n">
        <v>0</v>
      </c>
      <c r="K501" s="196" t="n">
        <v>0</v>
      </c>
      <c r="L501" s="196" t="n">
        <v>0</v>
      </c>
      <c r="M501" s="196" t="n">
        <v>0</v>
      </c>
      <c r="N501" s="196" t="n">
        <v>0</v>
      </c>
      <c r="O501" s="196" t="n">
        <v>0</v>
      </c>
      <c r="P501" s="196" t="n">
        <v>0</v>
      </c>
      <c r="Q501" s="196" t="n">
        <v>0</v>
      </c>
      <c r="R501" s="196" t="n">
        <v>0</v>
      </c>
      <c r="S501" s="196" t="n">
        <v>0</v>
      </c>
      <c r="T501" s="196" t="n">
        <v>0</v>
      </c>
      <c r="U501" s="196" t="n">
        <v>0</v>
      </c>
      <c r="V501" s="196" t="n">
        <v>0</v>
      </c>
    </row>
    <row r="502" customFormat="false" ht="12.75" hidden="false" customHeight="false" outlineLevel="0" collapsed="false">
      <c r="A502" s="55"/>
      <c r="B502" s="189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</row>
    <row r="503" customFormat="false" ht="12.75" hidden="false" customHeight="false" outlineLevel="0" collapsed="false">
      <c r="A503" s="55"/>
      <c r="B503" s="189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</row>
    <row r="504" customFormat="false" ht="12.75" hidden="false" customHeight="false" outlineLevel="0" collapsed="false">
      <c r="A504" s="262"/>
      <c r="B504" s="175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</row>
    <row r="505" customFormat="false" ht="12.75" hidden="false" customHeight="false" outlineLevel="0" collapsed="false">
      <c r="A505" s="11"/>
      <c r="B505" s="175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</row>
    <row r="506" customFormat="false" ht="12.75" hidden="false" customHeight="false" outlineLevel="0" collapsed="false">
      <c r="A506" s="52" t="s">
        <v>105</v>
      </c>
      <c r="B506" s="182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</row>
    <row r="507" customFormat="false" ht="12.75" hidden="false" customHeight="false" outlineLevel="0" collapsed="false">
      <c r="A507" s="183" t="s">
        <v>91</v>
      </c>
      <c r="B507" s="182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</row>
    <row r="508" customFormat="false" ht="12.75" hidden="false" customHeight="false" outlineLevel="0" collapsed="false">
      <c r="A508" s="55"/>
      <c r="B508" s="182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</row>
    <row r="509" customFormat="false" ht="12.75" hidden="false" customHeight="false" outlineLevel="0" collapsed="false">
      <c r="A509" s="55"/>
      <c r="B509" s="182"/>
      <c r="C509" s="184" t="n">
        <v>2000</v>
      </c>
      <c r="D509" s="185" t="n">
        <v>2001</v>
      </c>
      <c r="E509" s="185" t="n">
        <v>2002</v>
      </c>
      <c r="F509" s="185" t="n">
        <v>2003</v>
      </c>
      <c r="G509" s="185" t="n">
        <v>2004</v>
      </c>
      <c r="H509" s="185" t="n">
        <v>2005</v>
      </c>
      <c r="I509" s="185" t="n">
        <v>2006</v>
      </c>
      <c r="J509" s="185" t="n">
        <v>2007</v>
      </c>
      <c r="K509" s="185" t="n">
        <v>2008</v>
      </c>
      <c r="L509" s="185" t="n">
        <v>2009</v>
      </c>
      <c r="M509" s="185" t="n">
        <v>2010</v>
      </c>
      <c r="N509" s="185" t="n">
        <v>2011</v>
      </c>
      <c r="O509" s="185" t="n">
        <v>2012</v>
      </c>
      <c r="P509" s="185" t="n">
        <v>2013</v>
      </c>
      <c r="Q509" s="185" t="n">
        <v>2014</v>
      </c>
      <c r="R509" s="185" t="n">
        <v>2015</v>
      </c>
      <c r="S509" s="185" t="n">
        <v>2016</v>
      </c>
      <c r="T509" s="185" t="n">
        <v>2017</v>
      </c>
      <c r="U509" s="185" t="n">
        <v>2018</v>
      </c>
      <c r="V509" s="185" t="n">
        <v>2019</v>
      </c>
    </row>
    <row r="510" customFormat="false" ht="12.75" hidden="false" customHeight="false" outlineLevel="0" collapsed="false">
      <c r="A510" s="186" t="s">
        <v>106</v>
      </c>
      <c r="B510" s="182"/>
      <c r="C510" s="187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</row>
    <row r="511" customFormat="false" ht="12.75" hidden="false" customHeight="false" outlineLevel="0" collapsed="false">
      <c r="A511" s="55"/>
      <c r="B511" s="189" t="s">
        <v>107</v>
      </c>
      <c r="C511" s="190" t="n">
        <v>0</v>
      </c>
      <c r="D511" s="191" t="n">
        <v>6842.78704174716</v>
      </c>
      <c r="E511" s="191" t="n">
        <v>8273.2342999274</v>
      </c>
      <c r="F511" s="191" t="n">
        <v>7085.84363958539</v>
      </c>
      <c r="G511" s="191" t="n">
        <v>6616.11653269072</v>
      </c>
      <c r="H511" s="191" t="n">
        <v>9760.94292404364</v>
      </c>
      <c r="I511" s="191" t="n">
        <v>9005.6273443183</v>
      </c>
      <c r="J511" s="191" t="n">
        <v>11238.8019059308</v>
      </c>
      <c r="K511" s="191" t="n">
        <v>19619.3041343282</v>
      </c>
      <c r="L511" s="191" t="n">
        <v>17042.3414929601</v>
      </c>
      <c r="M511" s="191" t="n">
        <v>18060.3230101817</v>
      </c>
      <c r="N511" s="191" t="n">
        <v>19003.0904196475</v>
      </c>
      <c r="O511" s="191" t="n">
        <v>18530.0501170764</v>
      </c>
      <c r="P511" s="191" t="n">
        <v>19710.9043308657</v>
      </c>
      <c r="Q511" s="191" t="n">
        <v>24327.0532575531</v>
      </c>
      <c r="R511" s="191" t="n">
        <v>18566.0455455161</v>
      </c>
      <c r="S511" s="191" t="n">
        <v>17313.2004748472</v>
      </c>
      <c r="T511" s="191" t="n">
        <v>19758.3160545726</v>
      </c>
      <c r="U511" s="191" t="n">
        <v>23205.117007538</v>
      </c>
      <c r="V511" s="191" t="n">
        <v>22379.4671687713</v>
      </c>
    </row>
    <row r="512" customFormat="false" ht="12.75" hidden="false" customHeight="false" outlineLevel="0" collapsed="false">
      <c r="A512" s="55"/>
      <c r="B512" s="189" t="s">
        <v>108</v>
      </c>
      <c r="C512" s="190" t="n">
        <v>0</v>
      </c>
      <c r="D512" s="192" t="n">
        <v>0.0137524660785002</v>
      </c>
      <c r="E512" s="192" t="n">
        <v>0.016627344001076</v>
      </c>
      <c r="F512" s="192" t="n">
        <v>0.0142409552856803</v>
      </c>
      <c r="G512" s="192" t="n">
        <v>0.0132969092318853</v>
      </c>
      <c r="H512" s="192" t="n">
        <v>0.0196173044167705</v>
      </c>
      <c r="I512" s="192" t="n">
        <v>0.0180992896334135</v>
      </c>
      <c r="J512" s="192" t="n">
        <v>0.0225874692623536</v>
      </c>
      <c r="K512" s="192" t="n">
        <v>0.0394303977231819</v>
      </c>
      <c r="L512" s="192" t="n">
        <v>0.0342512812177635</v>
      </c>
      <c r="M512" s="192" t="n">
        <v>0.0362971955796629</v>
      </c>
      <c r="N512" s="192" t="n">
        <v>0.0381919464669101</v>
      </c>
      <c r="O512" s="192" t="n">
        <v>0.0372412416334579</v>
      </c>
      <c r="P512" s="192" t="n">
        <v>0.0396144935583995</v>
      </c>
      <c r="Q512" s="192" t="n">
        <v>0.0488919167984136</v>
      </c>
      <c r="R512" s="192" t="n">
        <v>0.0373135843653855</v>
      </c>
      <c r="S512" s="192" t="n">
        <v>0.0347956469765886</v>
      </c>
      <c r="T512" s="192" t="n">
        <v>0.0397097804814067</v>
      </c>
      <c r="U512" s="192" t="n">
        <v>0.0466370767564192</v>
      </c>
      <c r="V512" s="192" t="n">
        <v>0.0449777058990355</v>
      </c>
    </row>
    <row r="513" customFormat="false" ht="12.75" hidden="false" customHeight="false" outlineLevel="0" collapsed="false">
      <c r="A513" s="186" t="s">
        <v>109</v>
      </c>
      <c r="B513" s="189"/>
      <c r="C513" s="187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</row>
    <row r="514" customFormat="false" ht="12.75" hidden="false" customHeight="false" outlineLevel="0" collapsed="false">
      <c r="A514" s="55"/>
      <c r="B514" s="189" t="s">
        <v>20</v>
      </c>
      <c r="C514" s="193" t="n">
        <v>0</v>
      </c>
      <c r="D514" s="194" t="n">
        <v>561.799070196713</v>
      </c>
      <c r="E514" s="194" t="n">
        <v>354.341490486986</v>
      </c>
      <c r="F514" s="194" t="n">
        <v>320.074351850262</v>
      </c>
      <c r="G514" s="194" t="n">
        <v>291.012127381008</v>
      </c>
      <c r="H514" s="194" t="n">
        <v>212.835259618037</v>
      </c>
      <c r="I514" s="194" t="n">
        <v>178.871407572517</v>
      </c>
      <c r="J514" s="194" t="n">
        <v>167.579032985561</v>
      </c>
      <c r="K514" s="194" t="n">
        <v>157.754724124199</v>
      </c>
      <c r="L514" s="194" t="n">
        <v>165.99343818829</v>
      </c>
      <c r="M514" s="194" t="n">
        <v>175.104553634941</v>
      </c>
      <c r="N514" s="194" t="n">
        <v>148.312687483183</v>
      </c>
      <c r="O514" s="194" t="n">
        <v>157.21500727427</v>
      </c>
      <c r="P514" s="194" t="n">
        <v>164.034761950548</v>
      </c>
      <c r="Q514" s="194" t="n">
        <v>164.51003043847</v>
      </c>
      <c r="R514" s="194" t="n">
        <v>169.694328768813</v>
      </c>
      <c r="S514" s="194" t="n">
        <v>160.345751693187</v>
      </c>
      <c r="T514" s="194" t="n">
        <v>168.728162558521</v>
      </c>
      <c r="U514" s="194" t="n">
        <v>173.539107606345</v>
      </c>
      <c r="V514" s="194" t="n">
        <v>163.083076152641</v>
      </c>
    </row>
    <row r="515" customFormat="false" ht="12.75" hidden="false" customHeight="false" outlineLevel="0" collapsed="false">
      <c r="A515" s="55"/>
      <c r="B515" s="189" t="s">
        <v>21</v>
      </c>
      <c r="C515" s="193" t="n">
        <v>0</v>
      </c>
      <c r="D515" s="194" t="n">
        <v>79.4760517427844</v>
      </c>
      <c r="E515" s="194" t="n">
        <v>76.2193627071691</v>
      </c>
      <c r="F515" s="194" t="n">
        <v>71.3234092931038</v>
      </c>
      <c r="G515" s="194" t="n">
        <v>69.7494734452341</v>
      </c>
      <c r="H515" s="194" t="n">
        <v>73.6835119456001</v>
      </c>
      <c r="I515" s="194" t="n">
        <v>76.1558487245015</v>
      </c>
      <c r="J515" s="194" t="n">
        <v>73.5961357167566</v>
      </c>
      <c r="K515" s="194" t="n">
        <v>73.7142833091872</v>
      </c>
      <c r="L515" s="194" t="n">
        <v>71.869621455034</v>
      </c>
      <c r="M515" s="194" t="n">
        <v>73.2037878196564</v>
      </c>
      <c r="N515" s="194" t="n">
        <v>76.7511174699886</v>
      </c>
      <c r="O515" s="194" t="n">
        <v>75.2592926424733</v>
      </c>
      <c r="P515" s="194" t="n">
        <v>80.7940006276102</v>
      </c>
      <c r="Q515" s="194" t="n">
        <v>80.355789151</v>
      </c>
      <c r="R515" s="194" t="n">
        <v>84.6070123033653</v>
      </c>
      <c r="S515" s="194" t="n">
        <v>90.0897369159073</v>
      </c>
      <c r="T515" s="194" t="n">
        <v>91.969586118323</v>
      </c>
      <c r="U515" s="194" t="n">
        <v>97.4390679384924</v>
      </c>
      <c r="V515" s="194" t="n">
        <v>102.841447375918</v>
      </c>
    </row>
    <row r="516" customFormat="false" ht="12.75" hidden="false" customHeight="false" outlineLevel="0" collapsed="false">
      <c r="A516" s="55"/>
      <c r="B516" s="189" t="s">
        <v>110</v>
      </c>
      <c r="C516" s="193" t="n">
        <v>0</v>
      </c>
      <c r="D516" s="194" t="n">
        <v>3.82147390168357</v>
      </c>
      <c r="E516" s="194" t="n">
        <v>4.03601474098837</v>
      </c>
      <c r="F516" s="194" t="n">
        <v>3.99727746391095</v>
      </c>
      <c r="G516" s="194" t="n">
        <v>3.98301666121385</v>
      </c>
      <c r="H516" s="194" t="n">
        <v>4.20900947164221</v>
      </c>
      <c r="I516" s="194" t="n">
        <v>4.36419982207486</v>
      </c>
      <c r="J516" s="194" t="n">
        <v>4.31423739497827</v>
      </c>
      <c r="K516" s="194" t="n">
        <v>4.7086608934092</v>
      </c>
      <c r="L516" s="194" t="n">
        <v>4.60817401793966</v>
      </c>
      <c r="M516" s="194" t="n">
        <v>4.62487106403709</v>
      </c>
      <c r="N516" s="194" t="n">
        <v>4.79595448999686</v>
      </c>
      <c r="O516" s="194" t="n">
        <v>4.84951875399436</v>
      </c>
      <c r="P516" s="194" t="n">
        <v>5.02558553643526</v>
      </c>
      <c r="Q516" s="194" t="n">
        <v>5.12859380272449</v>
      </c>
      <c r="R516" s="194" t="n">
        <v>5.06840847956387</v>
      </c>
      <c r="S516" s="194" t="n">
        <v>5.24140614661258</v>
      </c>
      <c r="T516" s="194" t="n">
        <v>5.31994931715852</v>
      </c>
      <c r="U516" s="194" t="n">
        <v>5.39993741628461</v>
      </c>
      <c r="V516" s="194" t="n">
        <v>5.67663562211399</v>
      </c>
    </row>
    <row r="517" customFormat="false" ht="12.75" hidden="false" customHeight="false" outlineLevel="0" collapsed="false">
      <c r="A517" s="55"/>
      <c r="B517" s="189" t="s">
        <v>111</v>
      </c>
      <c r="C517" s="193" t="n">
        <v>0</v>
      </c>
      <c r="D517" s="194" t="n">
        <v>0</v>
      </c>
      <c r="E517" s="194" t="n">
        <v>0</v>
      </c>
      <c r="F517" s="194" t="n">
        <v>0</v>
      </c>
      <c r="G517" s="194" t="n">
        <v>0</v>
      </c>
      <c r="H517" s="194" t="n">
        <v>0</v>
      </c>
      <c r="I517" s="194" t="n">
        <v>1.06908039748325</v>
      </c>
      <c r="J517" s="194" t="n">
        <v>1.14894902004358</v>
      </c>
      <c r="K517" s="194" t="n">
        <v>1.41203794600192</v>
      </c>
      <c r="L517" s="194" t="n">
        <v>1.42974668365223</v>
      </c>
      <c r="M517" s="194" t="n">
        <v>1.56194187242193</v>
      </c>
      <c r="N517" s="194" t="n">
        <v>1.75410984319442</v>
      </c>
      <c r="O517" s="194" t="n">
        <v>1.92203192547775</v>
      </c>
      <c r="P517" s="194" t="n">
        <v>2.18799905039977</v>
      </c>
      <c r="Q517" s="194" t="n">
        <v>2.44030291898419</v>
      </c>
      <c r="R517" s="194" t="n">
        <v>2.61865658866976</v>
      </c>
      <c r="S517" s="194" t="n">
        <v>2.91255841778189</v>
      </c>
      <c r="T517" s="194" t="n">
        <v>2.84681387959704</v>
      </c>
      <c r="U517" s="194" t="n">
        <v>2.42204915342127</v>
      </c>
      <c r="V517" s="194" t="n">
        <v>2.59229065950531</v>
      </c>
    </row>
    <row r="518" customFormat="false" ht="12.75" hidden="false" customHeight="false" outlineLevel="0" collapsed="false">
      <c r="A518" s="55"/>
      <c r="B518" s="189" t="s">
        <v>112</v>
      </c>
      <c r="C518" s="193" t="n">
        <v>0</v>
      </c>
      <c r="D518" s="194" t="n">
        <v>0</v>
      </c>
      <c r="E518" s="194" t="n">
        <v>0</v>
      </c>
      <c r="F518" s="194" t="n">
        <v>0</v>
      </c>
      <c r="G518" s="194" t="n">
        <v>0</v>
      </c>
      <c r="H518" s="194" t="n">
        <v>0</v>
      </c>
      <c r="I518" s="194" t="n">
        <v>1.06908039748325</v>
      </c>
      <c r="J518" s="194" t="n">
        <v>1.14894902004358</v>
      </c>
      <c r="K518" s="194" t="n">
        <v>1.41203794600192</v>
      </c>
      <c r="L518" s="194" t="n">
        <v>1.42974668365223</v>
      </c>
      <c r="M518" s="194" t="n">
        <v>1.56194187242193</v>
      </c>
      <c r="N518" s="194" t="n">
        <v>1.75410984319442</v>
      </c>
      <c r="O518" s="194" t="n">
        <v>1.92203192547775</v>
      </c>
      <c r="P518" s="194" t="n">
        <v>2.18799905039977</v>
      </c>
      <c r="Q518" s="194" t="n">
        <v>2.44030291898419</v>
      </c>
      <c r="R518" s="194" t="n">
        <v>2.61865658866976</v>
      </c>
      <c r="S518" s="194" t="n">
        <v>2.91255841778189</v>
      </c>
      <c r="T518" s="194" t="n">
        <v>2.84681387959704</v>
      </c>
      <c r="U518" s="194" t="n">
        <v>2.42204915342127</v>
      </c>
      <c r="V518" s="194" t="n">
        <v>2.59229065950531</v>
      </c>
    </row>
    <row r="519" customFormat="false" ht="12.75" hidden="false" customHeight="false" outlineLevel="0" collapsed="false">
      <c r="A519" s="186" t="s">
        <v>113</v>
      </c>
      <c r="B519" s="189"/>
      <c r="C519" s="187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</row>
    <row r="520" customFormat="false" ht="12.75" hidden="false" customHeight="false" outlineLevel="0" collapsed="false">
      <c r="A520" s="55"/>
      <c r="B520" s="189" t="s">
        <v>26</v>
      </c>
      <c r="C520" s="193" t="n">
        <v>0</v>
      </c>
      <c r="D520" s="194" t="n">
        <v>3.39348442562503</v>
      </c>
      <c r="E520" s="194" t="n">
        <v>3.46135411413753</v>
      </c>
      <c r="F520" s="194" t="n">
        <v>3.53058119642028</v>
      </c>
      <c r="G520" s="194" t="n">
        <v>3.60119282034868</v>
      </c>
      <c r="H520" s="194" t="n">
        <v>3.67321667675566</v>
      </c>
      <c r="I520" s="194" t="n">
        <v>3.74668101029077</v>
      </c>
      <c r="J520" s="194" t="n">
        <v>3.82161463049659</v>
      </c>
      <c r="K520" s="194" t="n">
        <v>3.89804692310652</v>
      </c>
      <c r="L520" s="194" t="n">
        <v>3.97600786156865</v>
      </c>
      <c r="M520" s="194" t="n">
        <v>4.05552801880002</v>
      </c>
      <c r="N520" s="194" t="n">
        <v>4.13663857917602</v>
      </c>
      <c r="O520" s="194" t="n">
        <v>4.21937135075954</v>
      </c>
      <c r="P520" s="194" t="n">
        <v>4.30375877777474</v>
      </c>
      <c r="Q520" s="194" t="n">
        <v>4.38983395333023</v>
      </c>
      <c r="R520" s="194" t="n">
        <v>4.47763063239683</v>
      </c>
      <c r="S520" s="194" t="n">
        <v>4.56718324504477</v>
      </c>
      <c r="T520" s="194" t="n">
        <v>4.65852690994567</v>
      </c>
      <c r="U520" s="194" t="n">
        <v>4.75169744814458</v>
      </c>
      <c r="V520" s="194" t="n">
        <v>4.84673139710747</v>
      </c>
    </row>
    <row r="521" customFormat="false" ht="12.75" hidden="false" customHeight="false" outlineLevel="0" collapsed="false">
      <c r="A521" s="55"/>
      <c r="B521" s="189" t="s">
        <v>114</v>
      </c>
      <c r="C521" s="193" t="n">
        <v>0</v>
      </c>
      <c r="D521" s="194" t="n">
        <v>1.04392876276408</v>
      </c>
      <c r="E521" s="194" t="n">
        <v>1.04392876276408</v>
      </c>
      <c r="F521" s="194" t="n">
        <v>1.04392876276408</v>
      </c>
      <c r="G521" s="194" t="n">
        <v>1.04392876276408</v>
      </c>
      <c r="H521" s="194" t="n">
        <v>1.04392876276408</v>
      </c>
      <c r="I521" s="194" t="n">
        <v>1.04392876276408</v>
      </c>
      <c r="J521" s="194" t="n">
        <v>1.04392876276408</v>
      </c>
      <c r="K521" s="194" t="n">
        <v>1.04392876276408</v>
      </c>
      <c r="L521" s="194" t="n">
        <v>1.04392876276408</v>
      </c>
      <c r="M521" s="194" t="n">
        <v>1.04392876276408</v>
      </c>
      <c r="N521" s="194" t="n">
        <v>1.04392876276408</v>
      </c>
      <c r="O521" s="194" t="n">
        <v>1.04392876276408</v>
      </c>
      <c r="P521" s="194" t="n">
        <v>1.04392876276408</v>
      </c>
      <c r="Q521" s="194" t="n">
        <v>1.04392876276408</v>
      </c>
      <c r="R521" s="194" t="n">
        <v>1.04392876276408</v>
      </c>
      <c r="S521" s="194" t="n">
        <v>1.04392876276408</v>
      </c>
      <c r="T521" s="194" t="n">
        <v>1.04392876276408</v>
      </c>
      <c r="U521" s="194" t="n">
        <v>1.04392876276408</v>
      </c>
      <c r="V521" s="194" t="n">
        <v>1.04392876276408</v>
      </c>
    </row>
    <row r="522" customFormat="false" ht="12.75" hidden="false" customHeight="false" outlineLevel="0" collapsed="false">
      <c r="A522" s="55"/>
      <c r="B522" s="189" t="s">
        <v>28</v>
      </c>
      <c r="C522" s="193" t="n">
        <v>0</v>
      </c>
      <c r="D522" s="194" t="n">
        <v>0.0973160301573447</v>
      </c>
      <c r="E522" s="194" t="n">
        <v>0.0993693983936653</v>
      </c>
      <c r="F522" s="194" t="n">
        <v>0.101545588218487</v>
      </c>
      <c r="G522" s="194" t="n">
        <v>0.103840518512224</v>
      </c>
      <c r="H522" s="194" t="n">
        <v>0.106311922852815</v>
      </c>
      <c r="I522" s="194" t="n">
        <v>0.108976110327235</v>
      </c>
      <c r="J522" s="194" t="n">
        <v>0.111679021456807</v>
      </c>
      <c r="K522" s="194" t="n">
        <v>0.114505848282864</v>
      </c>
      <c r="L522" s="194" t="n">
        <v>0.117334142735451</v>
      </c>
      <c r="M522" s="194" t="n">
        <v>0.120326163375204</v>
      </c>
      <c r="N522" s="194" t="n">
        <v>0.123238056528885</v>
      </c>
      <c r="O522" s="194" t="n">
        <v>0.126343655553412</v>
      </c>
      <c r="P522" s="194" t="n">
        <v>0.129552784404469</v>
      </c>
      <c r="Q522" s="194" t="n">
        <v>0.13279160401458</v>
      </c>
      <c r="R522" s="194" t="n">
        <v>0.136124673275346</v>
      </c>
      <c r="S522" s="194" t="n">
        <v>0.13952779010723</v>
      </c>
      <c r="T522" s="194" t="n">
        <v>0.142988079301889</v>
      </c>
      <c r="U522" s="194" t="n">
        <v>0.146577080092367</v>
      </c>
      <c r="V522" s="194" t="n">
        <v>0.150256164802685</v>
      </c>
    </row>
    <row r="523" customFormat="false" ht="12.75" hidden="false" customHeight="false" outlineLevel="0" collapsed="false">
      <c r="A523" s="55"/>
      <c r="B523" s="189" t="s">
        <v>33</v>
      </c>
      <c r="C523" s="193" t="n">
        <v>0</v>
      </c>
      <c r="D523" s="194" t="n">
        <v>0.0308464788732394</v>
      </c>
      <c r="E523" s="194" t="n">
        <v>0.0320915492957746</v>
      </c>
      <c r="F523" s="194" t="n">
        <v>0.033387323943662</v>
      </c>
      <c r="G523" s="194" t="n">
        <v>0.0348718309859155</v>
      </c>
      <c r="H523" s="194" t="n">
        <v>3.52112676056338</v>
      </c>
      <c r="I523" s="194" t="n">
        <v>3.62676056338028</v>
      </c>
      <c r="J523" s="194" t="n">
        <v>3.73556338028169</v>
      </c>
      <c r="K523" s="194" t="n">
        <v>3.84763028169014</v>
      </c>
      <c r="L523" s="194" t="n">
        <v>3.96305919014084</v>
      </c>
      <c r="M523" s="194" t="n">
        <v>4.08195096584507</v>
      </c>
      <c r="N523" s="194" t="n">
        <v>4.20440949482042</v>
      </c>
      <c r="O523" s="194" t="n">
        <v>4.33054177966504</v>
      </c>
      <c r="P523" s="194" t="n">
        <v>4.46045803305499</v>
      </c>
      <c r="Q523" s="194" t="n">
        <v>4.59427177404664</v>
      </c>
      <c r="R523" s="194" t="n">
        <v>4.73209992726804</v>
      </c>
      <c r="S523" s="194" t="n">
        <v>4.87406292508608</v>
      </c>
      <c r="T523" s="194" t="n">
        <v>5.02028481283866</v>
      </c>
      <c r="U523" s="194" t="n">
        <v>5.17089335722382</v>
      </c>
      <c r="V523" s="194" t="n">
        <v>5.32602015794053</v>
      </c>
    </row>
    <row r="524" customFormat="false" ht="12.75" hidden="false" customHeight="false" outlineLevel="0" collapsed="false">
      <c r="A524" s="55"/>
      <c r="B524" s="189" t="s">
        <v>115</v>
      </c>
      <c r="C524" s="195" t="n">
        <v>0</v>
      </c>
      <c r="D524" s="196" t="n">
        <v>0</v>
      </c>
      <c r="E524" s="196" t="n">
        <v>0</v>
      </c>
      <c r="F524" s="196" t="n">
        <v>0</v>
      </c>
      <c r="G524" s="196" t="n">
        <v>0</v>
      </c>
      <c r="H524" s="196" t="n">
        <v>0</v>
      </c>
      <c r="I524" s="196" t="n">
        <v>0</v>
      </c>
      <c r="J524" s="196" t="n">
        <v>0</v>
      </c>
      <c r="K524" s="196" t="n">
        <v>0</v>
      </c>
      <c r="L524" s="196" t="n">
        <v>0</v>
      </c>
      <c r="M524" s="196" t="n">
        <v>0</v>
      </c>
      <c r="N524" s="196" t="n">
        <v>0</v>
      </c>
      <c r="O524" s="196" t="n">
        <v>0</v>
      </c>
      <c r="P524" s="196" t="n">
        <v>0</v>
      </c>
      <c r="Q524" s="196" t="n">
        <v>0</v>
      </c>
      <c r="R524" s="196" t="n">
        <v>0</v>
      </c>
      <c r="S524" s="196" t="n">
        <v>0</v>
      </c>
      <c r="T524" s="196" t="n">
        <v>0</v>
      </c>
      <c r="U524" s="196" t="n">
        <v>0</v>
      </c>
      <c r="V524" s="196" t="n">
        <v>0</v>
      </c>
    </row>
    <row r="525" customFormat="false" ht="12.75" hidden="false" customHeight="false" outlineLevel="0" collapsed="false">
      <c r="A525" s="55"/>
      <c r="B525" s="189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</row>
    <row r="526" customFormat="false" ht="12.75" hidden="false" customHeight="false" outlineLevel="0" collapsed="false">
      <c r="A526" s="55"/>
      <c r="B526" s="189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</row>
    <row r="527" customFormat="false" ht="12.75" hidden="false" customHeight="false" outlineLevel="0" collapsed="false">
      <c r="A527" s="11"/>
      <c r="B527" s="175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  <c r="U527" s="261"/>
      <c r="V527" s="261"/>
    </row>
    <row r="528" customFormat="false" ht="12.75" hidden="false" customHeight="false" outlineLevel="0" collapsed="false">
      <c r="A528" s="169"/>
      <c r="B528" s="175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</row>
    <row r="529" customFormat="false" ht="12.75" hidden="false" customHeight="false" outlineLevel="0" collapsed="false">
      <c r="A529" s="52" t="s">
        <v>105</v>
      </c>
      <c r="B529" s="182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</row>
    <row r="530" customFormat="false" ht="12.75" hidden="false" customHeight="false" outlineLevel="0" collapsed="false">
      <c r="A530" s="183" t="s">
        <v>92</v>
      </c>
      <c r="B530" s="182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</row>
    <row r="531" customFormat="false" ht="12.75" hidden="false" customHeight="false" outlineLevel="0" collapsed="false">
      <c r="A531" s="55"/>
      <c r="B531" s="182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</row>
    <row r="532" customFormat="false" ht="12.75" hidden="false" customHeight="false" outlineLevel="0" collapsed="false">
      <c r="A532" s="55"/>
      <c r="B532" s="182"/>
      <c r="C532" s="184" t="n">
        <v>2000</v>
      </c>
      <c r="D532" s="185" t="n">
        <v>2001</v>
      </c>
      <c r="E532" s="185" t="n">
        <v>2002</v>
      </c>
      <c r="F532" s="185" t="n">
        <v>2003</v>
      </c>
      <c r="G532" s="185" t="n">
        <v>2004</v>
      </c>
      <c r="H532" s="185" t="n">
        <v>2005</v>
      </c>
      <c r="I532" s="185" t="n">
        <v>2006</v>
      </c>
      <c r="J532" s="185" t="n">
        <v>2007</v>
      </c>
      <c r="K532" s="185" t="n">
        <v>2008</v>
      </c>
      <c r="L532" s="185" t="n">
        <v>2009</v>
      </c>
      <c r="M532" s="185" t="n">
        <v>2010</v>
      </c>
      <c r="N532" s="185" t="n">
        <v>2011</v>
      </c>
      <c r="O532" s="185" t="n">
        <v>2012</v>
      </c>
      <c r="P532" s="185" t="n">
        <v>2013</v>
      </c>
      <c r="Q532" s="185" t="n">
        <v>2014</v>
      </c>
      <c r="R532" s="185" t="n">
        <v>2015</v>
      </c>
      <c r="S532" s="185" t="n">
        <v>2016</v>
      </c>
      <c r="T532" s="185" t="n">
        <v>2017</v>
      </c>
      <c r="U532" s="185" t="n">
        <v>2018</v>
      </c>
      <c r="V532" s="185" t="n">
        <v>2019</v>
      </c>
    </row>
    <row r="533" customFormat="false" ht="12.75" hidden="false" customHeight="false" outlineLevel="0" collapsed="false">
      <c r="A533" s="186" t="s">
        <v>106</v>
      </c>
      <c r="B533" s="182"/>
      <c r="C533" s="187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</row>
    <row r="534" customFormat="false" ht="12.75" hidden="false" customHeight="false" outlineLevel="0" collapsed="false">
      <c r="A534" s="55"/>
      <c r="B534" s="189" t="s">
        <v>107</v>
      </c>
      <c r="C534" s="190" t="n">
        <v>0</v>
      </c>
      <c r="D534" s="191" t="n">
        <v>13696.6136129299</v>
      </c>
      <c r="E534" s="191" t="n">
        <v>16858.2345601028</v>
      </c>
      <c r="F534" s="191" t="n">
        <v>15084.908176016</v>
      </c>
      <c r="G534" s="191" t="n">
        <v>14786.157584178</v>
      </c>
      <c r="H534" s="191" t="n">
        <v>21105.8747791397</v>
      </c>
      <c r="I534" s="191" t="n">
        <v>23539.3854160237</v>
      </c>
      <c r="J534" s="191" t="n">
        <v>20927.4953651753</v>
      </c>
      <c r="K534" s="191" t="n">
        <v>33736.7061002737</v>
      </c>
      <c r="L534" s="191" t="n">
        <v>34089.3731730327</v>
      </c>
      <c r="M534" s="191" t="n">
        <v>32465.1757061946</v>
      </c>
      <c r="N534" s="191" t="n">
        <v>27289.0835823669</v>
      </c>
      <c r="O534" s="191" t="n">
        <v>35420.8839321195</v>
      </c>
      <c r="P534" s="191" t="n">
        <v>26596.369962363</v>
      </c>
      <c r="Q534" s="191" t="n">
        <v>33551.8523543643</v>
      </c>
      <c r="R534" s="191" t="n">
        <v>30184.811443284</v>
      </c>
      <c r="S534" s="191" t="n">
        <v>23067.7442274848</v>
      </c>
      <c r="T534" s="191" t="n">
        <v>23509.5598524848</v>
      </c>
      <c r="U534" s="191" t="n">
        <v>29474.2354089498</v>
      </c>
      <c r="V534" s="191" t="n">
        <v>37937.151098782</v>
      </c>
    </row>
    <row r="535" customFormat="false" ht="12.75" hidden="false" customHeight="false" outlineLevel="0" collapsed="false">
      <c r="A535" s="55"/>
      <c r="B535" s="189" t="s">
        <v>108</v>
      </c>
      <c r="C535" s="190" t="n">
        <v>0</v>
      </c>
      <c r="D535" s="192" t="n">
        <v>0.0305229939828759</v>
      </c>
      <c r="E535" s="192" t="n">
        <v>0.0375686871646995</v>
      </c>
      <c r="F535" s="192" t="n">
        <v>0.0336168175945411</v>
      </c>
      <c r="G535" s="192" t="n">
        <v>0.0329510499256302</v>
      </c>
      <c r="H535" s="192" t="n">
        <v>0.0470345814733987</v>
      </c>
      <c r="I535" s="192" t="n">
        <v>0.0524576760153048</v>
      </c>
      <c r="J535" s="192" t="n">
        <v>0.0466370617701368</v>
      </c>
      <c r="K535" s="192" t="n">
        <v>0.0751824725732647</v>
      </c>
      <c r="L535" s="192" t="n">
        <v>0.0759683934763426</v>
      </c>
      <c r="M535" s="192" t="n">
        <v>0.072348858684144</v>
      </c>
      <c r="N535" s="192" t="n">
        <v>0.0608139031677484</v>
      </c>
      <c r="O535" s="192" t="n">
        <v>0.0789356740054051</v>
      </c>
      <c r="P535" s="192" t="n">
        <v>0.0592701862861337</v>
      </c>
      <c r="Q535" s="192" t="n">
        <v>0.0747705247784625</v>
      </c>
      <c r="R535" s="192" t="n">
        <v>0.0672670518490677</v>
      </c>
      <c r="S535" s="192" t="n">
        <v>0.0514066205086897</v>
      </c>
      <c r="T535" s="192" t="n">
        <v>0.0523912095497856</v>
      </c>
      <c r="U535" s="192" t="n">
        <v>0.0656835284590318</v>
      </c>
      <c r="V535" s="192" t="n">
        <v>0.0845431920210148</v>
      </c>
    </row>
    <row r="536" customFormat="false" ht="12.75" hidden="false" customHeight="false" outlineLevel="0" collapsed="false">
      <c r="A536" s="186" t="s">
        <v>109</v>
      </c>
      <c r="B536" s="189"/>
      <c r="C536" s="187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</row>
    <row r="537" customFormat="false" ht="12.75" hidden="false" customHeight="false" outlineLevel="0" collapsed="false">
      <c r="A537" s="55"/>
      <c r="B537" s="189" t="s">
        <v>20</v>
      </c>
      <c r="C537" s="193" t="n">
        <v>0</v>
      </c>
      <c r="D537" s="194" t="n">
        <v>304.693718711168</v>
      </c>
      <c r="E537" s="194" t="n">
        <v>197.917747999932</v>
      </c>
      <c r="F537" s="194" t="n">
        <v>183.72871610248</v>
      </c>
      <c r="G537" s="194" t="n">
        <v>168.158447307037</v>
      </c>
      <c r="H537" s="194" t="n">
        <v>140.129586721357</v>
      </c>
      <c r="I537" s="194" t="n">
        <v>116.025864422978</v>
      </c>
      <c r="J537" s="194" t="n">
        <v>127.66309255624</v>
      </c>
      <c r="K537" s="194" t="n">
        <v>121.507171242724</v>
      </c>
      <c r="L537" s="194" t="n">
        <v>121.764847636961</v>
      </c>
      <c r="M537" s="194" t="n">
        <v>135.012998362012</v>
      </c>
      <c r="N537" s="194" t="n">
        <v>125.60244786487</v>
      </c>
      <c r="O537" s="194" t="n">
        <v>123.109640832134</v>
      </c>
      <c r="P537" s="194" t="n">
        <v>140.368367715203</v>
      </c>
      <c r="Q537" s="194" t="n">
        <v>141.944564215262</v>
      </c>
      <c r="R537" s="194" t="n">
        <v>140.254129129645</v>
      </c>
      <c r="S537" s="194" t="n">
        <v>145.003802175657</v>
      </c>
      <c r="T537" s="194" t="n">
        <v>155.525903869554</v>
      </c>
      <c r="U537" s="194" t="n">
        <v>159.825667151647</v>
      </c>
      <c r="V537" s="194" t="n">
        <v>140.153963905678</v>
      </c>
    </row>
    <row r="538" customFormat="false" ht="12.75" hidden="false" customHeight="false" outlineLevel="0" collapsed="false">
      <c r="A538" s="55"/>
      <c r="B538" s="189" t="s">
        <v>21</v>
      </c>
      <c r="C538" s="193" t="n">
        <v>0</v>
      </c>
      <c r="D538" s="194" t="n">
        <v>74.0934057926256</v>
      </c>
      <c r="E538" s="194" t="n">
        <v>65.4392173671876</v>
      </c>
      <c r="F538" s="194" t="n">
        <v>63.6850178751829</v>
      </c>
      <c r="G538" s="194" t="n">
        <v>67.0667616563546</v>
      </c>
      <c r="H538" s="194" t="n">
        <v>69.3820424840059</v>
      </c>
      <c r="I538" s="194" t="n">
        <v>64.9363850436826</v>
      </c>
      <c r="J538" s="194" t="n">
        <v>64.7785724062984</v>
      </c>
      <c r="K538" s="194" t="n">
        <v>62.6606306288446</v>
      </c>
      <c r="L538" s="194" t="n">
        <v>62.9213461346988</v>
      </c>
      <c r="M538" s="194" t="n">
        <v>66.6760116986677</v>
      </c>
      <c r="N538" s="194" t="n">
        <v>66.2291438420017</v>
      </c>
      <c r="O538" s="194" t="n">
        <v>66.9093484561524</v>
      </c>
      <c r="P538" s="194" t="n">
        <v>69.5347328692224</v>
      </c>
      <c r="Q538" s="194" t="n">
        <v>71.5853829125772</v>
      </c>
      <c r="R538" s="194" t="n">
        <v>75.7354177920351</v>
      </c>
      <c r="S538" s="194" t="n">
        <v>79.3167278335984</v>
      </c>
      <c r="T538" s="194" t="n">
        <v>81.5647945615102</v>
      </c>
      <c r="U538" s="194" t="n">
        <v>87.5320631759659</v>
      </c>
      <c r="V538" s="194" t="n">
        <v>91.4602208834587</v>
      </c>
    </row>
    <row r="539" customFormat="false" ht="12.75" hidden="false" customHeight="false" outlineLevel="0" collapsed="false">
      <c r="A539" s="55"/>
      <c r="B539" s="189" t="s">
        <v>110</v>
      </c>
      <c r="C539" s="193" t="n">
        <v>0</v>
      </c>
      <c r="D539" s="194" t="n">
        <v>2.38465579383608</v>
      </c>
      <c r="E539" s="194" t="n">
        <v>2.38077584158414</v>
      </c>
      <c r="F539" s="194" t="n">
        <v>2.42478988129635</v>
      </c>
      <c r="G539" s="194" t="n">
        <v>2.5220223048737</v>
      </c>
      <c r="H539" s="194" t="n">
        <v>2.63054472298175</v>
      </c>
      <c r="I539" s="194" t="n">
        <v>2.5522261936322</v>
      </c>
      <c r="J539" s="194" t="n">
        <v>2.59492229757722</v>
      </c>
      <c r="K539" s="194" t="n">
        <v>2.74029781060647</v>
      </c>
      <c r="L539" s="194" t="n">
        <v>2.75457328105595</v>
      </c>
      <c r="M539" s="194" t="n">
        <v>2.83948180708967</v>
      </c>
      <c r="N539" s="194" t="n">
        <v>2.84923535451621</v>
      </c>
      <c r="O539" s="194" t="n">
        <v>2.9268726965672</v>
      </c>
      <c r="P539" s="194" t="n">
        <v>2.97683501903572</v>
      </c>
      <c r="Q539" s="194" t="n">
        <v>3.0895562371711</v>
      </c>
      <c r="R539" s="194" t="n">
        <v>3.07256430383222</v>
      </c>
      <c r="S539" s="194" t="n">
        <v>3.15232487326126</v>
      </c>
      <c r="T539" s="194" t="n">
        <v>3.2083461438252</v>
      </c>
      <c r="U539" s="194" t="n">
        <v>3.29227639936417</v>
      </c>
      <c r="V539" s="194" t="n">
        <v>3.42175069886261</v>
      </c>
    </row>
    <row r="540" customFormat="false" ht="12.75" hidden="false" customHeight="false" outlineLevel="0" collapsed="false">
      <c r="A540" s="55"/>
      <c r="B540" s="189" t="s">
        <v>111</v>
      </c>
      <c r="C540" s="193" t="n">
        <v>0</v>
      </c>
      <c r="D540" s="194" t="n">
        <v>0</v>
      </c>
      <c r="E540" s="194" t="n">
        <v>0</v>
      </c>
      <c r="F540" s="194" t="n">
        <v>0</v>
      </c>
      <c r="G540" s="194" t="n">
        <v>0</v>
      </c>
      <c r="H540" s="194" t="n">
        <v>0</v>
      </c>
      <c r="I540" s="194" t="n">
        <v>0.899626720550477</v>
      </c>
      <c r="J540" s="194" t="n">
        <v>0.993486145798972</v>
      </c>
      <c r="K540" s="194" t="n">
        <v>1.1799349378061</v>
      </c>
      <c r="L540" s="194" t="n">
        <v>1.22956412783682</v>
      </c>
      <c r="M540" s="194" t="n">
        <v>1.38195579852192</v>
      </c>
      <c r="N540" s="194" t="n">
        <v>1.49789155738199</v>
      </c>
      <c r="O540" s="194" t="n">
        <v>1.6708763067847</v>
      </c>
      <c r="P540" s="194" t="n">
        <v>1.86604664979589</v>
      </c>
      <c r="Q540" s="194" t="n">
        <v>2.11505432288292</v>
      </c>
      <c r="R540" s="194" t="n">
        <v>2.28286055801569</v>
      </c>
      <c r="S540" s="194" t="n">
        <v>2.51750946960222</v>
      </c>
      <c r="T540" s="194" t="n">
        <v>2.47294399845293</v>
      </c>
      <c r="U540" s="194" t="n">
        <v>2.1253584286789</v>
      </c>
      <c r="V540" s="194" t="n">
        <v>2.24695534303301</v>
      </c>
    </row>
    <row r="541" customFormat="false" ht="12.75" hidden="false" customHeight="false" outlineLevel="0" collapsed="false">
      <c r="A541" s="55"/>
      <c r="B541" s="189" t="s">
        <v>112</v>
      </c>
      <c r="C541" s="193" t="n">
        <v>0</v>
      </c>
      <c r="D541" s="194" t="n">
        <v>0</v>
      </c>
      <c r="E541" s="194" t="n">
        <v>0</v>
      </c>
      <c r="F541" s="194" t="n">
        <v>0</v>
      </c>
      <c r="G541" s="194" t="n">
        <v>0</v>
      </c>
      <c r="H541" s="194" t="n">
        <v>0</v>
      </c>
      <c r="I541" s="194" t="n">
        <v>0.899626720550477</v>
      </c>
      <c r="J541" s="194" t="n">
        <v>0.993486145798972</v>
      </c>
      <c r="K541" s="194" t="n">
        <v>1.1799349378061</v>
      </c>
      <c r="L541" s="194" t="n">
        <v>1.22956412783682</v>
      </c>
      <c r="M541" s="194" t="n">
        <v>1.38195579852192</v>
      </c>
      <c r="N541" s="194" t="n">
        <v>1.49789155738199</v>
      </c>
      <c r="O541" s="194" t="n">
        <v>1.6708763067847</v>
      </c>
      <c r="P541" s="194" t="n">
        <v>1.86604664979589</v>
      </c>
      <c r="Q541" s="194" t="n">
        <v>2.11505432288292</v>
      </c>
      <c r="R541" s="194" t="n">
        <v>2.28286055801569</v>
      </c>
      <c r="S541" s="194" t="n">
        <v>2.51750946960222</v>
      </c>
      <c r="T541" s="194" t="n">
        <v>2.47294399845293</v>
      </c>
      <c r="U541" s="194" t="n">
        <v>2.1253584286789</v>
      </c>
      <c r="V541" s="194" t="n">
        <v>2.24695534303301</v>
      </c>
    </row>
    <row r="542" customFormat="false" ht="12.75" hidden="false" customHeight="false" outlineLevel="0" collapsed="false">
      <c r="A542" s="186" t="s">
        <v>113</v>
      </c>
      <c r="B542" s="189"/>
      <c r="C542" s="187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</row>
    <row r="543" customFormat="false" ht="12.75" hidden="false" customHeight="false" outlineLevel="0" collapsed="false">
      <c r="A543" s="55"/>
      <c r="B543" s="189" t="s">
        <v>26</v>
      </c>
      <c r="C543" s="193" t="n">
        <v>0</v>
      </c>
      <c r="D543" s="194" t="n">
        <v>1.78753092003796</v>
      </c>
      <c r="E543" s="194" t="n">
        <v>1.82328153843872</v>
      </c>
      <c r="F543" s="194" t="n">
        <v>1.8597471692075</v>
      </c>
      <c r="G543" s="194" t="n">
        <v>1.89694211259165</v>
      </c>
      <c r="H543" s="194" t="n">
        <v>1.93488095484348</v>
      </c>
      <c r="I543" s="194" t="n">
        <v>1.97357857394035</v>
      </c>
      <c r="J543" s="194" t="n">
        <v>2.01305014541916</v>
      </c>
      <c r="K543" s="194" t="n">
        <v>2.05331114832754</v>
      </c>
      <c r="L543" s="194" t="n">
        <v>2.09437737129409</v>
      </c>
      <c r="M543" s="194" t="n">
        <v>2.13626491871997</v>
      </c>
      <c r="N543" s="194" t="n">
        <v>2.17899021709437</v>
      </c>
      <c r="O543" s="194" t="n">
        <v>2.22257002143626</v>
      </c>
      <c r="P543" s="194" t="n">
        <v>2.26702142186498</v>
      </c>
      <c r="Q543" s="194" t="n">
        <v>2.31236185030228</v>
      </c>
      <c r="R543" s="194" t="n">
        <v>2.35860908730833</v>
      </c>
      <c r="S543" s="194" t="n">
        <v>2.4057812690545</v>
      </c>
      <c r="T543" s="194" t="n">
        <v>2.45389689443559</v>
      </c>
      <c r="U543" s="194" t="n">
        <v>2.5029748323243</v>
      </c>
      <c r="V543" s="194" t="n">
        <v>2.55303432897078</v>
      </c>
    </row>
    <row r="544" customFormat="false" ht="12.75" hidden="false" customHeight="false" outlineLevel="0" collapsed="false">
      <c r="A544" s="55"/>
      <c r="B544" s="189" t="s">
        <v>114</v>
      </c>
      <c r="C544" s="193" t="n">
        <v>0</v>
      </c>
      <c r="D544" s="194" t="n">
        <v>0.881628315702782</v>
      </c>
      <c r="E544" s="194" t="n">
        <v>0.881628315702782</v>
      </c>
      <c r="F544" s="194" t="n">
        <v>0.881628315702782</v>
      </c>
      <c r="G544" s="194" t="n">
        <v>0.881628315702782</v>
      </c>
      <c r="H544" s="194" t="n">
        <v>0.881628315702782</v>
      </c>
      <c r="I544" s="194" t="n">
        <v>0.881628315702782</v>
      </c>
      <c r="J544" s="194" t="n">
        <v>0.881628315702782</v>
      </c>
      <c r="K544" s="194" t="n">
        <v>0.881628315702782</v>
      </c>
      <c r="L544" s="194" t="n">
        <v>0.881628315702782</v>
      </c>
      <c r="M544" s="194" t="n">
        <v>0.881628315702782</v>
      </c>
      <c r="N544" s="194" t="n">
        <v>0.881628315702782</v>
      </c>
      <c r="O544" s="194" t="n">
        <v>0.881628315702782</v>
      </c>
      <c r="P544" s="194" t="n">
        <v>0.881628315702782</v>
      </c>
      <c r="Q544" s="194" t="n">
        <v>0.881628315702782</v>
      </c>
      <c r="R544" s="194" t="n">
        <v>0.881628315702782</v>
      </c>
      <c r="S544" s="194" t="n">
        <v>0.881628315702782</v>
      </c>
      <c r="T544" s="194" t="n">
        <v>0.881628315702782</v>
      </c>
      <c r="U544" s="194" t="n">
        <v>0.881628315702782</v>
      </c>
      <c r="V544" s="194" t="n">
        <v>0.881628315702782</v>
      </c>
    </row>
    <row r="545" customFormat="false" ht="12.75" hidden="false" customHeight="false" outlineLevel="0" collapsed="false">
      <c r="A545" s="55"/>
      <c r="B545" s="189" t="s">
        <v>28</v>
      </c>
      <c r="C545" s="193" t="n">
        <v>0</v>
      </c>
      <c r="D545" s="194" t="n">
        <v>0.0809304613900027</v>
      </c>
      <c r="E545" s="194" t="n">
        <v>0.0826380941253322</v>
      </c>
      <c r="F545" s="194" t="n">
        <v>0.084447868386677</v>
      </c>
      <c r="G545" s="194" t="n">
        <v>0.0863563902122153</v>
      </c>
      <c r="H545" s="194" t="n">
        <v>0.0884116722992662</v>
      </c>
      <c r="I545" s="194" t="n">
        <v>0.0906272776952701</v>
      </c>
      <c r="J545" s="194" t="n">
        <v>0.0928750866580765</v>
      </c>
      <c r="K545" s="194" t="n">
        <v>0.0952259470346509</v>
      </c>
      <c r="L545" s="194" t="n">
        <v>0.0975780279264068</v>
      </c>
      <c r="M545" s="194" t="n">
        <v>0.10006626763853</v>
      </c>
      <c r="N545" s="194" t="n">
        <v>0.102487871315383</v>
      </c>
      <c r="O545" s="194" t="n">
        <v>0.10507056567253</v>
      </c>
      <c r="P545" s="194" t="n">
        <v>0.107739358040612</v>
      </c>
      <c r="Q545" s="194" t="n">
        <v>0.110432841991628</v>
      </c>
      <c r="R545" s="194" t="n">
        <v>0.113204706325617</v>
      </c>
      <c r="S545" s="194" t="n">
        <v>0.116034823983758</v>
      </c>
      <c r="T545" s="194" t="n">
        <v>0.118912487618555</v>
      </c>
      <c r="U545" s="194" t="n">
        <v>0.121897191057781</v>
      </c>
      <c r="V545" s="194" t="n">
        <v>0.124956810553331</v>
      </c>
    </row>
    <row r="546" customFormat="false" ht="12.75" hidden="false" customHeight="false" outlineLevel="0" collapsed="false">
      <c r="A546" s="55"/>
      <c r="B546" s="189" t="s">
        <v>33</v>
      </c>
      <c r="C546" s="193" t="n">
        <v>0</v>
      </c>
      <c r="D546" s="194" t="n">
        <v>0.0277907271839922</v>
      </c>
      <c r="E546" s="194" t="n">
        <v>0.0289120546608102</v>
      </c>
      <c r="F546" s="194" t="n">
        <v>0.0300796486090776</v>
      </c>
      <c r="G546" s="194" t="n">
        <v>0.0314168862859932</v>
      </c>
      <c r="H546" s="194" t="n">
        <v>1.95217179111762</v>
      </c>
      <c r="I546" s="194" t="n">
        <v>2.01073694485115</v>
      </c>
      <c r="J546" s="194" t="n">
        <v>2.07105905319668</v>
      </c>
      <c r="K546" s="194" t="n">
        <v>2.13319082479258</v>
      </c>
      <c r="L546" s="194" t="n">
        <v>2.19718654953636</v>
      </c>
      <c r="M546" s="194" t="n">
        <v>2.26310214602245</v>
      </c>
      <c r="N546" s="194" t="n">
        <v>2.33099521040312</v>
      </c>
      <c r="O546" s="194" t="n">
        <v>2.40092506671522</v>
      </c>
      <c r="P546" s="194" t="n">
        <v>2.47295281871667</v>
      </c>
      <c r="Q546" s="194" t="n">
        <v>2.54714140327817</v>
      </c>
      <c r="R546" s="194" t="n">
        <v>2.62355564537652</v>
      </c>
      <c r="S546" s="194" t="n">
        <v>2.70226231473782</v>
      </c>
      <c r="T546" s="194" t="n">
        <v>2.78333018417995</v>
      </c>
      <c r="U546" s="194" t="n">
        <v>2.86683008970535</v>
      </c>
      <c r="V546" s="194" t="n">
        <v>2.95283499239651</v>
      </c>
    </row>
    <row r="547" customFormat="false" ht="12.75" hidden="false" customHeight="false" outlineLevel="0" collapsed="false">
      <c r="A547" s="55"/>
      <c r="B547" s="189" t="s">
        <v>115</v>
      </c>
      <c r="C547" s="195" t="n">
        <v>0</v>
      </c>
      <c r="D547" s="196" t="n">
        <v>0</v>
      </c>
      <c r="E547" s="196" t="n">
        <v>0</v>
      </c>
      <c r="F547" s="196" t="n">
        <v>0</v>
      </c>
      <c r="G547" s="196" t="n">
        <v>0</v>
      </c>
      <c r="H547" s="196" t="n">
        <v>0</v>
      </c>
      <c r="I547" s="196" t="n">
        <v>0</v>
      </c>
      <c r="J547" s="196" t="n">
        <v>0</v>
      </c>
      <c r="K547" s="196" t="n">
        <v>0</v>
      </c>
      <c r="L547" s="196" t="n">
        <v>0</v>
      </c>
      <c r="M547" s="196" t="n">
        <v>0</v>
      </c>
      <c r="N547" s="196" t="n">
        <v>0</v>
      </c>
      <c r="O547" s="196" t="n">
        <v>0</v>
      </c>
      <c r="P547" s="196" t="n">
        <v>0</v>
      </c>
      <c r="Q547" s="196" t="n">
        <v>0</v>
      </c>
      <c r="R547" s="196" t="n">
        <v>0</v>
      </c>
      <c r="S547" s="196" t="n">
        <v>0</v>
      </c>
      <c r="T547" s="196" t="n">
        <v>0</v>
      </c>
      <c r="U547" s="196" t="n">
        <v>0</v>
      </c>
      <c r="V547" s="196" t="n">
        <v>0</v>
      </c>
    </row>
    <row r="548" customFormat="false" ht="12.75" hidden="false" customHeight="false" outlineLevel="0" collapsed="false">
      <c r="A548" s="55"/>
      <c r="B548" s="189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</row>
    <row r="549" customFormat="false" ht="12.75" hidden="false" customHeight="false" outlineLevel="0" collapsed="false">
      <c r="A549" s="55"/>
      <c r="B549" s="189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</row>
    <row r="550" customFormat="false" ht="12.75" hidden="false" customHeight="false" outlineLevel="0" collapsed="false">
      <c r="A550" s="11"/>
      <c r="B550" s="156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</row>
    <row r="551" customFormat="false" ht="12.75" hidden="false" customHeight="false" outlineLevel="0" collapsed="false">
      <c r="A551" s="11"/>
      <c r="B551" s="156"/>
      <c r="C551" s="255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</row>
    <row r="552" customFormat="false" ht="12.75" hidden="false" customHeight="false" outlineLevel="0" collapsed="false">
      <c r="A552" s="52" t="s">
        <v>105</v>
      </c>
      <c r="B552" s="182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</row>
    <row r="553" customFormat="false" ht="12.75" hidden="false" customHeight="false" outlineLevel="0" collapsed="false">
      <c r="A553" s="183" t="s">
        <v>93</v>
      </c>
      <c r="B553" s="182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</row>
    <row r="554" customFormat="false" ht="12.75" hidden="false" customHeight="false" outlineLevel="0" collapsed="false">
      <c r="A554" s="55"/>
      <c r="B554" s="182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</row>
    <row r="555" customFormat="false" ht="12.75" hidden="false" customHeight="false" outlineLevel="0" collapsed="false">
      <c r="A555" s="55"/>
      <c r="B555" s="182"/>
      <c r="C555" s="184" t="n">
        <v>2000</v>
      </c>
      <c r="D555" s="185" t="n">
        <v>2001</v>
      </c>
      <c r="E555" s="185" t="n">
        <v>2002</v>
      </c>
      <c r="F555" s="185" t="n">
        <v>2003</v>
      </c>
      <c r="G555" s="185" t="n">
        <v>2004</v>
      </c>
      <c r="H555" s="185" t="n">
        <v>2005</v>
      </c>
      <c r="I555" s="185" t="n">
        <v>2006</v>
      </c>
      <c r="J555" s="185" t="n">
        <v>2007</v>
      </c>
      <c r="K555" s="185" t="n">
        <v>2008</v>
      </c>
      <c r="L555" s="185" t="n">
        <v>2009</v>
      </c>
      <c r="M555" s="185" t="n">
        <v>2010</v>
      </c>
      <c r="N555" s="185" t="n">
        <v>2011</v>
      </c>
      <c r="O555" s="185" t="n">
        <v>2012</v>
      </c>
      <c r="P555" s="185" t="n">
        <v>2013</v>
      </c>
      <c r="Q555" s="185" t="n">
        <v>2014</v>
      </c>
      <c r="R555" s="185" t="n">
        <v>2015</v>
      </c>
      <c r="S555" s="185" t="n">
        <v>2016</v>
      </c>
      <c r="T555" s="185" t="n">
        <v>2017</v>
      </c>
      <c r="U555" s="185" t="n">
        <v>2018</v>
      </c>
      <c r="V555" s="185" t="n">
        <v>2019</v>
      </c>
    </row>
    <row r="556" customFormat="false" ht="12.75" hidden="false" customHeight="false" outlineLevel="0" collapsed="false">
      <c r="A556" s="186" t="s">
        <v>106</v>
      </c>
      <c r="B556" s="182"/>
      <c r="C556" s="187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</row>
    <row r="557" customFormat="false" ht="12.75" hidden="false" customHeight="false" outlineLevel="0" collapsed="false">
      <c r="A557" s="55"/>
      <c r="B557" s="189" t="s">
        <v>107</v>
      </c>
      <c r="C557" s="190" t="n">
        <v>0</v>
      </c>
      <c r="D557" s="191" t="n">
        <v>13696.6136129299</v>
      </c>
      <c r="E557" s="191" t="n">
        <v>16858.2345601028</v>
      </c>
      <c r="F557" s="191" t="n">
        <v>15084.908176016</v>
      </c>
      <c r="G557" s="191" t="n">
        <v>14786.157584178</v>
      </c>
      <c r="H557" s="191" t="n">
        <v>21105.8747791397</v>
      </c>
      <c r="I557" s="191" t="n">
        <v>23539.3854160237</v>
      </c>
      <c r="J557" s="191" t="n">
        <v>20927.4953651753</v>
      </c>
      <c r="K557" s="191" t="n">
        <v>33736.7061002737</v>
      </c>
      <c r="L557" s="191" t="n">
        <v>34089.3731730327</v>
      </c>
      <c r="M557" s="191" t="n">
        <v>32465.1757061946</v>
      </c>
      <c r="N557" s="191" t="n">
        <v>27289.0835823669</v>
      </c>
      <c r="O557" s="191" t="n">
        <v>35420.8839321195</v>
      </c>
      <c r="P557" s="191" t="n">
        <v>26596.369962363</v>
      </c>
      <c r="Q557" s="191" t="n">
        <v>33551.8523543643</v>
      </c>
      <c r="R557" s="191" t="n">
        <v>30184.811443284</v>
      </c>
      <c r="S557" s="191" t="n">
        <v>23067.7442274848</v>
      </c>
      <c r="T557" s="191" t="n">
        <v>23509.5598524848</v>
      </c>
      <c r="U557" s="191" t="n">
        <v>29474.2354089498</v>
      </c>
      <c r="V557" s="191" t="n">
        <v>37937.151098782</v>
      </c>
    </row>
    <row r="558" customFormat="false" ht="12.75" hidden="false" customHeight="false" outlineLevel="0" collapsed="false">
      <c r="A558" s="55"/>
      <c r="B558" s="189" t="s">
        <v>108</v>
      </c>
      <c r="C558" s="190" t="n">
        <v>0</v>
      </c>
      <c r="D558" s="192" t="n">
        <v>0.0305229939828759</v>
      </c>
      <c r="E558" s="192" t="n">
        <v>0.0375686871646995</v>
      </c>
      <c r="F558" s="192" t="n">
        <v>0.0336168175945411</v>
      </c>
      <c r="G558" s="192" t="n">
        <v>0.0329510499256302</v>
      </c>
      <c r="H558" s="192" t="n">
        <v>0.0470345814733987</v>
      </c>
      <c r="I558" s="192" t="n">
        <v>0.0524576760153048</v>
      </c>
      <c r="J558" s="192" t="n">
        <v>0.0466370617701368</v>
      </c>
      <c r="K558" s="192" t="n">
        <v>0.0751824725732647</v>
      </c>
      <c r="L558" s="192" t="n">
        <v>0.0759683934763426</v>
      </c>
      <c r="M558" s="192" t="n">
        <v>0.072348858684144</v>
      </c>
      <c r="N558" s="192" t="n">
        <v>0.0608139031677484</v>
      </c>
      <c r="O558" s="192" t="n">
        <v>0.0789356740054051</v>
      </c>
      <c r="P558" s="192" t="n">
        <v>0.0592701862861337</v>
      </c>
      <c r="Q558" s="192" t="n">
        <v>0.0747705247784625</v>
      </c>
      <c r="R558" s="192" t="n">
        <v>0.0672670518490677</v>
      </c>
      <c r="S558" s="192" t="n">
        <v>0.0514066205086897</v>
      </c>
      <c r="T558" s="192" t="n">
        <v>0.0523912095497856</v>
      </c>
      <c r="U558" s="192" t="n">
        <v>0.0656835284590318</v>
      </c>
      <c r="V558" s="192" t="n">
        <v>0.0845431920210148</v>
      </c>
    </row>
    <row r="559" customFormat="false" ht="12.75" hidden="false" customHeight="false" outlineLevel="0" collapsed="false">
      <c r="A559" s="186" t="s">
        <v>109</v>
      </c>
      <c r="B559" s="189"/>
      <c r="C559" s="187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</row>
    <row r="560" customFormat="false" ht="12.75" hidden="false" customHeight="false" outlineLevel="0" collapsed="false">
      <c r="A560" s="55"/>
      <c r="B560" s="189" t="s">
        <v>20</v>
      </c>
      <c r="C560" s="193" t="n">
        <v>0</v>
      </c>
      <c r="D560" s="194" t="n">
        <v>304.693718711168</v>
      </c>
      <c r="E560" s="194" t="n">
        <v>197.917747999932</v>
      </c>
      <c r="F560" s="194" t="n">
        <v>183.72871610248</v>
      </c>
      <c r="G560" s="194" t="n">
        <v>168.158447307037</v>
      </c>
      <c r="H560" s="194" t="n">
        <v>140.129586721357</v>
      </c>
      <c r="I560" s="194" t="n">
        <v>116.025864422978</v>
      </c>
      <c r="J560" s="194" t="n">
        <v>127.66309255624</v>
      </c>
      <c r="K560" s="194" t="n">
        <v>121.507171242724</v>
      </c>
      <c r="L560" s="194" t="n">
        <v>121.764847636961</v>
      </c>
      <c r="M560" s="194" t="n">
        <v>135.012998362012</v>
      </c>
      <c r="N560" s="194" t="n">
        <v>125.60244786487</v>
      </c>
      <c r="O560" s="194" t="n">
        <v>123.109640832134</v>
      </c>
      <c r="P560" s="194" t="n">
        <v>140.368367715203</v>
      </c>
      <c r="Q560" s="194" t="n">
        <v>141.944564215262</v>
      </c>
      <c r="R560" s="194" t="n">
        <v>140.254129129645</v>
      </c>
      <c r="S560" s="194" t="n">
        <v>145.003802175657</v>
      </c>
      <c r="T560" s="194" t="n">
        <v>155.525903869554</v>
      </c>
      <c r="U560" s="194" t="n">
        <v>159.825667151647</v>
      </c>
      <c r="V560" s="194" t="n">
        <v>140.153963905678</v>
      </c>
    </row>
    <row r="561" customFormat="false" ht="12.75" hidden="false" customHeight="false" outlineLevel="0" collapsed="false">
      <c r="A561" s="55"/>
      <c r="B561" s="189" t="s">
        <v>21</v>
      </c>
      <c r="C561" s="193" t="n">
        <v>0</v>
      </c>
      <c r="D561" s="194" t="n">
        <v>74.0934057926256</v>
      </c>
      <c r="E561" s="194" t="n">
        <v>65.4392173671876</v>
      </c>
      <c r="F561" s="194" t="n">
        <v>63.6850178751829</v>
      </c>
      <c r="G561" s="194" t="n">
        <v>67.0667616563546</v>
      </c>
      <c r="H561" s="194" t="n">
        <v>69.3820424840059</v>
      </c>
      <c r="I561" s="194" t="n">
        <v>64.9363850436826</v>
      </c>
      <c r="J561" s="194" t="n">
        <v>64.7785724062984</v>
      </c>
      <c r="K561" s="194" t="n">
        <v>62.6606306288446</v>
      </c>
      <c r="L561" s="194" t="n">
        <v>62.9213461346988</v>
      </c>
      <c r="M561" s="194" t="n">
        <v>66.6760116986677</v>
      </c>
      <c r="N561" s="194" t="n">
        <v>66.2291438420017</v>
      </c>
      <c r="O561" s="194" t="n">
        <v>66.9093484561524</v>
      </c>
      <c r="P561" s="194" t="n">
        <v>69.5347328692224</v>
      </c>
      <c r="Q561" s="194" t="n">
        <v>71.5853829125772</v>
      </c>
      <c r="R561" s="194" t="n">
        <v>75.7354177920351</v>
      </c>
      <c r="S561" s="194" t="n">
        <v>79.3167278335984</v>
      </c>
      <c r="T561" s="194" t="n">
        <v>81.5647945615102</v>
      </c>
      <c r="U561" s="194" t="n">
        <v>87.5320631759659</v>
      </c>
      <c r="V561" s="194" t="n">
        <v>91.4602208834587</v>
      </c>
    </row>
    <row r="562" customFormat="false" ht="12.75" hidden="false" customHeight="false" outlineLevel="0" collapsed="false">
      <c r="A562" s="55"/>
      <c r="B562" s="189" t="s">
        <v>110</v>
      </c>
      <c r="C562" s="193" t="n">
        <v>0</v>
      </c>
      <c r="D562" s="194" t="n">
        <v>2.38465579383608</v>
      </c>
      <c r="E562" s="194" t="n">
        <v>2.38077584158414</v>
      </c>
      <c r="F562" s="194" t="n">
        <v>2.42478988129635</v>
      </c>
      <c r="G562" s="194" t="n">
        <v>2.5220223048737</v>
      </c>
      <c r="H562" s="194" t="n">
        <v>2.63054472298175</v>
      </c>
      <c r="I562" s="194" t="n">
        <v>2.5522261936322</v>
      </c>
      <c r="J562" s="194" t="n">
        <v>2.59492229757722</v>
      </c>
      <c r="K562" s="194" t="n">
        <v>2.74029781060647</v>
      </c>
      <c r="L562" s="194" t="n">
        <v>2.75457328105595</v>
      </c>
      <c r="M562" s="194" t="n">
        <v>2.83948180708967</v>
      </c>
      <c r="N562" s="194" t="n">
        <v>2.84923535451621</v>
      </c>
      <c r="O562" s="194" t="n">
        <v>2.9268726965672</v>
      </c>
      <c r="P562" s="194" t="n">
        <v>2.97683501903572</v>
      </c>
      <c r="Q562" s="194" t="n">
        <v>3.0895562371711</v>
      </c>
      <c r="R562" s="194" t="n">
        <v>3.07256430383222</v>
      </c>
      <c r="S562" s="194" t="n">
        <v>3.15232487326126</v>
      </c>
      <c r="T562" s="194" t="n">
        <v>3.2083461438252</v>
      </c>
      <c r="U562" s="194" t="n">
        <v>3.29227639936417</v>
      </c>
      <c r="V562" s="194" t="n">
        <v>3.42175069886261</v>
      </c>
    </row>
    <row r="563" customFormat="false" ht="12.75" hidden="false" customHeight="false" outlineLevel="0" collapsed="false">
      <c r="A563" s="55"/>
      <c r="B563" s="189" t="s">
        <v>111</v>
      </c>
      <c r="C563" s="193" t="n">
        <v>0</v>
      </c>
      <c r="D563" s="194" t="n">
        <v>0</v>
      </c>
      <c r="E563" s="194" t="n">
        <v>0</v>
      </c>
      <c r="F563" s="194" t="n">
        <v>0</v>
      </c>
      <c r="G563" s="194" t="n">
        <v>0</v>
      </c>
      <c r="H563" s="194" t="n">
        <v>0</v>
      </c>
      <c r="I563" s="194" t="n">
        <v>0.899626720550477</v>
      </c>
      <c r="J563" s="194" t="n">
        <v>0.993486145798972</v>
      </c>
      <c r="K563" s="194" t="n">
        <v>1.1799349378061</v>
      </c>
      <c r="L563" s="194" t="n">
        <v>1.22956412783682</v>
      </c>
      <c r="M563" s="194" t="n">
        <v>1.38195579852192</v>
      </c>
      <c r="N563" s="194" t="n">
        <v>1.49789155738199</v>
      </c>
      <c r="O563" s="194" t="n">
        <v>1.6708763067847</v>
      </c>
      <c r="P563" s="194" t="n">
        <v>1.86604664979589</v>
      </c>
      <c r="Q563" s="194" t="n">
        <v>2.11505432288292</v>
      </c>
      <c r="R563" s="194" t="n">
        <v>2.28286055801569</v>
      </c>
      <c r="S563" s="194" t="n">
        <v>2.51750946960222</v>
      </c>
      <c r="T563" s="194" t="n">
        <v>2.47294399845293</v>
      </c>
      <c r="U563" s="194" t="n">
        <v>2.1253584286789</v>
      </c>
      <c r="V563" s="194" t="n">
        <v>2.24695534303301</v>
      </c>
    </row>
    <row r="564" customFormat="false" ht="12.75" hidden="false" customHeight="false" outlineLevel="0" collapsed="false">
      <c r="A564" s="55"/>
      <c r="B564" s="189" t="s">
        <v>112</v>
      </c>
      <c r="C564" s="193" t="n">
        <v>0</v>
      </c>
      <c r="D564" s="194" t="n">
        <v>0</v>
      </c>
      <c r="E564" s="194" t="n">
        <v>0</v>
      </c>
      <c r="F564" s="194" t="n">
        <v>0</v>
      </c>
      <c r="G564" s="194" t="n">
        <v>0</v>
      </c>
      <c r="H564" s="194" t="n">
        <v>0</v>
      </c>
      <c r="I564" s="194" t="n">
        <v>0.899626720550477</v>
      </c>
      <c r="J564" s="194" t="n">
        <v>0.993486145798972</v>
      </c>
      <c r="K564" s="194" t="n">
        <v>1.1799349378061</v>
      </c>
      <c r="L564" s="194" t="n">
        <v>1.22956412783682</v>
      </c>
      <c r="M564" s="194" t="n">
        <v>1.38195579852192</v>
      </c>
      <c r="N564" s="194" t="n">
        <v>1.49789155738199</v>
      </c>
      <c r="O564" s="194" t="n">
        <v>1.6708763067847</v>
      </c>
      <c r="P564" s="194" t="n">
        <v>1.86604664979589</v>
      </c>
      <c r="Q564" s="194" t="n">
        <v>2.11505432288292</v>
      </c>
      <c r="R564" s="194" t="n">
        <v>2.28286055801569</v>
      </c>
      <c r="S564" s="194" t="n">
        <v>2.51750946960222</v>
      </c>
      <c r="T564" s="194" t="n">
        <v>2.47294399845293</v>
      </c>
      <c r="U564" s="194" t="n">
        <v>2.1253584286789</v>
      </c>
      <c r="V564" s="194" t="n">
        <v>2.24695534303301</v>
      </c>
    </row>
    <row r="565" customFormat="false" ht="12.75" hidden="false" customHeight="false" outlineLevel="0" collapsed="false">
      <c r="A565" s="186" t="s">
        <v>113</v>
      </c>
      <c r="B565" s="189"/>
      <c r="C565" s="187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</row>
    <row r="566" customFormat="false" ht="12.75" hidden="false" customHeight="false" outlineLevel="0" collapsed="false">
      <c r="A566" s="55"/>
      <c r="B566" s="189" t="s">
        <v>26</v>
      </c>
      <c r="C566" s="193" t="n">
        <v>0</v>
      </c>
      <c r="D566" s="194" t="n">
        <v>1.78753092003796</v>
      </c>
      <c r="E566" s="194" t="n">
        <v>1.82328153843872</v>
      </c>
      <c r="F566" s="194" t="n">
        <v>1.8597471692075</v>
      </c>
      <c r="G566" s="194" t="n">
        <v>1.89694211259165</v>
      </c>
      <c r="H566" s="194" t="n">
        <v>1.93488095484348</v>
      </c>
      <c r="I566" s="194" t="n">
        <v>1.97357857394035</v>
      </c>
      <c r="J566" s="194" t="n">
        <v>2.01305014541916</v>
      </c>
      <c r="K566" s="194" t="n">
        <v>2.05331114832754</v>
      </c>
      <c r="L566" s="194" t="n">
        <v>2.09437737129409</v>
      </c>
      <c r="M566" s="194" t="n">
        <v>2.13626491871997</v>
      </c>
      <c r="N566" s="194" t="n">
        <v>2.17899021709437</v>
      </c>
      <c r="O566" s="194" t="n">
        <v>2.22257002143626</v>
      </c>
      <c r="P566" s="194" t="n">
        <v>2.26702142186498</v>
      </c>
      <c r="Q566" s="194" t="n">
        <v>2.31236185030228</v>
      </c>
      <c r="R566" s="194" t="n">
        <v>2.35860908730833</v>
      </c>
      <c r="S566" s="194" t="n">
        <v>2.4057812690545</v>
      </c>
      <c r="T566" s="194" t="n">
        <v>2.45389689443559</v>
      </c>
      <c r="U566" s="194" t="n">
        <v>2.5029748323243</v>
      </c>
      <c r="V566" s="194" t="n">
        <v>2.55303432897078</v>
      </c>
    </row>
    <row r="567" customFormat="false" ht="12.75" hidden="false" customHeight="false" outlineLevel="0" collapsed="false">
      <c r="A567" s="55"/>
      <c r="B567" s="189" t="s">
        <v>114</v>
      </c>
      <c r="C567" s="193" t="n">
        <v>0</v>
      </c>
      <c r="D567" s="194" t="n">
        <v>0.881628315702782</v>
      </c>
      <c r="E567" s="194" t="n">
        <v>0.881628315702782</v>
      </c>
      <c r="F567" s="194" t="n">
        <v>0.881628315702782</v>
      </c>
      <c r="G567" s="194" t="n">
        <v>0.881628315702782</v>
      </c>
      <c r="H567" s="194" t="n">
        <v>0.881628315702782</v>
      </c>
      <c r="I567" s="194" t="n">
        <v>0.881628315702782</v>
      </c>
      <c r="J567" s="194" t="n">
        <v>0.881628315702782</v>
      </c>
      <c r="K567" s="194" t="n">
        <v>0.881628315702782</v>
      </c>
      <c r="L567" s="194" t="n">
        <v>0.881628315702782</v>
      </c>
      <c r="M567" s="194" t="n">
        <v>0.881628315702782</v>
      </c>
      <c r="N567" s="194" t="n">
        <v>0.881628315702782</v>
      </c>
      <c r="O567" s="194" t="n">
        <v>0.881628315702782</v>
      </c>
      <c r="P567" s="194" t="n">
        <v>0.881628315702782</v>
      </c>
      <c r="Q567" s="194" t="n">
        <v>0.881628315702782</v>
      </c>
      <c r="R567" s="194" t="n">
        <v>0.881628315702782</v>
      </c>
      <c r="S567" s="194" t="n">
        <v>0.881628315702782</v>
      </c>
      <c r="T567" s="194" t="n">
        <v>0.881628315702782</v>
      </c>
      <c r="U567" s="194" t="n">
        <v>0.881628315702782</v>
      </c>
      <c r="V567" s="194" t="n">
        <v>0.881628315702782</v>
      </c>
    </row>
    <row r="568" customFormat="false" ht="12.75" hidden="false" customHeight="false" outlineLevel="0" collapsed="false">
      <c r="A568" s="55"/>
      <c r="B568" s="189" t="s">
        <v>28</v>
      </c>
      <c r="C568" s="193" t="n">
        <v>0</v>
      </c>
      <c r="D568" s="194" t="n">
        <v>0.0809304613900027</v>
      </c>
      <c r="E568" s="194" t="n">
        <v>0.0826380941253322</v>
      </c>
      <c r="F568" s="194" t="n">
        <v>0.084447868386677</v>
      </c>
      <c r="G568" s="194" t="n">
        <v>0.0863563902122153</v>
      </c>
      <c r="H568" s="194" t="n">
        <v>0.0884116722992662</v>
      </c>
      <c r="I568" s="194" t="n">
        <v>0.0906272776952701</v>
      </c>
      <c r="J568" s="194" t="n">
        <v>0.0928750866580765</v>
      </c>
      <c r="K568" s="194" t="n">
        <v>0.0952259470346509</v>
      </c>
      <c r="L568" s="194" t="n">
        <v>0.0975780279264068</v>
      </c>
      <c r="M568" s="194" t="n">
        <v>0.10006626763853</v>
      </c>
      <c r="N568" s="194" t="n">
        <v>0.102487871315383</v>
      </c>
      <c r="O568" s="194" t="n">
        <v>0.10507056567253</v>
      </c>
      <c r="P568" s="194" t="n">
        <v>0.107739358040612</v>
      </c>
      <c r="Q568" s="194" t="n">
        <v>0.110432841991628</v>
      </c>
      <c r="R568" s="194" t="n">
        <v>0.113204706325617</v>
      </c>
      <c r="S568" s="194" t="n">
        <v>0.116034823983758</v>
      </c>
      <c r="T568" s="194" t="n">
        <v>0.118912487618555</v>
      </c>
      <c r="U568" s="194" t="n">
        <v>0.121897191057781</v>
      </c>
      <c r="V568" s="194" t="n">
        <v>0.124956810553331</v>
      </c>
    </row>
    <row r="569" customFormat="false" ht="12.75" hidden="false" customHeight="false" outlineLevel="0" collapsed="false">
      <c r="A569" s="55"/>
      <c r="B569" s="189" t="s">
        <v>33</v>
      </c>
      <c r="C569" s="193" t="n">
        <v>0</v>
      </c>
      <c r="D569" s="194" t="n">
        <v>0.0277907271839922</v>
      </c>
      <c r="E569" s="194" t="n">
        <v>0.0289120546608102</v>
      </c>
      <c r="F569" s="194" t="n">
        <v>0.0300796486090776</v>
      </c>
      <c r="G569" s="194" t="n">
        <v>0.0314168862859932</v>
      </c>
      <c r="H569" s="194" t="n">
        <v>1.95217179111762</v>
      </c>
      <c r="I569" s="194" t="n">
        <v>2.01073694485115</v>
      </c>
      <c r="J569" s="194" t="n">
        <v>2.07105905319668</v>
      </c>
      <c r="K569" s="194" t="n">
        <v>2.13319082479258</v>
      </c>
      <c r="L569" s="194" t="n">
        <v>2.19718654953636</v>
      </c>
      <c r="M569" s="194" t="n">
        <v>2.26310214602245</v>
      </c>
      <c r="N569" s="194" t="n">
        <v>2.33099521040312</v>
      </c>
      <c r="O569" s="194" t="n">
        <v>2.40092506671522</v>
      </c>
      <c r="P569" s="194" t="n">
        <v>2.47295281871667</v>
      </c>
      <c r="Q569" s="194" t="n">
        <v>2.54714140327817</v>
      </c>
      <c r="R569" s="194" t="n">
        <v>2.62355564537652</v>
      </c>
      <c r="S569" s="194" t="n">
        <v>2.70226231473782</v>
      </c>
      <c r="T569" s="194" t="n">
        <v>2.78333018417995</v>
      </c>
      <c r="U569" s="194" t="n">
        <v>2.86683008970535</v>
      </c>
      <c r="V569" s="194" t="n">
        <v>2.95283499239651</v>
      </c>
    </row>
    <row r="570" customFormat="false" ht="12.75" hidden="false" customHeight="false" outlineLevel="0" collapsed="false">
      <c r="A570" s="55"/>
      <c r="B570" s="189" t="s">
        <v>115</v>
      </c>
      <c r="C570" s="195" t="n">
        <v>0</v>
      </c>
      <c r="D570" s="196" t="n">
        <v>0</v>
      </c>
      <c r="E570" s="196" t="n">
        <v>0</v>
      </c>
      <c r="F570" s="196" t="n">
        <v>0</v>
      </c>
      <c r="G570" s="196" t="n">
        <v>0</v>
      </c>
      <c r="H570" s="196" t="n">
        <v>0</v>
      </c>
      <c r="I570" s="196" t="n">
        <v>0</v>
      </c>
      <c r="J570" s="196" t="n">
        <v>0</v>
      </c>
      <c r="K570" s="196" t="n">
        <v>0</v>
      </c>
      <c r="L570" s="196" t="n">
        <v>0</v>
      </c>
      <c r="M570" s="196" t="n">
        <v>0</v>
      </c>
      <c r="N570" s="196" t="n">
        <v>0</v>
      </c>
      <c r="O570" s="196" t="n">
        <v>0</v>
      </c>
      <c r="P570" s="196" t="n">
        <v>0</v>
      </c>
      <c r="Q570" s="196" t="n">
        <v>0</v>
      </c>
      <c r="R570" s="196" t="n">
        <v>0</v>
      </c>
      <c r="S570" s="196" t="n">
        <v>0</v>
      </c>
      <c r="T570" s="196" t="n">
        <v>0</v>
      </c>
      <c r="U570" s="196" t="n">
        <v>0</v>
      </c>
      <c r="V570" s="196" t="n">
        <v>0</v>
      </c>
    </row>
    <row r="571" customFormat="false" ht="12.75" hidden="false" customHeight="false" outlineLevel="0" collapsed="false">
      <c r="A571" s="55"/>
      <c r="B571" s="189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</row>
    <row r="572" customFormat="false" ht="12.75" hidden="false" customHeight="false" outlineLevel="0" collapsed="false">
      <c r="A572" s="55"/>
      <c r="B572" s="189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</row>
    <row r="573" customFormat="false" ht="12.75" hidden="false" customHeight="false" outlineLevel="0" collapsed="false">
      <c r="A573" s="169"/>
      <c r="B573" s="156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</row>
    <row r="574" customFormat="false" ht="12.75" hidden="false" customHeight="false" outlineLevel="0" collapsed="false">
      <c r="A574" s="11"/>
      <c r="B574" s="156"/>
      <c r="C574" s="257"/>
      <c r="D574" s="257"/>
      <c r="E574" s="257"/>
      <c r="F574" s="257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</row>
    <row r="575" customFormat="false" ht="12.75" hidden="false" customHeight="false" outlineLevel="0" collapsed="false">
      <c r="A575" s="52" t="s">
        <v>105</v>
      </c>
      <c r="B575" s="182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</row>
    <row r="576" customFormat="false" ht="12.75" hidden="false" customHeight="false" outlineLevel="0" collapsed="false">
      <c r="A576" s="183" t="s">
        <v>94</v>
      </c>
      <c r="B576" s="182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</row>
    <row r="577" customFormat="false" ht="12.75" hidden="false" customHeight="false" outlineLevel="0" collapsed="false">
      <c r="A577" s="55"/>
      <c r="B577" s="182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</row>
    <row r="578" customFormat="false" ht="12.75" hidden="false" customHeight="false" outlineLevel="0" collapsed="false">
      <c r="A578" s="55"/>
      <c r="B578" s="182"/>
      <c r="C578" s="184" t="n">
        <v>2000</v>
      </c>
      <c r="D578" s="185" t="n">
        <v>2001</v>
      </c>
      <c r="E578" s="185" t="n">
        <v>2002</v>
      </c>
      <c r="F578" s="185" t="n">
        <v>2003</v>
      </c>
      <c r="G578" s="185" t="n">
        <v>2004</v>
      </c>
      <c r="H578" s="185" t="n">
        <v>2005</v>
      </c>
      <c r="I578" s="185" t="n">
        <v>2006</v>
      </c>
      <c r="J578" s="185" t="n">
        <v>2007</v>
      </c>
      <c r="K578" s="185" t="n">
        <v>2008</v>
      </c>
      <c r="L578" s="185" t="n">
        <v>2009</v>
      </c>
      <c r="M578" s="185" t="n">
        <v>2010</v>
      </c>
      <c r="N578" s="185" t="n">
        <v>2011</v>
      </c>
      <c r="O578" s="185" t="n">
        <v>2012</v>
      </c>
      <c r="P578" s="185" t="n">
        <v>2013</v>
      </c>
      <c r="Q578" s="185" t="n">
        <v>2014</v>
      </c>
      <c r="R578" s="185" t="n">
        <v>2015</v>
      </c>
      <c r="S578" s="185" t="n">
        <v>2016</v>
      </c>
      <c r="T578" s="185" t="n">
        <v>2017</v>
      </c>
      <c r="U578" s="185" t="n">
        <v>2018</v>
      </c>
      <c r="V578" s="185" t="n">
        <v>2019</v>
      </c>
    </row>
    <row r="579" customFormat="false" ht="12.75" hidden="false" customHeight="false" outlineLevel="0" collapsed="false">
      <c r="A579" s="186" t="s">
        <v>106</v>
      </c>
      <c r="B579" s="182"/>
      <c r="C579" s="187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</row>
    <row r="580" customFormat="false" ht="12.75" hidden="false" customHeight="false" outlineLevel="0" collapsed="false">
      <c r="A580" s="55"/>
      <c r="B580" s="189" t="s">
        <v>107</v>
      </c>
      <c r="C580" s="190" t="n">
        <v>0</v>
      </c>
      <c r="D580" s="191" t="n">
        <v>13696.6136129299</v>
      </c>
      <c r="E580" s="191" t="n">
        <v>16858.2345601028</v>
      </c>
      <c r="F580" s="191" t="n">
        <v>15084.908176016</v>
      </c>
      <c r="G580" s="191" t="n">
        <v>14786.157584178</v>
      </c>
      <c r="H580" s="191" t="n">
        <v>21105.8747791397</v>
      </c>
      <c r="I580" s="191" t="n">
        <v>23539.3854160237</v>
      </c>
      <c r="J580" s="191" t="n">
        <v>20927.4953651753</v>
      </c>
      <c r="K580" s="191" t="n">
        <v>33736.7061002737</v>
      </c>
      <c r="L580" s="191" t="n">
        <v>34089.3731730327</v>
      </c>
      <c r="M580" s="191" t="n">
        <v>32465.1757061946</v>
      </c>
      <c r="N580" s="191" t="n">
        <v>27289.0835823669</v>
      </c>
      <c r="O580" s="191" t="n">
        <v>35420.8839321195</v>
      </c>
      <c r="P580" s="191" t="n">
        <v>26596.369962363</v>
      </c>
      <c r="Q580" s="191" t="n">
        <v>33551.8523543643</v>
      </c>
      <c r="R580" s="191" t="n">
        <v>30184.811443284</v>
      </c>
      <c r="S580" s="191" t="n">
        <v>23067.7442274848</v>
      </c>
      <c r="T580" s="191" t="n">
        <v>23509.5598524848</v>
      </c>
      <c r="U580" s="191" t="n">
        <v>29474.2354089498</v>
      </c>
      <c r="V580" s="191" t="n">
        <v>37937.151098782</v>
      </c>
    </row>
    <row r="581" customFormat="false" ht="12.75" hidden="false" customHeight="false" outlineLevel="0" collapsed="false">
      <c r="A581" s="55"/>
      <c r="B581" s="189" t="s">
        <v>108</v>
      </c>
      <c r="C581" s="190" t="n">
        <v>0</v>
      </c>
      <c r="D581" s="192" t="n">
        <v>0.0305229939828759</v>
      </c>
      <c r="E581" s="192" t="n">
        <v>0.0375686871646995</v>
      </c>
      <c r="F581" s="192" t="n">
        <v>0.0336168175945411</v>
      </c>
      <c r="G581" s="192" t="n">
        <v>0.0329510499256302</v>
      </c>
      <c r="H581" s="192" t="n">
        <v>0.0470345814733987</v>
      </c>
      <c r="I581" s="192" t="n">
        <v>0.0524576760153048</v>
      </c>
      <c r="J581" s="192" t="n">
        <v>0.0466370617701368</v>
      </c>
      <c r="K581" s="192" t="n">
        <v>0.0751824725732647</v>
      </c>
      <c r="L581" s="192" t="n">
        <v>0.0759683934763426</v>
      </c>
      <c r="M581" s="192" t="n">
        <v>0.072348858684144</v>
      </c>
      <c r="N581" s="192" t="n">
        <v>0.0608139031677484</v>
      </c>
      <c r="O581" s="192" t="n">
        <v>0.0789356740054051</v>
      </c>
      <c r="P581" s="192" t="n">
        <v>0.0592701862861337</v>
      </c>
      <c r="Q581" s="192" t="n">
        <v>0.0747705247784625</v>
      </c>
      <c r="R581" s="192" t="n">
        <v>0.0672670518490677</v>
      </c>
      <c r="S581" s="192" t="n">
        <v>0.0514066205086897</v>
      </c>
      <c r="T581" s="192" t="n">
        <v>0.0523912095497856</v>
      </c>
      <c r="U581" s="192" t="n">
        <v>0.0656835284590318</v>
      </c>
      <c r="V581" s="192" t="n">
        <v>0.0845431920210148</v>
      </c>
    </row>
    <row r="582" customFormat="false" ht="12.75" hidden="false" customHeight="false" outlineLevel="0" collapsed="false">
      <c r="A582" s="186" t="s">
        <v>109</v>
      </c>
      <c r="B582" s="189"/>
      <c r="C582" s="187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</row>
    <row r="583" customFormat="false" ht="12.75" hidden="false" customHeight="false" outlineLevel="0" collapsed="false">
      <c r="A583" s="55"/>
      <c r="B583" s="189" t="s">
        <v>20</v>
      </c>
      <c r="C583" s="193" t="n">
        <v>0</v>
      </c>
      <c r="D583" s="194" t="n">
        <v>304.693718711168</v>
      </c>
      <c r="E583" s="194" t="n">
        <v>197.917747999932</v>
      </c>
      <c r="F583" s="194" t="n">
        <v>183.72871610248</v>
      </c>
      <c r="G583" s="194" t="n">
        <v>168.158447307037</v>
      </c>
      <c r="H583" s="194" t="n">
        <v>140.129586721357</v>
      </c>
      <c r="I583" s="194" t="n">
        <v>116.025864422978</v>
      </c>
      <c r="J583" s="194" t="n">
        <v>127.66309255624</v>
      </c>
      <c r="K583" s="194" t="n">
        <v>121.507171242724</v>
      </c>
      <c r="L583" s="194" t="n">
        <v>121.764847636961</v>
      </c>
      <c r="M583" s="194" t="n">
        <v>135.012998362012</v>
      </c>
      <c r="N583" s="194" t="n">
        <v>125.60244786487</v>
      </c>
      <c r="O583" s="194" t="n">
        <v>123.109640832134</v>
      </c>
      <c r="P583" s="194" t="n">
        <v>140.368367715203</v>
      </c>
      <c r="Q583" s="194" t="n">
        <v>141.944564215262</v>
      </c>
      <c r="R583" s="194" t="n">
        <v>140.254129129645</v>
      </c>
      <c r="S583" s="194" t="n">
        <v>145.003802175657</v>
      </c>
      <c r="T583" s="194" t="n">
        <v>155.525903869554</v>
      </c>
      <c r="U583" s="194" t="n">
        <v>159.825667151647</v>
      </c>
      <c r="V583" s="194" t="n">
        <v>140.153963905678</v>
      </c>
    </row>
    <row r="584" customFormat="false" ht="12.75" hidden="false" customHeight="false" outlineLevel="0" collapsed="false">
      <c r="A584" s="55"/>
      <c r="B584" s="189" t="s">
        <v>21</v>
      </c>
      <c r="C584" s="193" t="n">
        <v>0</v>
      </c>
      <c r="D584" s="194" t="n">
        <v>74.0934057926256</v>
      </c>
      <c r="E584" s="194" t="n">
        <v>65.4392173671876</v>
      </c>
      <c r="F584" s="194" t="n">
        <v>63.6850178751829</v>
      </c>
      <c r="G584" s="194" t="n">
        <v>67.0667616563546</v>
      </c>
      <c r="H584" s="194" t="n">
        <v>69.3820424840059</v>
      </c>
      <c r="I584" s="194" t="n">
        <v>64.9363850436826</v>
      </c>
      <c r="J584" s="194" t="n">
        <v>64.7785724062984</v>
      </c>
      <c r="K584" s="194" t="n">
        <v>62.6606306288446</v>
      </c>
      <c r="L584" s="194" t="n">
        <v>62.9213461346988</v>
      </c>
      <c r="M584" s="194" t="n">
        <v>66.6760116986677</v>
      </c>
      <c r="N584" s="194" t="n">
        <v>66.2291438420017</v>
      </c>
      <c r="O584" s="194" t="n">
        <v>66.9093484561524</v>
      </c>
      <c r="P584" s="194" t="n">
        <v>69.5347328692224</v>
      </c>
      <c r="Q584" s="194" t="n">
        <v>71.5853829125772</v>
      </c>
      <c r="R584" s="194" t="n">
        <v>75.7354177920351</v>
      </c>
      <c r="S584" s="194" t="n">
        <v>79.3167278335984</v>
      </c>
      <c r="T584" s="194" t="n">
        <v>81.5647945615102</v>
      </c>
      <c r="U584" s="194" t="n">
        <v>87.5320631759659</v>
      </c>
      <c r="V584" s="194" t="n">
        <v>91.4602208834587</v>
      </c>
    </row>
    <row r="585" customFormat="false" ht="12.75" hidden="false" customHeight="false" outlineLevel="0" collapsed="false">
      <c r="A585" s="55"/>
      <c r="B585" s="189" t="s">
        <v>110</v>
      </c>
      <c r="C585" s="193" t="n">
        <v>0</v>
      </c>
      <c r="D585" s="194" t="n">
        <v>2.38465579383608</v>
      </c>
      <c r="E585" s="194" t="n">
        <v>2.38077584158414</v>
      </c>
      <c r="F585" s="194" t="n">
        <v>2.42478988129635</v>
      </c>
      <c r="G585" s="194" t="n">
        <v>2.5220223048737</v>
      </c>
      <c r="H585" s="194" t="n">
        <v>2.63054472298175</v>
      </c>
      <c r="I585" s="194" t="n">
        <v>2.5522261936322</v>
      </c>
      <c r="J585" s="194" t="n">
        <v>2.59492229757722</v>
      </c>
      <c r="K585" s="194" t="n">
        <v>2.74029781060647</v>
      </c>
      <c r="L585" s="194" t="n">
        <v>2.75457328105595</v>
      </c>
      <c r="M585" s="194" t="n">
        <v>2.83948180708967</v>
      </c>
      <c r="N585" s="194" t="n">
        <v>2.84923535451621</v>
      </c>
      <c r="O585" s="194" t="n">
        <v>2.9268726965672</v>
      </c>
      <c r="P585" s="194" t="n">
        <v>2.97683501903572</v>
      </c>
      <c r="Q585" s="194" t="n">
        <v>3.0895562371711</v>
      </c>
      <c r="R585" s="194" t="n">
        <v>3.07256430383222</v>
      </c>
      <c r="S585" s="194" t="n">
        <v>3.15232487326126</v>
      </c>
      <c r="T585" s="194" t="n">
        <v>3.2083461438252</v>
      </c>
      <c r="U585" s="194" t="n">
        <v>3.29227639936417</v>
      </c>
      <c r="V585" s="194" t="n">
        <v>3.42175069886261</v>
      </c>
    </row>
    <row r="586" customFormat="false" ht="12.75" hidden="false" customHeight="false" outlineLevel="0" collapsed="false">
      <c r="A586" s="55"/>
      <c r="B586" s="189" t="s">
        <v>111</v>
      </c>
      <c r="C586" s="193" t="n">
        <v>0</v>
      </c>
      <c r="D586" s="194" t="n">
        <v>0</v>
      </c>
      <c r="E586" s="194" t="n">
        <v>0</v>
      </c>
      <c r="F586" s="194" t="n">
        <v>0</v>
      </c>
      <c r="G586" s="194" t="n">
        <v>0</v>
      </c>
      <c r="H586" s="194" t="n">
        <v>0</v>
      </c>
      <c r="I586" s="194" t="n">
        <v>0.899626720550477</v>
      </c>
      <c r="J586" s="194" t="n">
        <v>0.993486145798972</v>
      </c>
      <c r="K586" s="194" t="n">
        <v>1.1799349378061</v>
      </c>
      <c r="L586" s="194" t="n">
        <v>1.22956412783682</v>
      </c>
      <c r="M586" s="194" t="n">
        <v>1.38195579852192</v>
      </c>
      <c r="N586" s="194" t="n">
        <v>1.49789155738199</v>
      </c>
      <c r="O586" s="194" t="n">
        <v>1.6708763067847</v>
      </c>
      <c r="P586" s="194" t="n">
        <v>1.86604664979589</v>
      </c>
      <c r="Q586" s="194" t="n">
        <v>2.11505432288292</v>
      </c>
      <c r="R586" s="194" t="n">
        <v>2.28286055801569</v>
      </c>
      <c r="S586" s="194" t="n">
        <v>2.51750946960222</v>
      </c>
      <c r="T586" s="194" t="n">
        <v>2.47294399845293</v>
      </c>
      <c r="U586" s="194" t="n">
        <v>2.1253584286789</v>
      </c>
      <c r="V586" s="194" t="n">
        <v>2.24695534303301</v>
      </c>
    </row>
    <row r="587" customFormat="false" ht="12.75" hidden="false" customHeight="false" outlineLevel="0" collapsed="false">
      <c r="A587" s="55"/>
      <c r="B587" s="189" t="s">
        <v>112</v>
      </c>
      <c r="C587" s="193" t="n">
        <v>0</v>
      </c>
      <c r="D587" s="194" t="n">
        <v>0</v>
      </c>
      <c r="E587" s="194" t="n">
        <v>0</v>
      </c>
      <c r="F587" s="194" t="n">
        <v>0</v>
      </c>
      <c r="G587" s="194" t="n">
        <v>0</v>
      </c>
      <c r="H587" s="194" t="n">
        <v>0</v>
      </c>
      <c r="I587" s="194" t="n">
        <v>0.899626720550477</v>
      </c>
      <c r="J587" s="194" t="n">
        <v>0.993486145798972</v>
      </c>
      <c r="K587" s="194" t="n">
        <v>1.1799349378061</v>
      </c>
      <c r="L587" s="194" t="n">
        <v>1.22956412783682</v>
      </c>
      <c r="M587" s="194" t="n">
        <v>1.38195579852192</v>
      </c>
      <c r="N587" s="194" t="n">
        <v>1.49789155738199</v>
      </c>
      <c r="O587" s="194" t="n">
        <v>1.6708763067847</v>
      </c>
      <c r="P587" s="194" t="n">
        <v>1.86604664979589</v>
      </c>
      <c r="Q587" s="194" t="n">
        <v>2.11505432288292</v>
      </c>
      <c r="R587" s="194" t="n">
        <v>2.28286055801569</v>
      </c>
      <c r="S587" s="194" t="n">
        <v>2.51750946960222</v>
      </c>
      <c r="T587" s="194" t="n">
        <v>2.47294399845293</v>
      </c>
      <c r="U587" s="194" t="n">
        <v>2.1253584286789</v>
      </c>
      <c r="V587" s="194" t="n">
        <v>2.24695534303301</v>
      </c>
    </row>
    <row r="588" customFormat="false" ht="12.75" hidden="false" customHeight="false" outlineLevel="0" collapsed="false">
      <c r="A588" s="186" t="s">
        <v>113</v>
      </c>
      <c r="B588" s="189"/>
      <c r="C588" s="187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</row>
    <row r="589" customFormat="false" ht="12.75" hidden="false" customHeight="false" outlineLevel="0" collapsed="false">
      <c r="A589" s="55"/>
      <c r="B589" s="189" t="s">
        <v>26</v>
      </c>
      <c r="C589" s="193" t="n">
        <v>0</v>
      </c>
      <c r="D589" s="194" t="n">
        <v>1.78753092003796</v>
      </c>
      <c r="E589" s="194" t="n">
        <v>1.82328153843872</v>
      </c>
      <c r="F589" s="194" t="n">
        <v>1.8597471692075</v>
      </c>
      <c r="G589" s="194" t="n">
        <v>1.89694211259165</v>
      </c>
      <c r="H589" s="194" t="n">
        <v>1.93488095484348</v>
      </c>
      <c r="I589" s="194" t="n">
        <v>1.97357857394035</v>
      </c>
      <c r="J589" s="194" t="n">
        <v>2.01305014541916</v>
      </c>
      <c r="K589" s="194" t="n">
        <v>2.05331114832754</v>
      </c>
      <c r="L589" s="194" t="n">
        <v>2.09437737129409</v>
      </c>
      <c r="M589" s="194" t="n">
        <v>2.13626491871997</v>
      </c>
      <c r="N589" s="194" t="n">
        <v>2.17899021709437</v>
      </c>
      <c r="O589" s="194" t="n">
        <v>2.22257002143626</v>
      </c>
      <c r="P589" s="194" t="n">
        <v>2.26702142186498</v>
      </c>
      <c r="Q589" s="194" t="n">
        <v>2.31236185030228</v>
      </c>
      <c r="R589" s="194" t="n">
        <v>2.35860908730833</v>
      </c>
      <c r="S589" s="194" t="n">
        <v>2.4057812690545</v>
      </c>
      <c r="T589" s="194" t="n">
        <v>2.45389689443559</v>
      </c>
      <c r="U589" s="194" t="n">
        <v>2.5029748323243</v>
      </c>
      <c r="V589" s="194" t="n">
        <v>2.55303432897078</v>
      </c>
    </row>
    <row r="590" customFormat="false" ht="12.75" hidden="false" customHeight="false" outlineLevel="0" collapsed="false">
      <c r="A590" s="55"/>
      <c r="B590" s="189" t="s">
        <v>114</v>
      </c>
      <c r="C590" s="193" t="n">
        <v>0</v>
      </c>
      <c r="D590" s="194" t="n">
        <v>0.881628315702782</v>
      </c>
      <c r="E590" s="194" t="n">
        <v>0.881628315702782</v>
      </c>
      <c r="F590" s="194" t="n">
        <v>0.881628315702782</v>
      </c>
      <c r="G590" s="194" t="n">
        <v>0.881628315702782</v>
      </c>
      <c r="H590" s="194" t="n">
        <v>0.881628315702782</v>
      </c>
      <c r="I590" s="194" t="n">
        <v>0.881628315702782</v>
      </c>
      <c r="J590" s="194" t="n">
        <v>0.881628315702782</v>
      </c>
      <c r="K590" s="194" t="n">
        <v>0.881628315702782</v>
      </c>
      <c r="L590" s="194" t="n">
        <v>0.881628315702782</v>
      </c>
      <c r="M590" s="194" t="n">
        <v>0.881628315702782</v>
      </c>
      <c r="N590" s="194" t="n">
        <v>0.881628315702782</v>
      </c>
      <c r="O590" s="194" t="n">
        <v>0.881628315702782</v>
      </c>
      <c r="P590" s="194" t="n">
        <v>0.881628315702782</v>
      </c>
      <c r="Q590" s="194" t="n">
        <v>0.881628315702782</v>
      </c>
      <c r="R590" s="194" t="n">
        <v>0.881628315702782</v>
      </c>
      <c r="S590" s="194" t="n">
        <v>0.881628315702782</v>
      </c>
      <c r="T590" s="194" t="n">
        <v>0.881628315702782</v>
      </c>
      <c r="U590" s="194" t="n">
        <v>0.881628315702782</v>
      </c>
      <c r="V590" s="194" t="n">
        <v>0.881628315702782</v>
      </c>
    </row>
    <row r="591" customFormat="false" ht="12.75" hidden="false" customHeight="false" outlineLevel="0" collapsed="false">
      <c r="A591" s="55"/>
      <c r="B591" s="189" t="s">
        <v>28</v>
      </c>
      <c r="C591" s="193" t="n">
        <v>0</v>
      </c>
      <c r="D591" s="194" t="n">
        <v>0.0809304613900027</v>
      </c>
      <c r="E591" s="194" t="n">
        <v>0.0826380941253322</v>
      </c>
      <c r="F591" s="194" t="n">
        <v>0.084447868386677</v>
      </c>
      <c r="G591" s="194" t="n">
        <v>0.0863563902122153</v>
      </c>
      <c r="H591" s="194" t="n">
        <v>0.0884116722992662</v>
      </c>
      <c r="I591" s="194" t="n">
        <v>0.0906272776952701</v>
      </c>
      <c r="J591" s="194" t="n">
        <v>0.0928750866580765</v>
      </c>
      <c r="K591" s="194" t="n">
        <v>0.0952259470346509</v>
      </c>
      <c r="L591" s="194" t="n">
        <v>0.0975780279264068</v>
      </c>
      <c r="M591" s="194" t="n">
        <v>0.10006626763853</v>
      </c>
      <c r="N591" s="194" t="n">
        <v>0.102487871315383</v>
      </c>
      <c r="O591" s="194" t="n">
        <v>0.10507056567253</v>
      </c>
      <c r="P591" s="194" t="n">
        <v>0.107739358040612</v>
      </c>
      <c r="Q591" s="194" t="n">
        <v>0.110432841991628</v>
      </c>
      <c r="R591" s="194" t="n">
        <v>0.113204706325617</v>
      </c>
      <c r="S591" s="194" t="n">
        <v>0.116034823983758</v>
      </c>
      <c r="T591" s="194" t="n">
        <v>0.118912487618555</v>
      </c>
      <c r="U591" s="194" t="n">
        <v>0.121897191057781</v>
      </c>
      <c r="V591" s="194" t="n">
        <v>0.124956810553331</v>
      </c>
    </row>
    <row r="592" customFormat="false" ht="12.75" hidden="false" customHeight="false" outlineLevel="0" collapsed="false">
      <c r="A592" s="55"/>
      <c r="B592" s="189" t="s">
        <v>33</v>
      </c>
      <c r="C592" s="193" t="n">
        <v>0</v>
      </c>
      <c r="D592" s="194" t="n">
        <v>0.0277907271839922</v>
      </c>
      <c r="E592" s="194" t="n">
        <v>0.0289120546608102</v>
      </c>
      <c r="F592" s="194" t="n">
        <v>0.0300796486090776</v>
      </c>
      <c r="G592" s="194" t="n">
        <v>0.0314168862859932</v>
      </c>
      <c r="H592" s="194" t="n">
        <v>1.95217179111762</v>
      </c>
      <c r="I592" s="194" t="n">
        <v>2.01073694485115</v>
      </c>
      <c r="J592" s="194" t="n">
        <v>2.07105905319668</v>
      </c>
      <c r="K592" s="194" t="n">
        <v>2.13319082479258</v>
      </c>
      <c r="L592" s="194" t="n">
        <v>2.19718654953636</v>
      </c>
      <c r="M592" s="194" t="n">
        <v>2.26310214602245</v>
      </c>
      <c r="N592" s="194" t="n">
        <v>2.33099521040312</v>
      </c>
      <c r="O592" s="194" t="n">
        <v>2.40092506671522</v>
      </c>
      <c r="P592" s="194" t="n">
        <v>2.47295281871667</v>
      </c>
      <c r="Q592" s="194" t="n">
        <v>2.54714140327817</v>
      </c>
      <c r="R592" s="194" t="n">
        <v>2.62355564537652</v>
      </c>
      <c r="S592" s="194" t="n">
        <v>2.70226231473782</v>
      </c>
      <c r="T592" s="194" t="n">
        <v>2.78333018417995</v>
      </c>
      <c r="U592" s="194" t="n">
        <v>2.86683008970535</v>
      </c>
      <c r="V592" s="194" t="n">
        <v>2.95283499239651</v>
      </c>
    </row>
    <row r="593" customFormat="false" ht="12.75" hidden="false" customHeight="false" outlineLevel="0" collapsed="false">
      <c r="A593" s="55"/>
      <c r="B593" s="189" t="s">
        <v>115</v>
      </c>
      <c r="C593" s="195" t="n">
        <v>0</v>
      </c>
      <c r="D593" s="196" t="n">
        <v>0</v>
      </c>
      <c r="E593" s="196" t="n">
        <v>0</v>
      </c>
      <c r="F593" s="196" t="n">
        <v>0</v>
      </c>
      <c r="G593" s="196" t="n">
        <v>0</v>
      </c>
      <c r="H593" s="196" t="n">
        <v>0</v>
      </c>
      <c r="I593" s="196" t="n">
        <v>0</v>
      </c>
      <c r="J593" s="196" t="n">
        <v>0</v>
      </c>
      <c r="K593" s="196" t="n">
        <v>0</v>
      </c>
      <c r="L593" s="196" t="n">
        <v>0</v>
      </c>
      <c r="M593" s="196" t="n">
        <v>0</v>
      </c>
      <c r="N593" s="196" t="n">
        <v>0</v>
      </c>
      <c r="O593" s="196" t="n">
        <v>0</v>
      </c>
      <c r="P593" s="196" t="n">
        <v>0</v>
      </c>
      <c r="Q593" s="196" t="n">
        <v>0</v>
      </c>
      <c r="R593" s="196" t="n">
        <v>0</v>
      </c>
      <c r="S593" s="196" t="n">
        <v>0</v>
      </c>
      <c r="T593" s="196" t="n">
        <v>0</v>
      </c>
      <c r="U593" s="196" t="n">
        <v>0</v>
      </c>
      <c r="V593" s="196" t="n">
        <v>0</v>
      </c>
    </row>
    <row r="594" customFormat="false" ht="12.75" hidden="false" customHeight="false" outlineLevel="0" collapsed="false">
      <c r="A594" s="55"/>
      <c r="B594" s="189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</row>
    <row r="595" customFormat="false" ht="12.75" hidden="false" customHeight="false" outlineLevel="0" collapsed="false">
      <c r="A595" s="55"/>
      <c r="B595" s="189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</row>
    <row r="596" customFormat="false" ht="12.75" hidden="false" customHeight="false" outlineLevel="0" collapsed="false">
      <c r="A596" s="11"/>
      <c r="B596" s="156"/>
      <c r="C596" s="257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/>
      <c r="T596" s="257"/>
      <c r="U596" s="257"/>
      <c r="V596" s="257"/>
    </row>
    <row r="597" customFormat="false" ht="12.75" hidden="false" customHeight="false" outlineLevel="0" collapsed="false">
      <c r="A597" s="11"/>
      <c r="B597" s="156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57"/>
      <c r="N597" s="257"/>
      <c r="O597" s="257"/>
      <c r="P597" s="257"/>
      <c r="Q597" s="257"/>
      <c r="R597" s="257"/>
      <c r="S597" s="257"/>
      <c r="T597" s="257"/>
      <c r="U597" s="257"/>
      <c r="V597" s="257"/>
    </row>
    <row r="598" customFormat="false" ht="12.75" hidden="false" customHeight="false" outlineLevel="0" collapsed="false">
      <c r="A598" s="52" t="s">
        <v>105</v>
      </c>
      <c r="B598" s="182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</row>
    <row r="599" customFormat="false" ht="12.75" hidden="false" customHeight="false" outlineLevel="0" collapsed="false">
      <c r="A599" s="183" t="s">
        <v>95</v>
      </c>
      <c r="B599" s="182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</row>
    <row r="600" customFormat="false" ht="12.75" hidden="false" customHeight="false" outlineLevel="0" collapsed="false">
      <c r="A600" s="55"/>
      <c r="B600" s="182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</row>
    <row r="601" customFormat="false" ht="12.75" hidden="false" customHeight="false" outlineLevel="0" collapsed="false">
      <c r="A601" s="55"/>
      <c r="B601" s="182"/>
      <c r="C601" s="184" t="n">
        <v>2000</v>
      </c>
      <c r="D601" s="185" t="n">
        <v>2001</v>
      </c>
      <c r="E601" s="185" t="n">
        <v>2002</v>
      </c>
      <c r="F601" s="185" t="n">
        <v>2003</v>
      </c>
      <c r="G601" s="185" t="n">
        <v>2004</v>
      </c>
      <c r="H601" s="185" t="n">
        <v>2005</v>
      </c>
      <c r="I601" s="185" t="n">
        <v>2006</v>
      </c>
      <c r="J601" s="185" t="n">
        <v>2007</v>
      </c>
      <c r="K601" s="185" t="n">
        <v>2008</v>
      </c>
      <c r="L601" s="185" t="n">
        <v>2009</v>
      </c>
      <c r="M601" s="185" t="n">
        <v>2010</v>
      </c>
      <c r="N601" s="185" t="n">
        <v>2011</v>
      </c>
      <c r="O601" s="185" t="n">
        <v>2012</v>
      </c>
      <c r="P601" s="185" t="n">
        <v>2013</v>
      </c>
      <c r="Q601" s="185" t="n">
        <v>2014</v>
      </c>
      <c r="R601" s="185" t="n">
        <v>2015</v>
      </c>
      <c r="S601" s="185" t="n">
        <v>2016</v>
      </c>
      <c r="T601" s="185" t="n">
        <v>2017</v>
      </c>
      <c r="U601" s="185" t="n">
        <v>2018</v>
      </c>
      <c r="V601" s="185" t="n">
        <v>2019</v>
      </c>
    </row>
    <row r="602" customFormat="false" ht="12.75" hidden="false" customHeight="false" outlineLevel="0" collapsed="false">
      <c r="A602" s="186" t="s">
        <v>106</v>
      </c>
      <c r="B602" s="182"/>
      <c r="C602" s="187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</row>
    <row r="603" customFormat="false" ht="12.75" hidden="false" customHeight="false" outlineLevel="0" collapsed="false">
      <c r="A603" s="55"/>
      <c r="B603" s="189" t="s">
        <v>107</v>
      </c>
      <c r="C603" s="190" t="n">
        <v>0</v>
      </c>
      <c r="D603" s="191" t="n">
        <v>13696.6136129299</v>
      </c>
      <c r="E603" s="191" t="n">
        <v>16858.2345601028</v>
      </c>
      <c r="F603" s="191" t="n">
        <v>15084.908176016</v>
      </c>
      <c r="G603" s="191" t="n">
        <v>14786.157584178</v>
      </c>
      <c r="H603" s="191" t="n">
        <v>21105.8747791397</v>
      </c>
      <c r="I603" s="191" t="n">
        <v>23539.3854160237</v>
      </c>
      <c r="J603" s="191" t="n">
        <v>20927.4953651753</v>
      </c>
      <c r="K603" s="191" t="n">
        <v>33736.7061002737</v>
      </c>
      <c r="L603" s="191" t="n">
        <v>34089.3731730327</v>
      </c>
      <c r="M603" s="191" t="n">
        <v>32465.1757061946</v>
      </c>
      <c r="N603" s="191" t="n">
        <v>27289.0835823669</v>
      </c>
      <c r="O603" s="191" t="n">
        <v>35420.8839321195</v>
      </c>
      <c r="P603" s="191" t="n">
        <v>26596.369962363</v>
      </c>
      <c r="Q603" s="191" t="n">
        <v>33551.8523543643</v>
      </c>
      <c r="R603" s="191" t="n">
        <v>30184.811443284</v>
      </c>
      <c r="S603" s="191" t="n">
        <v>23067.7442274848</v>
      </c>
      <c r="T603" s="191" t="n">
        <v>23509.5598524848</v>
      </c>
      <c r="U603" s="191" t="n">
        <v>29474.2354089498</v>
      </c>
      <c r="V603" s="191" t="n">
        <v>37937.151098782</v>
      </c>
    </row>
    <row r="604" customFormat="false" ht="12.75" hidden="false" customHeight="false" outlineLevel="0" collapsed="false">
      <c r="A604" s="55"/>
      <c r="B604" s="189" t="s">
        <v>108</v>
      </c>
      <c r="C604" s="190" t="n">
        <v>0</v>
      </c>
      <c r="D604" s="192" t="n">
        <v>0.0305229939828759</v>
      </c>
      <c r="E604" s="192" t="n">
        <v>0.0375686871646995</v>
      </c>
      <c r="F604" s="192" t="n">
        <v>0.0336168175945411</v>
      </c>
      <c r="G604" s="192" t="n">
        <v>0.0329510499256302</v>
      </c>
      <c r="H604" s="192" t="n">
        <v>0.0470345814733987</v>
      </c>
      <c r="I604" s="192" t="n">
        <v>0.0524576760153048</v>
      </c>
      <c r="J604" s="192" t="n">
        <v>0.0466370617701368</v>
      </c>
      <c r="K604" s="192" t="n">
        <v>0.0751824725732647</v>
      </c>
      <c r="L604" s="192" t="n">
        <v>0.0759683934763426</v>
      </c>
      <c r="M604" s="192" t="n">
        <v>0.072348858684144</v>
      </c>
      <c r="N604" s="192" t="n">
        <v>0.0608139031677484</v>
      </c>
      <c r="O604" s="192" t="n">
        <v>0.0789356740054051</v>
      </c>
      <c r="P604" s="192" t="n">
        <v>0.0592701862861337</v>
      </c>
      <c r="Q604" s="192" t="n">
        <v>0.0747705247784625</v>
      </c>
      <c r="R604" s="192" t="n">
        <v>0.0672670518490677</v>
      </c>
      <c r="S604" s="192" t="n">
        <v>0.0514066205086897</v>
      </c>
      <c r="T604" s="192" t="n">
        <v>0.0523912095497856</v>
      </c>
      <c r="U604" s="192" t="n">
        <v>0.0656835284590318</v>
      </c>
      <c r="V604" s="192" t="n">
        <v>0.0845431920210148</v>
      </c>
    </row>
    <row r="605" customFormat="false" ht="12.75" hidden="false" customHeight="false" outlineLevel="0" collapsed="false">
      <c r="A605" s="186" t="s">
        <v>109</v>
      </c>
      <c r="B605" s="189"/>
      <c r="C605" s="187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</row>
    <row r="606" customFormat="false" ht="12.75" hidden="false" customHeight="false" outlineLevel="0" collapsed="false">
      <c r="A606" s="55"/>
      <c r="B606" s="189" t="s">
        <v>20</v>
      </c>
      <c r="C606" s="193" t="n">
        <v>0</v>
      </c>
      <c r="D606" s="194" t="n">
        <v>304.693718711168</v>
      </c>
      <c r="E606" s="194" t="n">
        <v>197.917747999932</v>
      </c>
      <c r="F606" s="194" t="n">
        <v>183.72871610248</v>
      </c>
      <c r="G606" s="194" t="n">
        <v>168.158447307037</v>
      </c>
      <c r="H606" s="194" t="n">
        <v>140.129586721357</v>
      </c>
      <c r="I606" s="194" t="n">
        <v>116.025864422978</v>
      </c>
      <c r="J606" s="194" t="n">
        <v>127.66309255624</v>
      </c>
      <c r="K606" s="194" t="n">
        <v>121.507171242724</v>
      </c>
      <c r="L606" s="194" t="n">
        <v>121.764847636961</v>
      </c>
      <c r="M606" s="194" t="n">
        <v>135.012998362012</v>
      </c>
      <c r="N606" s="194" t="n">
        <v>125.60244786487</v>
      </c>
      <c r="O606" s="194" t="n">
        <v>123.109640832134</v>
      </c>
      <c r="P606" s="194" t="n">
        <v>140.368367715203</v>
      </c>
      <c r="Q606" s="194" t="n">
        <v>141.944564215262</v>
      </c>
      <c r="R606" s="194" t="n">
        <v>140.254129129645</v>
      </c>
      <c r="S606" s="194" t="n">
        <v>145.003802175657</v>
      </c>
      <c r="T606" s="194" t="n">
        <v>155.525903869554</v>
      </c>
      <c r="U606" s="194" t="n">
        <v>159.825667151647</v>
      </c>
      <c r="V606" s="194" t="n">
        <v>140.153963905678</v>
      </c>
    </row>
    <row r="607" customFormat="false" ht="12.75" hidden="false" customHeight="false" outlineLevel="0" collapsed="false">
      <c r="A607" s="55"/>
      <c r="B607" s="189" t="s">
        <v>21</v>
      </c>
      <c r="C607" s="193" t="n">
        <v>0</v>
      </c>
      <c r="D607" s="194" t="n">
        <v>74.0934057926256</v>
      </c>
      <c r="E607" s="194" t="n">
        <v>65.4392173671876</v>
      </c>
      <c r="F607" s="194" t="n">
        <v>63.6850178751829</v>
      </c>
      <c r="G607" s="194" t="n">
        <v>67.0667616563546</v>
      </c>
      <c r="H607" s="194" t="n">
        <v>69.3820424840059</v>
      </c>
      <c r="I607" s="194" t="n">
        <v>64.9363850436826</v>
      </c>
      <c r="J607" s="194" t="n">
        <v>64.7785724062984</v>
      </c>
      <c r="K607" s="194" t="n">
        <v>62.6606306288446</v>
      </c>
      <c r="L607" s="194" t="n">
        <v>62.9213461346988</v>
      </c>
      <c r="M607" s="194" t="n">
        <v>66.6760116986677</v>
      </c>
      <c r="N607" s="194" t="n">
        <v>66.2291438420017</v>
      </c>
      <c r="O607" s="194" t="n">
        <v>66.9093484561524</v>
      </c>
      <c r="P607" s="194" t="n">
        <v>69.5347328692224</v>
      </c>
      <c r="Q607" s="194" t="n">
        <v>71.5853829125772</v>
      </c>
      <c r="R607" s="194" t="n">
        <v>75.7354177920351</v>
      </c>
      <c r="S607" s="194" t="n">
        <v>79.3167278335984</v>
      </c>
      <c r="T607" s="194" t="n">
        <v>81.5647945615102</v>
      </c>
      <c r="U607" s="194" t="n">
        <v>87.5320631759659</v>
      </c>
      <c r="V607" s="194" t="n">
        <v>91.4602208834587</v>
      </c>
    </row>
    <row r="608" customFormat="false" ht="12.75" hidden="false" customHeight="false" outlineLevel="0" collapsed="false">
      <c r="A608" s="55"/>
      <c r="B608" s="189" t="s">
        <v>110</v>
      </c>
      <c r="C608" s="193" t="n">
        <v>0</v>
      </c>
      <c r="D608" s="194" t="n">
        <v>2.38465579383608</v>
      </c>
      <c r="E608" s="194" t="n">
        <v>2.38077584158414</v>
      </c>
      <c r="F608" s="194" t="n">
        <v>2.42478988129635</v>
      </c>
      <c r="G608" s="194" t="n">
        <v>2.5220223048737</v>
      </c>
      <c r="H608" s="194" t="n">
        <v>2.63054472298175</v>
      </c>
      <c r="I608" s="194" t="n">
        <v>2.5522261936322</v>
      </c>
      <c r="J608" s="194" t="n">
        <v>2.59492229757722</v>
      </c>
      <c r="K608" s="194" t="n">
        <v>2.74029781060647</v>
      </c>
      <c r="L608" s="194" t="n">
        <v>2.75457328105595</v>
      </c>
      <c r="M608" s="194" t="n">
        <v>2.83948180708967</v>
      </c>
      <c r="N608" s="194" t="n">
        <v>2.84923535451621</v>
      </c>
      <c r="O608" s="194" t="n">
        <v>2.9268726965672</v>
      </c>
      <c r="P608" s="194" t="n">
        <v>2.97683501903572</v>
      </c>
      <c r="Q608" s="194" t="n">
        <v>3.0895562371711</v>
      </c>
      <c r="R608" s="194" t="n">
        <v>3.07256430383222</v>
      </c>
      <c r="S608" s="194" t="n">
        <v>3.15232487326126</v>
      </c>
      <c r="T608" s="194" t="n">
        <v>3.2083461438252</v>
      </c>
      <c r="U608" s="194" t="n">
        <v>3.29227639936417</v>
      </c>
      <c r="V608" s="194" t="n">
        <v>3.42175069886261</v>
      </c>
    </row>
    <row r="609" customFormat="false" ht="12.75" hidden="false" customHeight="false" outlineLevel="0" collapsed="false">
      <c r="A609" s="55"/>
      <c r="B609" s="189" t="s">
        <v>111</v>
      </c>
      <c r="C609" s="193" t="n">
        <v>0</v>
      </c>
      <c r="D609" s="194" t="n">
        <v>0</v>
      </c>
      <c r="E609" s="194" t="n">
        <v>0</v>
      </c>
      <c r="F609" s="194" t="n">
        <v>0</v>
      </c>
      <c r="G609" s="194" t="n">
        <v>0</v>
      </c>
      <c r="H609" s="194" t="n">
        <v>0</v>
      </c>
      <c r="I609" s="194" t="n">
        <v>0.899626720550477</v>
      </c>
      <c r="J609" s="194" t="n">
        <v>0.993486145798972</v>
      </c>
      <c r="K609" s="194" t="n">
        <v>1.1799349378061</v>
      </c>
      <c r="L609" s="194" t="n">
        <v>1.22956412783682</v>
      </c>
      <c r="M609" s="194" t="n">
        <v>1.38195579852192</v>
      </c>
      <c r="N609" s="194" t="n">
        <v>1.49789155738199</v>
      </c>
      <c r="O609" s="194" t="n">
        <v>1.6708763067847</v>
      </c>
      <c r="P609" s="194" t="n">
        <v>1.86604664979589</v>
      </c>
      <c r="Q609" s="194" t="n">
        <v>2.11505432288292</v>
      </c>
      <c r="R609" s="194" t="n">
        <v>2.28286055801569</v>
      </c>
      <c r="S609" s="194" t="n">
        <v>2.51750946960222</v>
      </c>
      <c r="T609" s="194" t="n">
        <v>2.47294399845293</v>
      </c>
      <c r="U609" s="194" t="n">
        <v>2.1253584286789</v>
      </c>
      <c r="V609" s="194" t="n">
        <v>2.24695534303301</v>
      </c>
    </row>
    <row r="610" customFormat="false" ht="12.75" hidden="false" customHeight="false" outlineLevel="0" collapsed="false">
      <c r="A610" s="55"/>
      <c r="B610" s="189" t="s">
        <v>112</v>
      </c>
      <c r="C610" s="193" t="n">
        <v>0</v>
      </c>
      <c r="D610" s="194" t="n">
        <v>0</v>
      </c>
      <c r="E610" s="194" t="n">
        <v>0</v>
      </c>
      <c r="F610" s="194" t="n">
        <v>0</v>
      </c>
      <c r="G610" s="194" t="n">
        <v>0</v>
      </c>
      <c r="H610" s="194" t="n">
        <v>0</v>
      </c>
      <c r="I610" s="194" t="n">
        <v>0.899626720550477</v>
      </c>
      <c r="J610" s="194" t="n">
        <v>0.993486145798972</v>
      </c>
      <c r="K610" s="194" t="n">
        <v>1.1799349378061</v>
      </c>
      <c r="L610" s="194" t="n">
        <v>1.22956412783682</v>
      </c>
      <c r="M610" s="194" t="n">
        <v>1.38195579852192</v>
      </c>
      <c r="N610" s="194" t="n">
        <v>1.49789155738199</v>
      </c>
      <c r="O610" s="194" t="n">
        <v>1.6708763067847</v>
      </c>
      <c r="P610" s="194" t="n">
        <v>1.86604664979589</v>
      </c>
      <c r="Q610" s="194" t="n">
        <v>2.11505432288292</v>
      </c>
      <c r="R610" s="194" t="n">
        <v>2.28286055801569</v>
      </c>
      <c r="S610" s="194" t="n">
        <v>2.51750946960222</v>
      </c>
      <c r="T610" s="194" t="n">
        <v>2.47294399845293</v>
      </c>
      <c r="U610" s="194" t="n">
        <v>2.1253584286789</v>
      </c>
      <c r="V610" s="194" t="n">
        <v>2.24695534303301</v>
      </c>
    </row>
    <row r="611" customFormat="false" ht="12.75" hidden="false" customHeight="false" outlineLevel="0" collapsed="false">
      <c r="A611" s="186" t="s">
        <v>113</v>
      </c>
      <c r="B611" s="189"/>
      <c r="C611" s="187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</row>
    <row r="612" customFormat="false" ht="12.75" hidden="false" customHeight="false" outlineLevel="0" collapsed="false">
      <c r="A612" s="55"/>
      <c r="B612" s="189" t="s">
        <v>26</v>
      </c>
      <c r="C612" s="193" t="n">
        <v>0</v>
      </c>
      <c r="D612" s="194" t="n">
        <v>1.78753092003796</v>
      </c>
      <c r="E612" s="194" t="n">
        <v>1.82328153843872</v>
      </c>
      <c r="F612" s="194" t="n">
        <v>1.8597471692075</v>
      </c>
      <c r="G612" s="194" t="n">
        <v>1.89694211259165</v>
      </c>
      <c r="H612" s="194" t="n">
        <v>1.93488095484348</v>
      </c>
      <c r="I612" s="194" t="n">
        <v>1.97357857394035</v>
      </c>
      <c r="J612" s="194" t="n">
        <v>2.01305014541916</v>
      </c>
      <c r="K612" s="194" t="n">
        <v>2.05331114832754</v>
      </c>
      <c r="L612" s="194" t="n">
        <v>2.09437737129409</v>
      </c>
      <c r="M612" s="194" t="n">
        <v>2.13626491871997</v>
      </c>
      <c r="N612" s="194" t="n">
        <v>2.17899021709437</v>
      </c>
      <c r="O612" s="194" t="n">
        <v>2.22257002143626</v>
      </c>
      <c r="P612" s="194" t="n">
        <v>2.26702142186498</v>
      </c>
      <c r="Q612" s="194" t="n">
        <v>2.31236185030228</v>
      </c>
      <c r="R612" s="194" t="n">
        <v>2.35860908730833</v>
      </c>
      <c r="S612" s="194" t="n">
        <v>2.4057812690545</v>
      </c>
      <c r="T612" s="194" t="n">
        <v>2.45389689443559</v>
      </c>
      <c r="U612" s="194" t="n">
        <v>2.5029748323243</v>
      </c>
      <c r="V612" s="194" t="n">
        <v>2.55303432897078</v>
      </c>
    </row>
    <row r="613" customFormat="false" ht="12.75" hidden="false" customHeight="false" outlineLevel="0" collapsed="false">
      <c r="A613" s="55"/>
      <c r="B613" s="189" t="s">
        <v>114</v>
      </c>
      <c r="C613" s="193" t="n">
        <v>0</v>
      </c>
      <c r="D613" s="194" t="n">
        <v>0.881628315702782</v>
      </c>
      <c r="E613" s="194" t="n">
        <v>0.881628315702782</v>
      </c>
      <c r="F613" s="194" t="n">
        <v>0.881628315702782</v>
      </c>
      <c r="G613" s="194" t="n">
        <v>0.881628315702782</v>
      </c>
      <c r="H613" s="194" t="n">
        <v>0.881628315702782</v>
      </c>
      <c r="I613" s="194" t="n">
        <v>0.881628315702782</v>
      </c>
      <c r="J613" s="194" t="n">
        <v>0.881628315702782</v>
      </c>
      <c r="K613" s="194" t="n">
        <v>0.881628315702782</v>
      </c>
      <c r="L613" s="194" t="n">
        <v>0.881628315702782</v>
      </c>
      <c r="M613" s="194" t="n">
        <v>0.881628315702782</v>
      </c>
      <c r="N613" s="194" t="n">
        <v>0.881628315702782</v>
      </c>
      <c r="O613" s="194" t="n">
        <v>0.881628315702782</v>
      </c>
      <c r="P613" s="194" t="n">
        <v>0.881628315702782</v>
      </c>
      <c r="Q613" s="194" t="n">
        <v>0.881628315702782</v>
      </c>
      <c r="R613" s="194" t="n">
        <v>0.881628315702782</v>
      </c>
      <c r="S613" s="194" t="n">
        <v>0.881628315702782</v>
      </c>
      <c r="T613" s="194" t="n">
        <v>0.881628315702782</v>
      </c>
      <c r="U613" s="194" t="n">
        <v>0.881628315702782</v>
      </c>
      <c r="V613" s="194" t="n">
        <v>0.881628315702782</v>
      </c>
    </row>
    <row r="614" customFormat="false" ht="12.75" hidden="false" customHeight="false" outlineLevel="0" collapsed="false">
      <c r="A614" s="55"/>
      <c r="B614" s="189" t="s">
        <v>28</v>
      </c>
      <c r="C614" s="193" t="n">
        <v>0</v>
      </c>
      <c r="D614" s="194" t="n">
        <v>0.0809304613900027</v>
      </c>
      <c r="E614" s="194" t="n">
        <v>0.0826380941253322</v>
      </c>
      <c r="F614" s="194" t="n">
        <v>0.084447868386677</v>
      </c>
      <c r="G614" s="194" t="n">
        <v>0.0863563902122153</v>
      </c>
      <c r="H614" s="194" t="n">
        <v>0.0884116722992662</v>
      </c>
      <c r="I614" s="194" t="n">
        <v>0.0906272776952701</v>
      </c>
      <c r="J614" s="194" t="n">
        <v>0.0928750866580765</v>
      </c>
      <c r="K614" s="194" t="n">
        <v>0.0952259470346509</v>
      </c>
      <c r="L614" s="194" t="n">
        <v>0.0975780279264068</v>
      </c>
      <c r="M614" s="194" t="n">
        <v>0.10006626763853</v>
      </c>
      <c r="N614" s="194" t="n">
        <v>0.102487871315383</v>
      </c>
      <c r="O614" s="194" t="n">
        <v>0.10507056567253</v>
      </c>
      <c r="P614" s="194" t="n">
        <v>0.107739358040612</v>
      </c>
      <c r="Q614" s="194" t="n">
        <v>0.110432841991628</v>
      </c>
      <c r="R614" s="194" t="n">
        <v>0.113204706325617</v>
      </c>
      <c r="S614" s="194" t="n">
        <v>0.116034823983758</v>
      </c>
      <c r="T614" s="194" t="n">
        <v>0.118912487618555</v>
      </c>
      <c r="U614" s="194" t="n">
        <v>0.121897191057781</v>
      </c>
      <c r="V614" s="194" t="n">
        <v>0.124956810553331</v>
      </c>
    </row>
    <row r="615" customFormat="false" ht="12.75" hidden="false" customHeight="false" outlineLevel="0" collapsed="false">
      <c r="A615" s="55"/>
      <c r="B615" s="189" t="s">
        <v>33</v>
      </c>
      <c r="C615" s="193" t="n">
        <v>0</v>
      </c>
      <c r="D615" s="194" t="n">
        <v>0.0277907271839922</v>
      </c>
      <c r="E615" s="194" t="n">
        <v>0.0289120546608102</v>
      </c>
      <c r="F615" s="194" t="n">
        <v>0.0300796486090776</v>
      </c>
      <c r="G615" s="194" t="n">
        <v>0.0314168862859932</v>
      </c>
      <c r="H615" s="194" t="n">
        <v>1.95217179111762</v>
      </c>
      <c r="I615" s="194" t="n">
        <v>2.01073694485115</v>
      </c>
      <c r="J615" s="194" t="n">
        <v>2.07105905319668</v>
      </c>
      <c r="K615" s="194" t="n">
        <v>2.13319082479258</v>
      </c>
      <c r="L615" s="194" t="n">
        <v>2.19718654953636</v>
      </c>
      <c r="M615" s="194" t="n">
        <v>2.26310214602245</v>
      </c>
      <c r="N615" s="194" t="n">
        <v>2.33099521040312</v>
      </c>
      <c r="O615" s="194" t="n">
        <v>2.40092506671522</v>
      </c>
      <c r="P615" s="194" t="n">
        <v>2.47295281871667</v>
      </c>
      <c r="Q615" s="194" t="n">
        <v>2.54714140327817</v>
      </c>
      <c r="R615" s="194" t="n">
        <v>2.62355564537652</v>
      </c>
      <c r="S615" s="194" t="n">
        <v>2.70226231473782</v>
      </c>
      <c r="T615" s="194" t="n">
        <v>2.78333018417995</v>
      </c>
      <c r="U615" s="194" t="n">
        <v>2.86683008970535</v>
      </c>
      <c r="V615" s="194" t="n">
        <v>2.95283499239651</v>
      </c>
    </row>
    <row r="616" customFormat="false" ht="12.75" hidden="false" customHeight="false" outlineLevel="0" collapsed="false">
      <c r="A616" s="55"/>
      <c r="B616" s="189" t="s">
        <v>115</v>
      </c>
      <c r="C616" s="195" t="n">
        <v>0</v>
      </c>
      <c r="D616" s="196" t="n">
        <v>0</v>
      </c>
      <c r="E616" s="196" t="n">
        <v>0</v>
      </c>
      <c r="F616" s="196" t="n">
        <v>0</v>
      </c>
      <c r="G616" s="196" t="n">
        <v>0</v>
      </c>
      <c r="H616" s="196" t="n">
        <v>0</v>
      </c>
      <c r="I616" s="196" t="n">
        <v>0</v>
      </c>
      <c r="J616" s="196" t="n">
        <v>0</v>
      </c>
      <c r="K616" s="196" t="n">
        <v>0</v>
      </c>
      <c r="L616" s="196" t="n">
        <v>0</v>
      </c>
      <c r="M616" s="196" t="n">
        <v>0</v>
      </c>
      <c r="N616" s="196" t="n">
        <v>0</v>
      </c>
      <c r="O616" s="196" t="n">
        <v>0</v>
      </c>
      <c r="P616" s="196" t="n">
        <v>0</v>
      </c>
      <c r="Q616" s="196" t="n">
        <v>0</v>
      </c>
      <c r="R616" s="196" t="n">
        <v>0</v>
      </c>
      <c r="S616" s="196" t="n">
        <v>0</v>
      </c>
      <c r="T616" s="196" t="n">
        <v>0</v>
      </c>
      <c r="U616" s="196" t="n">
        <v>0</v>
      </c>
      <c r="V616" s="196" t="n">
        <v>0</v>
      </c>
    </row>
    <row r="617" customFormat="false" ht="12.75" hidden="false" customHeight="false" outlineLevel="0" collapsed="false">
      <c r="A617" s="55"/>
      <c r="B617" s="189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</row>
    <row r="618" customFormat="false" ht="12.75" hidden="false" customHeight="false" outlineLevel="0" collapsed="false">
      <c r="A618" s="55"/>
      <c r="B618" s="189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</row>
    <row r="619" customFormat="false" ht="12.75" hidden="false" customHeight="false" outlineLevel="0" collapsed="false">
      <c r="A619" s="11"/>
      <c r="B619" s="156"/>
      <c r="C619" s="257"/>
      <c r="D619" s="257"/>
      <c r="E619" s="257"/>
      <c r="F619" s="257"/>
      <c r="G619" s="257"/>
      <c r="H619" s="257"/>
      <c r="I619" s="257"/>
      <c r="J619" s="257"/>
      <c r="K619" s="257"/>
      <c r="L619" s="257"/>
      <c r="M619" s="257"/>
      <c r="N619" s="257"/>
      <c r="O619" s="257"/>
      <c r="P619" s="257"/>
      <c r="Q619" s="257"/>
      <c r="R619" s="257"/>
      <c r="S619" s="257"/>
      <c r="T619" s="257"/>
      <c r="U619" s="257"/>
      <c r="V619" s="257"/>
    </row>
    <row r="620" customFormat="false" ht="12.75" hidden="false" customHeight="false" outlineLevel="0" collapsed="false">
      <c r="A620" s="11"/>
      <c r="B620" s="156"/>
      <c r="C620" s="257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7"/>
      <c r="U620" s="257"/>
      <c r="V620" s="257"/>
    </row>
    <row r="621" customFormat="false" ht="12.75" hidden="false" customHeight="false" outlineLevel="0" collapsed="false">
      <c r="A621" s="52" t="s">
        <v>105</v>
      </c>
      <c r="B621" s="182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</row>
    <row r="622" customFormat="false" ht="12.75" hidden="false" customHeight="false" outlineLevel="0" collapsed="false">
      <c r="A622" s="183" t="s">
        <v>96</v>
      </c>
      <c r="B622" s="182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</row>
    <row r="623" customFormat="false" ht="12.75" hidden="false" customHeight="false" outlineLevel="0" collapsed="false">
      <c r="A623" s="55"/>
      <c r="B623" s="182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</row>
    <row r="624" customFormat="false" ht="12.75" hidden="false" customHeight="false" outlineLevel="0" collapsed="false">
      <c r="A624" s="55"/>
      <c r="B624" s="182"/>
      <c r="C624" s="184" t="n">
        <v>2000</v>
      </c>
      <c r="D624" s="185" t="n">
        <v>2001</v>
      </c>
      <c r="E624" s="185" t="n">
        <v>2002</v>
      </c>
      <c r="F624" s="185" t="n">
        <v>2003</v>
      </c>
      <c r="G624" s="185" t="n">
        <v>2004</v>
      </c>
      <c r="H624" s="185" t="n">
        <v>2005</v>
      </c>
      <c r="I624" s="185" t="n">
        <v>2006</v>
      </c>
      <c r="J624" s="185" t="n">
        <v>2007</v>
      </c>
      <c r="K624" s="185" t="n">
        <v>2008</v>
      </c>
      <c r="L624" s="185" t="n">
        <v>2009</v>
      </c>
      <c r="M624" s="185" t="n">
        <v>2010</v>
      </c>
      <c r="N624" s="185" t="n">
        <v>2011</v>
      </c>
      <c r="O624" s="185" t="n">
        <v>2012</v>
      </c>
      <c r="P624" s="185" t="n">
        <v>2013</v>
      </c>
      <c r="Q624" s="185" t="n">
        <v>2014</v>
      </c>
      <c r="R624" s="185" t="n">
        <v>2015</v>
      </c>
      <c r="S624" s="185" t="n">
        <v>2016</v>
      </c>
      <c r="T624" s="185" t="n">
        <v>2017</v>
      </c>
      <c r="U624" s="185" t="n">
        <v>2018</v>
      </c>
      <c r="V624" s="185" t="n">
        <v>2019</v>
      </c>
    </row>
    <row r="625" customFormat="false" ht="12.75" hidden="false" customHeight="false" outlineLevel="0" collapsed="false">
      <c r="A625" s="186" t="s">
        <v>106</v>
      </c>
      <c r="B625" s="182"/>
      <c r="C625" s="187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</row>
    <row r="626" customFormat="false" ht="12.75" hidden="false" customHeight="false" outlineLevel="0" collapsed="false">
      <c r="A626" s="55"/>
      <c r="B626" s="189" t="s">
        <v>107</v>
      </c>
      <c r="C626" s="190" t="n">
        <v>0</v>
      </c>
      <c r="D626" s="191" t="n">
        <v>35727.4395626229</v>
      </c>
      <c r="E626" s="191" t="n">
        <v>50112.6700627043</v>
      </c>
      <c r="F626" s="191" t="n">
        <v>56679.3698310595</v>
      </c>
      <c r="G626" s="191" t="n">
        <v>59907.885916076</v>
      </c>
      <c r="H626" s="191" t="n">
        <v>62114.0321068906</v>
      </c>
      <c r="I626" s="191" t="n">
        <v>84517.8633675256</v>
      </c>
      <c r="J626" s="191" t="n">
        <v>99897.9740172657</v>
      </c>
      <c r="K626" s="191" t="n">
        <v>132951.956667169</v>
      </c>
      <c r="L626" s="191" t="n">
        <v>135950.716357983</v>
      </c>
      <c r="M626" s="191" t="n">
        <v>101010.45101694</v>
      </c>
      <c r="N626" s="191" t="n">
        <v>112515.699976354</v>
      </c>
      <c r="O626" s="191" t="n">
        <v>102928.778728536</v>
      </c>
      <c r="P626" s="191" t="n">
        <v>91575.5322672657</v>
      </c>
      <c r="Q626" s="191" t="n">
        <v>99586.6304193506</v>
      </c>
      <c r="R626" s="191" t="n">
        <v>90332.8098831288</v>
      </c>
      <c r="S626" s="191" t="n">
        <v>97091.7817468098</v>
      </c>
      <c r="T626" s="191" t="n">
        <v>81613.7660580959</v>
      </c>
      <c r="U626" s="191" t="n">
        <v>83959.8568626729</v>
      </c>
      <c r="V626" s="191" t="n">
        <v>100262.23574681</v>
      </c>
    </row>
    <row r="627" customFormat="false" ht="12.75" hidden="false" customHeight="false" outlineLevel="0" collapsed="false">
      <c r="A627" s="55"/>
      <c r="B627" s="189" t="s">
        <v>108</v>
      </c>
      <c r="C627" s="190" t="n">
        <v>0</v>
      </c>
      <c r="D627" s="192" t="n">
        <v>0.0488832336835048</v>
      </c>
      <c r="E627" s="192" t="n">
        <v>0.0685654889118427</v>
      </c>
      <c r="F627" s="192" t="n">
        <v>0.077550222305437</v>
      </c>
      <c r="G627" s="192" t="n">
        <v>0.0819675639388387</v>
      </c>
      <c r="H627" s="192" t="n">
        <v>0.0849860718729585</v>
      </c>
      <c r="I627" s="192" t="n">
        <v>0.115639590074279</v>
      </c>
      <c r="J627" s="192" t="n">
        <v>0.136683066801784</v>
      </c>
      <c r="K627" s="192" t="n">
        <v>0.181908405584139</v>
      </c>
      <c r="L627" s="192" t="n">
        <v>0.186011388404103</v>
      </c>
      <c r="M627" s="192" t="n">
        <v>0.138205187440944</v>
      </c>
      <c r="N627" s="192" t="n">
        <v>0.15394697527559</v>
      </c>
      <c r="O627" s="192" t="n">
        <v>0.140829894471604</v>
      </c>
      <c r="P627" s="192" t="n">
        <v>0.125296080500414</v>
      </c>
      <c r="Q627" s="192" t="n">
        <v>0.13625707820481</v>
      </c>
      <c r="R627" s="192" t="n">
        <v>0.123595754659795</v>
      </c>
      <c r="S627" s="192" t="n">
        <v>0.132843559851472</v>
      </c>
      <c r="T627" s="192" t="n">
        <v>0.111666126843933</v>
      </c>
      <c r="U627" s="192" t="n">
        <v>0.114876110723182</v>
      </c>
      <c r="V627" s="192" t="n">
        <v>0.137181459394851</v>
      </c>
    </row>
    <row r="628" customFormat="false" ht="12.75" hidden="false" customHeight="false" outlineLevel="0" collapsed="false">
      <c r="A628" s="186" t="s">
        <v>109</v>
      </c>
      <c r="B628" s="189"/>
      <c r="C628" s="187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</row>
    <row r="629" customFormat="false" ht="12.75" hidden="false" customHeight="false" outlineLevel="0" collapsed="false">
      <c r="A629" s="55"/>
      <c r="B629" s="189" t="s">
        <v>20</v>
      </c>
      <c r="C629" s="193" t="n">
        <v>0</v>
      </c>
      <c r="D629" s="194" t="n">
        <v>229.576356207753</v>
      </c>
      <c r="E629" s="194" t="n">
        <v>144.057883695469</v>
      </c>
      <c r="F629" s="194" t="n">
        <v>123.068233639534</v>
      </c>
      <c r="G629" s="194" t="n">
        <v>111.818359759912</v>
      </c>
      <c r="H629" s="194" t="n">
        <v>110.720342376328</v>
      </c>
      <c r="I629" s="194" t="n">
        <v>93.1864323985051</v>
      </c>
      <c r="J629" s="194" t="n">
        <v>95.4210193561345</v>
      </c>
      <c r="K629" s="194" t="n">
        <v>91.1390348372349</v>
      </c>
      <c r="L629" s="194" t="n">
        <v>94.604106625883</v>
      </c>
      <c r="M629" s="194" t="n">
        <v>109.559911729406</v>
      </c>
      <c r="N629" s="194" t="n">
        <v>96.3963073623191</v>
      </c>
      <c r="O629" s="194" t="n">
        <v>105.288002013108</v>
      </c>
      <c r="P629" s="194" t="n">
        <v>109.309122566991</v>
      </c>
      <c r="Q629" s="194" t="n">
        <v>116.558423057572</v>
      </c>
      <c r="R629" s="194" t="n">
        <v>119.810937911363</v>
      </c>
      <c r="S629" s="194" t="n">
        <v>112.428404189045</v>
      </c>
      <c r="T629" s="194" t="n">
        <v>123.335799382714</v>
      </c>
      <c r="U629" s="194" t="n">
        <v>135.865011120275</v>
      </c>
      <c r="V629" s="194" t="n">
        <v>123.105907146256</v>
      </c>
    </row>
    <row r="630" customFormat="false" ht="12.75" hidden="false" customHeight="false" outlineLevel="0" collapsed="false">
      <c r="A630" s="55"/>
      <c r="B630" s="189" t="s">
        <v>21</v>
      </c>
      <c r="C630" s="193" t="n">
        <v>0</v>
      </c>
      <c r="D630" s="194" t="n">
        <v>68.3997280765247</v>
      </c>
      <c r="E630" s="194" t="n">
        <v>59.6970995293586</v>
      </c>
      <c r="F630" s="194" t="n">
        <v>57.0761409227955</v>
      </c>
      <c r="G630" s="194" t="n">
        <v>59.160691808807</v>
      </c>
      <c r="H630" s="194" t="n">
        <v>61.0940368376668</v>
      </c>
      <c r="I630" s="194" t="n">
        <v>58.5015543770187</v>
      </c>
      <c r="J630" s="194" t="n">
        <v>62.2553448542538</v>
      </c>
      <c r="K630" s="194" t="n">
        <v>58.0892720212203</v>
      </c>
      <c r="L630" s="194" t="n">
        <v>60.934538224249</v>
      </c>
      <c r="M630" s="194" t="n">
        <v>64.1750215107348</v>
      </c>
      <c r="N630" s="194" t="n">
        <v>63.2162282103491</v>
      </c>
      <c r="O630" s="194" t="n">
        <v>64.1110024637855</v>
      </c>
      <c r="P630" s="194" t="n">
        <v>65.8891633092842</v>
      </c>
      <c r="Q630" s="194" t="n">
        <v>68.1372859995298</v>
      </c>
      <c r="R630" s="194" t="n">
        <v>73.1648197940122</v>
      </c>
      <c r="S630" s="194" t="n">
        <v>76.0612304535734</v>
      </c>
      <c r="T630" s="194" t="n">
        <v>77.2005254122568</v>
      </c>
      <c r="U630" s="194" t="n">
        <v>84.2614628536302</v>
      </c>
      <c r="V630" s="194" t="n">
        <v>83.5142698779057</v>
      </c>
    </row>
    <row r="631" customFormat="false" ht="12.75" hidden="false" customHeight="false" outlineLevel="0" collapsed="false">
      <c r="A631" s="55"/>
      <c r="B631" s="189" t="s">
        <v>110</v>
      </c>
      <c r="C631" s="193" t="n">
        <v>0</v>
      </c>
      <c r="D631" s="194" t="n">
        <v>1.70641940126126</v>
      </c>
      <c r="E631" s="194" t="n">
        <v>1.72066029681914</v>
      </c>
      <c r="F631" s="194" t="n">
        <v>1.74525745828407</v>
      </c>
      <c r="G631" s="194" t="n">
        <v>1.80781471661541</v>
      </c>
      <c r="H631" s="194" t="n">
        <v>1.86437286352129</v>
      </c>
      <c r="I631" s="194" t="n">
        <v>1.85599682396836</v>
      </c>
      <c r="J631" s="194" t="n">
        <v>1.92568000012667</v>
      </c>
      <c r="K631" s="194" t="n">
        <v>1.97180011055713</v>
      </c>
      <c r="L631" s="194" t="n">
        <v>2.01922162542874</v>
      </c>
      <c r="M631" s="194" t="n">
        <v>2.06944392645385</v>
      </c>
      <c r="N631" s="194" t="n">
        <v>2.08831621436894</v>
      </c>
      <c r="O631" s="194" t="n">
        <v>2.1342825095309</v>
      </c>
      <c r="P631" s="194" t="n">
        <v>2.17106603243</v>
      </c>
      <c r="Q631" s="194" t="n">
        <v>2.23293299470427</v>
      </c>
      <c r="R631" s="194" t="n">
        <v>2.26386703849438</v>
      </c>
      <c r="S631" s="194" t="n">
        <v>2.30790536156965</v>
      </c>
      <c r="T631" s="194" t="n">
        <v>2.34941084771234</v>
      </c>
      <c r="U631" s="194" t="n">
        <v>2.41079329115454</v>
      </c>
      <c r="V631" s="194" t="n">
        <v>2.45068333348137</v>
      </c>
    </row>
    <row r="632" customFormat="false" ht="12.75" hidden="false" customHeight="false" outlineLevel="0" collapsed="false">
      <c r="A632" s="55"/>
      <c r="B632" s="189" t="s">
        <v>111</v>
      </c>
      <c r="C632" s="193" t="n">
        <v>0</v>
      </c>
      <c r="D632" s="194" t="n">
        <v>0</v>
      </c>
      <c r="E632" s="194" t="n">
        <v>0</v>
      </c>
      <c r="F632" s="194" t="n">
        <v>0</v>
      </c>
      <c r="G632" s="194" t="n">
        <v>0</v>
      </c>
      <c r="H632" s="194" t="n">
        <v>0</v>
      </c>
      <c r="I632" s="194" t="n">
        <v>-1.10530507522251</v>
      </c>
      <c r="J632" s="194" t="n">
        <v>-1.03652168400281</v>
      </c>
      <c r="K632" s="194" t="n">
        <v>-0.859401924782593</v>
      </c>
      <c r="L632" s="194" t="n">
        <v>-0.923096553498755</v>
      </c>
      <c r="M632" s="194" t="n">
        <v>-1.38174260930535</v>
      </c>
      <c r="N632" s="194" t="n">
        <v>-1.36645285156855</v>
      </c>
      <c r="O632" s="194" t="n">
        <v>-1.65500369087548</v>
      </c>
      <c r="P632" s="194" t="n">
        <v>-2.0857576700372</v>
      </c>
      <c r="Q632" s="194" t="n">
        <v>-2.13500213087947</v>
      </c>
      <c r="R632" s="194" t="n">
        <v>-2.6071969384898</v>
      </c>
      <c r="S632" s="194" t="n">
        <v>-2.66341437739542</v>
      </c>
      <c r="T632" s="194" t="n">
        <v>-3.11292602616767</v>
      </c>
      <c r="U632" s="194" t="n">
        <v>-2.58885663155596</v>
      </c>
      <c r="V632" s="194" t="n">
        <v>-2.24772816568245</v>
      </c>
    </row>
    <row r="633" customFormat="false" ht="12.75" hidden="false" customHeight="false" outlineLevel="0" collapsed="false">
      <c r="A633" s="55"/>
      <c r="B633" s="189" t="s">
        <v>112</v>
      </c>
      <c r="C633" s="193" t="n">
        <v>0</v>
      </c>
      <c r="D633" s="194" t="n">
        <v>0</v>
      </c>
      <c r="E633" s="194" t="n">
        <v>0</v>
      </c>
      <c r="F633" s="194" t="n">
        <v>0</v>
      </c>
      <c r="G633" s="194" t="n">
        <v>0</v>
      </c>
      <c r="H633" s="194" t="n">
        <v>0</v>
      </c>
      <c r="I633" s="194" t="n">
        <v>0</v>
      </c>
      <c r="J633" s="194" t="n">
        <v>0</v>
      </c>
      <c r="K633" s="194" t="n">
        <v>0</v>
      </c>
      <c r="L633" s="194" t="n">
        <v>0</v>
      </c>
      <c r="M633" s="194" t="n">
        <v>0</v>
      </c>
      <c r="N633" s="194" t="n">
        <v>0</v>
      </c>
      <c r="O633" s="194" t="n">
        <v>0</v>
      </c>
      <c r="P633" s="194" t="n">
        <v>0</v>
      </c>
      <c r="Q633" s="194" t="n">
        <v>0</v>
      </c>
      <c r="R633" s="194" t="n">
        <v>0</v>
      </c>
      <c r="S633" s="194" t="n">
        <v>0</v>
      </c>
      <c r="T633" s="194" t="n">
        <v>0</v>
      </c>
      <c r="U633" s="194" t="n">
        <v>0</v>
      </c>
      <c r="V633" s="194" t="n">
        <v>0</v>
      </c>
    </row>
    <row r="634" customFormat="false" ht="12.75" hidden="false" customHeight="false" outlineLevel="0" collapsed="false">
      <c r="A634" s="186" t="s">
        <v>113</v>
      </c>
      <c r="B634" s="189"/>
      <c r="C634" s="187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</row>
    <row r="635" customFormat="false" ht="12.75" hidden="false" customHeight="false" outlineLevel="0" collapsed="false">
      <c r="A635" s="55"/>
      <c r="B635" s="189" t="s">
        <v>26</v>
      </c>
      <c r="C635" s="193" t="n">
        <v>0</v>
      </c>
      <c r="D635" s="194" t="n">
        <v>4.26132540806133</v>
      </c>
      <c r="E635" s="194" t="n">
        <v>4.34655191622255</v>
      </c>
      <c r="F635" s="194" t="n">
        <v>4.433482954547</v>
      </c>
      <c r="G635" s="194" t="n">
        <v>4.52215261363794</v>
      </c>
      <c r="H635" s="194" t="n">
        <v>4.6125956659107</v>
      </c>
      <c r="I635" s="194" t="n">
        <v>4.70484757922892</v>
      </c>
      <c r="J635" s="194" t="n">
        <v>4.7989445308135</v>
      </c>
      <c r="K635" s="194" t="n">
        <v>4.89492342142977</v>
      </c>
      <c r="L635" s="194" t="n">
        <v>4.99282188985836</v>
      </c>
      <c r="M635" s="194" t="n">
        <v>5.09267832765553</v>
      </c>
      <c r="N635" s="194" t="n">
        <v>5.19453189420864</v>
      </c>
      <c r="O635" s="194" t="n">
        <v>5.29842253209281</v>
      </c>
      <c r="P635" s="194" t="n">
        <v>5.40439098273467</v>
      </c>
      <c r="Q635" s="194" t="n">
        <v>5.51247880238936</v>
      </c>
      <c r="R635" s="194" t="n">
        <v>5.62272837843715</v>
      </c>
      <c r="S635" s="194" t="n">
        <v>5.73518294600589</v>
      </c>
      <c r="T635" s="194" t="n">
        <v>5.84988660492601</v>
      </c>
      <c r="U635" s="194" t="n">
        <v>5.96688433702453</v>
      </c>
      <c r="V635" s="194" t="n">
        <v>6.08622202376502</v>
      </c>
    </row>
    <row r="636" customFormat="false" ht="12.75" hidden="false" customHeight="false" outlineLevel="0" collapsed="false">
      <c r="A636" s="55"/>
      <c r="B636" s="189" t="s">
        <v>114</v>
      </c>
      <c r="C636" s="193" t="n">
        <v>0</v>
      </c>
      <c r="D636" s="194" t="n">
        <v>2.0568909100341</v>
      </c>
      <c r="E636" s="194" t="n">
        <v>2.0568909100341</v>
      </c>
      <c r="F636" s="194" t="n">
        <v>2.0568909100341</v>
      </c>
      <c r="G636" s="194" t="n">
        <v>2.0568909100341</v>
      </c>
      <c r="H636" s="194" t="n">
        <v>2.0568909100341</v>
      </c>
      <c r="I636" s="194" t="n">
        <v>2.0568909100341</v>
      </c>
      <c r="J636" s="194" t="n">
        <v>2.0568909100341</v>
      </c>
      <c r="K636" s="194" t="n">
        <v>2.0568909100341</v>
      </c>
      <c r="L636" s="194" t="n">
        <v>2.0568909100341</v>
      </c>
      <c r="M636" s="194" t="n">
        <v>2.0568909100341</v>
      </c>
      <c r="N636" s="194" t="n">
        <v>2.0568909100341</v>
      </c>
      <c r="O636" s="194" t="n">
        <v>2.0568909100341</v>
      </c>
      <c r="P636" s="194" t="n">
        <v>2.0568909100341</v>
      </c>
      <c r="Q636" s="194" t="n">
        <v>2.0568909100341</v>
      </c>
      <c r="R636" s="194" t="n">
        <v>2.0568909100341</v>
      </c>
      <c r="S636" s="194" t="n">
        <v>2.0568909100341</v>
      </c>
      <c r="T636" s="194" t="n">
        <v>2.0568909100341</v>
      </c>
      <c r="U636" s="194" t="n">
        <v>2.0568909100341</v>
      </c>
      <c r="V636" s="194" t="n">
        <v>2.0568909100341</v>
      </c>
    </row>
    <row r="637" customFormat="false" ht="12.75" hidden="false" customHeight="false" outlineLevel="0" collapsed="false">
      <c r="A637" s="55"/>
      <c r="B637" s="189" t="s">
        <v>28</v>
      </c>
      <c r="C637" s="193" t="n">
        <v>0</v>
      </c>
      <c r="D637" s="194" t="n">
        <v>0.414071059483147</v>
      </c>
      <c r="E637" s="194" t="n">
        <v>0.422807958838244</v>
      </c>
      <c r="F637" s="194" t="n">
        <v>0.432067453136802</v>
      </c>
      <c r="G637" s="194" t="n">
        <v>0.44183217757769</v>
      </c>
      <c r="H637" s="194" t="n">
        <v>0.45234778340404</v>
      </c>
      <c r="I637" s="194" t="n">
        <v>0.46368366433148</v>
      </c>
      <c r="J637" s="194" t="n">
        <v>0.475184310970077</v>
      </c>
      <c r="K637" s="194" t="n">
        <v>0.48721220788437</v>
      </c>
      <c r="L637" s="194" t="n">
        <v>0.499246349419114</v>
      </c>
      <c r="M637" s="194" t="n">
        <v>0.5119771313293</v>
      </c>
      <c r="N637" s="194" t="n">
        <v>0.524366977907471</v>
      </c>
      <c r="O637" s="194" t="n">
        <v>0.537581025750738</v>
      </c>
      <c r="P637" s="194" t="n">
        <v>0.551235583804805</v>
      </c>
      <c r="Q637" s="194" t="n">
        <v>0.565016473399926</v>
      </c>
      <c r="R637" s="194" t="n">
        <v>0.579198386882264</v>
      </c>
      <c r="S637" s="194" t="n">
        <v>0.593678346554322</v>
      </c>
      <c r="T637" s="194" t="n">
        <v>0.608401569548867</v>
      </c>
      <c r="U637" s="194" t="n">
        <v>0.623672448944545</v>
      </c>
      <c r="V637" s="194" t="n">
        <v>0.639326627413054</v>
      </c>
    </row>
    <row r="638" customFormat="false" ht="12.75" hidden="false" customHeight="false" outlineLevel="0" collapsed="false">
      <c r="A638" s="55"/>
      <c r="B638" s="189" t="s">
        <v>33</v>
      </c>
      <c r="C638" s="193" t="n">
        <v>0</v>
      </c>
      <c r="D638" s="194" t="n">
        <v>0.171136360912349</v>
      </c>
      <c r="E638" s="194" t="n">
        <v>0.176277372262774</v>
      </c>
      <c r="F638" s="194" t="n">
        <v>4.63934138770031</v>
      </c>
      <c r="G638" s="194" t="n">
        <v>0.18770798125442</v>
      </c>
      <c r="H638" s="194" t="n">
        <v>1.0707648292642</v>
      </c>
      <c r="I638" s="194" t="n">
        <v>1.10288777414213</v>
      </c>
      <c r="J638" s="194" t="n">
        <v>1.13597440736639</v>
      </c>
      <c r="K638" s="194" t="n">
        <v>1.17005363958738</v>
      </c>
      <c r="L638" s="194" t="n">
        <v>1.205155248775</v>
      </c>
      <c r="M638" s="194" t="n">
        <v>1.24130990623825</v>
      </c>
      <c r="N638" s="194" t="n">
        <v>1.2785492034254</v>
      </c>
      <c r="O638" s="194" t="n">
        <v>1.31690567952816</v>
      </c>
      <c r="P638" s="194" t="n">
        <v>1.35641284991401</v>
      </c>
      <c r="Q638" s="194" t="n">
        <v>1.39710523541143</v>
      </c>
      <c r="R638" s="194" t="n">
        <v>1.43901839247377</v>
      </c>
      <c r="S638" s="194" t="n">
        <v>1.48218894424798</v>
      </c>
      <c r="T638" s="194" t="n">
        <v>1.52665461257542</v>
      </c>
      <c r="U638" s="194" t="n">
        <v>1.57245425095269</v>
      </c>
      <c r="V638" s="194" t="n">
        <v>1.61962787848127</v>
      </c>
    </row>
    <row r="639" customFormat="false" ht="12.75" hidden="false" customHeight="false" outlineLevel="0" collapsed="false">
      <c r="A639" s="55"/>
      <c r="B639" s="189" t="s">
        <v>115</v>
      </c>
      <c r="C639" s="195" t="n">
        <v>0</v>
      </c>
      <c r="D639" s="196" t="n">
        <v>0</v>
      </c>
      <c r="E639" s="196" t="n">
        <v>0</v>
      </c>
      <c r="F639" s="196" t="n">
        <v>0</v>
      </c>
      <c r="G639" s="196" t="n">
        <v>0</v>
      </c>
      <c r="H639" s="196" t="n">
        <v>0</v>
      </c>
      <c r="I639" s="196" t="n">
        <v>0</v>
      </c>
      <c r="J639" s="196" t="n">
        <v>0</v>
      </c>
      <c r="K639" s="196" t="n">
        <v>0</v>
      </c>
      <c r="L639" s="196" t="n">
        <v>0</v>
      </c>
      <c r="M639" s="196" t="n">
        <v>0</v>
      </c>
      <c r="N639" s="196" t="n">
        <v>0</v>
      </c>
      <c r="O639" s="196" t="n">
        <v>0</v>
      </c>
      <c r="P639" s="196" t="n">
        <v>0</v>
      </c>
      <c r="Q639" s="196" t="n">
        <v>0</v>
      </c>
      <c r="R639" s="196" t="n">
        <v>0</v>
      </c>
      <c r="S639" s="196" t="n">
        <v>0</v>
      </c>
      <c r="T639" s="196" t="n">
        <v>0</v>
      </c>
      <c r="U639" s="196" t="n">
        <v>0</v>
      </c>
      <c r="V639" s="196" t="n">
        <v>0</v>
      </c>
    </row>
    <row r="640" customFormat="false" ht="12.75" hidden="false" customHeight="false" outlineLevel="0" collapsed="false">
      <c r="A640" s="55"/>
      <c r="B640" s="189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</row>
    <row r="641" customFormat="false" ht="12.75" hidden="false" customHeight="false" outlineLevel="0" collapsed="false">
      <c r="A641" s="55"/>
      <c r="B641" s="189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</row>
    <row r="642" customFormat="false" ht="12.75" hidden="false" customHeight="false" outlineLevel="0" collapsed="false">
      <c r="A642" s="169"/>
      <c r="B642" s="156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</row>
    <row r="643" customFormat="false" ht="12.75" hidden="false" customHeight="false" outlineLevel="0" collapsed="false">
      <c r="A643" s="11"/>
      <c r="B643" s="156"/>
      <c r="C643" s="257"/>
      <c r="D643" s="257"/>
      <c r="E643" s="257"/>
      <c r="F643" s="257"/>
      <c r="G643" s="257"/>
      <c r="H643" s="257"/>
      <c r="I643" s="257"/>
      <c r="J643" s="257"/>
      <c r="K643" s="257"/>
      <c r="L643" s="257"/>
      <c r="M643" s="257"/>
      <c r="N643" s="257"/>
      <c r="O643" s="257"/>
      <c r="P643" s="257"/>
      <c r="Q643" s="257"/>
      <c r="R643" s="257"/>
      <c r="S643" s="257"/>
      <c r="T643" s="257"/>
      <c r="U643" s="257"/>
      <c r="V643" s="257"/>
    </row>
    <row r="644" customFormat="false" ht="12.75" hidden="false" customHeight="false" outlineLevel="0" collapsed="false">
      <c r="A644" s="52" t="s">
        <v>105</v>
      </c>
      <c r="B644" s="182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</row>
    <row r="645" customFormat="false" ht="12.75" hidden="false" customHeight="false" outlineLevel="0" collapsed="false">
      <c r="A645" s="183" t="s">
        <v>97</v>
      </c>
      <c r="B645" s="182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</row>
    <row r="646" customFormat="false" ht="12.75" hidden="false" customHeight="false" outlineLevel="0" collapsed="false">
      <c r="A646" s="55"/>
      <c r="B646" s="182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</row>
    <row r="647" customFormat="false" ht="12.75" hidden="false" customHeight="false" outlineLevel="0" collapsed="false">
      <c r="A647" s="55"/>
      <c r="B647" s="182"/>
      <c r="C647" s="184" t="n">
        <v>2000</v>
      </c>
      <c r="D647" s="185" t="n">
        <v>2001</v>
      </c>
      <c r="E647" s="185" t="n">
        <v>2002</v>
      </c>
      <c r="F647" s="185" t="n">
        <v>2003</v>
      </c>
      <c r="G647" s="185" t="n">
        <v>2004</v>
      </c>
      <c r="H647" s="185" t="n">
        <v>2005</v>
      </c>
      <c r="I647" s="185" t="n">
        <v>2006</v>
      </c>
      <c r="J647" s="185" t="n">
        <v>2007</v>
      </c>
      <c r="K647" s="185" t="n">
        <v>2008</v>
      </c>
      <c r="L647" s="185" t="n">
        <v>2009</v>
      </c>
      <c r="M647" s="185" t="n">
        <v>2010</v>
      </c>
      <c r="N647" s="185" t="n">
        <v>2011</v>
      </c>
      <c r="O647" s="185" t="n">
        <v>2012</v>
      </c>
      <c r="P647" s="185" t="n">
        <v>2013</v>
      </c>
      <c r="Q647" s="185" t="n">
        <v>2014</v>
      </c>
      <c r="R647" s="185" t="n">
        <v>2015</v>
      </c>
      <c r="S647" s="185" t="n">
        <v>2016</v>
      </c>
      <c r="T647" s="185" t="n">
        <v>2017</v>
      </c>
      <c r="U647" s="185" t="n">
        <v>2018</v>
      </c>
      <c r="V647" s="185" t="n">
        <v>2019</v>
      </c>
    </row>
    <row r="648" customFormat="false" ht="12.75" hidden="false" customHeight="false" outlineLevel="0" collapsed="false">
      <c r="A648" s="186" t="s">
        <v>106</v>
      </c>
      <c r="B648" s="182"/>
      <c r="C648" s="187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</row>
    <row r="649" customFormat="false" ht="12.75" hidden="false" customHeight="false" outlineLevel="0" collapsed="false">
      <c r="A649" s="55"/>
      <c r="B649" s="189" t="s">
        <v>107</v>
      </c>
      <c r="C649" s="190" t="n">
        <v>0</v>
      </c>
      <c r="D649" s="191" t="n">
        <v>35727.4395626229</v>
      </c>
      <c r="E649" s="191" t="n">
        <v>50112.6700627043</v>
      </c>
      <c r="F649" s="191" t="n">
        <v>56679.3698310595</v>
      </c>
      <c r="G649" s="191" t="n">
        <v>59907.885916076</v>
      </c>
      <c r="H649" s="191" t="n">
        <v>62114.0321068906</v>
      </c>
      <c r="I649" s="191" t="n">
        <v>84517.8633675256</v>
      </c>
      <c r="J649" s="191" t="n">
        <v>99897.9740172657</v>
      </c>
      <c r="K649" s="191" t="n">
        <v>132951.956667169</v>
      </c>
      <c r="L649" s="191" t="n">
        <v>135950.716357983</v>
      </c>
      <c r="M649" s="191" t="n">
        <v>101010.45101694</v>
      </c>
      <c r="N649" s="191" t="n">
        <v>112515.699976354</v>
      </c>
      <c r="O649" s="191" t="n">
        <v>102928.778728536</v>
      </c>
      <c r="P649" s="191" t="n">
        <v>91575.5322672657</v>
      </c>
      <c r="Q649" s="191" t="n">
        <v>99586.6304193506</v>
      </c>
      <c r="R649" s="191" t="n">
        <v>90332.8098831288</v>
      </c>
      <c r="S649" s="191" t="n">
        <v>97091.7817468098</v>
      </c>
      <c r="T649" s="191" t="n">
        <v>81613.7660580959</v>
      </c>
      <c r="U649" s="191" t="n">
        <v>83959.8568626729</v>
      </c>
      <c r="V649" s="191" t="n">
        <v>100262.23574681</v>
      </c>
    </row>
    <row r="650" customFormat="false" ht="12.75" hidden="false" customHeight="false" outlineLevel="0" collapsed="false">
      <c r="A650" s="55"/>
      <c r="B650" s="189" t="s">
        <v>108</v>
      </c>
      <c r="C650" s="190" t="n">
        <v>0</v>
      </c>
      <c r="D650" s="192" t="n">
        <v>0.0488832336835048</v>
      </c>
      <c r="E650" s="192" t="n">
        <v>0.0685654889118427</v>
      </c>
      <c r="F650" s="192" t="n">
        <v>0.077550222305437</v>
      </c>
      <c r="G650" s="192" t="n">
        <v>0.0819675639388387</v>
      </c>
      <c r="H650" s="192" t="n">
        <v>0.0849860718729585</v>
      </c>
      <c r="I650" s="192" t="n">
        <v>0.115639590074279</v>
      </c>
      <c r="J650" s="192" t="n">
        <v>0.136683066801784</v>
      </c>
      <c r="K650" s="192" t="n">
        <v>0.181908405584139</v>
      </c>
      <c r="L650" s="192" t="n">
        <v>0.186011388404103</v>
      </c>
      <c r="M650" s="192" t="n">
        <v>0.138205187440944</v>
      </c>
      <c r="N650" s="192" t="n">
        <v>0.15394697527559</v>
      </c>
      <c r="O650" s="192" t="n">
        <v>0.140829894471604</v>
      </c>
      <c r="P650" s="192" t="n">
        <v>0.125296080500414</v>
      </c>
      <c r="Q650" s="192" t="n">
        <v>0.13625707820481</v>
      </c>
      <c r="R650" s="192" t="n">
        <v>0.123595754659795</v>
      </c>
      <c r="S650" s="192" t="n">
        <v>0.132843559851472</v>
      </c>
      <c r="T650" s="192" t="n">
        <v>0.111666126843933</v>
      </c>
      <c r="U650" s="192" t="n">
        <v>0.114876110723182</v>
      </c>
      <c r="V650" s="192" t="n">
        <v>0.137181459394851</v>
      </c>
    </row>
    <row r="651" customFormat="false" ht="12.75" hidden="false" customHeight="false" outlineLevel="0" collapsed="false">
      <c r="A651" s="186" t="s">
        <v>109</v>
      </c>
      <c r="B651" s="189"/>
      <c r="C651" s="187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</row>
    <row r="652" customFormat="false" ht="12.75" hidden="false" customHeight="false" outlineLevel="0" collapsed="false">
      <c r="A652" s="55"/>
      <c r="B652" s="189" t="s">
        <v>20</v>
      </c>
      <c r="C652" s="193" t="n">
        <v>0</v>
      </c>
      <c r="D652" s="194" t="n">
        <v>229.576356207753</v>
      </c>
      <c r="E652" s="194" t="n">
        <v>144.057883695469</v>
      </c>
      <c r="F652" s="194" t="n">
        <v>123.068233639534</v>
      </c>
      <c r="G652" s="194" t="n">
        <v>111.818359759912</v>
      </c>
      <c r="H652" s="194" t="n">
        <v>110.720342376328</v>
      </c>
      <c r="I652" s="194" t="n">
        <v>93.1864323985051</v>
      </c>
      <c r="J652" s="194" t="n">
        <v>95.4210193561345</v>
      </c>
      <c r="K652" s="194" t="n">
        <v>91.1390348372349</v>
      </c>
      <c r="L652" s="194" t="n">
        <v>94.604106625883</v>
      </c>
      <c r="M652" s="194" t="n">
        <v>109.559911729406</v>
      </c>
      <c r="N652" s="194" t="n">
        <v>96.3963073623191</v>
      </c>
      <c r="O652" s="194" t="n">
        <v>105.288002013108</v>
      </c>
      <c r="P652" s="194" t="n">
        <v>109.309122566991</v>
      </c>
      <c r="Q652" s="194" t="n">
        <v>116.558423057572</v>
      </c>
      <c r="R652" s="194" t="n">
        <v>119.810937911363</v>
      </c>
      <c r="S652" s="194" t="n">
        <v>112.428404189045</v>
      </c>
      <c r="T652" s="194" t="n">
        <v>123.335799382714</v>
      </c>
      <c r="U652" s="194" t="n">
        <v>135.865011120275</v>
      </c>
      <c r="V652" s="194" t="n">
        <v>123.105907146256</v>
      </c>
    </row>
    <row r="653" customFormat="false" ht="12.75" hidden="false" customHeight="false" outlineLevel="0" collapsed="false">
      <c r="A653" s="55"/>
      <c r="B653" s="189" t="s">
        <v>21</v>
      </c>
      <c r="C653" s="193" t="n">
        <v>0</v>
      </c>
      <c r="D653" s="194" t="n">
        <v>68.3997280765247</v>
      </c>
      <c r="E653" s="194" t="n">
        <v>59.6970995293586</v>
      </c>
      <c r="F653" s="194" t="n">
        <v>57.0761409227955</v>
      </c>
      <c r="G653" s="194" t="n">
        <v>59.160691808807</v>
      </c>
      <c r="H653" s="194" t="n">
        <v>61.0940368376668</v>
      </c>
      <c r="I653" s="194" t="n">
        <v>58.5015543770187</v>
      </c>
      <c r="J653" s="194" t="n">
        <v>62.2553448542538</v>
      </c>
      <c r="K653" s="194" t="n">
        <v>58.0892720212203</v>
      </c>
      <c r="L653" s="194" t="n">
        <v>60.934538224249</v>
      </c>
      <c r="M653" s="194" t="n">
        <v>64.1750215107348</v>
      </c>
      <c r="N653" s="194" t="n">
        <v>63.2162282103491</v>
      </c>
      <c r="O653" s="194" t="n">
        <v>64.1110024637855</v>
      </c>
      <c r="P653" s="194" t="n">
        <v>65.8891633092842</v>
      </c>
      <c r="Q653" s="194" t="n">
        <v>68.1372859995298</v>
      </c>
      <c r="R653" s="194" t="n">
        <v>73.1648197940122</v>
      </c>
      <c r="S653" s="194" t="n">
        <v>76.0612304535734</v>
      </c>
      <c r="T653" s="194" t="n">
        <v>77.2005254122568</v>
      </c>
      <c r="U653" s="194" t="n">
        <v>84.2614628536302</v>
      </c>
      <c r="V653" s="194" t="n">
        <v>83.5142698779057</v>
      </c>
    </row>
    <row r="654" customFormat="false" ht="12.75" hidden="false" customHeight="false" outlineLevel="0" collapsed="false">
      <c r="A654" s="55"/>
      <c r="B654" s="189" t="s">
        <v>110</v>
      </c>
      <c r="C654" s="193" t="n">
        <v>0</v>
      </c>
      <c r="D654" s="194" t="n">
        <v>1.70641940126126</v>
      </c>
      <c r="E654" s="194" t="n">
        <v>1.72066029681914</v>
      </c>
      <c r="F654" s="194" t="n">
        <v>1.74525745828407</v>
      </c>
      <c r="G654" s="194" t="n">
        <v>1.80781471661541</v>
      </c>
      <c r="H654" s="194" t="n">
        <v>1.86437286352129</v>
      </c>
      <c r="I654" s="194" t="n">
        <v>1.85599682396836</v>
      </c>
      <c r="J654" s="194" t="n">
        <v>1.92568000012667</v>
      </c>
      <c r="K654" s="194" t="n">
        <v>1.97180011055713</v>
      </c>
      <c r="L654" s="194" t="n">
        <v>2.01922162542874</v>
      </c>
      <c r="M654" s="194" t="n">
        <v>2.06944392645385</v>
      </c>
      <c r="N654" s="194" t="n">
        <v>2.08831621436894</v>
      </c>
      <c r="O654" s="194" t="n">
        <v>2.1342825095309</v>
      </c>
      <c r="P654" s="194" t="n">
        <v>2.17106603243</v>
      </c>
      <c r="Q654" s="194" t="n">
        <v>2.23293299470427</v>
      </c>
      <c r="R654" s="194" t="n">
        <v>2.26386703849438</v>
      </c>
      <c r="S654" s="194" t="n">
        <v>2.30790536156965</v>
      </c>
      <c r="T654" s="194" t="n">
        <v>2.34941084771234</v>
      </c>
      <c r="U654" s="194" t="n">
        <v>2.41079329115454</v>
      </c>
      <c r="V654" s="194" t="n">
        <v>2.45068333348137</v>
      </c>
    </row>
    <row r="655" customFormat="false" ht="12.75" hidden="false" customHeight="false" outlineLevel="0" collapsed="false">
      <c r="A655" s="55"/>
      <c r="B655" s="189" t="s">
        <v>111</v>
      </c>
      <c r="C655" s="193" t="n">
        <v>0</v>
      </c>
      <c r="D655" s="194" t="n">
        <v>0</v>
      </c>
      <c r="E655" s="194" t="n">
        <v>0</v>
      </c>
      <c r="F655" s="194" t="n">
        <v>0</v>
      </c>
      <c r="G655" s="194" t="n">
        <v>0</v>
      </c>
      <c r="H655" s="194" t="n">
        <v>0</v>
      </c>
      <c r="I655" s="194" t="n">
        <v>-1.10530507522251</v>
      </c>
      <c r="J655" s="194" t="n">
        <v>-1.03652168400281</v>
      </c>
      <c r="K655" s="194" t="n">
        <v>-0.859401924782593</v>
      </c>
      <c r="L655" s="194" t="n">
        <v>-0.923096553498755</v>
      </c>
      <c r="M655" s="194" t="n">
        <v>-1.38174260930535</v>
      </c>
      <c r="N655" s="194" t="n">
        <v>-1.36645285156855</v>
      </c>
      <c r="O655" s="194" t="n">
        <v>-1.65500369087548</v>
      </c>
      <c r="P655" s="194" t="n">
        <v>-2.0857576700372</v>
      </c>
      <c r="Q655" s="194" t="n">
        <v>-2.13500213087947</v>
      </c>
      <c r="R655" s="194" t="n">
        <v>-2.6071969384898</v>
      </c>
      <c r="S655" s="194" t="n">
        <v>-2.66341437739542</v>
      </c>
      <c r="T655" s="194" t="n">
        <v>-3.11292602616767</v>
      </c>
      <c r="U655" s="194" t="n">
        <v>-2.58885663155596</v>
      </c>
      <c r="V655" s="194" t="n">
        <v>-2.24772816568245</v>
      </c>
    </row>
    <row r="656" customFormat="false" ht="12.75" hidden="false" customHeight="false" outlineLevel="0" collapsed="false">
      <c r="A656" s="55"/>
      <c r="B656" s="189" t="s">
        <v>112</v>
      </c>
      <c r="C656" s="193" t="n">
        <v>0</v>
      </c>
      <c r="D656" s="194" t="n">
        <v>0</v>
      </c>
      <c r="E656" s="194" t="n">
        <v>0</v>
      </c>
      <c r="F656" s="194" t="n">
        <v>0</v>
      </c>
      <c r="G656" s="194" t="n">
        <v>0</v>
      </c>
      <c r="H656" s="194" t="n">
        <v>0</v>
      </c>
      <c r="I656" s="194" t="n">
        <v>0</v>
      </c>
      <c r="J656" s="194" t="n">
        <v>0</v>
      </c>
      <c r="K656" s="194" t="n">
        <v>0</v>
      </c>
      <c r="L656" s="194" t="n">
        <v>0</v>
      </c>
      <c r="M656" s="194" t="n">
        <v>0</v>
      </c>
      <c r="N656" s="194" t="n">
        <v>0</v>
      </c>
      <c r="O656" s="194" t="n">
        <v>0</v>
      </c>
      <c r="P656" s="194" t="n">
        <v>0</v>
      </c>
      <c r="Q656" s="194" t="n">
        <v>0</v>
      </c>
      <c r="R656" s="194" t="n">
        <v>0</v>
      </c>
      <c r="S656" s="194" t="n">
        <v>0</v>
      </c>
      <c r="T656" s="194" t="n">
        <v>0</v>
      </c>
      <c r="U656" s="194" t="n">
        <v>0</v>
      </c>
      <c r="V656" s="194" t="n">
        <v>0</v>
      </c>
    </row>
    <row r="657" customFormat="false" ht="12.75" hidden="false" customHeight="false" outlineLevel="0" collapsed="false">
      <c r="A657" s="186" t="s">
        <v>113</v>
      </c>
      <c r="B657" s="189"/>
      <c r="C657" s="187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</row>
    <row r="658" customFormat="false" ht="12.75" hidden="false" customHeight="false" outlineLevel="0" collapsed="false">
      <c r="A658" s="55"/>
      <c r="B658" s="189" t="s">
        <v>26</v>
      </c>
      <c r="C658" s="193" t="n">
        <v>0</v>
      </c>
      <c r="D658" s="194" t="n">
        <v>4.26132540806133</v>
      </c>
      <c r="E658" s="194" t="n">
        <v>4.34655191622255</v>
      </c>
      <c r="F658" s="194" t="n">
        <v>4.433482954547</v>
      </c>
      <c r="G658" s="194" t="n">
        <v>4.52215261363794</v>
      </c>
      <c r="H658" s="194" t="n">
        <v>4.6125956659107</v>
      </c>
      <c r="I658" s="194" t="n">
        <v>4.70484757922892</v>
      </c>
      <c r="J658" s="194" t="n">
        <v>4.7989445308135</v>
      </c>
      <c r="K658" s="194" t="n">
        <v>4.89492342142977</v>
      </c>
      <c r="L658" s="194" t="n">
        <v>4.99282188985836</v>
      </c>
      <c r="M658" s="194" t="n">
        <v>5.09267832765553</v>
      </c>
      <c r="N658" s="194" t="n">
        <v>5.19453189420864</v>
      </c>
      <c r="O658" s="194" t="n">
        <v>5.29842253209281</v>
      </c>
      <c r="P658" s="194" t="n">
        <v>5.40439098273467</v>
      </c>
      <c r="Q658" s="194" t="n">
        <v>5.51247880238936</v>
      </c>
      <c r="R658" s="194" t="n">
        <v>5.62272837843715</v>
      </c>
      <c r="S658" s="194" t="n">
        <v>5.73518294600589</v>
      </c>
      <c r="T658" s="194" t="n">
        <v>5.84988660492601</v>
      </c>
      <c r="U658" s="194" t="n">
        <v>5.96688433702453</v>
      </c>
      <c r="V658" s="194" t="n">
        <v>6.08622202376502</v>
      </c>
    </row>
    <row r="659" customFormat="false" ht="12.75" hidden="false" customHeight="false" outlineLevel="0" collapsed="false">
      <c r="A659" s="55"/>
      <c r="B659" s="189" t="s">
        <v>114</v>
      </c>
      <c r="C659" s="193" t="n">
        <v>0</v>
      </c>
      <c r="D659" s="194" t="n">
        <v>2.0568909100341</v>
      </c>
      <c r="E659" s="194" t="n">
        <v>2.0568909100341</v>
      </c>
      <c r="F659" s="194" t="n">
        <v>2.0568909100341</v>
      </c>
      <c r="G659" s="194" t="n">
        <v>2.0568909100341</v>
      </c>
      <c r="H659" s="194" t="n">
        <v>2.0568909100341</v>
      </c>
      <c r="I659" s="194" t="n">
        <v>2.0568909100341</v>
      </c>
      <c r="J659" s="194" t="n">
        <v>2.0568909100341</v>
      </c>
      <c r="K659" s="194" t="n">
        <v>2.0568909100341</v>
      </c>
      <c r="L659" s="194" t="n">
        <v>2.0568909100341</v>
      </c>
      <c r="M659" s="194" t="n">
        <v>2.0568909100341</v>
      </c>
      <c r="N659" s="194" t="n">
        <v>2.0568909100341</v>
      </c>
      <c r="O659" s="194" t="n">
        <v>2.0568909100341</v>
      </c>
      <c r="P659" s="194" t="n">
        <v>2.0568909100341</v>
      </c>
      <c r="Q659" s="194" t="n">
        <v>2.0568909100341</v>
      </c>
      <c r="R659" s="194" t="n">
        <v>2.0568909100341</v>
      </c>
      <c r="S659" s="194" t="n">
        <v>2.0568909100341</v>
      </c>
      <c r="T659" s="194" t="n">
        <v>2.0568909100341</v>
      </c>
      <c r="U659" s="194" t="n">
        <v>2.0568909100341</v>
      </c>
      <c r="V659" s="194" t="n">
        <v>2.0568909100341</v>
      </c>
    </row>
    <row r="660" customFormat="false" ht="12.75" hidden="false" customHeight="false" outlineLevel="0" collapsed="false">
      <c r="A660" s="55"/>
      <c r="B660" s="189" t="s">
        <v>28</v>
      </c>
      <c r="C660" s="193" t="n">
        <v>0</v>
      </c>
      <c r="D660" s="194" t="n">
        <v>0.414071059483147</v>
      </c>
      <c r="E660" s="194" t="n">
        <v>0.422807958838244</v>
      </c>
      <c r="F660" s="194" t="n">
        <v>0.432067453136802</v>
      </c>
      <c r="G660" s="194" t="n">
        <v>0.44183217757769</v>
      </c>
      <c r="H660" s="194" t="n">
        <v>0.45234778340404</v>
      </c>
      <c r="I660" s="194" t="n">
        <v>0.46368366433148</v>
      </c>
      <c r="J660" s="194" t="n">
        <v>0.475184310970077</v>
      </c>
      <c r="K660" s="194" t="n">
        <v>0.48721220788437</v>
      </c>
      <c r="L660" s="194" t="n">
        <v>0.499246349419114</v>
      </c>
      <c r="M660" s="194" t="n">
        <v>0.5119771313293</v>
      </c>
      <c r="N660" s="194" t="n">
        <v>0.524366977907471</v>
      </c>
      <c r="O660" s="194" t="n">
        <v>0.537581025750738</v>
      </c>
      <c r="P660" s="194" t="n">
        <v>0.551235583804805</v>
      </c>
      <c r="Q660" s="194" t="n">
        <v>0.565016473399926</v>
      </c>
      <c r="R660" s="194" t="n">
        <v>0.579198386882264</v>
      </c>
      <c r="S660" s="194" t="n">
        <v>0.593678346554322</v>
      </c>
      <c r="T660" s="194" t="n">
        <v>0.608401569548867</v>
      </c>
      <c r="U660" s="194" t="n">
        <v>0.623672448944545</v>
      </c>
      <c r="V660" s="194" t="n">
        <v>0.639326627413054</v>
      </c>
    </row>
    <row r="661" customFormat="false" ht="12.75" hidden="false" customHeight="false" outlineLevel="0" collapsed="false">
      <c r="A661" s="55"/>
      <c r="B661" s="189" t="s">
        <v>33</v>
      </c>
      <c r="C661" s="193" t="n">
        <v>0</v>
      </c>
      <c r="D661" s="194" t="n">
        <v>0.178336030107991</v>
      </c>
      <c r="E661" s="194" t="n">
        <v>0.18365742571884</v>
      </c>
      <c r="F661" s="194" t="n">
        <v>4.60826040056093</v>
      </c>
      <c r="G661" s="194" t="n">
        <v>0.195487277216449</v>
      </c>
      <c r="H661" s="194" t="n">
        <v>1.07058955089713</v>
      </c>
      <c r="I661" s="194" t="n">
        <v>1.10270723742404</v>
      </c>
      <c r="J661" s="194" t="n">
        <v>1.13578845454676</v>
      </c>
      <c r="K661" s="194" t="n">
        <v>1.16986210818317</v>
      </c>
      <c r="L661" s="194" t="n">
        <v>1.20495797142866</v>
      </c>
      <c r="M661" s="194" t="n">
        <v>1.24110671057152</v>
      </c>
      <c r="N661" s="194" t="n">
        <v>1.27833991188867</v>
      </c>
      <c r="O661" s="194" t="n">
        <v>1.31669010924533</v>
      </c>
      <c r="P661" s="194" t="n">
        <v>1.35619081252269</v>
      </c>
      <c r="Q661" s="194" t="n">
        <v>1.39687653689837</v>
      </c>
      <c r="R661" s="194" t="n">
        <v>1.43878283300532</v>
      </c>
      <c r="S661" s="194" t="n">
        <v>1.48194631799548</v>
      </c>
      <c r="T661" s="194" t="n">
        <v>1.52640470753534</v>
      </c>
      <c r="U661" s="194" t="n">
        <v>1.5721968487614</v>
      </c>
      <c r="V661" s="194" t="n">
        <v>1.61936275422424</v>
      </c>
    </row>
    <row r="662" customFormat="false" ht="12.75" hidden="false" customHeight="false" outlineLevel="0" collapsed="false">
      <c r="A662" s="55"/>
      <c r="B662" s="189" t="s">
        <v>115</v>
      </c>
      <c r="C662" s="195" t="n">
        <v>0</v>
      </c>
      <c r="D662" s="196" t="n">
        <v>0</v>
      </c>
      <c r="E662" s="196" t="n">
        <v>0</v>
      </c>
      <c r="F662" s="196" t="n">
        <v>0</v>
      </c>
      <c r="G662" s="196" t="n">
        <v>0</v>
      </c>
      <c r="H662" s="196" t="n">
        <v>0</v>
      </c>
      <c r="I662" s="196" t="n">
        <v>0</v>
      </c>
      <c r="J662" s="196" t="n">
        <v>0</v>
      </c>
      <c r="K662" s="196" t="n">
        <v>0</v>
      </c>
      <c r="L662" s="196" t="n">
        <v>0</v>
      </c>
      <c r="M662" s="196" t="n">
        <v>0</v>
      </c>
      <c r="N662" s="196" t="n">
        <v>0</v>
      </c>
      <c r="O662" s="196" t="n">
        <v>0</v>
      </c>
      <c r="P662" s="196" t="n">
        <v>0</v>
      </c>
      <c r="Q662" s="196" t="n">
        <v>0</v>
      </c>
      <c r="R662" s="196" t="n">
        <v>0</v>
      </c>
      <c r="S662" s="196" t="n">
        <v>0</v>
      </c>
      <c r="T662" s="196" t="n">
        <v>0</v>
      </c>
      <c r="U662" s="196" t="n">
        <v>0</v>
      </c>
      <c r="V662" s="196" t="n">
        <v>0</v>
      </c>
    </row>
    <row r="663" customFormat="false" ht="12.75" hidden="false" customHeight="false" outlineLevel="0" collapsed="false">
      <c r="A663" s="55"/>
      <c r="B663" s="189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</row>
    <row r="664" customFormat="false" ht="12.75" hidden="false" customHeight="false" outlineLevel="0" collapsed="false">
      <c r="A664" s="55"/>
      <c r="B664" s="189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</row>
    <row r="665" customFormat="false" ht="12.75" hidden="false" customHeight="false" outlineLevel="0" collapsed="false">
      <c r="A665" s="11"/>
      <c r="B665" s="156"/>
      <c r="C665" s="257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</row>
    <row r="666" customFormat="false" ht="12.75" hidden="false" customHeight="false" outlineLevel="0" collapsed="false">
      <c r="A666" s="11"/>
      <c r="B666" s="156"/>
      <c r="C666" s="257"/>
      <c r="D666" s="257"/>
      <c r="E666" s="257"/>
      <c r="F666" s="257"/>
      <c r="G666" s="257"/>
      <c r="H666" s="257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7"/>
      <c r="T666" s="257"/>
      <c r="U666" s="257"/>
      <c r="V666" s="257"/>
    </row>
    <row r="667" customFormat="false" ht="12.75" hidden="false" customHeight="false" outlineLevel="0" collapsed="false">
      <c r="A667" s="52" t="s">
        <v>105</v>
      </c>
      <c r="B667" s="182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</row>
    <row r="668" customFormat="false" ht="12.75" hidden="false" customHeight="false" outlineLevel="0" collapsed="false">
      <c r="A668" s="183" t="s">
        <v>98</v>
      </c>
      <c r="B668" s="182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</row>
    <row r="669" customFormat="false" ht="12.75" hidden="false" customHeight="false" outlineLevel="0" collapsed="false">
      <c r="A669" s="55"/>
      <c r="B669" s="182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</row>
    <row r="670" customFormat="false" ht="12.75" hidden="false" customHeight="false" outlineLevel="0" collapsed="false">
      <c r="A670" s="55"/>
      <c r="B670" s="182"/>
      <c r="C670" s="184" t="n">
        <v>2000</v>
      </c>
      <c r="D670" s="185" t="n">
        <v>2001</v>
      </c>
      <c r="E670" s="185" t="n">
        <v>2002</v>
      </c>
      <c r="F670" s="185" t="n">
        <v>2003</v>
      </c>
      <c r="G670" s="185" t="n">
        <v>2004</v>
      </c>
      <c r="H670" s="185" t="n">
        <v>2005</v>
      </c>
      <c r="I670" s="185" t="n">
        <v>2006</v>
      </c>
      <c r="J670" s="185" t="n">
        <v>2007</v>
      </c>
      <c r="K670" s="185" t="n">
        <v>2008</v>
      </c>
      <c r="L670" s="185" t="n">
        <v>2009</v>
      </c>
      <c r="M670" s="185" t="n">
        <v>2010</v>
      </c>
      <c r="N670" s="185" t="n">
        <v>2011</v>
      </c>
      <c r="O670" s="185" t="n">
        <v>2012</v>
      </c>
      <c r="P670" s="185" t="n">
        <v>2013</v>
      </c>
      <c r="Q670" s="185" t="n">
        <v>2014</v>
      </c>
      <c r="R670" s="185" t="n">
        <v>2015</v>
      </c>
      <c r="S670" s="185" t="n">
        <v>2016</v>
      </c>
      <c r="T670" s="185" t="n">
        <v>2017</v>
      </c>
      <c r="U670" s="185" t="n">
        <v>2018</v>
      </c>
      <c r="V670" s="185" t="n">
        <v>2019</v>
      </c>
    </row>
    <row r="671" customFormat="false" ht="12.75" hidden="false" customHeight="false" outlineLevel="0" collapsed="false">
      <c r="A671" s="186" t="s">
        <v>106</v>
      </c>
      <c r="B671" s="182"/>
      <c r="C671" s="187"/>
      <c r="D671" s="188"/>
      <c r="E671" s="188"/>
      <c r="F671" s="188"/>
      <c r="G671" s="188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</row>
    <row r="672" customFormat="false" ht="12.75" hidden="false" customHeight="false" outlineLevel="0" collapsed="false">
      <c r="A672" s="55"/>
      <c r="B672" s="189" t="s">
        <v>107</v>
      </c>
      <c r="C672" s="190" t="n">
        <v>0</v>
      </c>
      <c r="D672" s="191" t="n">
        <v>35727.4395626229</v>
      </c>
      <c r="E672" s="191" t="n">
        <v>50112.6700627043</v>
      </c>
      <c r="F672" s="191" t="n">
        <v>56679.3698310595</v>
      </c>
      <c r="G672" s="191" t="n">
        <v>59907.885916076</v>
      </c>
      <c r="H672" s="191" t="n">
        <v>62114.0321068906</v>
      </c>
      <c r="I672" s="191" t="n">
        <v>84517.8633675256</v>
      </c>
      <c r="J672" s="191" t="n">
        <v>99897.9740172657</v>
      </c>
      <c r="K672" s="191" t="n">
        <v>132951.956667169</v>
      </c>
      <c r="L672" s="191" t="n">
        <v>135950.716357983</v>
      </c>
      <c r="M672" s="191" t="n">
        <v>101010.45101694</v>
      </c>
      <c r="N672" s="191" t="n">
        <v>112515.699976354</v>
      </c>
      <c r="O672" s="191" t="n">
        <v>102928.778728536</v>
      </c>
      <c r="P672" s="191" t="n">
        <v>91575.5322672657</v>
      </c>
      <c r="Q672" s="191" t="n">
        <v>99586.6304193506</v>
      </c>
      <c r="R672" s="191" t="n">
        <v>90332.8098831288</v>
      </c>
      <c r="S672" s="191" t="n">
        <v>97091.7817468098</v>
      </c>
      <c r="T672" s="191" t="n">
        <v>81613.7660580959</v>
      </c>
      <c r="U672" s="191" t="n">
        <v>83959.8568626729</v>
      </c>
      <c r="V672" s="191" t="n">
        <v>100262.23574681</v>
      </c>
    </row>
    <row r="673" customFormat="false" ht="12.75" hidden="false" customHeight="false" outlineLevel="0" collapsed="false">
      <c r="A673" s="55"/>
      <c r="B673" s="189" t="s">
        <v>108</v>
      </c>
      <c r="C673" s="190" t="n">
        <v>0</v>
      </c>
      <c r="D673" s="192" t="n">
        <v>0.0488832336835048</v>
      </c>
      <c r="E673" s="192" t="n">
        <v>0.0685654889118427</v>
      </c>
      <c r="F673" s="192" t="n">
        <v>0.077550222305437</v>
      </c>
      <c r="G673" s="192" t="n">
        <v>0.0819675639388387</v>
      </c>
      <c r="H673" s="192" t="n">
        <v>0.0849860718729585</v>
      </c>
      <c r="I673" s="192" t="n">
        <v>0.115639590074279</v>
      </c>
      <c r="J673" s="192" t="n">
        <v>0.136683066801784</v>
      </c>
      <c r="K673" s="192" t="n">
        <v>0.181908405584139</v>
      </c>
      <c r="L673" s="192" t="n">
        <v>0.186011388404103</v>
      </c>
      <c r="M673" s="192" t="n">
        <v>0.138205187440944</v>
      </c>
      <c r="N673" s="192" t="n">
        <v>0.15394697527559</v>
      </c>
      <c r="O673" s="192" t="n">
        <v>0.140829894471604</v>
      </c>
      <c r="P673" s="192" t="n">
        <v>0.125296080500414</v>
      </c>
      <c r="Q673" s="192" t="n">
        <v>0.13625707820481</v>
      </c>
      <c r="R673" s="192" t="n">
        <v>0.123595754659795</v>
      </c>
      <c r="S673" s="192" t="n">
        <v>0.132843559851472</v>
      </c>
      <c r="T673" s="192" t="n">
        <v>0.111666126843933</v>
      </c>
      <c r="U673" s="192" t="n">
        <v>0.114876110723182</v>
      </c>
      <c r="V673" s="192" t="n">
        <v>0.137181459394851</v>
      </c>
    </row>
    <row r="674" customFormat="false" ht="12.75" hidden="false" customHeight="false" outlineLevel="0" collapsed="false">
      <c r="A674" s="186" t="s">
        <v>109</v>
      </c>
      <c r="B674" s="189"/>
      <c r="C674" s="187"/>
      <c r="D674" s="188"/>
      <c r="E674" s="188"/>
      <c r="F674" s="188"/>
      <c r="G674" s="188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</row>
    <row r="675" customFormat="false" ht="12.75" hidden="false" customHeight="false" outlineLevel="0" collapsed="false">
      <c r="A675" s="55"/>
      <c r="B675" s="189" t="s">
        <v>20</v>
      </c>
      <c r="C675" s="193" t="n">
        <v>0</v>
      </c>
      <c r="D675" s="194" t="n">
        <v>229.576356207753</v>
      </c>
      <c r="E675" s="194" t="n">
        <v>144.057883695469</v>
      </c>
      <c r="F675" s="194" t="n">
        <v>123.068233639534</v>
      </c>
      <c r="G675" s="194" t="n">
        <v>111.818359759912</v>
      </c>
      <c r="H675" s="194" t="n">
        <v>110.720342376328</v>
      </c>
      <c r="I675" s="194" t="n">
        <v>93.1864323985051</v>
      </c>
      <c r="J675" s="194" t="n">
        <v>95.4210193561345</v>
      </c>
      <c r="K675" s="194" t="n">
        <v>91.1390348372349</v>
      </c>
      <c r="L675" s="194" t="n">
        <v>94.604106625883</v>
      </c>
      <c r="M675" s="194" t="n">
        <v>109.559911729406</v>
      </c>
      <c r="N675" s="194" t="n">
        <v>96.3963073623191</v>
      </c>
      <c r="O675" s="194" t="n">
        <v>105.288002013108</v>
      </c>
      <c r="P675" s="194" t="n">
        <v>109.309122566991</v>
      </c>
      <c r="Q675" s="194" t="n">
        <v>116.558423057572</v>
      </c>
      <c r="R675" s="194" t="n">
        <v>119.810937911363</v>
      </c>
      <c r="S675" s="194" t="n">
        <v>112.428404189045</v>
      </c>
      <c r="T675" s="194" t="n">
        <v>123.335799382714</v>
      </c>
      <c r="U675" s="194" t="n">
        <v>135.865011120275</v>
      </c>
      <c r="V675" s="194" t="n">
        <v>123.105907146256</v>
      </c>
    </row>
    <row r="676" customFormat="false" ht="12.75" hidden="false" customHeight="false" outlineLevel="0" collapsed="false">
      <c r="A676" s="55"/>
      <c r="B676" s="189" t="s">
        <v>21</v>
      </c>
      <c r="C676" s="193" t="n">
        <v>0</v>
      </c>
      <c r="D676" s="194" t="n">
        <v>68.3997280765247</v>
      </c>
      <c r="E676" s="194" t="n">
        <v>59.6970995293586</v>
      </c>
      <c r="F676" s="194" t="n">
        <v>57.0761409227955</v>
      </c>
      <c r="G676" s="194" t="n">
        <v>59.160691808807</v>
      </c>
      <c r="H676" s="194" t="n">
        <v>61.0940368376668</v>
      </c>
      <c r="I676" s="194" t="n">
        <v>58.5015543770187</v>
      </c>
      <c r="J676" s="194" t="n">
        <v>62.2553448542538</v>
      </c>
      <c r="K676" s="194" t="n">
        <v>58.0892720212203</v>
      </c>
      <c r="L676" s="194" t="n">
        <v>60.934538224249</v>
      </c>
      <c r="M676" s="194" t="n">
        <v>64.1750215107348</v>
      </c>
      <c r="N676" s="194" t="n">
        <v>63.2162282103491</v>
      </c>
      <c r="O676" s="194" t="n">
        <v>64.1110024637855</v>
      </c>
      <c r="P676" s="194" t="n">
        <v>65.8891633092842</v>
      </c>
      <c r="Q676" s="194" t="n">
        <v>68.1372859995298</v>
      </c>
      <c r="R676" s="194" t="n">
        <v>73.1648197940122</v>
      </c>
      <c r="S676" s="194" t="n">
        <v>76.0612304535734</v>
      </c>
      <c r="T676" s="194" t="n">
        <v>77.2005254122568</v>
      </c>
      <c r="U676" s="194" t="n">
        <v>84.2614628536302</v>
      </c>
      <c r="V676" s="194" t="n">
        <v>83.5142698779057</v>
      </c>
    </row>
    <row r="677" customFormat="false" ht="12.75" hidden="false" customHeight="false" outlineLevel="0" collapsed="false">
      <c r="A677" s="55"/>
      <c r="B677" s="189" t="s">
        <v>110</v>
      </c>
      <c r="C677" s="193" t="n">
        <v>0</v>
      </c>
      <c r="D677" s="194" t="n">
        <v>1.70641940126126</v>
      </c>
      <c r="E677" s="194" t="n">
        <v>1.72066029681914</v>
      </c>
      <c r="F677" s="194" t="n">
        <v>1.74525745828407</v>
      </c>
      <c r="G677" s="194" t="n">
        <v>1.80781471661541</v>
      </c>
      <c r="H677" s="194" t="n">
        <v>1.86437286352129</v>
      </c>
      <c r="I677" s="194" t="n">
        <v>1.85599682396836</v>
      </c>
      <c r="J677" s="194" t="n">
        <v>1.92568000012667</v>
      </c>
      <c r="K677" s="194" t="n">
        <v>1.97180011055713</v>
      </c>
      <c r="L677" s="194" t="n">
        <v>2.01922162542874</v>
      </c>
      <c r="M677" s="194" t="n">
        <v>2.06944392645385</v>
      </c>
      <c r="N677" s="194" t="n">
        <v>2.08831621436894</v>
      </c>
      <c r="O677" s="194" t="n">
        <v>2.1342825095309</v>
      </c>
      <c r="P677" s="194" t="n">
        <v>2.17106603243</v>
      </c>
      <c r="Q677" s="194" t="n">
        <v>2.23293299470427</v>
      </c>
      <c r="R677" s="194" t="n">
        <v>2.26386703849438</v>
      </c>
      <c r="S677" s="194" t="n">
        <v>2.30790536156965</v>
      </c>
      <c r="T677" s="194" t="n">
        <v>2.34941084771234</v>
      </c>
      <c r="U677" s="194" t="n">
        <v>2.41079329115454</v>
      </c>
      <c r="V677" s="194" t="n">
        <v>2.45068333348137</v>
      </c>
    </row>
    <row r="678" customFormat="false" ht="12.75" hidden="false" customHeight="false" outlineLevel="0" collapsed="false">
      <c r="A678" s="55"/>
      <c r="B678" s="189" t="s">
        <v>111</v>
      </c>
      <c r="C678" s="193" t="n">
        <v>0</v>
      </c>
      <c r="D678" s="194" t="n">
        <v>0</v>
      </c>
      <c r="E678" s="194" t="n">
        <v>0</v>
      </c>
      <c r="F678" s="194" t="n">
        <v>0</v>
      </c>
      <c r="G678" s="194" t="n">
        <v>0</v>
      </c>
      <c r="H678" s="194" t="n">
        <v>0</v>
      </c>
      <c r="I678" s="194" t="n">
        <v>-1.10530507522251</v>
      </c>
      <c r="J678" s="194" t="n">
        <v>-1.03652168400281</v>
      </c>
      <c r="K678" s="194" t="n">
        <v>-0.859401924782593</v>
      </c>
      <c r="L678" s="194" t="n">
        <v>-0.923096553498755</v>
      </c>
      <c r="M678" s="194" t="n">
        <v>-1.38174260930535</v>
      </c>
      <c r="N678" s="194" t="n">
        <v>-1.36645285156855</v>
      </c>
      <c r="O678" s="194" t="n">
        <v>-1.65500369087548</v>
      </c>
      <c r="P678" s="194" t="n">
        <v>-2.0857576700372</v>
      </c>
      <c r="Q678" s="194" t="n">
        <v>-2.13500213087947</v>
      </c>
      <c r="R678" s="194" t="n">
        <v>-2.6071969384898</v>
      </c>
      <c r="S678" s="194" t="n">
        <v>-2.66341437739542</v>
      </c>
      <c r="T678" s="194" t="n">
        <v>-3.11292602616767</v>
      </c>
      <c r="U678" s="194" t="n">
        <v>-2.58885663155596</v>
      </c>
      <c r="V678" s="194" t="n">
        <v>-2.24772816568245</v>
      </c>
    </row>
    <row r="679" customFormat="false" ht="12.75" hidden="false" customHeight="false" outlineLevel="0" collapsed="false">
      <c r="A679" s="55"/>
      <c r="B679" s="189" t="s">
        <v>112</v>
      </c>
      <c r="C679" s="193" t="n">
        <v>0</v>
      </c>
      <c r="D679" s="194" t="n">
        <v>0</v>
      </c>
      <c r="E679" s="194" t="n">
        <v>0</v>
      </c>
      <c r="F679" s="194" t="n">
        <v>0</v>
      </c>
      <c r="G679" s="194" t="n">
        <v>0</v>
      </c>
      <c r="H679" s="194" t="n">
        <v>0</v>
      </c>
      <c r="I679" s="194" t="n">
        <v>0</v>
      </c>
      <c r="J679" s="194" t="n">
        <v>0</v>
      </c>
      <c r="K679" s="194" t="n">
        <v>0</v>
      </c>
      <c r="L679" s="194" t="n">
        <v>0</v>
      </c>
      <c r="M679" s="194" t="n">
        <v>0</v>
      </c>
      <c r="N679" s="194" t="n">
        <v>0</v>
      </c>
      <c r="O679" s="194" t="n">
        <v>0</v>
      </c>
      <c r="P679" s="194" t="n">
        <v>0</v>
      </c>
      <c r="Q679" s="194" t="n">
        <v>0</v>
      </c>
      <c r="R679" s="194" t="n">
        <v>0</v>
      </c>
      <c r="S679" s="194" t="n">
        <v>0</v>
      </c>
      <c r="T679" s="194" t="n">
        <v>0</v>
      </c>
      <c r="U679" s="194" t="n">
        <v>0</v>
      </c>
      <c r="V679" s="194" t="n">
        <v>0</v>
      </c>
    </row>
    <row r="680" customFormat="false" ht="12.75" hidden="false" customHeight="false" outlineLevel="0" collapsed="false">
      <c r="A680" s="186" t="s">
        <v>113</v>
      </c>
      <c r="B680" s="189"/>
      <c r="C680" s="187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</row>
    <row r="681" customFormat="false" ht="12.75" hidden="false" customHeight="false" outlineLevel="0" collapsed="false">
      <c r="A681" s="55"/>
      <c r="B681" s="189" t="s">
        <v>26</v>
      </c>
      <c r="C681" s="193" t="n">
        <v>0</v>
      </c>
      <c r="D681" s="194" t="n">
        <v>4.26132540806133</v>
      </c>
      <c r="E681" s="194" t="n">
        <v>4.34655191622255</v>
      </c>
      <c r="F681" s="194" t="n">
        <v>4.433482954547</v>
      </c>
      <c r="G681" s="194" t="n">
        <v>4.52215261363794</v>
      </c>
      <c r="H681" s="194" t="n">
        <v>4.6125956659107</v>
      </c>
      <c r="I681" s="194" t="n">
        <v>4.70484757922892</v>
      </c>
      <c r="J681" s="194" t="n">
        <v>4.7989445308135</v>
      </c>
      <c r="K681" s="194" t="n">
        <v>4.89492342142977</v>
      </c>
      <c r="L681" s="194" t="n">
        <v>4.99282188985836</v>
      </c>
      <c r="M681" s="194" t="n">
        <v>5.09267832765553</v>
      </c>
      <c r="N681" s="194" t="n">
        <v>5.19453189420864</v>
      </c>
      <c r="O681" s="194" t="n">
        <v>5.29842253209281</v>
      </c>
      <c r="P681" s="194" t="n">
        <v>5.40439098273467</v>
      </c>
      <c r="Q681" s="194" t="n">
        <v>5.51247880238936</v>
      </c>
      <c r="R681" s="194" t="n">
        <v>5.62272837843715</v>
      </c>
      <c r="S681" s="194" t="n">
        <v>5.73518294600589</v>
      </c>
      <c r="T681" s="194" t="n">
        <v>5.84988660492601</v>
      </c>
      <c r="U681" s="194" t="n">
        <v>5.96688433702453</v>
      </c>
      <c r="V681" s="194" t="n">
        <v>6.08622202376502</v>
      </c>
    </row>
    <row r="682" customFormat="false" ht="12.75" hidden="false" customHeight="false" outlineLevel="0" collapsed="false">
      <c r="A682" s="55"/>
      <c r="B682" s="189" t="s">
        <v>114</v>
      </c>
      <c r="C682" s="193" t="n">
        <v>0</v>
      </c>
      <c r="D682" s="194" t="n">
        <v>2.0568909100341</v>
      </c>
      <c r="E682" s="194" t="n">
        <v>2.0568909100341</v>
      </c>
      <c r="F682" s="194" t="n">
        <v>2.0568909100341</v>
      </c>
      <c r="G682" s="194" t="n">
        <v>2.0568909100341</v>
      </c>
      <c r="H682" s="194" t="n">
        <v>2.0568909100341</v>
      </c>
      <c r="I682" s="194" t="n">
        <v>2.0568909100341</v>
      </c>
      <c r="J682" s="194" t="n">
        <v>2.0568909100341</v>
      </c>
      <c r="K682" s="194" t="n">
        <v>2.0568909100341</v>
      </c>
      <c r="L682" s="194" t="n">
        <v>2.0568909100341</v>
      </c>
      <c r="M682" s="194" t="n">
        <v>2.0568909100341</v>
      </c>
      <c r="N682" s="194" t="n">
        <v>2.0568909100341</v>
      </c>
      <c r="O682" s="194" t="n">
        <v>2.0568909100341</v>
      </c>
      <c r="P682" s="194" t="n">
        <v>2.0568909100341</v>
      </c>
      <c r="Q682" s="194" t="n">
        <v>2.0568909100341</v>
      </c>
      <c r="R682" s="194" t="n">
        <v>2.0568909100341</v>
      </c>
      <c r="S682" s="194" t="n">
        <v>2.0568909100341</v>
      </c>
      <c r="T682" s="194" t="n">
        <v>2.0568909100341</v>
      </c>
      <c r="U682" s="194" t="n">
        <v>2.0568909100341</v>
      </c>
      <c r="V682" s="194" t="n">
        <v>2.0568909100341</v>
      </c>
    </row>
    <row r="683" customFormat="false" ht="12.75" hidden="false" customHeight="false" outlineLevel="0" collapsed="false">
      <c r="A683" s="55"/>
      <c r="B683" s="189" t="s">
        <v>28</v>
      </c>
      <c r="C683" s="193" t="n">
        <v>0</v>
      </c>
      <c r="D683" s="194" t="n">
        <v>0.414071059483147</v>
      </c>
      <c r="E683" s="194" t="n">
        <v>0.422807958838244</v>
      </c>
      <c r="F683" s="194" t="n">
        <v>0.432067453136802</v>
      </c>
      <c r="G683" s="194" t="n">
        <v>0.44183217757769</v>
      </c>
      <c r="H683" s="194" t="n">
        <v>0.45234778340404</v>
      </c>
      <c r="I683" s="194" t="n">
        <v>0.46368366433148</v>
      </c>
      <c r="J683" s="194" t="n">
        <v>0.475184310970077</v>
      </c>
      <c r="K683" s="194" t="n">
        <v>0.48721220788437</v>
      </c>
      <c r="L683" s="194" t="n">
        <v>0.499246349419114</v>
      </c>
      <c r="M683" s="194" t="n">
        <v>0.5119771313293</v>
      </c>
      <c r="N683" s="194" t="n">
        <v>0.524366977907471</v>
      </c>
      <c r="O683" s="194" t="n">
        <v>0.537581025750738</v>
      </c>
      <c r="P683" s="194" t="n">
        <v>0.551235583804805</v>
      </c>
      <c r="Q683" s="194" t="n">
        <v>0.565016473399926</v>
      </c>
      <c r="R683" s="194" t="n">
        <v>0.579198386882264</v>
      </c>
      <c r="S683" s="194" t="n">
        <v>0.593678346554322</v>
      </c>
      <c r="T683" s="194" t="n">
        <v>0.608401569548867</v>
      </c>
      <c r="U683" s="194" t="n">
        <v>0.623672448944545</v>
      </c>
      <c r="V683" s="194" t="n">
        <v>0.639326627413054</v>
      </c>
    </row>
    <row r="684" customFormat="false" ht="12.75" hidden="false" customHeight="false" outlineLevel="0" collapsed="false">
      <c r="A684" s="55"/>
      <c r="B684" s="189" t="s">
        <v>33</v>
      </c>
      <c r="C684" s="193" t="n">
        <v>0</v>
      </c>
      <c r="D684" s="194" t="n">
        <v>0.178336030107991</v>
      </c>
      <c r="E684" s="194" t="n">
        <v>4.5325094387113</v>
      </c>
      <c r="F684" s="194" t="n">
        <v>0.189143744082078</v>
      </c>
      <c r="G684" s="194" t="n">
        <v>0.195487277216449</v>
      </c>
      <c r="H684" s="194" t="n">
        <v>1.05653662219985</v>
      </c>
      <c r="I684" s="194" t="n">
        <v>1.08823272086584</v>
      </c>
      <c r="J684" s="194" t="n">
        <v>1.12087970249182</v>
      </c>
      <c r="K684" s="194" t="n">
        <v>1.15450609356657</v>
      </c>
      <c r="L684" s="194" t="n">
        <v>1.18914127637357</v>
      </c>
      <c r="M684" s="194" t="n">
        <v>1.22481551466478</v>
      </c>
      <c r="N684" s="194" t="n">
        <v>1.26155998010472</v>
      </c>
      <c r="O684" s="194" t="n">
        <v>1.29940677950786</v>
      </c>
      <c r="P684" s="194" t="n">
        <v>1.3383889828931</v>
      </c>
      <c r="Q684" s="194" t="n">
        <v>1.37854065237989</v>
      </c>
      <c r="R684" s="194" t="n">
        <v>1.41989687195129</v>
      </c>
      <c r="S684" s="194" t="n">
        <v>1.46249377810983</v>
      </c>
      <c r="T684" s="194" t="n">
        <v>1.50636859145312</v>
      </c>
      <c r="U684" s="194" t="n">
        <v>1.55155964919672</v>
      </c>
      <c r="V684" s="194" t="n">
        <v>1.59810643867262</v>
      </c>
    </row>
    <row r="685" customFormat="false" ht="12.75" hidden="false" customHeight="false" outlineLevel="0" collapsed="false">
      <c r="A685" s="55"/>
      <c r="B685" s="189" t="s">
        <v>115</v>
      </c>
      <c r="C685" s="195" t="n">
        <v>0</v>
      </c>
      <c r="D685" s="196" t="n">
        <v>0</v>
      </c>
      <c r="E685" s="196" t="n">
        <v>0</v>
      </c>
      <c r="F685" s="196" t="n">
        <v>0</v>
      </c>
      <c r="G685" s="196" t="n">
        <v>0</v>
      </c>
      <c r="H685" s="196" t="n">
        <v>0</v>
      </c>
      <c r="I685" s="196" t="n">
        <v>0</v>
      </c>
      <c r="J685" s="196" t="n">
        <v>0</v>
      </c>
      <c r="K685" s="196" t="n">
        <v>0</v>
      </c>
      <c r="L685" s="196" t="n">
        <v>0</v>
      </c>
      <c r="M685" s="196" t="n">
        <v>0</v>
      </c>
      <c r="N685" s="196" t="n">
        <v>0</v>
      </c>
      <c r="O685" s="196" t="n">
        <v>0</v>
      </c>
      <c r="P685" s="196" t="n">
        <v>0</v>
      </c>
      <c r="Q685" s="196" t="n">
        <v>0</v>
      </c>
      <c r="R685" s="196" t="n">
        <v>0</v>
      </c>
      <c r="S685" s="196" t="n">
        <v>0</v>
      </c>
      <c r="T685" s="196" t="n">
        <v>0</v>
      </c>
      <c r="U685" s="196" t="n">
        <v>0</v>
      </c>
      <c r="V685" s="196" t="n">
        <v>0</v>
      </c>
    </row>
    <row r="686" customFormat="false" ht="12.75" hidden="false" customHeight="false" outlineLevel="0" collapsed="false">
      <c r="A686" s="55"/>
      <c r="B686" s="189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</row>
    <row r="687" customFormat="false" ht="12.75" hidden="false" customHeight="false" outlineLevel="0" collapsed="false">
      <c r="A687" s="55"/>
      <c r="B687" s="189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</row>
    <row r="688" customFormat="false" ht="12.75" hidden="false" customHeight="false" outlineLevel="0" collapsed="false">
      <c r="A688" s="11"/>
      <c r="B688" s="156"/>
      <c r="C688" s="257"/>
      <c r="D688" s="257"/>
      <c r="E688" s="257"/>
      <c r="F688" s="257"/>
      <c r="G688" s="257"/>
      <c r="H688" s="257"/>
      <c r="I688" s="257"/>
      <c r="J688" s="257"/>
      <c r="K688" s="257"/>
      <c r="L688" s="257"/>
      <c r="M688" s="257"/>
      <c r="N688" s="257"/>
      <c r="O688" s="257"/>
      <c r="P688" s="257"/>
      <c r="Q688" s="257"/>
      <c r="R688" s="257"/>
      <c r="S688" s="257"/>
      <c r="T688" s="257"/>
      <c r="U688" s="257"/>
      <c r="V688" s="257"/>
    </row>
    <row r="689" customFormat="false" ht="12.75" hidden="false" customHeight="false" outlineLevel="0" collapsed="false">
      <c r="A689" s="11"/>
      <c r="B689" s="156"/>
      <c r="C689" s="257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7"/>
      <c r="S689" s="257"/>
      <c r="T689" s="257"/>
      <c r="U689" s="257"/>
      <c r="V689" s="257"/>
    </row>
    <row r="690" customFormat="false" ht="12.75" hidden="false" customHeight="false" outlineLevel="0" collapsed="false">
      <c r="A690" s="52" t="s">
        <v>105</v>
      </c>
      <c r="B690" s="182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</row>
    <row r="691" customFormat="false" ht="12.75" hidden="false" customHeight="false" outlineLevel="0" collapsed="false">
      <c r="A691" s="183" t="s">
        <v>99</v>
      </c>
      <c r="B691" s="182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</row>
    <row r="692" customFormat="false" ht="12.75" hidden="false" customHeight="false" outlineLevel="0" collapsed="false">
      <c r="A692" s="55"/>
      <c r="B692" s="182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</row>
    <row r="693" customFormat="false" ht="12.75" hidden="false" customHeight="false" outlineLevel="0" collapsed="false">
      <c r="A693" s="55"/>
      <c r="B693" s="182"/>
      <c r="C693" s="184" t="n">
        <v>2000</v>
      </c>
      <c r="D693" s="185" t="n">
        <v>2001</v>
      </c>
      <c r="E693" s="185" t="n">
        <v>2002</v>
      </c>
      <c r="F693" s="185" t="n">
        <v>2003</v>
      </c>
      <c r="G693" s="185" t="n">
        <v>2004</v>
      </c>
      <c r="H693" s="185" t="n">
        <v>2005</v>
      </c>
      <c r="I693" s="185" t="n">
        <v>2006</v>
      </c>
      <c r="J693" s="185" t="n">
        <v>2007</v>
      </c>
      <c r="K693" s="185" t="n">
        <v>2008</v>
      </c>
      <c r="L693" s="185" t="n">
        <v>2009</v>
      </c>
      <c r="M693" s="185" t="n">
        <v>2010</v>
      </c>
      <c r="N693" s="185" t="n">
        <v>2011</v>
      </c>
      <c r="O693" s="185" t="n">
        <v>2012</v>
      </c>
      <c r="P693" s="185" t="n">
        <v>2013</v>
      </c>
      <c r="Q693" s="185" t="n">
        <v>2014</v>
      </c>
      <c r="R693" s="185" t="n">
        <v>2015</v>
      </c>
      <c r="S693" s="185" t="n">
        <v>2016</v>
      </c>
      <c r="T693" s="185" t="n">
        <v>2017</v>
      </c>
      <c r="U693" s="185" t="n">
        <v>2018</v>
      </c>
      <c r="V693" s="185" t="n">
        <v>2019</v>
      </c>
    </row>
    <row r="694" customFormat="false" ht="12.75" hidden="false" customHeight="false" outlineLevel="0" collapsed="false">
      <c r="A694" s="186" t="s">
        <v>106</v>
      </c>
      <c r="B694" s="182"/>
      <c r="C694" s="187"/>
      <c r="D694" s="188"/>
      <c r="E694" s="188"/>
      <c r="F694" s="188"/>
      <c r="G694" s="188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</row>
    <row r="695" customFormat="false" ht="12.75" hidden="false" customHeight="false" outlineLevel="0" collapsed="false">
      <c r="A695" s="55"/>
      <c r="B695" s="189" t="s">
        <v>107</v>
      </c>
      <c r="C695" s="190" t="n">
        <v>0</v>
      </c>
      <c r="D695" s="191" t="n">
        <v>35727.4395626229</v>
      </c>
      <c r="E695" s="191" t="n">
        <v>50112.6700627043</v>
      </c>
      <c r="F695" s="191" t="n">
        <v>56679.3698310595</v>
      </c>
      <c r="G695" s="191" t="n">
        <v>59907.885916076</v>
      </c>
      <c r="H695" s="191" t="n">
        <v>62114.0321068906</v>
      </c>
      <c r="I695" s="191" t="n">
        <v>84517.8633675256</v>
      </c>
      <c r="J695" s="191" t="n">
        <v>99897.9740172657</v>
      </c>
      <c r="K695" s="191" t="n">
        <v>132951.956667169</v>
      </c>
      <c r="L695" s="191" t="n">
        <v>135950.716357983</v>
      </c>
      <c r="M695" s="191" t="n">
        <v>101010.45101694</v>
      </c>
      <c r="N695" s="191" t="n">
        <v>112515.699976354</v>
      </c>
      <c r="O695" s="191" t="n">
        <v>102928.778728536</v>
      </c>
      <c r="P695" s="191" t="n">
        <v>91575.5322672657</v>
      </c>
      <c r="Q695" s="191" t="n">
        <v>99586.6304193506</v>
      </c>
      <c r="R695" s="191" t="n">
        <v>90332.8098831288</v>
      </c>
      <c r="S695" s="191" t="n">
        <v>97091.7817468098</v>
      </c>
      <c r="T695" s="191" t="n">
        <v>81613.7660580959</v>
      </c>
      <c r="U695" s="191" t="n">
        <v>83959.8568626729</v>
      </c>
      <c r="V695" s="191" t="n">
        <v>100262.23574681</v>
      </c>
    </row>
    <row r="696" customFormat="false" ht="12.75" hidden="false" customHeight="false" outlineLevel="0" collapsed="false">
      <c r="A696" s="55"/>
      <c r="B696" s="189" t="s">
        <v>108</v>
      </c>
      <c r="C696" s="190" t="n">
        <v>0</v>
      </c>
      <c r="D696" s="192" t="n">
        <v>0.0488832336835048</v>
      </c>
      <c r="E696" s="192" t="n">
        <v>0.0685654889118427</v>
      </c>
      <c r="F696" s="192" t="n">
        <v>0.077550222305437</v>
      </c>
      <c r="G696" s="192" t="n">
        <v>0.0819675639388387</v>
      </c>
      <c r="H696" s="192" t="n">
        <v>0.0849860718729585</v>
      </c>
      <c r="I696" s="192" t="n">
        <v>0.115639590074279</v>
      </c>
      <c r="J696" s="192" t="n">
        <v>0.136683066801784</v>
      </c>
      <c r="K696" s="192" t="n">
        <v>0.181908405584139</v>
      </c>
      <c r="L696" s="192" t="n">
        <v>0.186011388404103</v>
      </c>
      <c r="M696" s="192" t="n">
        <v>0.138205187440944</v>
      </c>
      <c r="N696" s="192" t="n">
        <v>0.15394697527559</v>
      </c>
      <c r="O696" s="192" t="n">
        <v>0.140829894471604</v>
      </c>
      <c r="P696" s="192" t="n">
        <v>0.125296080500414</v>
      </c>
      <c r="Q696" s="192" t="n">
        <v>0.13625707820481</v>
      </c>
      <c r="R696" s="192" t="n">
        <v>0.123595754659795</v>
      </c>
      <c r="S696" s="192" t="n">
        <v>0.132843559851472</v>
      </c>
      <c r="T696" s="192" t="n">
        <v>0.111666126843933</v>
      </c>
      <c r="U696" s="192" t="n">
        <v>0.114876110723182</v>
      </c>
      <c r="V696" s="192" t="n">
        <v>0.137181459394851</v>
      </c>
    </row>
    <row r="697" customFormat="false" ht="12.75" hidden="false" customHeight="false" outlineLevel="0" collapsed="false">
      <c r="A697" s="186" t="s">
        <v>109</v>
      </c>
      <c r="B697" s="189"/>
      <c r="C697" s="187"/>
      <c r="D697" s="188"/>
      <c r="E697" s="188"/>
      <c r="F697" s="188"/>
      <c r="G697" s="188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</row>
    <row r="698" customFormat="false" ht="12.75" hidden="false" customHeight="false" outlineLevel="0" collapsed="false">
      <c r="A698" s="55"/>
      <c r="B698" s="189" t="s">
        <v>20</v>
      </c>
      <c r="C698" s="193" t="n">
        <v>0</v>
      </c>
      <c r="D698" s="194" t="n">
        <v>229.576356207753</v>
      </c>
      <c r="E698" s="194" t="n">
        <v>144.057883695469</v>
      </c>
      <c r="F698" s="194" t="n">
        <v>123.068233639534</v>
      </c>
      <c r="G698" s="194" t="n">
        <v>111.818359759912</v>
      </c>
      <c r="H698" s="194" t="n">
        <v>110.720342376328</v>
      </c>
      <c r="I698" s="194" t="n">
        <v>93.1864323985051</v>
      </c>
      <c r="J698" s="194" t="n">
        <v>95.4210193561345</v>
      </c>
      <c r="K698" s="194" t="n">
        <v>91.1390348372349</v>
      </c>
      <c r="L698" s="194" t="n">
        <v>94.604106625883</v>
      </c>
      <c r="M698" s="194" t="n">
        <v>109.559911729406</v>
      </c>
      <c r="N698" s="194" t="n">
        <v>96.3963073623191</v>
      </c>
      <c r="O698" s="194" t="n">
        <v>105.288002013108</v>
      </c>
      <c r="P698" s="194" t="n">
        <v>109.309122566991</v>
      </c>
      <c r="Q698" s="194" t="n">
        <v>116.558423057572</v>
      </c>
      <c r="R698" s="194" t="n">
        <v>119.810937911363</v>
      </c>
      <c r="S698" s="194" t="n">
        <v>112.428404189045</v>
      </c>
      <c r="T698" s="194" t="n">
        <v>123.335799382714</v>
      </c>
      <c r="U698" s="194" t="n">
        <v>135.865011120275</v>
      </c>
      <c r="V698" s="194" t="n">
        <v>123.105907146256</v>
      </c>
    </row>
    <row r="699" customFormat="false" ht="12.75" hidden="false" customHeight="false" outlineLevel="0" collapsed="false">
      <c r="A699" s="55"/>
      <c r="B699" s="189" t="s">
        <v>21</v>
      </c>
      <c r="C699" s="193" t="n">
        <v>0</v>
      </c>
      <c r="D699" s="194" t="n">
        <v>68.3997280765247</v>
      </c>
      <c r="E699" s="194" t="n">
        <v>59.6970995293586</v>
      </c>
      <c r="F699" s="194" t="n">
        <v>57.0761409227955</v>
      </c>
      <c r="G699" s="194" t="n">
        <v>59.160691808807</v>
      </c>
      <c r="H699" s="194" t="n">
        <v>61.0940368376668</v>
      </c>
      <c r="I699" s="194" t="n">
        <v>58.5015543770187</v>
      </c>
      <c r="J699" s="194" t="n">
        <v>62.2553448542538</v>
      </c>
      <c r="K699" s="194" t="n">
        <v>58.0892720212203</v>
      </c>
      <c r="L699" s="194" t="n">
        <v>60.934538224249</v>
      </c>
      <c r="M699" s="194" t="n">
        <v>64.1750215107348</v>
      </c>
      <c r="N699" s="194" t="n">
        <v>63.2162282103491</v>
      </c>
      <c r="O699" s="194" t="n">
        <v>64.1110024637855</v>
      </c>
      <c r="P699" s="194" t="n">
        <v>65.8891633092842</v>
      </c>
      <c r="Q699" s="194" t="n">
        <v>68.1372859995298</v>
      </c>
      <c r="R699" s="194" t="n">
        <v>73.1648197940122</v>
      </c>
      <c r="S699" s="194" t="n">
        <v>76.0612304535734</v>
      </c>
      <c r="T699" s="194" t="n">
        <v>77.2005254122568</v>
      </c>
      <c r="U699" s="194" t="n">
        <v>84.2614628536302</v>
      </c>
      <c r="V699" s="194" t="n">
        <v>83.5142698779057</v>
      </c>
    </row>
    <row r="700" customFormat="false" ht="12.75" hidden="false" customHeight="false" outlineLevel="0" collapsed="false">
      <c r="A700" s="55"/>
      <c r="B700" s="189" t="s">
        <v>110</v>
      </c>
      <c r="C700" s="193" t="n">
        <v>0</v>
      </c>
      <c r="D700" s="194" t="n">
        <v>1.70641940126126</v>
      </c>
      <c r="E700" s="194" t="n">
        <v>1.72066029681914</v>
      </c>
      <c r="F700" s="194" t="n">
        <v>1.74525745828407</v>
      </c>
      <c r="G700" s="194" t="n">
        <v>1.80781471661541</v>
      </c>
      <c r="H700" s="194" t="n">
        <v>1.86437286352129</v>
      </c>
      <c r="I700" s="194" t="n">
        <v>1.85599682396836</v>
      </c>
      <c r="J700" s="194" t="n">
        <v>1.92568000012667</v>
      </c>
      <c r="K700" s="194" t="n">
        <v>1.97180011055713</v>
      </c>
      <c r="L700" s="194" t="n">
        <v>2.01922162542874</v>
      </c>
      <c r="M700" s="194" t="n">
        <v>2.06944392645385</v>
      </c>
      <c r="N700" s="194" t="n">
        <v>2.08831621436894</v>
      </c>
      <c r="O700" s="194" t="n">
        <v>2.1342825095309</v>
      </c>
      <c r="P700" s="194" t="n">
        <v>2.17106603243</v>
      </c>
      <c r="Q700" s="194" t="n">
        <v>2.23293299470427</v>
      </c>
      <c r="R700" s="194" t="n">
        <v>2.26386703849438</v>
      </c>
      <c r="S700" s="194" t="n">
        <v>2.30790536156965</v>
      </c>
      <c r="T700" s="194" t="n">
        <v>2.34941084771234</v>
      </c>
      <c r="U700" s="194" t="n">
        <v>2.41079329115454</v>
      </c>
      <c r="V700" s="194" t="n">
        <v>2.45068333348137</v>
      </c>
    </row>
    <row r="701" customFormat="false" ht="12.75" hidden="false" customHeight="false" outlineLevel="0" collapsed="false">
      <c r="A701" s="55"/>
      <c r="B701" s="189" t="s">
        <v>111</v>
      </c>
      <c r="C701" s="193" t="n">
        <v>0</v>
      </c>
      <c r="D701" s="194" t="n">
        <v>0</v>
      </c>
      <c r="E701" s="194" t="n">
        <v>0</v>
      </c>
      <c r="F701" s="194" t="n">
        <v>0</v>
      </c>
      <c r="G701" s="194" t="n">
        <v>0</v>
      </c>
      <c r="H701" s="194" t="n">
        <v>0</v>
      </c>
      <c r="I701" s="194" t="n">
        <v>-1.10530507522251</v>
      </c>
      <c r="J701" s="194" t="n">
        <v>-1.03652168400281</v>
      </c>
      <c r="K701" s="194" t="n">
        <v>-0.859401924782593</v>
      </c>
      <c r="L701" s="194" t="n">
        <v>-0.923096553498755</v>
      </c>
      <c r="M701" s="194" t="n">
        <v>-1.38174260930535</v>
      </c>
      <c r="N701" s="194" t="n">
        <v>-1.36645285156855</v>
      </c>
      <c r="O701" s="194" t="n">
        <v>-1.65500369087548</v>
      </c>
      <c r="P701" s="194" t="n">
        <v>-2.0857576700372</v>
      </c>
      <c r="Q701" s="194" t="n">
        <v>-2.13500213087947</v>
      </c>
      <c r="R701" s="194" t="n">
        <v>-2.6071969384898</v>
      </c>
      <c r="S701" s="194" t="n">
        <v>-2.66341437739542</v>
      </c>
      <c r="T701" s="194" t="n">
        <v>-3.11292602616767</v>
      </c>
      <c r="U701" s="194" t="n">
        <v>-2.58885663155596</v>
      </c>
      <c r="V701" s="194" t="n">
        <v>-2.24772816568245</v>
      </c>
    </row>
    <row r="702" customFormat="false" ht="12.75" hidden="false" customHeight="false" outlineLevel="0" collapsed="false">
      <c r="A702" s="55"/>
      <c r="B702" s="189" t="s">
        <v>112</v>
      </c>
      <c r="C702" s="193" t="n">
        <v>0</v>
      </c>
      <c r="D702" s="194" t="n">
        <v>0</v>
      </c>
      <c r="E702" s="194" t="n">
        <v>0</v>
      </c>
      <c r="F702" s="194" t="n">
        <v>0</v>
      </c>
      <c r="G702" s="194" t="n">
        <v>0</v>
      </c>
      <c r="H702" s="194" t="n">
        <v>0</v>
      </c>
      <c r="I702" s="194" t="n">
        <v>0</v>
      </c>
      <c r="J702" s="194" t="n">
        <v>0</v>
      </c>
      <c r="K702" s="194" t="n">
        <v>0</v>
      </c>
      <c r="L702" s="194" t="n">
        <v>0</v>
      </c>
      <c r="M702" s="194" t="n">
        <v>0</v>
      </c>
      <c r="N702" s="194" t="n">
        <v>0</v>
      </c>
      <c r="O702" s="194" t="n">
        <v>0</v>
      </c>
      <c r="P702" s="194" t="n">
        <v>0</v>
      </c>
      <c r="Q702" s="194" t="n">
        <v>0</v>
      </c>
      <c r="R702" s="194" t="n">
        <v>0</v>
      </c>
      <c r="S702" s="194" t="n">
        <v>0</v>
      </c>
      <c r="T702" s="194" t="n">
        <v>0</v>
      </c>
      <c r="U702" s="194" t="n">
        <v>0</v>
      </c>
      <c r="V702" s="194" t="n">
        <v>0</v>
      </c>
    </row>
    <row r="703" customFormat="false" ht="12.75" hidden="false" customHeight="false" outlineLevel="0" collapsed="false">
      <c r="A703" s="186" t="s">
        <v>113</v>
      </c>
      <c r="B703" s="189"/>
      <c r="C703" s="187"/>
      <c r="D703" s="188"/>
      <c r="E703" s="188"/>
      <c r="F703" s="188"/>
      <c r="G703" s="188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</row>
    <row r="704" customFormat="false" ht="12.75" hidden="false" customHeight="false" outlineLevel="0" collapsed="false">
      <c r="A704" s="55"/>
      <c r="B704" s="189" t="s">
        <v>26</v>
      </c>
      <c r="C704" s="193" t="n">
        <v>0</v>
      </c>
      <c r="D704" s="194" t="n">
        <v>4.26132540806133</v>
      </c>
      <c r="E704" s="194" t="n">
        <v>4.34655191622255</v>
      </c>
      <c r="F704" s="194" t="n">
        <v>4.433482954547</v>
      </c>
      <c r="G704" s="194" t="n">
        <v>4.52215261363794</v>
      </c>
      <c r="H704" s="194" t="n">
        <v>4.6125956659107</v>
      </c>
      <c r="I704" s="194" t="n">
        <v>4.70484757922892</v>
      </c>
      <c r="J704" s="194" t="n">
        <v>4.7989445308135</v>
      </c>
      <c r="K704" s="194" t="n">
        <v>4.89492342142977</v>
      </c>
      <c r="L704" s="194" t="n">
        <v>4.99282188985836</v>
      </c>
      <c r="M704" s="194" t="n">
        <v>5.09267832765553</v>
      </c>
      <c r="N704" s="194" t="n">
        <v>5.19453189420864</v>
      </c>
      <c r="O704" s="194" t="n">
        <v>5.29842253209281</v>
      </c>
      <c r="P704" s="194" t="n">
        <v>5.40439098273467</v>
      </c>
      <c r="Q704" s="194" t="n">
        <v>5.51247880238936</v>
      </c>
      <c r="R704" s="194" t="n">
        <v>5.62272837843715</v>
      </c>
      <c r="S704" s="194" t="n">
        <v>5.73518294600589</v>
      </c>
      <c r="T704" s="194" t="n">
        <v>5.84988660492601</v>
      </c>
      <c r="U704" s="194" t="n">
        <v>5.96688433702453</v>
      </c>
      <c r="V704" s="194" t="n">
        <v>6.08622202376502</v>
      </c>
    </row>
    <row r="705" customFormat="false" ht="12.75" hidden="false" customHeight="false" outlineLevel="0" collapsed="false">
      <c r="A705" s="55"/>
      <c r="B705" s="189" t="s">
        <v>114</v>
      </c>
      <c r="C705" s="193" t="n">
        <v>0</v>
      </c>
      <c r="D705" s="194" t="n">
        <v>2.0568909100341</v>
      </c>
      <c r="E705" s="194" t="n">
        <v>2.0568909100341</v>
      </c>
      <c r="F705" s="194" t="n">
        <v>2.0568909100341</v>
      </c>
      <c r="G705" s="194" t="n">
        <v>2.0568909100341</v>
      </c>
      <c r="H705" s="194" t="n">
        <v>2.0568909100341</v>
      </c>
      <c r="I705" s="194" t="n">
        <v>2.0568909100341</v>
      </c>
      <c r="J705" s="194" t="n">
        <v>2.0568909100341</v>
      </c>
      <c r="K705" s="194" t="n">
        <v>2.0568909100341</v>
      </c>
      <c r="L705" s="194" t="n">
        <v>2.0568909100341</v>
      </c>
      <c r="M705" s="194" t="n">
        <v>2.0568909100341</v>
      </c>
      <c r="N705" s="194" t="n">
        <v>2.0568909100341</v>
      </c>
      <c r="O705" s="194" t="n">
        <v>2.0568909100341</v>
      </c>
      <c r="P705" s="194" t="n">
        <v>2.0568909100341</v>
      </c>
      <c r="Q705" s="194" t="n">
        <v>2.0568909100341</v>
      </c>
      <c r="R705" s="194" t="n">
        <v>2.0568909100341</v>
      </c>
      <c r="S705" s="194" t="n">
        <v>2.0568909100341</v>
      </c>
      <c r="T705" s="194" t="n">
        <v>2.0568909100341</v>
      </c>
      <c r="U705" s="194" t="n">
        <v>2.0568909100341</v>
      </c>
      <c r="V705" s="194" t="n">
        <v>2.0568909100341</v>
      </c>
    </row>
    <row r="706" customFormat="false" ht="12.75" hidden="false" customHeight="false" outlineLevel="0" collapsed="false">
      <c r="A706" s="55"/>
      <c r="B706" s="189" t="s">
        <v>28</v>
      </c>
      <c r="C706" s="193" t="n">
        <v>0</v>
      </c>
      <c r="D706" s="194" t="n">
        <v>0.414071059483147</v>
      </c>
      <c r="E706" s="194" t="n">
        <v>0.422807958838244</v>
      </c>
      <c r="F706" s="194" t="n">
        <v>0.432067453136802</v>
      </c>
      <c r="G706" s="194" t="n">
        <v>0.44183217757769</v>
      </c>
      <c r="H706" s="194" t="n">
        <v>0.45234778340404</v>
      </c>
      <c r="I706" s="194" t="n">
        <v>0.46368366433148</v>
      </c>
      <c r="J706" s="194" t="n">
        <v>0.475184310970077</v>
      </c>
      <c r="K706" s="194" t="n">
        <v>0.48721220788437</v>
      </c>
      <c r="L706" s="194" t="n">
        <v>0.499246349419114</v>
      </c>
      <c r="M706" s="194" t="n">
        <v>0.5119771313293</v>
      </c>
      <c r="N706" s="194" t="n">
        <v>0.524366977907471</v>
      </c>
      <c r="O706" s="194" t="n">
        <v>0.537581025750738</v>
      </c>
      <c r="P706" s="194" t="n">
        <v>0.551235583804805</v>
      </c>
      <c r="Q706" s="194" t="n">
        <v>0.565016473399926</v>
      </c>
      <c r="R706" s="194" t="n">
        <v>0.579198386882264</v>
      </c>
      <c r="S706" s="194" t="n">
        <v>0.593678346554322</v>
      </c>
      <c r="T706" s="194" t="n">
        <v>0.608401569548867</v>
      </c>
      <c r="U706" s="194" t="n">
        <v>0.623672448944545</v>
      </c>
      <c r="V706" s="194" t="n">
        <v>0.639326627413054</v>
      </c>
    </row>
    <row r="707" customFormat="false" ht="12.75" hidden="false" customHeight="false" outlineLevel="0" collapsed="false">
      <c r="A707" s="55"/>
      <c r="B707" s="189" t="s">
        <v>33</v>
      </c>
      <c r="C707" s="193" t="n">
        <v>0</v>
      </c>
      <c r="D707" s="194" t="n">
        <v>0.178336030107991</v>
      </c>
      <c r="E707" s="194" t="n">
        <v>4.5325094387113</v>
      </c>
      <c r="F707" s="194" t="n">
        <v>0.189143744082078</v>
      </c>
      <c r="G707" s="194" t="n">
        <v>0.195487277216449</v>
      </c>
      <c r="H707" s="194" t="n">
        <v>1.05653662219985</v>
      </c>
      <c r="I707" s="194" t="n">
        <v>1.08823272086584</v>
      </c>
      <c r="J707" s="194" t="n">
        <v>1.12087970249182</v>
      </c>
      <c r="K707" s="194" t="n">
        <v>1.15450609356657</v>
      </c>
      <c r="L707" s="194" t="n">
        <v>1.18914127637357</v>
      </c>
      <c r="M707" s="194" t="n">
        <v>1.22481551466478</v>
      </c>
      <c r="N707" s="194" t="n">
        <v>1.26155998010472</v>
      </c>
      <c r="O707" s="194" t="n">
        <v>1.29940677950786</v>
      </c>
      <c r="P707" s="194" t="n">
        <v>1.3383889828931</v>
      </c>
      <c r="Q707" s="194" t="n">
        <v>1.37854065237989</v>
      </c>
      <c r="R707" s="194" t="n">
        <v>1.41989687195129</v>
      </c>
      <c r="S707" s="194" t="n">
        <v>1.46249377810983</v>
      </c>
      <c r="T707" s="194" t="n">
        <v>1.50636859145312</v>
      </c>
      <c r="U707" s="194" t="n">
        <v>1.55155964919672</v>
      </c>
      <c r="V707" s="194" t="n">
        <v>1.59810643867262</v>
      </c>
    </row>
    <row r="708" customFormat="false" ht="12.75" hidden="false" customHeight="false" outlineLevel="0" collapsed="false">
      <c r="A708" s="55"/>
      <c r="B708" s="189" t="s">
        <v>115</v>
      </c>
      <c r="C708" s="195" t="n">
        <v>0</v>
      </c>
      <c r="D708" s="196" t="n">
        <v>0</v>
      </c>
      <c r="E708" s="196" t="n">
        <v>0</v>
      </c>
      <c r="F708" s="196" t="n">
        <v>0</v>
      </c>
      <c r="G708" s="196" t="n">
        <v>0</v>
      </c>
      <c r="H708" s="196" t="n">
        <v>0</v>
      </c>
      <c r="I708" s="196" t="n">
        <v>0</v>
      </c>
      <c r="J708" s="196" t="n">
        <v>0</v>
      </c>
      <c r="K708" s="196" t="n">
        <v>0</v>
      </c>
      <c r="L708" s="196" t="n">
        <v>0</v>
      </c>
      <c r="M708" s="196" t="n">
        <v>0</v>
      </c>
      <c r="N708" s="196" t="n">
        <v>0</v>
      </c>
      <c r="O708" s="196" t="n">
        <v>0</v>
      </c>
      <c r="P708" s="196" t="n">
        <v>0</v>
      </c>
      <c r="Q708" s="196" t="n">
        <v>0</v>
      </c>
      <c r="R708" s="196" t="n">
        <v>0</v>
      </c>
      <c r="S708" s="196" t="n">
        <v>0</v>
      </c>
      <c r="T708" s="196" t="n">
        <v>0</v>
      </c>
      <c r="U708" s="196" t="n">
        <v>0</v>
      </c>
      <c r="V708" s="196" t="n">
        <v>0</v>
      </c>
    </row>
    <row r="709" customFormat="false" ht="12.75" hidden="false" customHeight="false" outlineLevel="0" collapsed="false">
      <c r="A709" s="55"/>
      <c r="B709" s="189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</row>
    <row r="710" customFormat="false" ht="12.75" hidden="false" customHeight="false" outlineLevel="0" collapsed="false">
      <c r="A710" s="55"/>
      <c r="B710" s="189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</row>
    <row r="713" customFormat="false" ht="12.75" hidden="false" customHeight="false" outlineLevel="0" collapsed="false">
      <c r="A713" s="52" t="s">
        <v>105</v>
      </c>
      <c r="B713" s="182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</row>
    <row r="714" customFormat="false" ht="12.75" hidden="false" customHeight="false" outlineLevel="0" collapsed="false">
      <c r="A714" s="183" t="s">
        <v>100</v>
      </c>
      <c r="B714" s="182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</row>
    <row r="715" customFormat="false" ht="12.75" hidden="false" customHeight="false" outlineLevel="0" collapsed="false">
      <c r="A715" s="55"/>
      <c r="B715" s="182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</row>
    <row r="716" customFormat="false" ht="12.75" hidden="false" customHeight="false" outlineLevel="0" collapsed="false">
      <c r="A716" s="55"/>
      <c r="B716" s="182"/>
      <c r="C716" s="184" t="n">
        <v>2000</v>
      </c>
      <c r="D716" s="185" t="n">
        <v>2001</v>
      </c>
      <c r="E716" s="185" t="n">
        <v>2002</v>
      </c>
      <c r="F716" s="185" t="n">
        <v>2003</v>
      </c>
      <c r="G716" s="185" t="n">
        <v>2004</v>
      </c>
      <c r="H716" s="185" t="n">
        <v>2005</v>
      </c>
      <c r="I716" s="185" t="n">
        <v>2006</v>
      </c>
      <c r="J716" s="185" t="n">
        <v>2007</v>
      </c>
      <c r="K716" s="185" t="n">
        <v>2008</v>
      </c>
      <c r="L716" s="185" t="n">
        <v>2009</v>
      </c>
      <c r="M716" s="185" t="n">
        <v>2010</v>
      </c>
      <c r="N716" s="185" t="n">
        <v>2011</v>
      </c>
      <c r="O716" s="185" t="n">
        <v>2012</v>
      </c>
      <c r="P716" s="185" t="n">
        <v>2013</v>
      </c>
      <c r="Q716" s="185" t="n">
        <v>2014</v>
      </c>
      <c r="R716" s="185" t="n">
        <v>2015</v>
      </c>
      <c r="S716" s="185" t="n">
        <v>2016</v>
      </c>
      <c r="T716" s="185" t="n">
        <v>2017</v>
      </c>
      <c r="U716" s="185" t="n">
        <v>2018</v>
      </c>
      <c r="V716" s="185" t="n">
        <v>2019</v>
      </c>
    </row>
    <row r="717" customFormat="false" ht="12.75" hidden="false" customHeight="false" outlineLevel="0" collapsed="false">
      <c r="A717" s="186" t="s">
        <v>106</v>
      </c>
      <c r="B717" s="182"/>
      <c r="C717" s="187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</row>
    <row r="718" customFormat="false" ht="12.75" hidden="false" customHeight="false" outlineLevel="0" collapsed="false">
      <c r="A718" s="55"/>
      <c r="B718" s="189" t="s">
        <v>107</v>
      </c>
      <c r="C718" s="190" t="n">
        <v>0</v>
      </c>
      <c r="D718" s="191" t="n">
        <v>35727.4395626229</v>
      </c>
      <c r="E718" s="191" t="n">
        <v>50112.6700627043</v>
      </c>
      <c r="F718" s="191" t="n">
        <v>56679.3698310595</v>
      </c>
      <c r="G718" s="191" t="n">
        <v>59907.885916076</v>
      </c>
      <c r="H718" s="191" t="n">
        <v>62114.0321068906</v>
      </c>
      <c r="I718" s="191" t="n">
        <v>84517.8633675256</v>
      </c>
      <c r="J718" s="191" t="n">
        <v>99897.9740172657</v>
      </c>
      <c r="K718" s="191" t="n">
        <v>132951.956667169</v>
      </c>
      <c r="L718" s="191" t="n">
        <v>135950.716357983</v>
      </c>
      <c r="M718" s="191" t="n">
        <v>101010.45101694</v>
      </c>
      <c r="N718" s="191" t="n">
        <v>112515.699976354</v>
      </c>
      <c r="O718" s="191" t="n">
        <v>102928.778728536</v>
      </c>
      <c r="P718" s="191" t="n">
        <v>91575.5322672657</v>
      </c>
      <c r="Q718" s="191" t="n">
        <v>99586.6304193506</v>
      </c>
      <c r="R718" s="191" t="n">
        <v>90332.8098831288</v>
      </c>
      <c r="S718" s="191" t="n">
        <v>97091.7817468098</v>
      </c>
      <c r="T718" s="191" t="n">
        <v>81613.7660580959</v>
      </c>
      <c r="U718" s="191" t="n">
        <v>83959.8568626729</v>
      </c>
      <c r="V718" s="191" t="n">
        <v>100262.23574681</v>
      </c>
    </row>
    <row r="719" customFormat="false" ht="12.75" hidden="false" customHeight="false" outlineLevel="0" collapsed="false">
      <c r="A719" s="55"/>
      <c r="B719" s="189" t="s">
        <v>108</v>
      </c>
      <c r="C719" s="190" t="n">
        <v>0</v>
      </c>
      <c r="D719" s="192" t="n">
        <v>0.0488832336835048</v>
      </c>
      <c r="E719" s="192" t="n">
        <v>0.0685654889118427</v>
      </c>
      <c r="F719" s="192" t="n">
        <v>0.077550222305437</v>
      </c>
      <c r="G719" s="192" t="n">
        <v>0.0819675639388387</v>
      </c>
      <c r="H719" s="192" t="n">
        <v>0.0849860718729585</v>
      </c>
      <c r="I719" s="192" t="n">
        <v>0.115639590074279</v>
      </c>
      <c r="J719" s="192" t="n">
        <v>0.136683066801784</v>
      </c>
      <c r="K719" s="192" t="n">
        <v>0.181908405584139</v>
      </c>
      <c r="L719" s="192" t="n">
        <v>0.186011388404103</v>
      </c>
      <c r="M719" s="192" t="n">
        <v>0.138205187440944</v>
      </c>
      <c r="N719" s="192" t="n">
        <v>0.15394697527559</v>
      </c>
      <c r="O719" s="192" t="n">
        <v>0.140829894471604</v>
      </c>
      <c r="P719" s="192" t="n">
        <v>0.125296080500414</v>
      </c>
      <c r="Q719" s="192" t="n">
        <v>0.13625707820481</v>
      </c>
      <c r="R719" s="192" t="n">
        <v>0.123595754659795</v>
      </c>
      <c r="S719" s="192" t="n">
        <v>0.132843559851472</v>
      </c>
      <c r="T719" s="192" t="n">
        <v>0.111666126843933</v>
      </c>
      <c r="U719" s="192" t="n">
        <v>0.114876110723182</v>
      </c>
      <c r="V719" s="192" t="n">
        <v>0.137181459394851</v>
      </c>
    </row>
    <row r="720" customFormat="false" ht="12.75" hidden="false" customHeight="false" outlineLevel="0" collapsed="false">
      <c r="A720" s="186" t="s">
        <v>109</v>
      </c>
      <c r="B720" s="189"/>
      <c r="C720" s="187"/>
      <c r="D720" s="188"/>
      <c r="E720" s="188"/>
      <c r="F720" s="188"/>
      <c r="G720" s="188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</row>
    <row r="721" customFormat="false" ht="12.75" hidden="false" customHeight="false" outlineLevel="0" collapsed="false">
      <c r="A721" s="55"/>
      <c r="B721" s="189" t="s">
        <v>20</v>
      </c>
      <c r="C721" s="193" t="n">
        <v>0</v>
      </c>
      <c r="D721" s="194" t="n">
        <v>229.576356207753</v>
      </c>
      <c r="E721" s="194" t="n">
        <v>144.057883695469</v>
      </c>
      <c r="F721" s="194" t="n">
        <v>123.068233639534</v>
      </c>
      <c r="G721" s="194" t="n">
        <v>111.818359759912</v>
      </c>
      <c r="H721" s="194" t="n">
        <v>110.720342376328</v>
      </c>
      <c r="I721" s="194" t="n">
        <v>93.1864323985051</v>
      </c>
      <c r="J721" s="194" t="n">
        <v>95.4210193561345</v>
      </c>
      <c r="K721" s="194" t="n">
        <v>91.1390348372349</v>
      </c>
      <c r="L721" s="194" t="n">
        <v>94.604106625883</v>
      </c>
      <c r="M721" s="194" t="n">
        <v>109.559911729406</v>
      </c>
      <c r="N721" s="194" t="n">
        <v>96.3963073623191</v>
      </c>
      <c r="O721" s="194" t="n">
        <v>105.288002013108</v>
      </c>
      <c r="P721" s="194" t="n">
        <v>109.309122566991</v>
      </c>
      <c r="Q721" s="194" t="n">
        <v>116.558423057572</v>
      </c>
      <c r="R721" s="194" t="n">
        <v>119.810937911363</v>
      </c>
      <c r="S721" s="194" t="n">
        <v>112.428404189045</v>
      </c>
      <c r="T721" s="194" t="n">
        <v>123.335799382714</v>
      </c>
      <c r="U721" s="194" t="n">
        <v>135.865011120275</v>
      </c>
      <c r="V721" s="194" t="n">
        <v>123.105907146256</v>
      </c>
    </row>
    <row r="722" customFormat="false" ht="12.75" hidden="false" customHeight="false" outlineLevel="0" collapsed="false">
      <c r="A722" s="55"/>
      <c r="B722" s="189" t="s">
        <v>21</v>
      </c>
      <c r="C722" s="193" t="n">
        <v>0</v>
      </c>
      <c r="D722" s="194" t="n">
        <v>68.3997280765247</v>
      </c>
      <c r="E722" s="194" t="n">
        <v>59.6970995293586</v>
      </c>
      <c r="F722" s="194" t="n">
        <v>57.0761409227955</v>
      </c>
      <c r="G722" s="194" t="n">
        <v>59.160691808807</v>
      </c>
      <c r="H722" s="194" t="n">
        <v>61.0940368376668</v>
      </c>
      <c r="I722" s="194" t="n">
        <v>58.5015543770187</v>
      </c>
      <c r="J722" s="194" t="n">
        <v>62.2553448542538</v>
      </c>
      <c r="K722" s="194" t="n">
        <v>58.0892720212203</v>
      </c>
      <c r="L722" s="194" t="n">
        <v>60.934538224249</v>
      </c>
      <c r="M722" s="194" t="n">
        <v>64.1750215107348</v>
      </c>
      <c r="N722" s="194" t="n">
        <v>63.2162282103491</v>
      </c>
      <c r="O722" s="194" t="n">
        <v>64.1110024637855</v>
      </c>
      <c r="P722" s="194" t="n">
        <v>65.8891633092842</v>
      </c>
      <c r="Q722" s="194" t="n">
        <v>68.1372859995298</v>
      </c>
      <c r="R722" s="194" t="n">
        <v>73.1648197940122</v>
      </c>
      <c r="S722" s="194" t="n">
        <v>76.0612304535734</v>
      </c>
      <c r="T722" s="194" t="n">
        <v>77.2005254122568</v>
      </c>
      <c r="U722" s="194" t="n">
        <v>84.2614628536302</v>
      </c>
      <c r="V722" s="194" t="n">
        <v>83.5142698779057</v>
      </c>
    </row>
    <row r="723" customFormat="false" ht="12.75" hidden="false" customHeight="false" outlineLevel="0" collapsed="false">
      <c r="A723" s="55"/>
      <c r="B723" s="189" t="s">
        <v>110</v>
      </c>
      <c r="C723" s="193" t="n">
        <v>0</v>
      </c>
      <c r="D723" s="194" t="n">
        <v>1.70641940126126</v>
      </c>
      <c r="E723" s="194" t="n">
        <v>1.72066029681914</v>
      </c>
      <c r="F723" s="194" t="n">
        <v>1.74525745828407</v>
      </c>
      <c r="G723" s="194" t="n">
        <v>1.80781471661541</v>
      </c>
      <c r="H723" s="194" t="n">
        <v>1.86437286352129</v>
      </c>
      <c r="I723" s="194" t="n">
        <v>1.85599682396836</v>
      </c>
      <c r="J723" s="194" t="n">
        <v>1.92568000012667</v>
      </c>
      <c r="K723" s="194" t="n">
        <v>1.97180011055713</v>
      </c>
      <c r="L723" s="194" t="n">
        <v>2.01922162542874</v>
      </c>
      <c r="M723" s="194" t="n">
        <v>2.06944392645385</v>
      </c>
      <c r="N723" s="194" t="n">
        <v>2.08831621436894</v>
      </c>
      <c r="O723" s="194" t="n">
        <v>2.1342825095309</v>
      </c>
      <c r="P723" s="194" t="n">
        <v>2.17106603243</v>
      </c>
      <c r="Q723" s="194" t="n">
        <v>2.23293299470427</v>
      </c>
      <c r="R723" s="194" t="n">
        <v>2.26386703849438</v>
      </c>
      <c r="S723" s="194" t="n">
        <v>2.30790536156965</v>
      </c>
      <c r="T723" s="194" t="n">
        <v>2.34941084771234</v>
      </c>
      <c r="U723" s="194" t="n">
        <v>2.41079329115454</v>
      </c>
      <c r="V723" s="194" t="n">
        <v>2.45068333348137</v>
      </c>
    </row>
    <row r="724" customFormat="false" ht="12.75" hidden="false" customHeight="false" outlineLevel="0" collapsed="false">
      <c r="A724" s="55"/>
      <c r="B724" s="189" t="s">
        <v>111</v>
      </c>
      <c r="C724" s="193" t="n">
        <v>0</v>
      </c>
      <c r="D724" s="194" t="n">
        <v>0</v>
      </c>
      <c r="E724" s="194" t="n">
        <v>0</v>
      </c>
      <c r="F724" s="194" t="n">
        <v>0</v>
      </c>
      <c r="G724" s="194" t="n">
        <v>0</v>
      </c>
      <c r="H724" s="194" t="n">
        <v>0</v>
      </c>
      <c r="I724" s="194" t="n">
        <v>-1.10530507522251</v>
      </c>
      <c r="J724" s="194" t="n">
        <v>-1.03652168400281</v>
      </c>
      <c r="K724" s="194" t="n">
        <v>-0.859401924782593</v>
      </c>
      <c r="L724" s="194" t="n">
        <v>-0.923096553498755</v>
      </c>
      <c r="M724" s="194" t="n">
        <v>-1.38174260930535</v>
      </c>
      <c r="N724" s="194" t="n">
        <v>-1.36645285156855</v>
      </c>
      <c r="O724" s="194" t="n">
        <v>-1.65500369087548</v>
      </c>
      <c r="P724" s="194" t="n">
        <v>-2.0857576700372</v>
      </c>
      <c r="Q724" s="194" t="n">
        <v>-2.13500213087947</v>
      </c>
      <c r="R724" s="194" t="n">
        <v>-2.6071969384898</v>
      </c>
      <c r="S724" s="194" t="n">
        <v>-2.66341437739542</v>
      </c>
      <c r="T724" s="194" t="n">
        <v>-3.11292602616767</v>
      </c>
      <c r="U724" s="194" t="n">
        <v>-2.58885663155596</v>
      </c>
      <c r="V724" s="194" t="n">
        <v>-2.24772816568245</v>
      </c>
    </row>
    <row r="725" customFormat="false" ht="12.75" hidden="false" customHeight="false" outlineLevel="0" collapsed="false">
      <c r="A725" s="55"/>
      <c r="B725" s="189" t="s">
        <v>112</v>
      </c>
      <c r="C725" s="193" t="n">
        <v>0</v>
      </c>
      <c r="D725" s="194" t="n">
        <v>0</v>
      </c>
      <c r="E725" s="194" t="n">
        <v>0</v>
      </c>
      <c r="F725" s="194" t="n">
        <v>0</v>
      </c>
      <c r="G725" s="194" t="n">
        <v>0</v>
      </c>
      <c r="H725" s="194" t="n">
        <v>0</v>
      </c>
      <c r="I725" s="194" t="n">
        <v>0</v>
      </c>
      <c r="J725" s="194" t="n">
        <v>0</v>
      </c>
      <c r="K725" s="194" t="n">
        <v>0</v>
      </c>
      <c r="L725" s="194" t="n">
        <v>0</v>
      </c>
      <c r="M725" s="194" t="n">
        <v>0</v>
      </c>
      <c r="N725" s="194" t="n">
        <v>0</v>
      </c>
      <c r="O725" s="194" t="n">
        <v>0</v>
      </c>
      <c r="P725" s="194" t="n">
        <v>0</v>
      </c>
      <c r="Q725" s="194" t="n">
        <v>0</v>
      </c>
      <c r="R725" s="194" t="n">
        <v>0</v>
      </c>
      <c r="S725" s="194" t="n">
        <v>0</v>
      </c>
      <c r="T725" s="194" t="n">
        <v>0</v>
      </c>
      <c r="U725" s="194" t="n">
        <v>0</v>
      </c>
      <c r="V725" s="194" t="n">
        <v>0</v>
      </c>
    </row>
    <row r="726" customFormat="false" ht="12.75" hidden="false" customHeight="false" outlineLevel="0" collapsed="false">
      <c r="A726" s="186" t="s">
        <v>113</v>
      </c>
      <c r="B726" s="189"/>
      <c r="C726" s="187"/>
      <c r="D726" s="188"/>
      <c r="E726" s="188"/>
      <c r="F726" s="188"/>
      <c r="G726" s="188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</row>
    <row r="727" customFormat="false" ht="12.75" hidden="false" customHeight="false" outlineLevel="0" collapsed="false">
      <c r="A727" s="55"/>
      <c r="B727" s="189" t="s">
        <v>26</v>
      </c>
      <c r="C727" s="193" t="n">
        <v>0</v>
      </c>
      <c r="D727" s="194" t="n">
        <v>4.26132540806133</v>
      </c>
      <c r="E727" s="194" t="n">
        <v>4.34655191622255</v>
      </c>
      <c r="F727" s="194" t="n">
        <v>4.433482954547</v>
      </c>
      <c r="G727" s="194" t="n">
        <v>4.52215261363794</v>
      </c>
      <c r="H727" s="194" t="n">
        <v>4.6125956659107</v>
      </c>
      <c r="I727" s="194" t="n">
        <v>4.70484757922892</v>
      </c>
      <c r="J727" s="194" t="n">
        <v>4.7989445308135</v>
      </c>
      <c r="K727" s="194" t="n">
        <v>4.89492342142977</v>
      </c>
      <c r="L727" s="194" t="n">
        <v>4.99282188985836</v>
      </c>
      <c r="M727" s="194" t="n">
        <v>5.09267832765553</v>
      </c>
      <c r="N727" s="194" t="n">
        <v>5.19453189420864</v>
      </c>
      <c r="O727" s="194" t="n">
        <v>5.29842253209281</v>
      </c>
      <c r="P727" s="194" t="n">
        <v>5.40439098273467</v>
      </c>
      <c r="Q727" s="194" t="n">
        <v>5.51247880238936</v>
      </c>
      <c r="R727" s="194" t="n">
        <v>5.62272837843715</v>
      </c>
      <c r="S727" s="194" t="n">
        <v>5.73518294600589</v>
      </c>
      <c r="T727" s="194" t="n">
        <v>5.84988660492601</v>
      </c>
      <c r="U727" s="194" t="n">
        <v>5.96688433702453</v>
      </c>
      <c r="V727" s="194" t="n">
        <v>6.08622202376502</v>
      </c>
    </row>
    <row r="728" customFormat="false" ht="12.75" hidden="false" customHeight="false" outlineLevel="0" collapsed="false">
      <c r="A728" s="55"/>
      <c r="B728" s="189" t="s">
        <v>114</v>
      </c>
      <c r="C728" s="193" t="n">
        <v>0</v>
      </c>
      <c r="D728" s="194" t="n">
        <v>2.0568909100341</v>
      </c>
      <c r="E728" s="194" t="n">
        <v>2.0568909100341</v>
      </c>
      <c r="F728" s="194" t="n">
        <v>2.0568909100341</v>
      </c>
      <c r="G728" s="194" t="n">
        <v>2.0568909100341</v>
      </c>
      <c r="H728" s="194" t="n">
        <v>2.0568909100341</v>
      </c>
      <c r="I728" s="194" t="n">
        <v>2.0568909100341</v>
      </c>
      <c r="J728" s="194" t="n">
        <v>2.0568909100341</v>
      </c>
      <c r="K728" s="194" t="n">
        <v>2.0568909100341</v>
      </c>
      <c r="L728" s="194" t="n">
        <v>2.0568909100341</v>
      </c>
      <c r="M728" s="194" t="n">
        <v>2.0568909100341</v>
      </c>
      <c r="N728" s="194" t="n">
        <v>2.0568909100341</v>
      </c>
      <c r="O728" s="194" t="n">
        <v>2.0568909100341</v>
      </c>
      <c r="P728" s="194" t="n">
        <v>2.0568909100341</v>
      </c>
      <c r="Q728" s="194" t="n">
        <v>2.0568909100341</v>
      </c>
      <c r="R728" s="194" t="n">
        <v>2.0568909100341</v>
      </c>
      <c r="S728" s="194" t="n">
        <v>2.0568909100341</v>
      </c>
      <c r="T728" s="194" t="n">
        <v>2.0568909100341</v>
      </c>
      <c r="U728" s="194" t="n">
        <v>2.0568909100341</v>
      </c>
      <c r="V728" s="194" t="n">
        <v>2.0568909100341</v>
      </c>
    </row>
    <row r="729" customFormat="false" ht="12.75" hidden="false" customHeight="false" outlineLevel="0" collapsed="false">
      <c r="A729" s="55"/>
      <c r="B729" s="189" t="s">
        <v>28</v>
      </c>
      <c r="C729" s="193" t="n">
        <v>0</v>
      </c>
      <c r="D729" s="194" t="n">
        <v>0.414071059483147</v>
      </c>
      <c r="E729" s="194" t="n">
        <v>0.422807958838244</v>
      </c>
      <c r="F729" s="194" t="n">
        <v>0.432067453136802</v>
      </c>
      <c r="G729" s="194" t="n">
        <v>0.44183217757769</v>
      </c>
      <c r="H729" s="194" t="n">
        <v>0.45234778340404</v>
      </c>
      <c r="I729" s="194" t="n">
        <v>0.46368366433148</v>
      </c>
      <c r="J729" s="194" t="n">
        <v>0.475184310970077</v>
      </c>
      <c r="K729" s="194" t="n">
        <v>0.48721220788437</v>
      </c>
      <c r="L729" s="194" t="n">
        <v>0.499246349419114</v>
      </c>
      <c r="M729" s="194" t="n">
        <v>0.5119771313293</v>
      </c>
      <c r="N729" s="194" t="n">
        <v>0.524366977907471</v>
      </c>
      <c r="O729" s="194" t="n">
        <v>0.537581025750738</v>
      </c>
      <c r="P729" s="194" t="n">
        <v>0.551235583804805</v>
      </c>
      <c r="Q729" s="194" t="n">
        <v>0.565016473399926</v>
      </c>
      <c r="R729" s="194" t="n">
        <v>0.579198386882264</v>
      </c>
      <c r="S729" s="194" t="n">
        <v>0.593678346554322</v>
      </c>
      <c r="T729" s="194" t="n">
        <v>0.608401569548867</v>
      </c>
      <c r="U729" s="194" t="n">
        <v>0.623672448944545</v>
      </c>
      <c r="V729" s="194" t="n">
        <v>0.639326627413054</v>
      </c>
    </row>
    <row r="730" customFormat="false" ht="12.75" hidden="false" customHeight="false" outlineLevel="0" collapsed="false">
      <c r="A730" s="55"/>
      <c r="B730" s="189" t="s">
        <v>33</v>
      </c>
      <c r="C730" s="193" t="n">
        <v>0</v>
      </c>
      <c r="D730" s="194" t="n">
        <v>4.42106025193868</v>
      </c>
      <c r="E730" s="194" t="n">
        <v>0.18365742571884</v>
      </c>
      <c r="F730" s="194" t="n">
        <v>0.189143744082078</v>
      </c>
      <c r="G730" s="194" t="n">
        <v>0.195487277216449</v>
      </c>
      <c r="H730" s="194" t="n">
        <v>1.0353110639675</v>
      </c>
      <c r="I730" s="194" t="n">
        <v>1.06637039588652</v>
      </c>
      <c r="J730" s="194" t="n">
        <v>1.09836150776312</v>
      </c>
      <c r="K730" s="194" t="n">
        <v>1.13131235299601</v>
      </c>
      <c r="L730" s="194" t="n">
        <v>1.16525172358589</v>
      </c>
      <c r="M730" s="194" t="n">
        <v>1.20020927529347</v>
      </c>
      <c r="N730" s="194" t="n">
        <v>1.23621555355227</v>
      </c>
      <c r="O730" s="194" t="n">
        <v>1.27330202015884</v>
      </c>
      <c r="P730" s="194" t="n">
        <v>1.3115010807636</v>
      </c>
      <c r="Q730" s="194" t="n">
        <v>1.35084611318651</v>
      </c>
      <c r="R730" s="194" t="n">
        <v>1.39137149658211</v>
      </c>
      <c r="S730" s="194" t="n">
        <v>1.43311264147957</v>
      </c>
      <c r="T730" s="194" t="n">
        <v>1.47610602072396</v>
      </c>
      <c r="U730" s="194" t="n">
        <v>1.52038920134568</v>
      </c>
      <c r="V730" s="194" t="n">
        <v>1.56600087738605</v>
      </c>
    </row>
    <row r="731" customFormat="false" ht="12.75" hidden="false" customHeight="false" outlineLevel="0" collapsed="false">
      <c r="A731" s="55"/>
      <c r="B731" s="189" t="s">
        <v>115</v>
      </c>
      <c r="C731" s="195" t="n">
        <v>0</v>
      </c>
      <c r="D731" s="196" t="n">
        <v>0</v>
      </c>
      <c r="E731" s="196" t="n">
        <v>0</v>
      </c>
      <c r="F731" s="196" t="n">
        <v>0</v>
      </c>
      <c r="G731" s="196" t="n">
        <v>0</v>
      </c>
      <c r="H731" s="196" t="n">
        <v>0</v>
      </c>
      <c r="I731" s="196" t="n">
        <v>0</v>
      </c>
      <c r="J731" s="196" t="n">
        <v>0</v>
      </c>
      <c r="K731" s="196" t="n">
        <v>0</v>
      </c>
      <c r="L731" s="196" t="n">
        <v>0</v>
      </c>
      <c r="M731" s="196" t="n">
        <v>0</v>
      </c>
      <c r="N731" s="196" t="n">
        <v>0</v>
      </c>
      <c r="O731" s="196" t="n">
        <v>0</v>
      </c>
      <c r="P731" s="196" t="n">
        <v>0</v>
      </c>
      <c r="Q731" s="196" t="n">
        <v>0</v>
      </c>
      <c r="R731" s="196" t="n">
        <v>0</v>
      </c>
      <c r="S731" s="196" t="n">
        <v>0</v>
      </c>
      <c r="T731" s="196" t="n">
        <v>0</v>
      </c>
      <c r="U731" s="196" t="n">
        <v>0</v>
      </c>
      <c r="V731" s="196" t="n">
        <v>0</v>
      </c>
    </row>
    <row r="732" customFormat="false" ht="12.75" hidden="false" customHeight="false" outlineLevel="0" collapsed="false">
      <c r="A732" s="55"/>
      <c r="B732" s="189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</row>
    <row r="733" customFormat="false" ht="12.75" hidden="false" customHeight="false" outlineLevel="0" collapsed="false">
      <c r="A733" s="55"/>
      <c r="B733" s="189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</row>
    <row r="734" customFormat="false" ht="12.75" hidden="false" customHeight="false" outlineLevel="0" collapsed="false">
      <c r="B734" s="263"/>
    </row>
    <row r="735" customFormat="false" ht="12.75" hidden="false" customHeight="false" outlineLevel="0" collapsed="false">
      <c r="B735" s="263"/>
    </row>
    <row r="736" customFormat="false" ht="12.75" hidden="false" customHeight="false" outlineLevel="0" collapsed="false">
      <c r="A736" s="52" t="s">
        <v>105</v>
      </c>
      <c r="B736" s="182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</row>
    <row r="737" customFormat="false" ht="12.75" hidden="false" customHeight="false" outlineLevel="0" collapsed="false">
      <c r="A737" s="183" t="s">
        <v>101</v>
      </c>
      <c r="B737" s="182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</row>
    <row r="738" customFormat="false" ht="12.75" hidden="false" customHeight="false" outlineLevel="0" collapsed="false">
      <c r="A738" s="55"/>
      <c r="B738" s="182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</row>
    <row r="739" customFormat="false" ht="12.75" hidden="false" customHeight="false" outlineLevel="0" collapsed="false">
      <c r="A739" s="55"/>
      <c r="B739" s="182"/>
      <c r="C739" s="184" t="n">
        <v>2000</v>
      </c>
      <c r="D739" s="185" t="n">
        <v>2001</v>
      </c>
      <c r="E739" s="185" t="n">
        <v>2002</v>
      </c>
      <c r="F739" s="185" t="n">
        <v>2003</v>
      </c>
      <c r="G739" s="185" t="n">
        <v>2004</v>
      </c>
      <c r="H739" s="185" t="n">
        <v>2005</v>
      </c>
      <c r="I739" s="185" t="n">
        <v>2006</v>
      </c>
      <c r="J739" s="185" t="n">
        <v>2007</v>
      </c>
      <c r="K739" s="185" t="n">
        <v>2008</v>
      </c>
      <c r="L739" s="185" t="n">
        <v>2009</v>
      </c>
      <c r="M739" s="185" t="n">
        <v>2010</v>
      </c>
      <c r="N739" s="185" t="n">
        <v>2011</v>
      </c>
      <c r="O739" s="185" t="n">
        <v>2012</v>
      </c>
      <c r="P739" s="185" t="n">
        <v>2013</v>
      </c>
      <c r="Q739" s="185" t="n">
        <v>2014</v>
      </c>
      <c r="R739" s="185" t="n">
        <v>2015</v>
      </c>
      <c r="S739" s="185" t="n">
        <v>2016</v>
      </c>
      <c r="T739" s="185" t="n">
        <v>2017</v>
      </c>
      <c r="U739" s="185" t="n">
        <v>2018</v>
      </c>
      <c r="V739" s="185" t="n">
        <v>2019</v>
      </c>
    </row>
    <row r="740" customFormat="false" ht="12.75" hidden="false" customHeight="false" outlineLevel="0" collapsed="false">
      <c r="A740" s="186" t="s">
        <v>106</v>
      </c>
      <c r="B740" s="182"/>
      <c r="C740" s="187"/>
      <c r="D740" s="188"/>
      <c r="E740" s="188"/>
      <c r="F740" s="188"/>
      <c r="G740" s="188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</row>
    <row r="741" customFormat="false" ht="12.75" hidden="false" customHeight="false" outlineLevel="0" collapsed="false">
      <c r="A741" s="55"/>
      <c r="B741" s="189" t="s">
        <v>107</v>
      </c>
      <c r="C741" s="190" t="n">
        <v>0</v>
      </c>
      <c r="D741" s="191" t="n">
        <v>35727.4395626229</v>
      </c>
      <c r="E741" s="191" t="n">
        <v>50112.6700627043</v>
      </c>
      <c r="F741" s="191" t="n">
        <v>56679.3698310595</v>
      </c>
      <c r="G741" s="191" t="n">
        <v>59907.885916076</v>
      </c>
      <c r="H741" s="191" t="n">
        <v>62114.0321068906</v>
      </c>
      <c r="I741" s="191" t="n">
        <v>84517.8633675256</v>
      </c>
      <c r="J741" s="191" t="n">
        <v>99897.9740172657</v>
      </c>
      <c r="K741" s="191" t="n">
        <v>132951.956667169</v>
      </c>
      <c r="L741" s="191" t="n">
        <v>135950.716357983</v>
      </c>
      <c r="M741" s="191" t="n">
        <v>101010.45101694</v>
      </c>
      <c r="N741" s="191" t="n">
        <v>112515.699976354</v>
      </c>
      <c r="O741" s="191" t="n">
        <v>102928.778728536</v>
      </c>
      <c r="P741" s="191" t="n">
        <v>91575.5322672657</v>
      </c>
      <c r="Q741" s="191" t="n">
        <v>99586.6304193506</v>
      </c>
      <c r="R741" s="191" t="n">
        <v>90332.8098831288</v>
      </c>
      <c r="S741" s="191" t="n">
        <v>97091.7817468098</v>
      </c>
      <c r="T741" s="191" t="n">
        <v>81613.7660580959</v>
      </c>
      <c r="U741" s="191" t="n">
        <v>83959.8568626729</v>
      </c>
      <c r="V741" s="191" t="n">
        <v>100262.23574681</v>
      </c>
    </row>
    <row r="742" customFormat="false" ht="12.75" hidden="false" customHeight="false" outlineLevel="0" collapsed="false">
      <c r="A742" s="55"/>
      <c r="B742" s="189" t="s">
        <v>108</v>
      </c>
      <c r="C742" s="190" t="n">
        <v>0</v>
      </c>
      <c r="D742" s="192" t="n">
        <v>0.0488832336835048</v>
      </c>
      <c r="E742" s="192" t="n">
        <v>0.0685654889118427</v>
      </c>
      <c r="F742" s="192" t="n">
        <v>0.077550222305437</v>
      </c>
      <c r="G742" s="192" t="n">
        <v>0.0819675639388387</v>
      </c>
      <c r="H742" s="192" t="n">
        <v>0.0849860718729585</v>
      </c>
      <c r="I742" s="192" t="n">
        <v>0.115639590074279</v>
      </c>
      <c r="J742" s="192" t="n">
        <v>0.136683066801784</v>
      </c>
      <c r="K742" s="192" t="n">
        <v>0.181908405584139</v>
      </c>
      <c r="L742" s="192" t="n">
        <v>0.186011388404103</v>
      </c>
      <c r="M742" s="192" t="n">
        <v>0.138205187440944</v>
      </c>
      <c r="N742" s="192" t="n">
        <v>0.15394697527559</v>
      </c>
      <c r="O742" s="192" t="n">
        <v>0.140829894471604</v>
      </c>
      <c r="P742" s="192" t="n">
        <v>0.125296080500414</v>
      </c>
      <c r="Q742" s="192" t="n">
        <v>0.13625707820481</v>
      </c>
      <c r="R742" s="192" t="n">
        <v>0.123595754659795</v>
      </c>
      <c r="S742" s="192" t="n">
        <v>0.132843559851472</v>
      </c>
      <c r="T742" s="192" t="n">
        <v>0.111666126843933</v>
      </c>
      <c r="U742" s="192" t="n">
        <v>0.114876110723182</v>
      </c>
      <c r="V742" s="192" t="n">
        <v>0.137181459394851</v>
      </c>
    </row>
    <row r="743" customFormat="false" ht="12.75" hidden="false" customHeight="false" outlineLevel="0" collapsed="false">
      <c r="A743" s="186" t="s">
        <v>109</v>
      </c>
      <c r="B743" s="189"/>
      <c r="C743" s="187"/>
      <c r="D743" s="188"/>
      <c r="E743" s="188"/>
      <c r="F743" s="188"/>
      <c r="G743" s="188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</row>
    <row r="744" customFormat="false" ht="12.75" hidden="false" customHeight="false" outlineLevel="0" collapsed="false">
      <c r="A744" s="55"/>
      <c r="B744" s="189" t="s">
        <v>20</v>
      </c>
      <c r="C744" s="193" t="n">
        <v>0</v>
      </c>
      <c r="D744" s="194" t="n">
        <v>229.576356207753</v>
      </c>
      <c r="E744" s="194" t="n">
        <v>144.057883695469</v>
      </c>
      <c r="F744" s="194" t="n">
        <v>123.068233639534</v>
      </c>
      <c r="G744" s="194" t="n">
        <v>111.818359759912</v>
      </c>
      <c r="H744" s="194" t="n">
        <v>110.720342376328</v>
      </c>
      <c r="I744" s="194" t="n">
        <v>93.1864323985051</v>
      </c>
      <c r="J744" s="194" t="n">
        <v>95.4210193561345</v>
      </c>
      <c r="K744" s="194" t="n">
        <v>91.1390348372349</v>
      </c>
      <c r="L744" s="194" t="n">
        <v>94.604106625883</v>
      </c>
      <c r="M744" s="194" t="n">
        <v>109.559911729406</v>
      </c>
      <c r="N744" s="194" t="n">
        <v>96.3963073623191</v>
      </c>
      <c r="O744" s="194" t="n">
        <v>105.288002013108</v>
      </c>
      <c r="P744" s="194" t="n">
        <v>109.309122566991</v>
      </c>
      <c r="Q744" s="194" t="n">
        <v>116.558423057572</v>
      </c>
      <c r="R744" s="194" t="n">
        <v>119.810937911363</v>
      </c>
      <c r="S744" s="194" t="n">
        <v>112.428404189045</v>
      </c>
      <c r="T744" s="194" t="n">
        <v>123.335799382714</v>
      </c>
      <c r="U744" s="194" t="n">
        <v>135.865011120275</v>
      </c>
      <c r="V744" s="194" t="n">
        <v>123.105907146256</v>
      </c>
    </row>
    <row r="745" customFormat="false" ht="12.75" hidden="false" customHeight="false" outlineLevel="0" collapsed="false">
      <c r="A745" s="55"/>
      <c r="B745" s="189" t="s">
        <v>21</v>
      </c>
      <c r="C745" s="193" t="n">
        <v>0</v>
      </c>
      <c r="D745" s="194" t="n">
        <v>68.3997280765247</v>
      </c>
      <c r="E745" s="194" t="n">
        <v>59.6970995293586</v>
      </c>
      <c r="F745" s="194" t="n">
        <v>57.0761409227955</v>
      </c>
      <c r="G745" s="194" t="n">
        <v>59.160691808807</v>
      </c>
      <c r="H745" s="194" t="n">
        <v>61.0940368376668</v>
      </c>
      <c r="I745" s="194" t="n">
        <v>58.5015543770187</v>
      </c>
      <c r="J745" s="194" t="n">
        <v>62.2553448542538</v>
      </c>
      <c r="K745" s="194" t="n">
        <v>58.0892720212203</v>
      </c>
      <c r="L745" s="194" t="n">
        <v>60.934538224249</v>
      </c>
      <c r="M745" s="194" t="n">
        <v>64.1750215107348</v>
      </c>
      <c r="N745" s="194" t="n">
        <v>63.2162282103491</v>
      </c>
      <c r="O745" s="194" t="n">
        <v>64.1110024637855</v>
      </c>
      <c r="P745" s="194" t="n">
        <v>65.8891633092842</v>
      </c>
      <c r="Q745" s="194" t="n">
        <v>68.1372859995298</v>
      </c>
      <c r="R745" s="194" t="n">
        <v>73.1648197940122</v>
      </c>
      <c r="S745" s="194" t="n">
        <v>76.0612304535734</v>
      </c>
      <c r="T745" s="194" t="n">
        <v>77.2005254122568</v>
      </c>
      <c r="U745" s="194" t="n">
        <v>84.2614628536302</v>
      </c>
      <c r="V745" s="194" t="n">
        <v>83.5142698779057</v>
      </c>
    </row>
    <row r="746" customFormat="false" ht="12.75" hidden="false" customHeight="false" outlineLevel="0" collapsed="false">
      <c r="A746" s="55"/>
      <c r="B746" s="189" t="s">
        <v>110</v>
      </c>
      <c r="C746" s="193" t="n">
        <v>0</v>
      </c>
      <c r="D746" s="194" t="n">
        <v>1.70641940126126</v>
      </c>
      <c r="E746" s="194" t="n">
        <v>1.72066029681914</v>
      </c>
      <c r="F746" s="194" t="n">
        <v>1.74525745828407</v>
      </c>
      <c r="G746" s="194" t="n">
        <v>1.80781471661541</v>
      </c>
      <c r="H746" s="194" t="n">
        <v>1.86437286352129</v>
      </c>
      <c r="I746" s="194" t="n">
        <v>1.85599682396836</v>
      </c>
      <c r="J746" s="194" t="n">
        <v>1.92568000012667</v>
      </c>
      <c r="K746" s="194" t="n">
        <v>1.97180011055713</v>
      </c>
      <c r="L746" s="194" t="n">
        <v>2.01922162542874</v>
      </c>
      <c r="M746" s="194" t="n">
        <v>2.06944392645385</v>
      </c>
      <c r="N746" s="194" t="n">
        <v>2.08831621436894</v>
      </c>
      <c r="O746" s="194" t="n">
        <v>2.1342825095309</v>
      </c>
      <c r="P746" s="194" t="n">
        <v>2.17106603243</v>
      </c>
      <c r="Q746" s="194" t="n">
        <v>2.23293299470427</v>
      </c>
      <c r="R746" s="194" t="n">
        <v>2.26386703849438</v>
      </c>
      <c r="S746" s="194" t="n">
        <v>2.30790536156965</v>
      </c>
      <c r="T746" s="194" t="n">
        <v>2.34941084771234</v>
      </c>
      <c r="U746" s="194" t="n">
        <v>2.41079329115454</v>
      </c>
      <c r="V746" s="194" t="n">
        <v>2.45068333348137</v>
      </c>
    </row>
    <row r="747" customFormat="false" ht="12.75" hidden="false" customHeight="false" outlineLevel="0" collapsed="false">
      <c r="A747" s="55"/>
      <c r="B747" s="189" t="s">
        <v>111</v>
      </c>
      <c r="C747" s="193" t="n">
        <v>0</v>
      </c>
      <c r="D747" s="194" t="n">
        <v>0</v>
      </c>
      <c r="E747" s="194" t="n">
        <v>0</v>
      </c>
      <c r="F747" s="194" t="n">
        <v>0</v>
      </c>
      <c r="G747" s="194" t="n">
        <v>0</v>
      </c>
      <c r="H747" s="194" t="n">
        <v>0</v>
      </c>
      <c r="I747" s="194" t="n">
        <v>-1.10530507522251</v>
      </c>
      <c r="J747" s="194" t="n">
        <v>-1.03652168400281</v>
      </c>
      <c r="K747" s="194" t="n">
        <v>-0.859401924782593</v>
      </c>
      <c r="L747" s="194" t="n">
        <v>-0.923096553498755</v>
      </c>
      <c r="M747" s="194" t="n">
        <v>-1.38174260930535</v>
      </c>
      <c r="N747" s="194" t="n">
        <v>-1.36645285156855</v>
      </c>
      <c r="O747" s="194" t="n">
        <v>-1.65500369087548</v>
      </c>
      <c r="P747" s="194" t="n">
        <v>-2.0857576700372</v>
      </c>
      <c r="Q747" s="194" t="n">
        <v>-2.13500213087947</v>
      </c>
      <c r="R747" s="194" t="n">
        <v>-2.6071969384898</v>
      </c>
      <c r="S747" s="194" t="n">
        <v>-2.66341437739542</v>
      </c>
      <c r="T747" s="194" t="n">
        <v>-3.11292602616767</v>
      </c>
      <c r="U747" s="194" t="n">
        <v>-2.58885663155596</v>
      </c>
      <c r="V747" s="194" t="n">
        <v>-2.24772816568245</v>
      </c>
    </row>
    <row r="748" customFormat="false" ht="12.75" hidden="false" customHeight="false" outlineLevel="0" collapsed="false">
      <c r="A748" s="55"/>
      <c r="B748" s="189" t="s">
        <v>112</v>
      </c>
      <c r="C748" s="193" t="n">
        <v>0</v>
      </c>
      <c r="D748" s="194" t="n">
        <v>0</v>
      </c>
      <c r="E748" s="194" t="n">
        <v>0</v>
      </c>
      <c r="F748" s="194" t="n">
        <v>0</v>
      </c>
      <c r="G748" s="194" t="n">
        <v>0</v>
      </c>
      <c r="H748" s="194" t="n">
        <v>0</v>
      </c>
      <c r="I748" s="194" t="n">
        <v>0</v>
      </c>
      <c r="J748" s="194" t="n">
        <v>0</v>
      </c>
      <c r="K748" s="194" t="n">
        <v>0</v>
      </c>
      <c r="L748" s="194" t="n">
        <v>0</v>
      </c>
      <c r="M748" s="194" t="n">
        <v>0</v>
      </c>
      <c r="N748" s="194" t="n">
        <v>0</v>
      </c>
      <c r="O748" s="194" t="n">
        <v>0</v>
      </c>
      <c r="P748" s="194" t="n">
        <v>0</v>
      </c>
      <c r="Q748" s="194" t="n">
        <v>0</v>
      </c>
      <c r="R748" s="194" t="n">
        <v>0</v>
      </c>
      <c r="S748" s="194" t="n">
        <v>0</v>
      </c>
      <c r="T748" s="194" t="n">
        <v>0</v>
      </c>
      <c r="U748" s="194" t="n">
        <v>0</v>
      </c>
      <c r="V748" s="194" t="n">
        <v>0</v>
      </c>
    </row>
    <row r="749" customFormat="false" ht="12.75" hidden="false" customHeight="false" outlineLevel="0" collapsed="false">
      <c r="A749" s="186" t="s">
        <v>113</v>
      </c>
      <c r="B749" s="189"/>
      <c r="C749" s="187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</row>
    <row r="750" customFormat="false" ht="12.75" hidden="false" customHeight="false" outlineLevel="0" collapsed="false">
      <c r="A750" s="55"/>
      <c r="B750" s="189" t="s">
        <v>26</v>
      </c>
      <c r="C750" s="193" t="n">
        <v>0</v>
      </c>
      <c r="D750" s="194" t="n">
        <v>4.26132540806133</v>
      </c>
      <c r="E750" s="194" t="n">
        <v>4.34655191622255</v>
      </c>
      <c r="F750" s="194" t="n">
        <v>4.433482954547</v>
      </c>
      <c r="G750" s="194" t="n">
        <v>4.52215261363794</v>
      </c>
      <c r="H750" s="194" t="n">
        <v>4.6125956659107</v>
      </c>
      <c r="I750" s="194" t="n">
        <v>4.70484757922892</v>
      </c>
      <c r="J750" s="194" t="n">
        <v>4.7989445308135</v>
      </c>
      <c r="K750" s="194" t="n">
        <v>4.89492342142977</v>
      </c>
      <c r="L750" s="194" t="n">
        <v>4.99282188985836</v>
      </c>
      <c r="M750" s="194" t="n">
        <v>5.09267832765553</v>
      </c>
      <c r="N750" s="194" t="n">
        <v>5.19453189420864</v>
      </c>
      <c r="O750" s="194" t="n">
        <v>5.29842253209281</v>
      </c>
      <c r="P750" s="194" t="n">
        <v>5.40439098273467</v>
      </c>
      <c r="Q750" s="194" t="n">
        <v>5.51247880238936</v>
      </c>
      <c r="R750" s="194" t="n">
        <v>5.62272837843715</v>
      </c>
      <c r="S750" s="194" t="n">
        <v>5.73518294600589</v>
      </c>
      <c r="T750" s="194" t="n">
        <v>5.84988660492601</v>
      </c>
      <c r="U750" s="194" t="n">
        <v>5.96688433702453</v>
      </c>
      <c r="V750" s="194" t="n">
        <v>6.08622202376502</v>
      </c>
    </row>
    <row r="751" customFormat="false" ht="12.75" hidden="false" customHeight="false" outlineLevel="0" collapsed="false">
      <c r="A751" s="55"/>
      <c r="B751" s="189" t="s">
        <v>114</v>
      </c>
      <c r="C751" s="193" t="n">
        <v>0</v>
      </c>
      <c r="D751" s="194" t="n">
        <v>2.0568909100341</v>
      </c>
      <c r="E751" s="194" t="n">
        <v>2.0568909100341</v>
      </c>
      <c r="F751" s="194" t="n">
        <v>2.0568909100341</v>
      </c>
      <c r="G751" s="194" t="n">
        <v>2.0568909100341</v>
      </c>
      <c r="H751" s="194" t="n">
        <v>2.0568909100341</v>
      </c>
      <c r="I751" s="194" t="n">
        <v>2.0568909100341</v>
      </c>
      <c r="J751" s="194" t="n">
        <v>2.0568909100341</v>
      </c>
      <c r="K751" s="194" t="n">
        <v>2.0568909100341</v>
      </c>
      <c r="L751" s="194" t="n">
        <v>2.0568909100341</v>
      </c>
      <c r="M751" s="194" t="n">
        <v>2.0568909100341</v>
      </c>
      <c r="N751" s="194" t="n">
        <v>2.0568909100341</v>
      </c>
      <c r="O751" s="194" t="n">
        <v>2.0568909100341</v>
      </c>
      <c r="P751" s="194" t="n">
        <v>2.0568909100341</v>
      </c>
      <c r="Q751" s="194" t="n">
        <v>2.0568909100341</v>
      </c>
      <c r="R751" s="194" t="n">
        <v>2.0568909100341</v>
      </c>
      <c r="S751" s="194" t="n">
        <v>2.0568909100341</v>
      </c>
      <c r="T751" s="194" t="n">
        <v>2.0568909100341</v>
      </c>
      <c r="U751" s="194" t="n">
        <v>2.0568909100341</v>
      </c>
      <c r="V751" s="194" t="n">
        <v>2.0568909100341</v>
      </c>
    </row>
    <row r="752" customFormat="false" ht="12.75" hidden="false" customHeight="false" outlineLevel="0" collapsed="false">
      <c r="A752" s="55"/>
      <c r="B752" s="189" t="s">
        <v>28</v>
      </c>
      <c r="C752" s="193" t="n">
        <v>0</v>
      </c>
      <c r="D752" s="194" t="n">
        <v>0.414071059483147</v>
      </c>
      <c r="E752" s="194" t="n">
        <v>0.422807958838244</v>
      </c>
      <c r="F752" s="194" t="n">
        <v>0.432067453136802</v>
      </c>
      <c r="G752" s="194" t="n">
        <v>0.44183217757769</v>
      </c>
      <c r="H752" s="194" t="n">
        <v>0.45234778340404</v>
      </c>
      <c r="I752" s="194" t="n">
        <v>0.46368366433148</v>
      </c>
      <c r="J752" s="194" t="n">
        <v>0.475184310970077</v>
      </c>
      <c r="K752" s="194" t="n">
        <v>0.48721220788437</v>
      </c>
      <c r="L752" s="194" t="n">
        <v>0.499246349419114</v>
      </c>
      <c r="M752" s="194" t="n">
        <v>0.5119771313293</v>
      </c>
      <c r="N752" s="194" t="n">
        <v>0.524366977907471</v>
      </c>
      <c r="O752" s="194" t="n">
        <v>0.537581025750738</v>
      </c>
      <c r="P752" s="194" t="n">
        <v>0.551235583804805</v>
      </c>
      <c r="Q752" s="194" t="n">
        <v>0.565016473399926</v>
      </c>
      <c r="R752" s="194" t="n">
        <v>0.579198386882264</v>
      </c>
      <c r="S752" s="194" t="n">
        <v>0.593678346554322</v>
      </c>
      <c r="T752" s="194" t="n">
        <v>0.608401569548867</v>
      </c>
      <c r="U752" s="194" t="n">
        <v>0.623672448944545</v>
      </c>
      <c r="V752" s="194" t="n">
        <v>0.639326627413054</v>
      </c>
    </row>
    <row r="753" customFormat="false" ht="12.75" hidden="false" customHeight="false" outlineLevel="0" collapsed="false">
      <c r="A753" s="55"/>
      <c r="B753" s="189" t="s">
        <v>33</v>
      </c>
      <c r="C753" s="193" t="n">
        <v>0</v>
      </c>
      <c r="D753" s="194" t="n">
        <v>4.41386058274304</v>
      </c>
      <c r="E753" s="194" t="n">
        <v>0.176277372262774</v>
      </c>
      <c r="F753" s="194" t="n">
        <v>0.181579111382786</v>
      </c>
      <c r="G753" s="194" t="n">
        <v>0.18770798125442</v>
      </c>
      <c r="H753" s="194" t="n">
        <v>1.02775721836683</v>
      </c>
      <c r="I753" s="194" t="n">
        <v>1.05858993491784</v>
      </c>
      <c r="J753" s="194" t="n">
        <v>1.09034763296537</v>
      </c>
      <c r="K753" s="194" t="n">
        <v>1.12305806195433</v>
      </c>
      <c r="L753" s="194" t="n">
        <v>1.15674980381296</v>
      </c>
      <c r="M753" s="194" t="n">
        <v>1.19145229792735</v>
      </c>
      <c r="N753" s="194" t="n">
        <v>1.22719586686517</v>
      </c>
      <c r="O753" s="194" t="n">
        <v>1.26401174287113</v>
      </c>
      <c r="P753" s="194" t="n">
        <v>1.30193209515726</v>
      </c>
      <c r="Q753" s="194" t="n">
        <v>1.34099005801198</v>
      </c>
      <c r="R753" s="194" t="n">
        <v>1.38121975975234</v>
      </c>
      <c r="S753" s="194" t="n">
        <v>1.42265635254491</v>
      </c>
      <c r="T753" s="194" t="n">
        <v>1.46533604312126</v>
      </c>
      <c r="U753" s="194" t="n">
        <v>1.5092961244149</v>
      </c>
      <c r="V753" s="194" t="n">
        <v>1.55457500814734</v>
      </c>
    </row>
    <row r="754" customFormat="false" ht="12.75" hidden="false" customHeight="false" outlineLevel="0" collapsed="false">
      <c r="A754" s="55"/>
      <c r="B754" s="189" t="s">
        <v>115</v>
      </c>
      <c r="C754" s="195" t="n">
        <v>0</v>
      </c>
      <c r="D754" s="196" t="n">
        <v>0</v>
      </c>
      <c r="E754" s="196" t="n">
        <v>0</v>
      </c>
      <c r="F754" s="196" t="n">
        <v>0</v>
      </c>
      <c r="G754" s="196" t="n">
        <v>0</v>
      </c>
      <c r="H754" s="196" t="n">
        <v>0</v>
      </c>
      <c r="I754" s="196" t="n">
        <v>0</v>
      </c>
      <c r="J754" s="196" t="n">
        <v>0</v>
      </c>
      <c r="K754" s="196" t="n">
        <v>0</v>
      </c>
      <c r="L754" s="196" t="n">
        <v>0</v>
      </c>
      <c r="M754" s="196" t="n">
        <v>0</v>
      </c>
      <c r="N754" s="196" t="n">
        <v>0</v>
      </c>
      <c r="O754" s="196" t="n">
        <v>0</v>
      </c>
      <c r="P754" s="196" t="n">
        <v>0</v>
      </c>
      <c r="Q754" s="196" t="n">
        <v>0</v>
      </c>
      <c r="R754" s="196" t="n">
        <v>0</v>
      </c>
      <c r="S754" s="196" t="n">
        <v>0</v>
      </c>
      <c r="T754" s="196" t="n">
        <v>0</v>
      </c>
      <c r="U754" s="196" t="n">
        <v>0</v>
      </c>
      <c r="V754" s="196" t="n">
        <v>0</v>
      </c>
    </row>
    <row r="755" customFormat="false" ht="12.75" hidden="false" customHeight="false" outlineLevel="0" collapsed="false">
      <c r="A755" s="55"/>
      <c r="B755" s="189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</row>
    <row r="756" customFormat="false" ht="12.75" hidden="false" customHeight="false" outlineLevel="0" collapsed="false">
      <c r="A756" s="55"/>
      <c r="B756" s="189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</row>
    <row r="759" customFormat="false" ht="12.75" hidden="false" customHeight="false" outlineLevel="0" collapsed="false">
      <c r="A759" s="52" t="s">
        <v>105</v>
      </c>
      <c r="B759" s="182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</row>
    <row r="760" customFormat="false" ht="12.75" hidden="false" customHeight="false" outlineLevel="0" collapsed="false">
      <c r="A760" s="183" t="s">
        <v>14</v>
      </c>
      <c r="B760" s="182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</row>
    <row r="761" customFormat="false" ht="12.75" hidden="false" customHeight="false" outlineLevel="0" collapsed="false">
      <c r="A761" s="55"/>
      <c r="B761" s="182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</row>
    <row r="762" customFormat="false" ht="12.75" hidden="false" customHeight="false" outlineLevel="0" collapsed="false">
      <c r="A762" s="55"/>
      <c r="B762" s="182"/>
      <c r="C762" s="184" t="n">
        <v>2000</v>
      </c>
      <c r="D762" s="185" t="n">
        <v>2001</v>
      </c>
      <c r="E762" s="185" t="n">
        <v>2002</v>
      </c>
      <c r="F762" s="185" t="n">
        <v>2003</v>
      </c>
      <c r="G762" s="185" t="n">
        <v>2004</v>
      </c>
      <c r="H762" s="185" t="n">
        <v>2005</v>
      </c>
      <c r="I762" s="185" t="n">
        <v>2006</v>
      </c>
      <c r="J762" s="185" t="n">
        <v>2007</v>
      </c>
      <c r="K762" s="185" t="n">
        <v>2008</v>
      </c>
      <c r="L762" s="185" t="n">
        <v>2009</v>
      </c>
      <c r="M762" s="185" t="n">
        <v>2010</v>
      </c>
      <c r="N762" s="185" t="n">
        <v>2011</v>
      </c>
      <c r="O762" s="185" t="n">
        <v>2012</v>
      </c>
      <c r="P762" s="185" t="n">
        <v>2013</v>
      </c>
      <c r="Q762" s="185" t="n">
        <v>2014</v>
      </c>
      <c r="R762" s="185" t="n">
        <v>2015</v>
      </c>
      <c r="S762" s="185" t="n">
        <v>2016</v>
      </c>
      <c r="T762" s="185" t="n">
        <v>2017</v>
      </c>
      <c r="U762" s="185" t="n">
        <v>2018</v>
      </c>
      <c r="V762" s="185" t="n">
        <v>2019</v>
      </c>
    </row>
    <row r="763" customFormat="false" ht="12.75" hidden="false" customHeight="false" outlineLevel="0" collapsed="false">
      <c r="A763" s="186" t="s">
        <v>106</v>
      </c>
      <c r="B763" s="182"/>
      <c r="C763" s="187"/>
      <c r="D763" s="188"/>
      <c r="E763" s="188"/>
      <c r="F763" s="188"/>
      <c r="G763" s="188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</row>
    <row r="764" customFormat="false" ht="12.75" hidden="false" customHeight="false" outlineLevel="0" collapsed="false">
      <c r="A764" s="55"/>
      <c r="B764" s="189" t="s">
        <v>107</v>
      </c>
      <c r="C764" s="190" t="n">
        <v>0</v>
      </c>
      <c r="D764" s="191" t="n">
        <v>1255019.88785307</v>
      </c>
      <c r="E764" s="191" t="n">
        <v>1524012.97780882</v>
      </c>
      <c r="F764" s="191" t="n">
        <v>1874739.93474406</v>
      </c>
      <c r="G764" s="191" t="n">
        <v>1472338.39883578</v>
      </c>
      <c r="H764" s="191" t="n">
        <v>1552437.62181204</v>
      </c>
      <c r="I764" s="191" t="n">
        <v>1900804.53539382</v>
      </c>
      <c r="J764" s="191" t="n">
        <v>2034754.53539383</v>
      </c>
      <c r="K764" s="191" t="n">
        <v>2405191.3622687</v>
      </c>
      <c r="L764" s="191" t="n">
        <v>2328361.42729888</v>
      </c>
      <c r="M764" s="191" t="n">
        <v>1979539.8913906</v>
      </c>
      <c r="N764" s="191" t="n">
        <v>2303206.0713021</v>
      </c>
      <c r="O764" s="191" t="n">
        <v>2088334.53539383</v>
      </c>
      <c r="P764" s="191" t="n">
        <v>2031214.47036364</v>
      </c>
      <c r="Q764" s="191" t="n">
        <v>2193589.11436687</v>
      </c>
      <c r="R764" s="191" t="n">
        <v>2326813.71501664</v>
      </c>
      <c r="S764" s="191" t="n">
        <v>1900804.53539383</v>
      </c>
      <c r="T764" s="191" t="n">
        <v>1708825.22571065</v>
      </c>
      <c r="U764" s="191" t="n">
        <v>1550077.57845859</v>
      </c>
      <c r="V764" s="191" t="n">
        <v>1874285.31241756</v>
      </c>
    </row>
    <row r="765" customFormat="false" ht="12.75" hidden="false" customHeight="false" outlineLevel="0" collapsed="false">
      <c r="A765" s="55"/>
      <c r="B765" s="189" t="s">
        <v>108</v>
      </c>
      <c r="C765" s="190" t="n">
        <v>0</v>
      </c>
      <c r="D765" s="192" t="n">
        <v>0.203215759553915</v>
      </c>
      <c r="E765" s="192" t="n">
        <v>0.246771750673406</v>
      </c>
      <c r="F765" s="192" t="n">
        <v>0.303562280958589</v>
      </c>
      <c r="G765" s="192" t="n">
        <v>0.238404481821914</v>
      </c>
      <c r="H765" s="192" t="n">
        <v>0.251374335602196</v>
      </c>
      <c r="I765" s="192" t="n">
        <v>0.307782722140261</v>
      </c>
      <c r="J765" s="192" t="n">
        <v>0.329472219857156</v>
      </c>
      <c r="K765" s="192" t="n">
        <v>0.389454218444364</v>
      </c>
      <c r="L765" s="192" t="n">
        <v>0.377013735434904</v>
      </c>
      <c r="M765" s="192" t="n">
        <v>0.320531735384987</v>
      </c>
      <c r="N765" s="192" t="n">
        <v>0.372940521276936</v>
      </c>
      <c r="O765" s="192" t="n">
        <v>0.338148018943914</v>
      </c>
      <c r="P765" s="192" t="n">
        <v>0.328899004236479</v>
      </c>
      <c r="Q765" s="192" t="n">
        <v>0.355191086882164</v>
      </c>
      <c r="R765" s="192" t="n">
        <v>0.376763126237351</v>
      </c>
      <c r="S765" s="192" t="n">
        <v>0.307782722140261</v>
      </c>
      <c r="T765" s="192" t="n">
        <v>0.276696982692227</v>
      </c>
      <c r="U765" s="192" t="n">
        <v>0.250992191855078</v>
      </c>
      <c r="V765" s="192" t="n">
        <v>0.303488667446737</v>
      </c>
    </row>
    <row r="766" customFormat="false" ht="12.75" hidden="false" customHeight="false" outlineLevel="0" collapsed="false">
      <c r="A766" s="186" t="s">
        <v>109</v>
      </c>
      <c r="B766" s="189"/>
      <c r="C766" s="187"/>
      <c r="D766" s="188"/>
      <c r="E766" s="188"/>
      <c r="F766" s="188"/>
      <c r="G766" s="188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</row>
    <row r="767" customFormat="false" ht="12.75" hidden="false" customHeight="false" outlineLevel="0" collapsed="false">
      <c r="A767" s="55"/>
      <c r="B767" s="189" t="s">
        <v>20</v>
      </c>
      <c r="C767" s="193" t="n">
        <v>0</v>
      </c>
      <c r="D767" s="194" t="n">
        <v>95.9169744699079</v>
      </c>
      <c r="E767" s="194" t="n">
        <v>77.1319277402505</v>
      </c>
      <c r="F767" s="194" t="n">
        <v>68.5528375152419</v>
      </c>
      <c r="G767" s="194" t="n">
        <v>70.7628493135313</v>
      </c>
      <c r="H767" s="194" t="n">
        <v>70.3901127920339</v>
      </c>
      <c r="I767" s="194" t="n">
        <v>66.4999196006258</v>
      </c>
      <c r="J767" s="194" t="n">
        <v>68.1226511683536</v>
      </c>
      <c r="K767" s="194" t="n">
        <v>66.6231329649596</v>
      </c>
      <c r="L767" s="194" t="n">
        <v>67.9306248549741</v>
      </c>
      <c r="M767" s="194" t="n">
        <v>73.7408714629221</v>
      </c>
      <c r="N767" s="194" t="n">
        <v>68.5115732967746</v>
      </c>
      <c r="O767" s="194" t="n">
        <v>71.6862967596985</v>
      </c>
      <c r="P767" s="194" t="n">
        <v>74.5027600417265</v>
      </c>
      <c r="Q767" s="194" t="n">
        <v>75.5463321468861</v>
      </c>
      <c r="R767" s="194" t="n">
        <v>75.8502905565218</v>
      </c>
      <c r="S767" s="194" t="n">
        <v>81.1088229928099</v>
      </c>
      <c r="T767" s="194" t="n">
        <v>88.2716948117381</v>
      </c>
      <c r="U767" s="194" t="n">
        <v>97.8562966196648</v>
      </c>
      <c r="V767" s="194" t="n">
        <v>90.1187806968783</v>
      </c>
    </row>
    <row r="768" customFormat="false" ht="12.75" hidden="false" customHeight="false" outlineLevel="0" collapsed="false">
      <c r="A768" s="55"/>
      <c r="B768" s="189" t="s">
        <v>21</v>
      </c>
      <c r="C768" s="193" t="n">
        <v>0</v>
      </c>
      <c r="D768" s="194" t="n">
        <v>46.2736390058766</v>
      </c>
      <c r="E768" s="194" t="n">
        <v>41.6181546130187</v>
      </c>
      <c r="F768" s="194" t="n">
        <v>39.4613681691729</v>
      </c>
      <c r="G768" s="194" t="n">
        <v>39.8743668092339</v>
      </c>
      <c r="H768" s="194" t="n">
        <v>40.2800779084682</v>
      </c>
      <c r="I768" s="194" t="n">
        <v>40.6622170671298</v>
      </c>
      <c r="J768" s="194" t="n">
        <v>40.9296790320617</v>
      </c>
      <c r="K768" s="194" t="n">
        <v>38.4825966052547</v>
      </c>
      <c r="L768" s="194" t="n">
        <v>39.5961843295554</v>
      </c>
      <c r="M768" s="194" t="n">
        <v>41.6052099115241</v>
      </c>
      <c r="N768" s="194" t="n">
        <v>41.8525588854368</v>
      </c>
      <c r="O768" s="194" t="n">
        <v>41.9423823060106</v>
      </c>
      <c r="P768" s="194" t="n">
        <v>44.2590508586401</v>
      </c>
      <c r="Q768" s="194" t="n">
        <v>44.1147956187408</v>
      </c>
      <c r="R768" s="194" t="n">
        <v>48.0189867083273</v>
      </c>
      <c r="S768" s="194" t="n">
        <v>50.4346769993958</v>
      </c>
      <c r="T768" s="194" t="n">
        <v>52.9631028371803</v>
      </c>
      <c r="U768" s="194" t="n">
        <v>55.7512608145616</v>
      </c>
      <c r="V768" s="194" t="n">
        <v>55.2651787815177</v>
      </c>
    </row>
    <row r="769" customFormat="false" ht="12.75" hidden="false" customHeight="false" outlineLevel="0" collapsed="false">
      <c r="A769" s="55"/>
      <c r="B769" s="189" t="s">
        <v>110</v>
      </c>
      <c r="C769" s="193" t="n">
        <v>0</v>
      </c>
      <c r="D769" s="194" t="n">
        <v>0.621230660962154</v>
      </c>
      <c r="E769" s="194" t="n">
        <v>0.633138324879143</v>
      </c>
      <c r="F769" s="194" t="n">
        <v>0.646372023684893</v>
      </c>
      <c r="G769" s="194" t="n">
        <v>0.659439415780381</v>
      </c>
      <c r="H769" s="194" t="n">
        <v>0.673092780848433</v>
      </c>
      <c r="I769" s="194" t="n">
        <v>0.686386208178875</v>
      </c>
      <c r="J769" s="194" t="n">
        <v>0.700153968982823</v>
      </c>
      <c r="K769" s="194" t="n">
        <v>0.713921515230148</v>
      </c>
      <c r="L769" s="194" t="n">
        <v>0.728379559560351</v>
      </c>
      <c r="M769" s="194" t="n">
        <v>0.74369926427722</v>
      </c>
      <c r="N769" s="194" t="n">
        <v>0.758180655027804</v>
      </c>
      <c r="O769" s="194" t="n">
        <v>0.773834828247046</v>
      </c>
      <c r="P769" s="194" t="n">
        <v>0.789341512292673</v>
      </c>
      <c r="Q769" s="194" t="n">
        <v>0.805311157611815</v>
      </c>
      <c r="R769" s="194" t="n">
        <v>0.821537451822049</v>
      </c>
      <c r="S769" s="194" t="n">
        <v>0.837825340437157</v>
      </c>
      <c r="T769" s="194" t="n">
        <v>0.855705896467613</v>
      </c>
      <c r="U769" s="194" t="n">
        <v>0.872320441643975</v>
      </c>
      <c r="V769" s="194" t="n">
        <v>0.889554014167851</v>
      </c>
    </row>
    <row r="770" customFormat="false" ht="12.75" hidden="false" customHeight="false" outlineLevel="0" collapsed="false">
      <c r="A770" s="55"/>
      <c r="B770" s="189" t="s">
        <v>111</v>
      </c>
      <c r="C770" s="193" t="n">
        <v>0</v>
      </c>
      <c r="D770" s="194" t="n">
        <v>0</v>
      </c>
      <c r="E770" s="194" t="n">
        <v>0</v>
      </c>
      <c r="F770" s="194" t="n">
        <v>0</v>
      </c>
      <c r="G770" s="194" t="n">
        <v>0</v>
      </c>
      <c r="H770" s="194" t="n">
        <v>0</v>
      </c>
      <c r="I770" s="194" t="n">
        <v>0</v>
      </c>
      <c r="J770" s="194" t="n">
        <v>0</v>
      </c>
      <c r="K770" s="194" t="n">
        <v>0</v>
      </c>
      <c r="L770" s="194" t="n">
        <v>0</v>
      </c>
      <c r="M770" s="194" t="n">
        <v>0</v>
      </c>
      <c r="N770" s="194" t="n">
        <v>0</v>
      </c>
      <c r="O770" s="194" t="n">
        <v>0</v>
      </c>
      <c r="P770" s="194" t="n">
        <v>0</v>
      </c>
      <c r="Q770" s="194" t="n">
        <v>0</v>
      </c>
      <c r="R770" s="194" t="n">
        <v>0</v>
      </c>
      <c r="S770" s="194" t="n">
        <v>0</v>
      </c>
      <c r="T770" s="194" t="n">
        <v>0</v>
      </c>
      <c r="U770" s="194" t="n">
        <v>0</v>
      </c>
      <c r="V770" s="194" t="n">
        <v>0</v>
      </c>
    </row>
    <row r="771" customFormat="false" ht="12.75" hidden="false" customHeight="false" outlineLevel="0" collapsed="false">
      <c r="A771" s="55"/>
      <c r="B771" s="189" t="s">
        <v>112</v>
      </c>
      <c r="C771" s="193" t="n">
        <v>0</v>
      </c>
      <c r="D771" s="194" t="n">
        <v>0</v>
      </c>
      <c r="E771" s="194" t="n">
        <v>0</v>
      </c>
      <c r="F771" s="194" t="n">
        <v>0</v>
      </c>
      <c r="G771" s="194" t="n">
        <v>0</v>
      </c>
      <c r="H771" s="194" t="n">
        <v>0</v>
      </c>
      <c r="I771" s="194" t="n">
        <v>0</v>
      </c>
      <c r="J771" s="194" t="n">
        <v>0</v>
      </c>
      <c r="K771" s="194" t="n">
        <v>0</v>
      </c>
      <c r="L771" s="194" t="n">
        <v>0</v>
      </c>
      <c r="M771" s="194" t="n">
        <v>0</v>
      </c>
      <c r="N771" s="194" t="n">
        <v>0</v>
      </c>
      <c r="O771" s="194" t="n">
        <v>0</v>
      </c>
      <c r="P771" s="194" t="n">
        <v>0</v>
      </c>
      <c r="Q771" s="194" t="n">
        <v>0</v>
      </c>
      <c r="R771" s="194" t="n">
        <v>0</v>
      </c>
      <c r="S771" s="194" t="n">
        <v>0</v>
      </c>
      <c r="T771" s="194" t="n">
        <v>0</v>
      </c>
      <c r="U771" s="194" t="n">
        <v>0</v>
      </c>
      <c r="V771" s="194" t="n">
        <v>0</v>
      </c>
    </row>
    <row r="772" customFormat="false" ht="12.75" hidden="false" customHeight="false" outlineLevel="0" collapsed="false">
      <c r="A772" s="186" t="s">
        <v>113</v>
      </c>
      <c r="B772" s="189"/>
      <c r="C772" s="187"/>
      <c r="D772" s="188"/>
      <c r="E772" s="188"/>
      <c r="F772" s="188"/>
      <c r="G772" s="188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</row>
    <row r="773" customFormat="false" ht="12.75" hidden="false" customHeight="false" outlineLevel="0" collapsed="false">
      <c r="A773" s="55"/>
      <c r="B773" s="189" t="s">
        <v>26</v>
      </c>
      <c r="C773" s="193" t="n">
        <v>0</v>
      </c>
      <c r="D773" s="194" t="n">
        <v>4.59</v>
      </c>
      <c r="E773" s="194" t="n">
        <v>4.6818</v>
      </c>
      <c r="F773" s="194" t="n">
        <v>4.775436</v>
      </c>
      <c r="G773" s="194" t="n">
        <v>4.87094472</v>
      </c>
      <c r="H773" s="194" t="n">
        <v>4.9683636144</v>
      </c>
      <c r="I773" s="194" t="n">
        <v>5.067730886688</v>
      </c>
      <c r="J773" s="194" t="n">
        <v>5.16908550442176</v>
      </c>
      <c r="K773" s="194" t="n">
        <v>5.2724672145102</v>
      </c>
      <c r="L773" s="194" t="n">
        <v>5.3779165588004</v>
      </c>
      <c r="M773" s="194" t="n">
        <v>5.48547488997641</v>
      </c>
      <c r="N773" s="194" t="n">
        <v>5.59518438777594</v>
      </c>
      <c r="O773" s="194" t="n">
        <v>5.70708807553145</v>
      </c>
      <c r="P773" s="194" t="n">
        <v>5.82122983704208</v>
      </c>
      <c r="Q773" s="194" t="n">
        <v>5.93765443378292</v>
      </c>
      <c r="R773" s="194" t="n">
        <v>6.05640752245858</v>
      </c>
      <c r="S773" s="194" t="n">
        <v>6.17753567290775</v>
      </c>
      <c r="T773" s="194" t="n">
        <v>6.30108638636591</v>
      </c>
      <c r="U773" s="194" t="n">
        <v>6.42710811409323</v>
      </c>
      <c r="V773" s="194" t="n">
        <v>6.55565027637509</v>
      </c>
    </row>
    <row r="774" customFormat="false" ht="12.75" hidden="false" customHeight="false" outlineLevel="0" collapsed="false">
      <c r="A774" s="55"/>
      <c r="B774" s="189" t="s">
        <v>114</v>
      </c>
      <c r="C774" s="193" t="n">
        <v>0</v>
      </c>
      <c r="D774" s="194" t="n">
        <v>0.24342209829344</v>
      </c>
      <c r="E774" s="194" t="n">
        <v>0.24342209829344</v>
      </c>
      <c r="F774" s="194" t="n">
        <v>0.24342209829344</v>
      </c>
      <c r="G774" s="194" t="n">
        <v>0.24342209829344</v>
      </c>
      <c r="H774" s="194" t="n">
        <v>0.24342209829344</v>
      </c>
      <c r="I774" s="194" t="n">
        <v>0.24342209829344</v>
      </c>
      <c r="J774" s="194" t="n">
        <v>0.24342209829344</v>
      </c>
      <c r="K774" s="194" t="n">
        <v>0.24342209829344</v>
      </c>
      <c r="L774" s="194" t="n">
        <v>0.24342209829344</v>
      </c>
      <c r="M774" s="194" t="n">
        <v>0.24342209829344</v>
      </c>
      <c r="N774" s="194" t="n">
        <v>0.24342209829344</v>
      </c>
      <c r="O774" s="194" t="n">
        <v>0.24342209829344</v>
      </c>
      <c r="P774" s="194" t="n">
        <v>0.24342209829344</v>
      </c>
      <c r="Q774" s="194" t="n">
        <v>0.24342209829344</v>
      </c>
      <c r="R774" s="194" t="n">
        <v>0.24342209829344</v>
      </c>
      <c r="S774" s="194" t="n">
        <v>0.24342209829344</v>
      </c>
      <c r="T774" s="194" t="n">
        <v>0.24342209829344</v>
      </c>
      <c r="U774" s="194" t="n">
        <v>0.24342209829344</v>
      </c>
      <c r="V774" s="194" t="n">
        <v>0.24342209829344</v>
      </c>
    </row>
    <row r="775" customFormat="false" ht="12.75" hidden="false" customHeight="false" outlineLevel="0" collapsed="false">
      <c r="A775" s="55"/>
      <c r="B775" s="189" t="s">
        <v>28</v>
      </c>
      <c r="C775" s="193" t="n">
        <v>0</v>
      </c>
      <c r="D775" s="194" t="n">
        <v>0.53177304964539</v>
      </c>
      <c r="E775" s="194" t="n">
        <v>0.543472056737589</v>
      </c>
      <c r="F775" s="194" t="n">
        <v>0.555428441985816</v>
      </c>
      <c r="G775" s="194" t="n">
        <v>0.567647867709504</v>
      </c>
      <c r="H775" s="194" t="n">
        <v>0.580136120799112</v>
      </c>
      <c r="I775" s="194" t="n">
        <v>0.592899115456694</v>
      </c>
      <c r="J775" s="194" t="n">
        <v>0.60594289599674</v>
      </c>
      <c r="K775" s="194" t="n">
        <v>0.619273639708668</v>
      </c>
      <c r="L775" s="194" t="n">
        <v>0.63289765978226</v>
      </c>
      <c r="M775" s="194" t="n">
        <v>0.64682140829747</v>
      </c>
      <c r="N775" s="194" t="n">
        <v>0.661051479280013</v>
      </c>
      <c r="O775" s="194" t="n">
        <v>0.675594611824175</v>
      </c>
      <c r="P775" s="194" t="n">
        <v>0.690457693284305</v>
      </c>
      <c r="Q775" s="194" t="n">
        <v>0.70564776253656</v>
      </c>
      <c r="R775" s="194" t="n">
        <v>0.721172013312365</v>
      </c>
      <c r="S775" s="194" t="n">
        <v>0.737037797605237</v>
      </c>
      <c r="T775" s="194" t="n">
        <v>0.753252629152552</v>
      </c>
      <c r="U775" s="194" t="n">
        <v>0.769824186993908</v>
      </c>
      <c r="V775" s="194" t="n">
        <v>0.786760319107774</v>
      </c>
    </row>
    <row r="776" customFormat="false" ht="12.75" hidden="false" customHeight="false" outlineLevel="0" collapsed="false">
      <c r="A776" s="55"/>
      <c r="B776" s="189" t="s">
        <v>33</v>
      </c>
      <c r="C776" s="193" t="n">
        <v>0</v>
      </c>
      <c r="D776" s="194" t="n">
        <v>0</v>
      </c>
      <c r="E776" s="194" t="n">
        <v>0</v>
      </c>
      <c r="F776" s="194" t="n">
        <v>0</v>
      </c>
      <c r="G776" s="194" t="n">
        <v>0</v>
      </c>
      <c r="H776" s="194" t="n">
        <v>0</v>
      </c>
      <c r="I776" s="194" t="n">
        <v>0</v>
      </c>
      <c r="J776" s="194" t="n">
        <v>0</v>
      </c>
      <c r="K776" s="194" t="n">
        <v>0</v>
      </c>
      <c r="L776" s="194" t="n">
        <v>0</v>
      </c>
      <c r="M776" s="194" t="n">
        <v>0</v>
      </c>
      <c r="N776" s="194" t="n">
        <v>0</v>
      </c>
      <c r="O776" s="194" t="n">
        <v>0</v>
      </c>
      <c r="P776" s="194" t="n">
        <v>0</v>
      </c>
      <c r="Q776" s="194" t="n">
        <v>0</v>
      </c>
      <c r="R776" s="194" t="n">
        <v>0</v>
      </c>
      <c r="S776" s="194" t="n">
        <v>0</v>
      </c>
      <c r="T776" s="194" t="n">
        <v>0</v>
      </c>
      <c r="U776" s="194" t="n">
        <v>0</v>
      </c>
      <c r="V776" s="194" t="n">
        <v>0</v>
      </c>
    </row>
    <row r="777" customFormat="false" ht="12.75" hidden="false" customHeight="false" outlineLevel="0" collapsed="false">
      <c r="A777" s="55"/>
      <c r="B777" s="189" t="s">
        <v>115</v>
      </c>
      <c r="C777" s="195" t="n">
        <v>0</v>
      </c>
      <c r="D777" s="196" t="n">
        <v>0</v>
      </c>
      <c r="E777" s="196" t="n">
        <v>0</v>
      </c>
      <c r="F777" s="196" t="n">
        <v>0</v>
      </c>
      <c r="G777" s="196" t="n">
        <v>0</v>
      </c>
      <c r="H777" s="196" t="n">
        <v>0</v>
      </c>
      <c r="I777" s="196" t="n">
        <v>0</v>
      </c>
      <c r="J777" s="196" t="n">
        <v>0</v>
      </c>
      <c r="K777" s="196" t="n">
        <v>0</v>
      </c>
      <c r="L777" s="196" t="n">
        <v>0</v>
      </c>
      <c r="M777" s="196" t="n">
        <v>0</v>
      </c>
      <c r="N777" s="196" t="n">
        <v>0</v>
      </c>
      <c r="O777" s="196" t="n">
        <v>0</v>
      </c>
      <c r="P777" s="196" t="n">
        <v>0</v>
      </c>
      <c r="Q777" s="196" t="n">
        <v>0</v>
      </c>
      <c r="R777" s="196" t="n">
        <v>0</v>
      </c>
      <c r="S777" s="196" t="n">
        <v>0</v>
      </c>
      <c r="T777" s="196" t="n">
        <v>0</v>
      </c>
      <c r="U777" s="196" t="n">
        <v>0</v>
      </c>
      <c r="V777" s="196" t="n">
        <v>0</v>
      </c>
    </row>
    <row r="778" customFormat="false" ht="12.75" hidden="false" customHeight="false" outlineLevel="0" collapsed="false">
      <c r="A778" s="55"/>
      <c r="B778" s="189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</row>
    <row r="779" customFormat="false" ht="12.75" hidden="false" customHeight="false" outlineLevel="0" collapsed="false">
      <c r="A779" s="55"/>
      <c r="B779" s="189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</row>
    <row r="781" customFormat="false" ht="12.75" hidden="false" customHeight="false" outlineLevel="0" collapsed="false">
      <c r="B781" s="34" t="s">
        <v>69</v>
      </c>
    </row>
    <row r="782" customFormat="false" ht="12.75" hidden="false" customHeight="false" outlineLevel="0" collapsed="false">
      <c r="B782" s="34" t="s">
        <v>71</v>
      </c>
    </row>
    <row r="783" customFormat="false" ht="12.75" hidden="false" customHeight="false" outlineLevel="0" collapsed="false">
      <c r="B783" s="34" t="s">
        <v>72</v>
      </c>
    </row>
    <row r="784" customFormat="false" ht="12.75" hidden="false" customHeight="false" outlineLevel="0" collapsed="false">
      <c r="B784" s="34" t="s">
        <v>73</v>
      </c>
    </row>
    <row r="785" customFormat="false" ht="12.75" hidden="false" customHeight="false" outlineLevel="0" collapsed="false">
      <c r="B785" s="34" t="s">
        <v>74</v>
      </c>
    </row>
    <row r="786" customFormat="false" ht="12.75" hidden="false" customHeight="false" outlineLevel="0" collapsed="false">
      <c r="B786" s="34" t="s">
        <v>75</v>
      </c>
    </row>
    <row r="787" customFormat="false" ht="12.75" hidden="false" customHeight="false" outlineLevel="0" collapsed="false">
      <c r="B787" s="34" t="s">
        <v>76</v>
      </c>
    </row>
    <row r="788" customFormat="false" ht="12.75" hidden="false" customHeight="false" outlineLevel="0" collapsed="false">
      <c r="B788" s="34" t="s">
        <v>77</v>
      </c>
    </row>
    <row r="789" customFormat="false" ht="12.75" hidden="false" customHeight="false" outlineLevel="0" collapsed="false">
      <c r="B789" s="34" t="s">
        <v>78</v>
      </c>
    </row>
    <row r="790" customFormat="false" ht="12.75" hidden="false" customHeight="false" outlineLevel="0" collapsed="false">
      <c r="B790" s="34" t="s">
        <v>79</v>
      </c>
    </row>
    <row r="791" customFormat="false" ht="12.75" hidden="false" customHeight="false" outlineLevel="0" collapsed="false">
      <c r="B791" s="34" t="s">
        <v>80</v>
      </c>
    </row>
    <row r="792" customFormat="false" ht="12.75" hidden="false" customHeight="false" outlineLevel="0" collapsed="false">
      <c r="B792" s="34" t="s">
        <v>81</v>
      </c>
    </row>
    <row r="793" customFormat="false" ht="12.75" hidden="false" customHeight="false" outlineLevel="0" collapsed="false">
      <c r="B793" s="34" t="s">
        <v>82</v>
      </c>
    </row>
    <row r="794" customFormat="false" ht="12.75" hidden="false" customHeight="false" outlineLevel="0" collapsed="false">
      <c r="B794" s="34" t="s">
        <v>83</v>
      </c>
    </row>
    <row r="795" customFormat="false" ht="12.75" hidden="false" customHeight="false" outlineLevel="0" collapsed="false">
      <c r="B795" s="34" t="s">
        <v>84</v>
      </c>
    </row>
    <row r="796" customFormat="false" ht="12.75" hidden="false" customHeight="false" outlineLevel="0" collapsed="false">
      <c r="B796" s="34" t="s">
        <v>85</v>
      </c>
    </row>
    <row r="797" customFormat="false" ht="12.75" hidden="false" customHeight="false" outlineLevel="0" collapsed="false">
      <c r="B797" s="34" t="s">
        <v>86</v>
      </c>
    </row>
    <row r="798" customFormat="false" ht="12.75" hidden="false" customHeight="false" outlineLevel="0" collapsed="false">
      <c r="B798" s="34" t="s">
        <v>87</v>
      </c>
    </row>
    <row r="799" customFormat="false" ht="12.75" hidden="false" customHeight="false" outlineLevel="0" collapsed="false">
      <c r="B799" s="34" t="s">
        <v>88</v>
      </c>
    </row>
    <row r="800" customFormat="false" ht="12.75" hidden="false" customHeight="false" outlineLevel="0" collapsed="false">
      <c r="B800" s="34" t="s">
        <v>89</v>
      </c>
    </row>
    <row r="801" customFormat="false" ht="12.75" hidden="false" customHeight="false" outlineLevel="0" collapsed="false">
      <c r="B801" s="34" t="s">
        <v>90</v>
      </c>
    </row>
    <row r="802" customFormat="false" ht="12.75" hidden="false" customHeight="false" outlineLevel="0" collapsed="false">
      <c r="B802" s="34" t="s">
        <v>91</v>
      </c>
    </row>
    <row r="803" customFormat="false" ht="12.75" hidden="false" customHeight="false" outlineLevel="0" collapsed="false">
      <c r="B803" s="34" t="s">
        <v>92</v>
      </c>
    </row>
    <row r="804" customFormat="false" ht="12.75" hidden="false" customHeight="false" outlineLevel="0" collapsed="false">
      <c r="B804" s="34" t="s">
        <v>93</v>
      </c>
    </row>
    <row r="805" customFormat="false" ht="12.75" hidden="false" customHeight="false" outlineLevel="0" collapsed="false">
      <c r="B805" s="34" t="s">
        <v>94</v>
      </c>
    </row>
    <row r="806" customFormat="false" ht="12.75" hidden="false" customHeight="false" outlineLevel="0" collapsed="false">
      <c r="B806" s="34" t="s">
        <v>95</v>
      </c>
    </row>
    <row r="807" customFormat="false" ht="12.75" hidden="false" customHeight="false" outlineLevel="0" collapsed="false">
      <c r="B807" s="34" t="s">
        <v>96</v>
      </c>
    </row>
    <row r="808" customFormat="false" ht="12.75" hidden="false" customHeight="false" outlineLevel="0" collapsed="false">
      <c r="B808" s="34" t="s">
        <v>97</v>
      </c>
    </row>
    <row r="809" customFormat="false" ht="12.75" hidden="false" customHeight="false" outlineLevel="0" collapsed="false">
      <c r="B809" s="34" t="s">
        <v>98</v>
      </c>
    </row>
    <row r="810" customFormat="false" ht="12.75" hidden="false" customHeight="false" outlineLevel="0" collapsed="false">
      <c r="B810" s="34" t="s">
        <v>99</v>
      </c>
    </row>
    <row r="811" customFormat="false" ht="12.75" hidden="false" customHeight="false" outlineLevel="0" collapsed="false">
      <c r="B811" s="34" t="s">
        <v>100</v>
      </c>
    </row>
    <row r="812" customFormat="false" ht="12.75" hidden="false" customHeight="false" outlineLevel="0" collapsed="false">
      <c r="B812" s="34" t="s">
        <v>101</v>
      </c>
    </row>
    <row r="813" customFormat="false" ht="12.75" hidden="false" customHeight="false" outlineLevel="0" collapsed="false">
      <c r="B813" s="39" t="s">
        <v>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46">
              <controlPr defaultSize="0" print="false" autoFill="0" autoPict="0" macro="Module3.Home">
                <anchor moveWithCells="true" sizeWithCells="false">
                  <from>
                    <xdr:col>2</xdr:col>
                    <xdr:colOff>10080</xdr:colOff>
                    <xdr:row>0</xdr:row>
                    <xdr:rowOff>18720</xdr:rowOff>
                  </from>
                  <to>
                    <xdr:col>3</xdr:col>
                    <xdr:colOff>-240840</xdr:colOff>
                    <xdr:row>1</xdr:row>
                    <xdr:rowOff>28440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43</xdr:row>
                    <xdr:rowOff>95400</xdr:rowOff>
                  </from>
                  <to>
                    <xdr:col>1</xdr:col>
                    <xdr:colOff>151560</xdr:colOff>
                    <xdr:row>44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50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66</xdr:row>
                    <xdr:rowOff>86040</xdr:rowOff>
                  </from>
                  <to>
                    <xdr:col>1</xdr:col>
                    <xdr:colOff>172080</xdr:colOff>
                    <xdr:row>67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51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89</xdr:row>
                    <xdr:rowOff>86040</xdr:rowOff>
                  </from>
                  <to>
                    <xdr:col>1</xdr:col>
                    <xdr:colOff>172080</xdr:colOff>
                    <xdr:row>90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52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112</xdr:row>
                    <xdr:rowOff>86040</xdr:rowOff>
                  </from>
                  <to>
                    <xdr:col>1</xdr:col>
                    <xdr:colOff>172080</xdr:colOff>
                    <xdr:row>113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53">
              <controlPr defaultSize="0" print="false" autoFill="0" autoPict="0" macro="Module3.Home">
                <anchor moveWithCells="true" sizeWithCells="false">
                  <from>
                    <xdr:col>0</xdr:col>
                    <xdr:colOff>171000</xdr:colOff>
                    <xdr:row>135</xdr:row>
                    <xdr:rowOff>95400</xdr:rowOff>
                  </from>
                  <to>
                    <xdr:col>1</xdr:col>
                    <xdr:colOff>142200</xdr:colOff>
                    <xdr:row>136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54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158</xdr:row>
                    <xdr:rowOff>75960</xdr:rowOff>
                  </from>
                  <to>
                    <xdr:col>1</xdr:col>
                    <xdr:colOff>132120</xdr:colOff>
                    <xdr:row>159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55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181</xdr:row>
                    <xdr:rowOff>75960</xdr:rowOff>
                  </from>
                  <to>
                    <xdr:col>1</xdr:col>
                    <xdr:colOff>132120</xdr:colOff>
                    <xdr:row>182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56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204</xdr:row>
                    <xdr:rowOff>75960</xdr:rowOff>
                  </from>
                  <to>
                    <xdr:col>1</xdr:col>
                    <xdr:colOff>132120</xdr:colOff>
                    <xdr:row>205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57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227</xdr:row>
                    <xdr:rowOff>75960</xdr:rowOff>
                  </from>
                  <to>
                    <xdr:col>1</xdr:col>
                    <xdr:colOff>132120</xdr:colOff>
                    <xdr:row>228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5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249</xdr:row>
                    <xdr:rowOff>95400</xdr:rowOff>
                  </from>
                  <to>
                    <xdr:col>1</xdr:col>
                    <xdr:colOff>151560</xdr:colOff>
                    <xdr:row>250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5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273</xdr:row>
                    <xdr:rowOff>95400</xdr:rowOff>
                  </from>
                  <to>
                    <xdr:col>1</xdr:col>
                    <xdr:colOff>151560</xdr:colOff>
                    <xdr:row>274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6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296</xdr:row>
                    <xdr:rowOff>95400</xdr:rowOff>
                  </from>
                  <to>
                    <xdr:col>1</xdr:col>
                    <xdr:colOff>151560</xdr:colOff>
                    <xdr:row>297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61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319</xdr:row>
                    <xdr:rowOff>95760</xdr:rowOff>
                  </from>
                  <to>
                    <xdr:col>1</xdr:col>
                    <xdr:colOff>151560</xdr:colOff>
                    <xdr:row>320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62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342</xdr:row>
                    <xdr:rowOff>95400</xdr:rowOff>
                  </from>
                  <to>
                    <xdr:col>1</xdr:col>
                    <xdr:colOff>151560</xdr:colOff>
                    <xdr:row>343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63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365</xdr:row>
                    <xdr:rowOff>95400</xdr:rowOff>
                  </from>
                  <to>
                    <xdr:col>1</xdr:col>
                    <xdr:colOff>151560</xdr:colOff>
                    <xdr:row>366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64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388</xdr:row>
                    <xdr:rowOff>95400</xdr:rowOff>
                  </from>
                  <to>
                    <xdr:col>1</xdr:col>
                    <xdr:colOff>151560</xdr:colOff>
                    <xdr:row>389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65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411</xdr:row>
                    <xdr:rowOff>95400</xdr:rowOff>
                  </from>
                  <to>
                    <xdr:col>1</xdr:col>
                    <xdr:colOff>151560</xdr:colOff>
                    <xdr:row>412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66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434</xdr:row>
                    <xdr:rowOff>95760</xdr:rowOff>
                  </from>
                  <to>
                    <xdr:col>1</xdr:col>
                    <xdr:colOff>151560</xdr:colOff>
                    <xdr:row>435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67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457</xdr:row>
                    <xdr:rowOff>95400</xdr:rowOff>
                  </from>
                  <to>
                    <xdr:col>1</xdr:col>
                    <xdr:colOff>151560</xdr:colOff>
                    <xdr:row>458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6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480</xdr:row>
                    <xdr:rowOff>95400</xdr:rowOff>
                  </from>
                  <to>
                    <xdr:col>1</xdr:col>
                    <xdr:colOff>151560</xdr:colOff>
                    <xdr:row>481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6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503</xdr:row>
                    <xdr:rowOff>95400</xdr:rowOff>
                  </from>
                  <to>
                    <xdr:col>1</xdr:col>
                    <xdr:colOff>151560</xdr:colOff>
                    <xdr:row>504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7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526</xdr:row>
                    <xdr:rowOff>95400</xdr:rowOff>
                  </from>
                  <to>
                    <xdr:col>1</xdr:col>
                    <xdr:colOff>151560</xdr:colOff>
                    <xdr:row>527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" r:id="rId26" name="Button 71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549</xdr:row>
                    <xdr:rowOff>95760</xdr:rowOff>
                  </from>
                  <to>
                    <xdr:col>1</xdr:col>
                    <xdr:colOff>151560</xdr:colOff>
                    <xdr:row>550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27" name="Button 72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572</xdr:row>
                    <xdr:rowOff>95400</xdr:rowOff>
                  </from>
                  <to>
                    <xdr:col>1</xdr:col>
                    <xdr:colOff>151560</xdr:colOff>
                    <xdr:row>573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28" name="Button 73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595</xdr:row>
                    <xdr:rowOff>95400</xdr:rowOff>
                  </from>
                  <to>
                    <xdr:col>1</xdr:col>
                    <xdr:colOff>151560</xdr:colOff>
                    <xdr:row>596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29" name="Button 74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618</xdr:row>
                    <xdr:rowOff>95400</xdr:rowOff>
                  </from>
                  <to>
                    <xdr:col>1</xdr:col>
                    <xdr:colOff>151560</xdr:colOff>
                    <xdr:row>619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30" name="Button 75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641</xdr:row>
                    <xdr:rowOff>95760</xdr:rowOff>
                  </from>
                  <to>
                    <xdr:col>1</xdr:col>
                    <xdr:colOff>151560</xdr:colOff>
                    <xdr:row>642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31" name="Button 76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664</xdr:row>
                    <xdr:rowOff>95760</xdr:rowOff>
                  </from>
                  <to>
                    <xdr:col>1</xdr:col>
                    <xdr:colOff>151560</xdr:colOff>
                    <xdr:row>665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32" name="Button 77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687</xdr:row>
                    <xdr:rowOff>95400</xdr:rowOff>
                  </from>
                  <to>
                    <xdr:col>1</xdr:col>
                    <xdr:colOff>151560</xdr:colOff>
                    <xdr:row>688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33" name="Button 7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710</xdr:row>
                    <xdr:rowOff>95400</xdr:rowOff>
                  </from>
                  <to>
                    <xdr:col>1</xdr:col>
                    <xdr:colOff>151560</xdr:colOff>
                    <xdr:row>711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34" name="Button 7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733</xdr:row>
                    <xdr:rowOff>95400</xdr:rowOff>
                  </from>
                  <to>
                    <xdr:col>1</xdr:col>
                    <xdr:colOff>151560</xdr:colOff>
                    <xdr:row>734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35" name="Button 8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756</xdr:row>
                    <xdr:rowOff>95760</xdr:rowOff>
                  </from>
                  <to>
                    <xdr:col>1</xdr:col>
                    <xdr:colOff>151560</xdr:colOff>
                    <xdr:row>757</xdr:row>
                    <xdr:rowOff>142920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0" width="32.14"/>
  </cols>
  <sheetData>
    <row r="1" customFormat="false" ht="12.75" hidden="false" customHeight="false" outlineLevel="0" collapsed="false">
      <c r="A1" s="197" t="s">
        <v>139</v>
      </c>
    </row>
    <row r="2" customFormat="false" ht="12.75" hidden="false" customHeight="false" outlineLevel="0" collapsed="false">
      <c r="A2" s="197"/>
    </row>
    <row r="3" customFormat="false" ht="12.75" hidden="false" customHeight="false" outlineLevel="0" collapsed="false">
      <c r="A3" s="197"/>
    </row>
    <row r="4" customFormat="false" ht="12.75" hidden="false" customHeight="false" outlineLevel="0" collapsed="false">
      <c r="A4" s="197"/>
    </row>
    <row r="5" customFormat="false" ht="12.75" hidden="false" customHeight="false" outlineLevel="0" collapsed="false">
      <c r="A5" s="197"/>
    </row>
    <row r="6" customFormat="false" ht="12.75" hidden="false" customHeight="false" outlineLevel="0" collapsed="false">
      <c r="A6" s="263"/>
    </row>
    <row r="7" customFormat="false" ht="13.5" hidden="false" customHeight="false" outlineLevel="0" collapsed="false">
      <c r="B7" s="263" t="s">
        <v>140</v>
      </c>
    </row>
    <row r="8" customFormat="false" ht="12.75" hidden="false" customHeight="false" outlineLevel="0" collapsed="false">
      <c r="B8" s="264"/>
      <c r="C8" s="265"/>
      <c r="D8" s="266" t="s">
        <v>112</v>
      </c>
      <c r="E8" s="265"/>
      <c r="F8" s="265"/>
      <c r="G8" s="267"/>
      <c r="H8" s="268"/>
      <c r="I8" s="269"/>
      <c r="J8" s="270"/>
      <c r="K8" s="232"/>
      <c r="L8" s="232"/>
    </row>
    <row r="9" customFormat="false" ht="12.75" hidden="false" customHeight="false" outlineLevel="0" collapsed="false">
      <c r="B9" s="271" t="s">
        <v>111</v>
      </c>
      <c r="C9" s="271" t="s">
        <v>112</v>
      </c>
      <c r="D9" s="271" t="s">
        <v>141</v>
      </c>
      <c r="E9" s="271" t="s">
        <v>135</v>
      </c>
      <c r="F9" s="271" t="s">
        <v>133</v>
      </c>
      <c r="G9" s="272"/>
      <c r="H9" s="273" t="s">
        <v>142</v>
      </c>
      <c r="I9" s="274"/>
      <c r="J9" s="270"/>
      <c r="K9" s="232"/>
      <c r="L9" s="232"/>
    </row>
    <row r="10" customFormat="false" ht="13.5" hidden="false" customHeight="false" outlineLevel="0" collapsed="false">
      <c r="B10" s="275" t="s">
        <v>143</v>
      </c>
      <c r="C10" s="275" t="s">
        <v>143</v>
      </c>
      <c r="D10" s="275" t="s">
        <v>144</v>
      </c>
      <c r="E10" s="275" t="s">
        <v>143</v>
      </c>
      <c r="F10" s="275" t="s">
        <v>143</v>
      </c>
      <c r="G10" s="276"/>
      <c r="H10" s="277" t="s">
        <v>135</v>
      </c>
      <c r="I10" s="278" t="s">
        <v>133</v>
      </c>
      <c r="J10" s="272"/>
      <c r="K10" s="234" t="s">
        <v>145</v>
      </c>
      <c r="L10" s="232"/>
    </row>
    <row r="11" customFormat="false" ht="12.75" hidden="false" customHeight="false" outlineLevel="0" collapsed="false">
      <c r="A11" s="265"/>
      <c r="B11" s="279"/>
      <c r="C11" s="280"/>
      <c r="D11" s="280"/>
      <c r="E11" s="280"/>
      <c r="F11" s="281"/>
      <c r="G11" s="279"/>
      <c r="H11" s="280"/>
      <c r="I11" s="281"/>
    </row>
    <row r="12" customFormat="false" ht="12.75" hidden="false" customHeight="false" outlineLevel="0" collapsed="false">
      <c r="A12" s="271" t="n">
        <v>2000</v>
      </c>
      <c r="B12" s="282" t="n">
        <v>181.155995101763</v>
      </c>
      <c r="C12" s="283" t="n">
        <v>0</v>
      </c>
      <c r="D12" s="284"/>
      <c r="E12" s="285" t="n">
        <v>2.88421001583371</v>
      </c>
      <c r="F12" s="286" t="n">
        <v>3.12266970256346</v>
      </c>
      <c r="G12" s="287" t="s">
        <v>146</v>
      </c>
      <c r="H12" s="288" t="n">
        <v>1.128</v>
      </c>
      <c r="I12" s="289" t="n">
        <v>1.08</v>
      </c>
      <c r="K12" s="169"/>
      <c r="L12" s="290"/>
    </row>
    <row r="13" customFormat="false" ht="12.75" hidden="false" customHeight="false" outlineLevel="0" collapsed="false">
      <c r="A13" s="271" t="n">
        <v>2001</v>
      </c>
      <c r="B13" s="282" t="n">
        <v>198.925208663874</v>
      </c>
      <c r="C13" s="283" t="n">
        <v>0</v>
      </c>
      <c r="D13" s="284"/>
      <c r="E13" s="285" t="n">
        <v>4.04718978951041</v>
      </c>
      <c r="F13" s="286" t="n">
        <v>3.97439024390244</v>
      </c>
      <c r="G13" s="287" t="s">
        <v>147</v>
      </c>
      <c r="H13" s="288" t="n">
        <v>1.011</v>
      </c>
      <c r="I13" s="289" t="n">
        <v>1.07</v>
      </c>
      <c r="K13" s="291" t="s">
        <v>148</v>
      </c>
      <c r="L13" s="292" t="n">
        <v>0.02</v>
      </c>
    </row>
    <row r="14" customFormat="false" ht="12.75" hidden="false" customHeight="false" outlineLevel="0" collapsed="false">
      <c r="A14" s="271" t="n">
        <v>2002</v>
      </c>
      <c r="B14" s="282" t="n">
        <v>218.802581025907</v>
      </c>
      <c r="C14" s="283" t="n">
        <v>0</v>
      </c>
      <c r="D14" s="284"/>
      <c r="E14" s="285" t="n">
        <v>3.68856167338899</v>
      </c>
      <c r="F14" s="286" t="n">
        <v>3.61616707021792</v>
      </c>
      <c r="G14" s="287" t="s">
        <v>149</v>
      </c>
      <c r="H14" s="288" t="n">
        <v>0.994</v>
      </c>
      <c r="I14" s="289" t="n">
        <v>1.03</v>
      </c>
      <c r="K14" s="293" t="s">
        <v>150</v>
      </c>
      <c r="L14" s="294" t="n">
        <v>0.02</v>
      </c>
    </row>
    <row r="15" customFormat="false" ht="12.75" hidden="false" customHeight="false" outlineLevel="0" collapsed="false">
      <c r="A15" s="271" t="n">
        <v>2003</v>
      </c>
      <c r="B15" s="282" t="n">
        <v>240.408053917863</v>
      </c>
      <c r="C15" s="283" t="n">
        <v>4274.50397546497</v>
      </c>
      <c r="D15" s="295" t="n">
        <v>1</v>
      </c>
      <c r="E15" s="285" t="n">
        <v>3.53692866696389</v>
      </c>
      <c r="F15" s="286" t="n">
        <v>3.52629268292683</v>
      </c>
      <c r="G15" s="287" t="s">
        <v>151</v>
      </c>
      <c r="H15" s="288" t="n">
        <v>0.945</v>
      </c>
      <c r="I15" s="289" t="n">
        <v>0.99</v>
      </c>
      <c r="K15" s="293" t="s">
        <v>152</v>
      </c>
      <c r="L15" s="296" t="n">
        <v>0.4</v>
      </c>
    </row>
    <row r="16" customFormat="false" ht="12.75" hidden="false" customHeight="false" outlineLevel="0" collapsed="false">
      <c r="A16" s="271" t="n">
        <v>2004</v>
      </c>
      <c r="B16" s="282" t="n">
        <v>264.146595696653</v>
      </c>
      <c r="C16" s="283" t="n">
        <v>3642.14532635839</v>
      </c>
      <c r="D16" s="295" t="n">
        <v>1</v>
      </c>
      <c r="E16" s="285" t="n">
        <v>3.55912531185402</v>
      </c>
      <c r="F16" s="286" t="n">
        <v>3.55949056603774</v>
      </c>
      <c r="G16" s="287" t="s">
        <v>153</v>
      </c>
      <c r="H16" s="288" t="n">
        <v>0.995</v>
      </c>
      <c r="I16" s="289" t="n">
        <v>0.95</v>
      </c>
      <c r="K16" s="293" t="s">
        <v>154</v>
      </c>
      <c r="L16" s="296" t="n">
        <v>0.1</v>
      </c>
    </row>
    <row r="17" customFormat="false" ht="12.75" hidden="false" customHeight="false" outlineLevel="0" collapsed="false">
      <c r="A17" s="271" t="n">
        <v>2005</v>
      </c>
      <c r="B17" s="282" t="n">
        <v>290.220969288313</v>
      </c>
      <c r="C17" s="283" t="n">
        <v>3781.04443975663</v>
      </c>
      <c r="D17" s="295" t="n">
        <v>1</v>
      </c>
      <c r="E17" s="285" t="n">
        <v>3.59392756394932</v>
      </c>
      <c r="F17" s="286" t="n">
        <v>3.59504263959391</v>
      </c>
      <c r="G17" s="287" t="s">
        <v>155</v>
      </c>
      <c r="H17" s="288" t="n">
        <v>0.948</v>
      </c>
      <c r="I17" s="289" t="n">
        <v>0.95</v>
      </c>
      <c r="K17" s="293" t="s">
        <v>56</v>
      </c>
      <c r="L17" s="297" t="n">
        <v>0</v>
      </c>
      <c r="M17" s="298"/>
    </row>
    <row r="18" customFormat="false" ht="12.75" hidden="false" customHeight="false" outlineLevel="0" collapsed="false">
      <c r="A18" s="271" t="n">
        <v>2006</v>
      </c>
      <c r="B18" s="282" t="n">
        <v>319.924737421536</v>
      </c>
      <c r="C18" s="283" t="n">
        <v>3926.94756165724</v>
      </c>
      <c r="D18" s="295" t="n">
        <v>1</v>
      </c>
      <c r="E18" s="285" t="n">
        <v>3.61946701551112</v>
      </c>
      <c r="F18" s="286" t="n">
        <v>3.62626470588235</v>
      </c>
      <c r="G18" s="287" t="s">
        <v>156</v>
      </c>
      <c r="H18" s="288" t="n">
        <v>0.945</v>
      </c>
      <c r="I18" s="289" t="n">
        <v>0.95</v>
      </c>
      <c r="K18" s="293" t="s">
        <v>58</v>
      </c>
      <c r="L18" s="299" t="n">
        <v>15</v>
      </c>
    </row>
    <row r="19" customFormat="false" ht="12.75" hidden="false" customHeight="false" outlineLevel="0" collapsed="false">
      <c r="A19" s="271" t="n">
        <v>2007</v>
      </c>
      <c r="B19" s="282" t="n">
        <v>354.611014578236</v>
      </c>
      <c r="C19" s="283" t="n">
        <v>2147.65438044863</v>
      </c>
      <c r="D19" s="295" t="n">
        <v>2</v>
      </c>
      <c r="E19" s="285" t="n">
        <v>3.67687580363356</v>
      </c>
      <c r="F19" s="286" t="n">
        <v>3.6801320754717</v>
      </c>
      <c r="G19" s="287" t="s">
        <v>157</v>
      </c>
      <c r="H19" s="288" t="n">
        <v>0.896</v>
      </c>
      <c r="I19" s="289" t="n">
        <v>0.95</v>
      </c>
      <c r="K19" s="293" t="s">
        <v>158</v>
      </c>
      <c r="L19" s="294" t="n">
        <v>0.0875</v>
      </c>
    </row>
    <row r="20" customFormat="false" ht="12.75" hidden="false" customHeight="false" outlineLevel="0" collapsed="false">
      <c r="A20" s="271" t="n">
        <v>2008</v>
      </c>
      <c r="B20" s="282" t="n">
        <v>391.298518710194</v>
      </c>
      <c r="C20" s="283" t="n">
        <v>1807.34213002761</v>
      </c>
      <c r="D20" s="295" t="n">
        <v>2</v>
      </c>
      <c r="E20" s="285" t="n">
        <v>3.4106012557319</v>
      </c>
      <c r="F20" s="286" t="n">
        <v>3.31817852948758</v>
      </c>
      <c r="G20" s="287" t="s">
        <v>159</v>
      </c>
      <c r="H20" s="288" t="n">
        <v>0.893</v>
      </c>
      <c r="I20" s="289" t="n">
        <v>0.95</v>
      </c>
      <c r="K20" s="293" t="s">
        <v>160</v>
      </c>
      <c r="L20" s="299" t="n">
        <v>20</v>
      </c>
    </row>
    <row r="21" customFormat="false" ht="12.75" hidden="false" customHeight="false" outlineLevel="0" collapsed="false">
      <c r="A21" s="271" t="n">
        <v>2009</v>
      </c>
      <c r="B21" s="282" t="n">
        <v>429.779581218291</v>
      </c>
      <c r="C21" s="283" t="n">
        <v>1985.56267924115</v>
      </c>
      <c r="D21" s="295" t="n">
        <v>2</v>
      </c>
      <c r="E21" s="285" t="n">
        <v>3.53573545769238</v>
      </c>
      <c r="F21" s="286" t="n">
        <v>3.43909430251775</v>
      </c>
      <c r="G21" s="287" t="s">
        <v>161</v>
      </c>
      <c r="H21" s="288" t="n">
        <v>0.989</v>
      </c>
      <c r="I21" s="289" t="n">
        <v>0.95</v>
      </c>
      <c r="K21" s="293" t="s">
        <v>162</v>
      </c>
      <c r="L21" s="299" t="n">
        <v>20</v>
      </c>
    </row>
    <row r="22" customFormat="false" ht="12.75" hidden="false" customHeight="false" outlineLevel="0" collapsed="false">
      <c r="A22" s="271" t="n">
        <v>2010</v>
      </c>
      <c r="B22" s="282" t="n">
        <v>477.980973134443</v>
      </c>
      <c r="C22" s="283" t="n">
        <v>1889.33893428357</v>
      </c>
      <c r="D22" s="295" t="n">
        <v>2</v>
      </c>
      <c r="E22" s="285" t="n">
        <v>3.68705538157925</v>
      </c>
      <c r="F22" s="286" t="n">
        <v>3.58008814167733</v>
      </c>
      <c r="G22" s="287" t="s">
        <v>163</v>
      </c>
      <c r="H22" s="288" t="n">
        <v>1.083</v>
      </c>
      <c r="I22" s="289" t="n">
        <v>1.03</v>
      </c>
    </row>
    <row r="23" customFormat="false" ht="13.5" hidden="false" customHeight="false" outlineLevel="0" collapsed="false">
      <c r="A23" s="271" t="n">
        <v>2011</v>
      </c>
      <c r="B23" s="282" t="n">
        <v>526.532188626439</v>
      </c>
      <c r="C23" s="283" t="n">
        <v>1943.45115851308</v>
      </c>
      <c r="D23" s="295" t="n">
        <v>2</v>
      </c>
      <c r="E23" s="285" t="n">
        <v>3.76340840247573</v>
      </c>
      <c r="F23" s="286" t="n">
        <v>3.65591090806484</v>
      </c>
      <c r="G23" s="300" t="s">
        <v>164</v>
      </c>
      <c r="H23" s="301" t="n">
        <v>1.172</v>
      </c>
      <c r="I23" s="302" t="n">
        <v>1.08</v>
      </c>
      <c r="K23" s="181"/>
    </row>
    <row r="24" customFormat="false" ht="12.75" hidden="false" customHeight="false" outlineLevel="0" collapsed="false">
      <c r="A24" s="271" t="n">
        <v>2012</v>
      </c>
      <c r="B24" s="282" t="n">
        <v>583.381879085728</v>
      </c>
      <c r="C24" s="283" t="n">
        <v>1993.84654167091</v>
      </c>
      <c r="D24" s="295" t="n">
        <v>2</v>
      </c>
      <c r="E24" s="285" t="n">
        <v>3.75462987479326</v>
      </c>
      <c r="F24" s="286" t="n">
        <v>3.64953691437911</v>
      </c>
      <c r="G24" s="303"/>
      <c r="H24" s="303"/>
      <c r="K24" s="263"/>
    </row>
    <row r="25" customFormat="false" ht="12.75" hidden="false" customHeight="false" outlineLevel="0" collapsed="false">
      <c r="A25" s="271" t="n">
        <v>2013</v>
      </c>
      <c r="B25" s="282" t="n">
        <v>654.124550733522</v>
      </c>
      <c r="C25" s="283" t="n">
        <v>1780.92328465844</v>
      </c>
      <c r="D25" s="295" t="n">
        <v>2</v>
      </c>
      <c r="E25" s="285" t="n">
        <v>3.91919663979754</v>
      </c>
      <c r="F25" s="286" t="n">
        <v>3.81776081400226</v>
      </c>
      <c r="G25" s="303"/>
      <c r="H25" s="304"/>
    </row>
    <row r="26" customFormat="false" ht="12.75" hidden="false" customHeight="false" outlineLevel="0" collapsed="false">
      <c r="A26" s="271" t="n">
        <v>2014</v>
      </c>
      <c r="B26" s="282" t="n">
        <v>728.142699152122</v>
      </c>
      <c r="C26" s="283" t="n">
        <v>1844.59962418705</v>
      </c>
      <c r="D26" s="295" t="n">
        <v>2</v>
      </c>
      <c r="E26" s="285" t="n">
        <v>3.94155123364953</v>
      </c>
      <c r="F26" s="286" t="n">
        <v>3.81209885946813</v>
      </c>
      <c r="G26" s="303"/>
      <c r="H26" s="304"/>
      <c r="I26" s="305"/>
      <c r="K26" s="181"/>
    </row>
    <row r="27" customFormat="false" ht="12.75" hidden="false" customHeight="false" outlineLevel="0" collapsed="false">
      <c r="A27" s="271" t="n">
        <v>2015</v>
      </c>
      <c r="B27" s="282" t="n">
        <v>806.55967593313</v>
      </c>
      <c r="C27" s="283" t="n">
        <v>1882.71897858527</v>
      </c>
      <c r="D27" s="295" t="n">
        <v>2</v>
      </c>
      <c r="E27" s="285" t="n">
        <v>4.30574911912384</v>
      </c>
      <c r="F27" s="286" t="n">
        <v>4.21588443763076</v>
      </c>
      <c r="G27" s="303"/>
      <c r="H27" s="306"/>
      <c r="I27" s="305"/>
      <c r="K27" s="181"/>
    </row>
    <row r="28" customFormat="false" ht="12.75" hidden="false" customHeight="false" outlineLevel="0" collapsed="false">
      <c r="A28" s="271" t="n">
        <v>2016</v>
      </c>
      <c r="B28" s="282" t="n">
        <v>885.601532299286</v>
      </c>
      <c r="C28" s="283" t="n">
        <v>1999.31527872019</v>
      </c>
      <c r="D28" s="295" t="n">
        <v>2</v>
      </c>
      <c r="E28" s="285" t="n">
        <v>4.49959781924026</v>
      </c>
      <c r="F28" s="286" t="n">
        <v>4.38458680356305</v>
      </c>
      <c r="G28" s="303"/>
      <c r="H28" s="303"/>
    </row>
    <row r="29" customFormat="false" ht="12.75" hidden="false" customHeight="false" outlineLevel="0" collapsed="false">
      <c r="A29" s="271" t="n">
        <v>2017</v>
      </c>
      <c r="B29" s="282" t="n">
        <v>870.060330328103</v>
      </c>
      <c r="C29" s="283" t="n">
        <v>1879.5637242099</v>
      </c>
      <c r="D29" s="295" t="n">
        <v>2</v>
      </c>
      <c r="E29" s="285" t="n">
        <v>4.64783204133513</v>
      </c>
      <c r="F29" s="286" t="n">
        <v>4.52121359626127</v>
      </c>
      <c r="G29" s="303"/>
      <c r="H29" s="303"/>
    </row>
    <row r="30" customFormat="false" ht="12.75" hidden="false" customHeight="false" outlineLevel="0" collapsed="false">
      <c r="A30" s="271" t="n">
        <v>2018</v>
      </c>
      <c r="B30" s="282" t="n">
        <v>744.383671998014</v>
      </c>
      <c r="C30" s="283" t="n">
        <v>2070.10833338081</v>
      </c>
      <c r="D30" s="295" t="n">
        <v>2</v>
      </c>
      <c r="E30" s="285" t="n">
        <v>4.90901989700722</v>
      </c>
      <c r="F30" s="286" t="n">
        <v>4.79440476213992</v>
      </c>
      <c r="G30" s="303"/>
      <c r="H30" s="303"/>
    </row>
    <row r="31" customFormat="false" ht="13.5" hidden="false" customHeight="false" outlineLevel="0" collapsed="false">
      <c r="A31" s="275" t="n">
        <v>2019</v>
      </c>
      <c r="B31" s="307" t="n">
        <v>771.788531652048</v>
      </c>
      <c r="C31" s="308" t="n">
        <v>1127.07162975123</v>
      </c>
      <c r="D31" s="309" t="n">
        <v>2</v>
      </c>
      <c r="E31" s="310" t="n">
        <v>4.95387956106831</v>
      </c>
      <c r="F31" s="311" t="n">
        <v>4.8619012033719</v>
      </c>
      <c r="G31" s="303"/>
      <c r="H31" s="30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2" width="18.41"/>
    <col collapsed="false" customWidth="true" hidden="false" outlineLevel="0" max="4" min="4" style="0" width="14.99"/>
  </cols>
  <sheetData>
    <row r="1" customFormat="false" ht="13.5" hidden="false" customHeight="false" outlineLevel="0" collapsed="false">
      <c r="A1" s="263" t="s">
        <v>165</v>
      </c>
      <c r="B1" s="2" t="str">
        <f aca="false">IS!B6</f>
        <v>VMC</v>
      </c>
    </row>
    <row r="2" customFormat="false" ht="12.75" hidden="false" customHeight="false" outlineLevel="0" collapsed="false">
      <c r="B2" s="312" t="s">
        <v>166</v>
      </c>
    </row>
    <row r="3" customFormat="false" ht="13.5" hidden="false" customHeight="false" outlineLevel="0" collapsed="false">
      <c r="B3" s="312"/>
      <c r="D3" s="313" t="s">
        <v>167</v>
      </c>
      <c r="E3" s="314"/>
      <c r="F3" s="314"/>
      <c r="G3" s="313" t="n">
        <v>2001</v>
      </c>
      <c r="H3" s="313" t="n">
        <v>2002</v>
      </c>
      <c r="I3" s="313" t="n">
        <v>2003</v>
      </c>
      <c r="J3" s="313" t="n">
        <v>2004</v>
      </c>
      <c r="K3" s="313" t="n">
        <v>2005</v>
      </c>
    </row>
    <row r="4" customFormat="false" ht="12.75" hidden="false" customHeight="false" outlineLevel="0" collapsed="false">
      <c r="D4" s="315" t="s">
        <v>168</v>
      </c>
      <c r="E4" s="315"/>
      <c r="F4" s="315"/>
      <c r="G4" s="316" t="n">
        <v>0.724350539170417</v>
      </c>
      <c r="H4" s="316" t="n">
        <v>0.738837549953826</v>
      </c>
      <c r="I4" s="316" t="n">
        <v>0.753614300952902</v>
      </c>
      <c r="J4" s="316" t="n">
        <v>0.76868658697196</v>
      </c>
      <c r="K4" s="316" t="n">
        <v>0.7840603187114</v>
      </c>
    </row>
    <row r="5" customFormat="false" ht="13.5" hidden="false" customHeight="false" outlineLevel="0" collapsed="false">
      <c r="A5" s="317" t="s">
        <v>169</v>
      </c>
      <c r="B5" s="318" t="n">
        <v>39</v>
      </c>
      <c r="D5" s="319" t="s">
        <v>170</v>
      </c>
      <c r="E5" s="319"/>
      <c r="F5" s="319"/>
      <c r="G5" s="320" t="n">
        <f aca="false">1-G4</f>
        <v>0.275649460829583</v>
      </c>
      <c r="H5" s="320" t="n">
        <f aca="false">1-H4</f>
        <v>0.261162450046174</v>
      </c>
      <c r="I5" s="320" t="n">
        <f aca="false">1-I4</f>
        <v>0.246385699047098</v>
      </c>
      <c r="J5" s="320" t="n">
        <f aca="false">1-J4</f>
        <v>0.23131341302804</v>
      </c>
      <c r="K5" s="320" t="n">
        <f aca="false">1-K4</f>
        <v>0.2159396812886</v>
      </c>
    </row>
    <row r="6" customFormat="false" ht="13.5" hidden="false" customHeight="false" outlineLevel="0" collapsed="false">
      <c r="D6" s="263" t="s">
        <v>3</v>
      </c>
      <c r="G6" s="321" t="n">
        <f aca="false">G4+G5</f>
        <v>1</v>
      </c>
      <c r="H6" s="321" t="n">
        <f aca="false">H4+H5</f>
        <v>1</v>
      </c>
      <c r="I6" s="321" t="n">
        <f aca="false">I4+I5</f>
        <v>1</v>
      </c>
      <c r="J6" s="321" t="n">
        <f aca="false">J4+J5</f>
        <v>1</v>
      </c>
      <c r="K6" s="321" t="n">
        <f aca="false">K4+K5</f>
        <v>1</v>
      </c>
    </row>
  </sheetData>
  <mergeCells count="1">
    <mergeCell ref="B2:B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5.41"/>
    <col collapsed="false" customWidth="true" hidden="false" outlineLevel="0" max="4" min="3" style="0" width="6.7"/>
    <col collapsed="false" customWidth="true" hidden="false" outlineLevel="0" max="22" min="22" style="0" width="5.99"/>
  </cols>
  <sheetData>
    <row r="1" customFormat="false" ht="12.75" hidden="false" customHeight="false" outlineLevel="0" collapsed="false">
      <c r="A1" s="197"/>
    </row>
    <row r="2" customFormat="false" ht="12.75" hidden="false" customHeight="false" outlineLevel="0" collapsed="false">
      <c r="A2" s="197"/>
    </row>
    <row r="3" customFormat="false" ht="12.75" hidden="false" customHeight="false" outlineLevel="0" collapsed="false">
      <c r="A3" s="197"/>
    </row>
    <row r="4" customFormat="false" ht="12.75" hidden="false" customHeight="false" outlineLevel="0" collapsed="false">
      <c r="A4" s="197"/>
    </row>
    <row r="5" customFormat="false" ht="12.75" hidden="false" customHeight="false" outlineLevel="0" collapsed="false">
      <c r="A5" s="197"/>
    </row>
    <row r="6" customFormat="false" ht="12.75" hidden="false" customHeight="false" outlineLevel="0" collapsed="false">
      <c r="A6" s="263"/>
    </row>
    <row r="7" customFormat="false" ht="12.75" hidden="false" customHeight="false" outlineLevel="0" collapsed="false">
      <c r="C7" s="322" t="n">
        <v>2000</v>
      </c>
      <c r="D7" s="323" t="n">
        <v>2001</v>
      </c>
      <c r="E7" s="323" t="n">
        <v>2002</v>
      </c>
      <c r="F7" s="323" t="n">
        <v>2003</v>
      </c>
      <c r="G7" s="323" t="n">
        <v>2004</v>
      </c>
      <c r="H7" s="323" t="n">
        <v>2005</v>
      </c>
      <c r="I7" s="323" t="n">
        <v>2006</v>
      </c>
      <c r="J7" s="323" t="n">
        <v>2007</v>
      </c>
      <c r="K7" s="323" t="n">
        <v>2008</v>
      </c>
      <c r="L7" s="323" t="n">
        <v>2009</v>
      </c>
      <c r="M7" s="323" t="n">
        <v>2010</v>
      </c>
      <c r="N7" s="323" t="n">
        <v>2011</v>
      </c>
      <c r="O7" s="323" t="n">
        <v>2012</v>
      </c>
      <c r="P7" s="323" t="n">
        <v>2013</v>
      </c>
      <c r="Q7" s="323" t="n">
        <v>2014</v>
      </c>
      <c r="R7" s="323" t="n">
        <v>2015</v>
      </c>
      <c r="S7" s="323" t="n">
        <v>2016</v>
      </c>
      <c r="T7" s="323" t="n">
        <v>2017</v>
      </c>
      <c r="U7" s="323" t="n">
        <v>2018</v>
      </c>
      <c r="V7" s="323" t="n">
        <v>2019</v>
      </c>
    </row>
    <row r="8" customFormat="false" ht="12.75" hidden="false" customHeight="false" outlineLevel="0" collapsed="false">
      <c r="C8" s="324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</row>
    <row r="9" customFormat="false" ht="12.75" hidden="false" customHeight="false" outlineLevel="0" collapsed="false">
      <c r="A9" s="0" t="n">
        <f aca="false">Summary!A17</f>
        <v>1</v>
      </c>
      <c r="B9" s="326" t="s">
        <v>69</v>
      </c>
      <c r="C9" s="327" t="n">
        <v>1.0566</v>
      </c>
      <c r="D9" s="327" t="n">
        <v>1.0352</v>
      </c>
      <c r="E9" s="327" t="n">
        <v>1.0328</v>
      </c>
      <c r="F9" s="327" t="n">
        <v>1.0228</v>
      </c>
      <c r="G9" s="327" t="n">
        <v>1.0184</v>
      </c>
      <c r="H9" s="327" t="n">
        <v>1.0116</v>
      </c>
      <c r="I9" s="327" t="n">
        <v>1.0302</v>
      </c>
      <c r="J9" s="327" t="n">
        <v>1.0623</v>
      </c>
      <c r="K9" s="327" t="n">
        <v>1.0917</v>
      </c>
      <c r="L9" s="327" t="n">
        <v>1.125</v>
      </c>
      <c r="M9" s="327" t="n">
        <v>1.1412</v>
      </c>
      <c r="N9" s="327" t="n">
        <v>1.1604</v>
      </c>
      <c r="O9" s="327" t="n">
        <v>1.1668</v>
      </c>
      <c r="P9" s="327" t="n">
        <v>1.1665</v>
      </c>
      <c r="Q9" s="327" t="n">
        <v>1.175</v>
      </c>
      <c r="R9" s="327" t="n">
        <v>1.1801</v>
      </c>
      <c r="S9" s="327" t="n">
        <v>1.1894</v>
      </c>
      <c r="T9" s="327" t="n">
        <v>1.1993</v>
      </c>
      <c r="U9" s="327" t="n">
        <v>1.2073</v>
      </c>
      <c r="V9" s="327" t="n">
        <v>1.2136</v>
      </c>
    </row>
    <row r="10" customFormat="false" ht="12.75" hidden="false" customHeight="false" outlineLevel="0" collapsed="false">
      <c r="A10" s="0" t="n">
        <f aca="false">Summary!A18</f>
        <v>2</v>
      </c>
      <c r="B10" s="328" t="s">
        <v>71</v>
      </c>
      <c r="C10" s="327" t="n">
        <v>0.9239</v>
      </c>
      <c r="D10" s="327" t="n">
        <v>0.9231</v>
      </c>
      <c r="E10" s="327" t="n">
        <v>0.9198</v>
      </c>
      <c r="F10" s="327" t="n">
        <v>0.9218</v>
      </c>
      <c r="G10" s="327" t="n">
        <v>0.933</v>
      </c>
      <c r="H10" s="327" t="n">
        <v>0.9505</v>
      </c>
      <c r="I10" s="327" t="n">
        <v>0.983</v>
      </c>
      <c r="J10" s="327" t="n">
        <v>1.0222</v>
      </c>
      <c r="K10" s="327" t="n">
        <v>1.0539</v>
      </c>
      <c r="L10" s="327" t="n">
        <v>1.0858</v>
      </c>
      <c r="M10" s="327" t="n">
        <v>1.1239</v>
      </c>
      <c r="N10" s="327" t="n">
        <v>1.1611</v>
      </c>
      <c r="O10" s="327" t="n">
        <v>1.1847</v>
      </c>
      <c r="P10" s="327" t="n">
        <v>1.2009</v>
      </c>
      <c r="Q10" s="327" t="n">
        <v>1.2247</v>
      </c>
      <c r="R10" s="327" t="n">
        <v>1.2484</v>
      </c>
      <c r="S10" s="327" t="n">
        <v>1.2729</v>
      </c>
      <c r="T10" s="327" t="n">
        <v>1.2977</v>
      </c>
      <c r="U10" s="327" t="n">
        <v>1.3231</v>
      </c>
      <c r="V10" s="327" t="n">
        <v>1.3488</v>
      </c>
    </row>
    <row r="11" customFormat="false" ht="12.75" hidden="false" customHeight="false" outlineLevel="0" collapsed="false">
      <c r="A11" s="0" t="n">
        <f aca="false">Summary!A19</f>
        <v>3</v>
      </c>
      <c r="B11" s="329" t="s">
        <v>72</v>
      </c>
      <c r="C11" s="327" t="n">
        <v>1.1599</v>
      </c>
      <c r="D11" s="327" t="n">
        <v>1.1936</v>
      </c>
      <c r="E11" s="327" t="n">
        <v>1.2107</v>
      </c>
      <c r="F11" s="327" t="n">
        <v>1.2317</v>
      </c>
      <c r="G11" s="327" t="n">
        <v>1.2671</v>
      </c>
      <c r="H11" s="327" t="n">
        <v>1.3114</v>
      </c>
      <c r="I11" s="327" t="n">
        <v>1.3621</v>
      </c>
      <c r="J11" s="327" t="n">
        <v>1.3935</v>
      </c>
      <c r="K11" s="327" t="n">
        <v>1.4235</v>
      </c>
      <c r="L11" s="327" t="n">
        <v>1.4467</v>
      </c>
      <c r="M11" s="327" t="n">
        <v>1.4579</v>
      </c>
      <c r="N11" s="327" t="n">
        <v>1.4775</v>
      </c>
      <c r="O11" s="327" t="n">
        <v>1.5095</v>
      </c>
      <c r="P11" s="327" t="n">
        <v>1.5438</v>
      </c>
      <c r="Q11" s="327" t="n">
        <v>1.5765</v>
      </c>
      <c r="R11" s="327" t="n">
        <v>1.5986</v>
      </c>
      <c r="S11" s="327" t="n">
        <v>1.6313</v>
      </c>
      <c r="T11" s="327" t="n">
        <v>1.6685</v>
      </c>
      <c r="U11" s="327" t="n">
        <v>1.7095</v>
      </c>
      <c r="V11" s="327" t="n">
        <v>1.7517</v>
      </c>
    </row>
    <row r="12" customFormat="false" ht="12.75" hidden="false" customHeight="false" outlineLevel="0" collapsed="false">
      <c r="A12" s="0" t="n">
        <f aca="false">Summary!A20</f>
        <v>4</v>
      </c>
      <c r="B12" s="329" t="s">
        <v>73</v>
      </c>
      <c r="C12" s="327" t="n">
        <v>1.1599</v>
      </c>
      <c r="D12" s="327" t="n">
        <v>1.1936</v>
      </c>
      <c r="E12" s="327" t="n">
        <v>1.2107</v>
      </c>
      <c r="F12" s="327" t="n">
        <v>1.2317</v>
      </c>
      <c r="G12" s="327" t="n">
        <v>1.2671</v>
      </c>
      <c r="H12" s="327" t="n">
        <v>1.3114</v>
      </c>
      <c r="I12" s="327" t="n">
        <v>1.3621</v>
      </c>
      <c r="J12" s="327" t="n">
        <v>1.3935</v>
      </c>
      <c r="K12" s="327" t="n">
        <v>1.4235</v>
      </c>
      <c r="L12" s="327" t="n">
        <v>1.4467</v>
      </c>
      <c r="M12" s="327" t="n">
        <v>1.4579</v>
      </c>
      <c r="N12" s="327" t="n">
        <v>1.4775</v>
      </c>
      <c r="O12" s="327" t="n">
        <v>1.5095</v>
      </c>
      <c r="P12" s="327" t="n">
        <v>1.5438</v>
      </c>
      <c r="Q12" s="327" t="n">
        <v>1.5765</v>
      </c>
      <c r="R12" s="327" t="n">
        <v>1.5986</v>
      </c>
      <c r="S12" s="327" t="n">
        <v>1.6313</v>
      </c>
      <c r="T12" s="327" t="n">
        <v>1.6685</v>
      </c>
      <c r="U12" s="327" t="n">
        <v>1.7095</v>
      </c>
      <c r="V12" s="327" t="n">
        <v>1.7517</v>
      </c>
    </row>
    <row r="13" customFormat="false" ht="12.75" hidden="false" customHeight="false" outlineLevel="0" collapsed="false">
      <c r="A13" s="0" t="n">
        <f aca="false">Summary!A21</f>
        <v>5</v>
      </c>
      <c r="B13" s="329" t="s">
        <v>74</v>
      </c>
      <c r="C13" s="327" t="n">
        <v>1.1599</v>
      </c>
      <c r="D13" s="327" t="n">
        <v>1.1936</v>
      </c>
      <c r="E13" s="327" t="n">
        <v>1.2107</v>
      </c>
      <c r="F13" s="327" t="n">
        <v>1.2317</v>
      </c>
      <c r="G13" s="327" t="n">
        <v>1.2671</v>
      </c>
      <c r="H13" s="327" t="n">
        <v>1.3114</v>
      </c>
      <c r="I13" s="327" t="n">
        <v>1.3621</v>
      </c>
      <c r="J13" s="327" t="n">
        <v>1.3935</v>
      </c>
      <c r="K13" s="327" t="n">
        <v>1.4235</v>
      </c>
      <c r="L13" s="327" t="n">
        <v>1.4467</v>
      </c>
      <c r="M13" s="327" t="n">
        <v>1.4579</v>
      </c>
      <c r="N13" s="327" t="n">
        <v>1.4775</v>
      </c>
      <c r="O13" s="327" t="n">
        <v>1.5095</v>
      </c>
      <c r="P13" s="327" t="n">
        <v>1.5438</v>
      </c>
      <c r="Q13" s="327" t="n">
        <v>1.5765</v>
      </c>
      <c r="R13" s="327" t="n">
        <v>1.5986</v>
      </c>
      <c r="S13" s="327" t="n">
        <v>1.6313</v>
      </c>
      <c r="T13" s="327" t="n">
        <v>1.6685</v>
      </c>
      <c r="U13" s="327" t="n">
        <v>1.7095</v>
      </c>
      <c r="V13" s="327" t="n">
        <v>1.7517</v>
      </c>
    </row>
    <row r="14" customFormat="false" ht="12.75" hidden="false" customHeight="false" outlineLevel="0" collapsed="false">
      <c r="A14" s="0" t="n">
        <f aca="false">Summary!A22</f>
        <v>6</v>
      </c>
      <c r="B14" s="329" t="s">
        <v>75</v>
      </c>
      <c r="C14" s="327" t="n">
        <v>1.1599</v>
      </c>
      <c r="D14" s="327" t="n">
        <v>1.1936</v>
      </c>
      <c r="E14" s="327" t="n">
        <v>1.2107</v>
      </c>
      <c r="F14" s="327" t="n">
        <v>1.2317</v>
      </c>
      <c r="G14" s="327" t="n">
        <v>1.2671</v>
      </c>
      <c r="H14" s="327" t="n">
        <v>1.3114</v>
      </c>
      <c r="I14" s="327" t="n">
        <v>1.3621</v>
      </c>
      <c r="J14" s="327" t="n">
        <v>1.3935</v>
      </c>
      <c r="K14" s="327" t="n">
        <v>1.4235</v>
      </c>
      <c r="L14" s="327" t="n">
        <v>1.4467</v>
      </c>
      <c r="M14" s="327" t="n">
        <v>1.4579</v>
      </c>
      <c r="N14" s="327" t="n">
        <v>1.4775</v>
      </c>
      <c r="O14" s="327" t="n">
        <v>1.5095</v>
      </c>
      <c r="P14" s="327" t="n">
        <v>1.5438</v>
      </c>
      <c r="Q14" s="327" t="n">
        <v>1.5765</v>
      </c>
      <c r="R14" s="327" t="n">
        <v>1.5986</v>
      </c>
      <c r="S14" s="327" t="n">
        <v>1.6313</v>
      </c>
      <c r="T14" s="327" t="n">
        <v>1.6685</v>
      </c>
      <c r="U14" s="327" t="n">
        <v>1.7095</v>
      </c>
      <c r="V14" s="327" t="n">
        <v>1.7517</v>
      </c>
    </row>
    <row r="15" customFormat="false" ht="12.75" hidden="false" customHeight="false" outlineLevel="0" collapsed="false">
      <c r="A15" s="0" t="n">
        <f aca="false">Summary!A23</f>
        <v>7</v>
      </c>
      <c r="B15" s="330" t="s">
        <v>76</v>
      </c>
      <c r="C15" s="327" t="n">
        <v>1.1532</v>
      </c>
      <c r="D15" s="327" t="n">
        <v>1.1867</v>
      </c>
      <c r="E15" s="327" t="n">
        <v>1.2037</v>
      </c>
      <c r="F15" s="327" t="n">
        <v>1.2245</v>
      </c>
      <c r="G15" s="327" t="n">
        <v>1.2598</v>
      </c>
      <c r="H15" s="327" t="n">
        <v>1.3039</v>
      </c>
      <c r="I15" s="327" t="n">
        <v>1.3545</v>
      </c>
      <c r="J15" s="327" t="n">
        <v>1.3857</v>
      </c>
      <c r="K15" s="327" t="n">
        <v>1.4154</v>
      </c>
      <c r="L15" s="327" t="n">
        <v>1.4385</v>
      </c>
      <c r="M15" s="327" t="n">
        <v>1.4495</v>
      </c>
      <c r="N15" s="327" t="n">
        <v>1.4689</v>
      </c>
      <c r="O15" s="327" t="n">
        <v>1.5007</v>
      </c>
      <c r="P15" s="327" t="n">
        <v>1.5347</v>
      </c>
      <c r="Q15" s="327" t="n">
        <v>1.5673</v>
      </c>
      <c r="R15" s="327" t="n">
        <v>1.5892</v>
      </c>
      <c r="S15" s="327" t="n">
        <v>1.6216</v>
      </c>
      <c r="T15" s="327" t="n">
        <v>1.6586</v>
      </c>
      <c r="U15" s="327" t="n">
        <v>1.6993</v>
      </c>
      <c r="V15" s="327" t="n">
        <v>1.7413</v>
      </c>
    </row>
    <row r="16" customFormat="false" ht="12.75" hidden="false" customHeight="false" outlineLevel="0" collapsed="false">
      <c r="A16" s="0" t="n">
        <f aca="false">Summary!A24</f>
        <v>8</v>
      </c>
      <c r="B16" s="330" t="s">
        <v>77</v>
      </c>
      <c r="C16" s="327" t="n">
        <v>1.1969</v>
      </c>
      <c r="D16" s="327" t="n">
        <v>1.2318</v>
      </c>
      <c r="E16" s="327" t="n">
        <v>1.2497</v>
      </c>
      <c r="F16" s="327" t="n">
        <v>1.2714</v>
      </c>
      <c r="G16" s="327" t="n">
        <v>1.3077</v>
      </c>
      <c r="H16" s="327" t="n">
        <v>1.3529</v>
      </c>
      <c r="I16" s="327" t="n">
        <v>1.4047</v>
      </c>
      <c r="J16" s="327" t="n">
        <v>1.4371</v>
      </c>
      <c r="K16" s="327" t="n">
        <v>1.468</v>
      </c>
      <c r="L16" s="327" t="n">
        <v>1.4923</v>
      </c>
      <c r="M16" s="327" t="n">
        <v>1.5046</v>
      </c>
      <c r="N16" s="327" t="n">
        <v>1.5252</v>
      </c>
      <c r="O16" s="327" t="n">
        <v>1.5584</v>
      </c>
      <c r="P16" s="327" t="n">
        <v>1.5939</v>
      </c>
      <c r="Q16" s="327" t="n">
        <v>1.6279</v>
      </c>
      <c r="R16" s="327" t="n">
        <v>1.6511</v>
      </c>
      <c r="S16" s="327" t="n">
        <v>1.685</v>
      </c>
      <c r="T16" s="327" t="n">
        <v>1.7235</v>
      </c>
      <c r="U16" s="327" t="n">
        <v>1.7658</v>
      </c>
      <c r="V16" s="327" t="n">
        <v>1.8095</v>
      </c>
    </row>
    <row r="17" customFormat="false" ht="12.75" hidden="false" customHeight="false" outlineLevel="0" collapsed="false">
      <c r="A17" s="0" t="n">
        <f aca="false">Summary!A25</f>
        <v>9</v>
      </c>
      <c r="B17" s="330" t="s">
        <v>78</v>
      </c>
      <c r="C17" s="327" t="n">
        <v>1.1969</v>
      </c>
      <c r="D17" s="327" t="n">
        <v>1.2318</v>
      </c>
      <c r="E17" s="327" t="n">
        <v>1.2497</v>
      </c>
      <c r="F17" s="327" t="n">
        <v>1.2714</v>
      </c>
      <c r="G17" s="327" t="n">
        <v>1.3077</v>
      </c>
      <c r="H17" s="327" t="n">
        <v>1.3529</v>
      </c>
      <c r="I17" s="327" t="n">
        <v>1.4047</v>
      </c>
      <c r="J17" s="327" t="n">
        <v>1.4371</v>
      </c>
      <c r="K17" s="327" t="n">
        <v>1.468</v>
      </c>
      <c r="L17" s="327" t="n">
        <v>1.4923</v>
      </c>
      <c r="M17" s="327" t="n">
        <v>1.5046</v>
      </c>
      <c r="N17" s="327" t="n">
        <v>1.5252</v>
      </c>
      <c r="O17" s="327" t="n">
        <v>1.5584</v>
      </c>
      <c r="P17" s="327" t="n">
        <v>1.5939</v>
      </c>
      <c r="Q17" s="327" t="n">
        <v>1.6279</v>
      </c>
      <c r="R17" s="327" t="n">
        <v>1.6511</v>
      </c>
      <c r="S17" s="327" t="n">
        <v>1.685</v>
      </c>
      <c r="T17" s="327" t="n">
        <v>1.7235</v>
      </c>
      <c r="U17" s="327" t="n">
        <v>1.7658</v>
      </c>
      <c r="V17" s="327" t="n">
        <v>1.8095</v>
      </c>
    </row>
    <row r="18" customFormat="false" ht="12.75" hidden="false" customHeight="false" outlineLevel="0" collapsed="false">
      <c r="A18" s="0" t="n">
        <f aca="false">Summary!A26</f>
        <v>10</v>
      </c>
      <c r="B18" s="330" t="s">
        <v>79</v>
      </c>
      <c r="C18" s="327" t="n">
        <v>1.1969</v>
      </c>
      <c r="D18" s="327" t="n">
        <v>1.2318</v>
      </c>
      <c r="E18" s="327" t="n">
        <v>1.2497</v>
      </c>
      <c r="F18" s="327" t="n">
        <v>1.2714</v>
      </c>
      <c r="G18" s="327" t="n">
        <v>1.3077</v>
      </c>
      <c r="H18" s="327" t="n">
        <v>1.3529</v>
      </c>
      <c r="I18" s="327" t="n">
        <v>1.4047</v>
      </c>
      <c r="J18" s="327" t="n">
        <v>1.4371</v>
      </c>
      <c r="K18" s="327" t="n">
        <v>1.468</v>
      </c>
      <c r="L18" s="327" t="n">
        <v>1.4923</v>
      </c>
      <c r="M18" s="327" t="n">
        <v>1.5046</v>
      </c>
      <c r="N18" s="327" t="n">
        <v>1.5252</v>
      </c>
      <c r="O18" s="327" t="n">
        <v>1.5584</v>
      </c>
      <c r="P18" s="327" t="n">
        <v>1.5939</v>
      </c>
      <c r="Q18" s="327" t="n">
        <v>1.6279</v>
      </c>
      <c r="R18" s="327" t="n">
        <v>1.6511</v>
      </c>
      <c r="S18" s="327" t="n">
        <v>1.685</v>
      </c>
      <c r="T18" s="327" t="n">
        <v>1.7235</v>
      </c>
      <c r="U18" s="327" t="n">
        <v>1.7658</v>
      </c>
      <c r="V18" s="327" t="n">
        <v>1.8095</v>
      </c>
    </row>
    <row r="19" customFormat="false" ht="12.75" hidden="false" customHeight="false" outlineLevel="0" collapsed="false">
      <c r="A19" s="0" t="n">
        <f aca="false">Summary!A27</f>
        <v>11</v>
      </c>
      <c r="B19" s="330" t="s">
        <v>80</v>
      </c>
      <c r="C19" s="327" t="n">
        <v>1.1969</v>
      </c>
      <c r="D19" s="327" t="n">
        <v>1.2318</v>
      </c>
      <c r="E19" s="327" t="n">
        <v>1.2497</v>
      </c>
      <c r="F19" s="327" t="n">
        <v>1.2714</v>
      </c>
      <c r="G19" s="327" t="n">
        <v>1.3077</v>
      </c>
      <c r="H19" s="327" t="n">
        <v>1.3529</v>
      </c>
      <c r="I19" s="327" t="n">
        <v>1.4047</v>
      </c>
      <c r="J19" s="327" t="n">
        <v>1.4371</v>
      </c>
      <c r="K19" s="327" t="n">
        <v>1.468</v>
      </c>
      <c r="L19" s="327" t="n">
        <v>1.4923</v>
      </c>
      <c r="M19" s="327" t="n">
        <v>1.5046</v>
      </c>
      <c r="N19" s="327" t="n">
        <v>1.5252</v>
      </c>
      <c r="O19" s="327" t="n">
        <v>1.5584</v>
      </c>
      <c r="P19" s="327" t="n">
        <v>1.5939</v>
      </c>
      <c r="Q19" s="327" t="n">
        <v>1.6279</v>
      </c>
      <c r="R19" s="327" t="n">
        <v>1.6511</v>
      </c>
      <c r="S19" s="327" t="n">
        <v>1.685</v>
      </c>
      <c r="T19" s="327" t="n">
        <v>1.7235</v>
      </c>
      <c r="U19" s="327" t="n">
        <v>1.7658</v>
      </c>
      <c r="V19" s="327" t="n">
        <v>1.8095</v>
      </c>
    </row>
    <row r="20" customFormat="false" ht="12.75" hidden="false" customHeight="false" outlineLevel="0" collapsed="false">
      <c r="A20" s="0" t="n">
        <f aca="false">Summary!A28</f>
        <v>12</v>
      </c>
      <c r="B20" s="330" t="s">
        <v>81</v>
      </c>
      <c r="C20" s="327" t="n">
        <v>1.1818</v>
      </c>
      <c r="D20" s="327" t="n">
        <v>1.2163</v>
      </c>
      <c r="E20" s="327" t="n">
        <v>1.2338</v>
      </c>
      <c r="F20" s="327" t="n">
        <v>1.2553</v>
      </c>
      <c r="G20" s="327" t="n">
        <v>1.2912</v>
      </c>
      <c r="H20" s="327" t="n">
        <v>1.3361</v>
      </c>
      <c r="I20" s="327" t="n">
        <v>1.3874</v>
      </c>
      <c r="J20" s="327" t="n">
        <v>1.4194</v>
      </c>
      <c r="K20" s="327" t="n">
        <v>1.4499</v>
      </c>
      <c r="L20" s="327" t="n">
        <v>1.4738</v>
      </c>
      <c r="M20" s="327" t="n">
        <v>1.4856</v>
      </c>
      <c r="N20" s="327" t="n">
        <v>1.5058</v>
      </c>
      <c r="O20" s="327" t="n">
        <v>1.5385</v>
      </c>
      <c r="P20" s="327" t="n">
        <v>1.5736</v>
      </c>
      <c r="Q20" s="327" t="n">
        <v>1.607</v>
      </c>
      <c r="R20" s="327" t="n">
        <v>1.6298</v>
      </c>
      <c r="S20" s="327" t="n">
        <v>1.6632</v>
      </c>
      <c r="T20" s="327" t="n">
        <v>1.7012</v>
      </c>
      <c r="U20" s="327" t="n">
        <v>1.7429</v>
      </c>
      <c r="V20" s="327" t="n">
        <v>1.786</v>
      </c>
    </row>
    <row r="21" customFormat="false" ht="12.75" hidden="false" customHeight="false" outlineLevel="0" collapsed="false">
      <c r="A21" s="0" t="n">
        <f aca="false">Summary!A29</f>
        <v>13</v>
      </c>
      <c r="B21" s="330" t="s">
        <v>82</v>
      </c>
      <c r="C21" s="327" t="n">
        <v>1.1818</v>
      </c>
      <c r="D21" s="327" t="n">
        <v>1.2163</v>
      </c>
      <c r="E21" s="327" t="n">
        <v>1.2338</v>
      </c>
      <c r="F21" s="327" t="n">
        <v>1.2553</v>
      </c>
      <c r="G21" s="327" t="n">
        <v>1.2912</v>
      </c>
      <c r="H21" s="327" t="n">
        <v>1.3361</v>
      </c>
      <c r="I21" s="327" t="n">
        <v>1.3874</v>
      </c>
      <c r="J21" s="327" t="n">
        <v>1.4194</v>
      </c>
      <c r="K21" s="327" t="n">
        <v>1.4499</v>
      </c>
      <c r="L21" s="327" t="n">
        <v>1.4738</v>
      </c>
      <c r="M21" s="327" t="n">
        <v>1.4856</v>
      </c>
      <c r="N21" s="327" t="n">
        <v>1.5058</v>
      </c>
      <c r="O21" s="327" t="n">
        <v>1.5385</v>
      </c>
      <c r="P21" s="327" t="n">
        <v>1.5736</v>
      </c>
      <c r="Q21" s="327" t="n">
        <v>1.607</v>
      </c>
      <c r="R21" s="327" t="n">
        <v>1.6298</v>
      </c>
      <c r="S21" s="327" t="n">
        <v>1.6632</v>
      </c>
      <c r="T21" s="327" t="n">
        <v>1.7012</v>
      </c>
      <c r="U21" s="327" t="n">
        <v>1.7429</v>
      </c>
      <c r="V21" s="327" t="n">
        <v>1.786</v>
      </c>
    </row>
    <row r="22" customFormat="false" ht="12.75" hidden="false" customHeight="false" outlineLevel="0" collapsed="false">
      <c r="A22" s="0" t="n">
        <f aca="false">Summary!A30</f>
        <v>14</v>
      </c>
      <c r="B22" s="330" t="s">
        <v>83</v>
      </c>
      <c r="C22" s="327" t="n">
        <v>1.1818</v>
      </c>
      <c r="D22" s="327" t="n">
        <v>1.2163</v>
      </c>
      <c r="E22" s="327" t="n">
        <v>1.2338</v>
      </c>
      <c r="F22" s="327" t="n">
        <v>1.2553</v>
      </c>
      <c r="G22" s="327" t="n">
        <v>1.2912</v>
      </c>
      <c r="H22" s="327" t="n">
        <v>1.3361</v>
      </c>
      <c r="I22" s="327" t="n">
        <v>1.3874</v>
      </c>
      <c r="J22" s="327" t="n">
        <v>1.4194</v>
      </c>
      <c r="K22" s="327" t="n">
        <v>1.4499</v>
      </c>
      <c r="L22" s="327" t="n">
        <v>1.4738</v>
      </c>
      <c r="M22" s="327" t="n">
        <v>1.4856</v>
      </c>
      <c r="N22" s="327" t="n">
        <v>1.5058</v>
      </c>
      <c r="O22" s="327" t="n">
        <v>1.5385</v>
      </c>
      <c r="P22" s="327" t="n">
        <v>1.5736</v>
      </c>
      <c r="Q22" s="327" t="n">
        <v>1.607</v>
      </c>
      <c r="R22" s="327" t="n">
        <v>1.6298</v>
      </c>
      <c r="S22" s="327" t="n">
        <v>1.6632</v>
      </c>
      <c r="T22" s="327" t="n">
        <v>1.7012</v>
      </c>
      <c r="U22" s="327" t="n">
        <v>1.7429</v>
      </c>
      <c r="V22" s="327" t="n">
        <v>1.786</v>
      </c>
    </row>
    <row r="23" customFormat="false" ht="12.75" hidden="false" customHeight="false" outlineLevel="0" collapsed="false">
      <c r="A23" s="0" t="n">
        <f aca="false">Summary!A31</f>
        <v>15</v>
      </c>
      <c r="B23" s="330" t="s">
        <v>84</v>
      </c>
      <c r="C23" s="327" t="n">
        <v>1.1818</v>
      </c>
      <c r="D23" s="327" t="n">
        <v>1.2163</v>
      </c>
      <c r="E23" s="327" t="n">
        <v>1.2338</v>
      </c>
      <c r="F23" s="327" t="n">
        <v>1.2553</v>
      </c>
      <c r="G23" s="327" t="n">
        <v>1.2912</v>
      </c>
      <c r="H23" s="327" t="n">
        <v>1.3361</v>
      </c>
      <c r="I23" s="327" t="n">
        <v>1.3874</v>
      </c>
      <c r="J23" s="327" t="n">
        <v>1.4194</v>
      </c>
      <c r="K23" s="327" t="n">
        <v>1.4499</v>
      </c>
      <c r="L23" s="327" t="n">
        <v>1.4738</v>
      </c>
      <c r="M23" s="327" t="n">
        <v>1.4856</v>
      </c>
      <c r="N23" s="327" t="n">
        <v>1.5058</v>
      </c>
      <c r="O23" s="327" t="n">
        <v>1.5385</v>
      </c>
      <c r="P23" s="327" t="n">
        <v>1.5736</v>
      </c>
      <c r="Q23" s="327" t="n">
        <v>1.607</v>
      </c>
      <c r="R23" s="327" t="n">
        <v>1.6298</v>
      </c>
      <c r="S23" s="327" t="n">
        <v>1.6632</v>
      </c>
      <c r="T23" s="327" t="n">
        <v>1.7012</v>
      </c>
      <c r="U23" s="327" t="n">
        <v>1.7429</v>
      </c>
      <c r="V23" s="327" t="n">
        <v>1.786</v>
      </c>
    </row>
    <row r="24" customFormat="false" ht="12.75" hidden="false" customHeight="false" outlineLevel="0" collapsed="false">
      <c r="A24" s="0" t="n">
        <f aca="false">Summary!A32</f>
        <v>16</v>
      </c>
      <c r="B24" s="330" t="s">
        <v>85</v>
      </c>
      <c r="C24" s="327" t="n">
        <v>1.1818</v>
      </c>
      <c r="D24" s="327" t="n">
        <v>1.2163</v>
      </c>
      <c r="E24" s="327" t="n">
        <v>1.2338</v>
      </c>
      <c r="F24" s="327" t="n">
        <v>1.2553</v>
      </c>
      <c r="G24" s="327" t="n">
        <v>1.2912</v>
      </c>
      <c r="H24" s="327" t="n">
        <v>1.3361</v>
      </c>
      <c r="I24" s="327" t="n">
        <v>1.3874</v>
      </c>
      <c r="J24" s="327" t="n">
        <v>1.4194</v>
      </c>
      <c r="K24" s="327" t="n">
        <v>1.4499</v>
      </c>
      <c r="L24" s="327" t="n">
        <v>1.4738</v>
      </c>
      <c r="M24" s="327" t="n">
        <v>1.4856</v>
      </c>
      <c r="N24" s="327" t="n">
        <v>1.5058</v>
      </c>
      <c r="O24" s="327" t="n">
        <v>1.5385</v>
      </c>
      <c r="P24" s="327" t="n">
        <v>1.5736</v>
      </c>
      <c r="Q24" s="327" t="n">
        <v>1.607</v>
      </c>
      <c r="R24" s="327" t="n">
        <v>1.6298</v>
      </c>
      <c r="S24" s="327" t="n">
        <v>1.6632</v>
      </c>
      <c r="T24" s="327" t="n">
        <v>1.7012</v>
      </c>
      <c r="U24" s="327" t="n">
        <v>1.7429</v>
      </c>
      <c r="V24" s="327" t="n">
        <v>1.786</v>
      </c>
    </row>
    <row r="25" customFormat="false" ht="12.75" hidden="false" customHeight="false" outlineLevel="0" collapsed="false">
      <c r="A25" s="0" t="n">
        <f aca="false">Summary!A33</f>
        <v>17</v>
      </c>
      <c r="B25" s="330" t="s">
        <v>86</v>
      </c>
      <c r="C25" s="327" t="n">
        <v>1.1818</v>
      </c>
      <c r="D25" s="327" t="n">
        <v>1.2163</v>
      </c>
      <c r="E25" s="327" t="n">
        <v>1.2338</v>
      </c>
      <c r="F25" s="327" t="n">
        <v>1.2553</v>
      </c>
      <c r="G25" s="327" t="n">
        <v>1.2912</v>
      </c>
      <c r="H25" s="327" t="n">
        <v>1.3361</v>
      </c>
      <c r="I25" s="327" t="n">
        <v>1.3874</v>
      </c>
      <c r="J25" s="327" t="n">
        <v>1.4194</v>
      </c>
      <c r="K25" s="327" t="n">
        <v>1.4499</v>
      </c>
      <c r="L25" s="327" t="n">
        <v>1.4738</v>
      </c>
      <c r="M25" s="327" t="n">
        <v>1.4856</v>
      </c>
      <c r="N25" s="327" t="n">
        <v>1.5058</v>
      </c>
      <c r="O25" s="327" t="n">
        <v>1.5385</v>
      </c>
      <c r="P25" s="327" t="n">
        <v>1.5736</v>
      </c>
      <c r="Q25" s="327" t="n">
        <v>1.607</v>
      </c>
      <c r="R25" s="327" t="n">
        <v>1.6298</v>
      </c>
      <c r="S25" s="327" t="n">
        <v>1.6632</v>
      </c>
      <c r="T25" s="327" t="n">
        <v>1.7012</v>
      </c>
      <c r="U25" s="327" t="n">
        <v>1.7429</v>
      </c>
      <c r="V25" s="327" t="n">
        <v>1.786</v>
      </c>
    </row>
    <row r="26" customFormat="false" ht="12.75" hidden="false" customHeight="false" outlineLevel="0" collapsed="false">
      <c r="A26" s="0" t="n">
        <f aca="false">Summary!A34</f>
        <v>18</v>
      </c>
      <c r="B26" s="330" t="s">
        <v>87</v>
      </c>
      <c r="C26" s="327" t="n">
        <v>0.9092</v>
      </c>
      <c r="D26" s="327" t="n">
        <v>0.9079</v>
      </c>
      <c r="E26" s="327" t="n">
        <v>0.9043</v>
      </c>
      <c r="F26" s="327" t="n">
        <v>0.906</v>
      </c>
      <c r="G26" s="327" t="n">
        <v>0.9168</v>
      </c>
      <c r="H26" s="327" t="n">
        <v>0.934</v>
      </c>
      <c r="I26" s="327" t="n">
        <v>0.9661</v>
      </c>
      <c r="J26" s="327" t="n">
        <v>1.0049</v>
      </c>
      <c r="K26" s="327" t="n">
        <v>1.0362</v>
      </c>
      <c r="L26" s="327" t="n">
        <v>1.0677</v>
      </c>
      <c r="M26" s="327" t="n">
        <v>1.1054</v>
      </c>
      <c r="N26" s="327" t="n">
        <v>1.1421</v>
      </c>
      <c r="O26" s="327" t="n">
        <v>1.1653</v>
      </c>
      <c r="P26" s="327" t="n">
        <v>1.181</v>
      </c>
      <c r="Q26" s="327" t="n">
        <v>1.2043</v>
      </c>
      <c r="R26" s="327" t="n">
        <v>1.2275</v>
      </c>
      <c r="S26" s="327" t="n">
        <v>1.2515</v>
      </c>
      <c r="T26" s="327" t="n">
        <v>1.2758</v>
      </c>
      <c r="U26" s="327" t="n">
        <v>1.3006</v>
      </c>
      <c r="V26" s="327" t="n">
        <v>1.3258</v>
      </c>
    </row>
    <row r="27" customFormat="false" ht="12.75" hidden="false" customHeight="false" outlineLevel="0" collapsed="false">
      <c r="A27" s="0" t="n">
        <f aca="false">Summary!A35</f>
        <v>19</v>
      </c>
      <c r="B27" s="330" t="s">
        <v>88</v>
      </c>
      <c r="C27" s="331" t="n">
        <v>0</v>
      </c>
      <c r="D27" s="332" t="n">
        <v>0</v>
      </c>
      <c r="E27" s="332" t="n">
        <v>0</v>
      </c>
      <c r="F27" s="332" t="n">
        <v>0</v>
      </c>
      <c r="G27" s="332" t="n">
        <v>0</v>
      </c>
      <c r="H27" s="332" t="n">
        <v>0</v>
      </c>
      <c r="I27" s="332" t="n">
        <v>0</v>
      </c>
      <c r="J27" s="332" t="n">
        <v>0</v>
      </c>
      <c r="K27" s="332" t="n">
        <v>0</v>
      </c>
      <c r="L27" s="332" t="n">
        <v>0</v>
      </c>
      <c r="M27" s="332" t="n">
        <v>0</v>
      </c>
      <c r="N27" s="332" t="n">
        <v>0</v>
      </c>
      <c r="O27" s="332" t="n">
        <v>0</v>
      </c>
      <c r="P27" s="332" t="n">
        <v>0</v>
      </c>
      <c r="Q27" s="332" t="n">
        <v>0</v>
      </c>
      <c r="R27" s="332" t="n">
        <v>0</v>
      </c>
      <c r="S27" s="332" t="n">
        <v>0</v>
      </c>
      <c r="T27" s="332" t="n">
        <v>0</v>
      </c>
      <c r="U27" s="332" t="n">
        <v>0</v>
      </c>
      <c r="V27" s="332" t="n">
        <v>0</v>
      </c>
    </row>
    <row r="28" customFormat="false" ht="12.75" hidden="false" customHeight="false" outlineLevel="0" collapsed="false">
      <c r="A28" s="0" t="n">
        <f aca="false">Summary!A36</f>
        <v>20</v>
      </c>
      <c r="B28" s="330" t="s">
        <v>89</v>
      </c>
      <c r="C28" s="331" t="n">
        <v>0</v>
      </c>
      <c r="D28" s="332" t="n">
        <v>0</v>
      </c>
      <c r="E28" s="332" t="n">
        <v>0</v>
      </c>
      <c r="F28" s="332" t="n">
        <v>0</v>
      </c>
      <c r="G28" s="332" t="n">
        <v>0</v>
      </c>
      <c r="H28" s="332" t="n">
        <v>0</v>
      </c>
      <c r="I28" s="332" t="n">
        <v>0</v>
      </c>
      <c r="J28" s="332" t="n">
        <v>0</v>
      </c>
      <c r="K28" s="332" t="n">
        <v>0</v>
      </c>
      <c r="L28" s="332" t="n">
        <v>0</v>
      </c>
      <c r="M28" s="332" t="n">
        <v>0</v>
      </c>
      <c r="N28" s="332" t="n">
        <v>0</v>
      </c>
      <c r="O28" s="332" t="n">
        <v>0</v>
      </c>
      <c r="P28" s="332" t="n">
        <v>0</v>
      </c>
      <c r="Q28" s="332" t="n">
        <v>0</v>
      </c>
      <c r="R28" s="332" t="n">
        <v>0</v>
      </c>
      <c r="S28" s="332" t="n">
        <v>0</v>
      </c>
      <c r="T28" s="332" t="n">
        <v>0</v>
      </c>
      <c r="U28" s="332" t="n">
        <v>0</v>
      </c>
      <c r="V28" s="332" t="n">
        <v>0</v>
      </c>
    </row>
    <row r="29" customFormat="false" ht="12.75" hidden="false" customHeight="false" outlineLevel="0" collapsed="false">
      <c r="A29" s="0" t="n">
        <f aca="false">Summary!A37</f>
        <v>21</v>
      </c>
      <c r="B29" s="330" t="s">
        <v>90</v>
      </c>
      <c r="C29" s="331" t="n">
        <v>0</v>
      </c>
      <c r="D29" s="332" t="n">
        <v>0</v>
      </c>
      <c r="E29" s="332" t="n">
        <v>0</v>
      </c>
      <c r="F29" s="332" t="n">
        <v>0</v>
      </c>
      <c r="G29" s="332" t="n">
        <v>0</v>
      </c>
      <c r="H29" s="332" t="n">
        <v>0</v>
      </c>
      <c r="I29" s="332" t="n">
        <v>0</v>
      </c>
      <c r="J29" s="332" t="n">
        <v>0</v>
      </c>
      <c r="K29" s="332" t="n">
        <v>0</v>
      </c>
      <c r="L29" s="332" t="n">
        <v>0</v>
      </c>
      <c r="M29" s="332" t="n">
        <v>0</v>
      </c>
      <c r="N29" s="332" t="n">
        <v>0</v>
      </c>
      <c r="O29" s="332" t="n">
        <v>0</v>
      </c>
      <c r="P29" s="332" t="n">
        <v>0</v>
      </c>
      <c r="Q29" s="332" t="n">
        <v>0</v>
      </c>
      <c r="R29" s="332" t="n">
        <v>0</v>
      </c>
      <c r="S29" s="332" t="n">
        <v>0</v>
      </c>
      <c r="T29" s="332" t="n">
        <v>0</v>
      </c>
      <c r="U29" s="332" t="n">
        <v>0</v>
      </c>
      <c r="V29" s="332" t="n">
        <v>0</v>
      </c>
    </row>
    <row r="30" customFormat="false" ht="12.75" hidden="false" customHeight="false" outlineLevel="0" collapsed="false">
      <c r="A30" s="0" t="n">
        <f aca="false">Summary!A38</f>
        <v>22</v>
      </c>
      <c r="B30" s="330" t="s">
        <v>91</v>
      </c>
      <c r="C30" s="331" t="n">
        <v>0</v>
      </c>
      <c r="D30" s="332" t="n">
        <v>0</v>
      </c>
      <c r="E30" s="332" t="n">
        <v>0</v>
      </c>
      <c r="F30" s="332" t="n">
        <v>0</v>
      </c>
      <c r="G30" s="332" t="n">
        <v>0</v>
      </c>
      <c r="H30" s="332" t="n">
        <v>0</v>
      </c>
      <c r="I30" s="332" t="n">
        <v>0</v>
      </c>
      <c r="J30" s="332" t="n">
        <v>0</v>
      </c>
      <c r="K30" s="332" t="n">
        <v>0</v>
      </c>
      <c r="L30" s="332" t="n">
        <v>0</v>
      </c>
      <c r="M30" s="332" t="n">
        <v>0</v>
      </c>
      <c r="N30" s="332" t="n">
        <v>0</v>
      </c>
      <c r="O30" s="332" t="n">
        <v>0</v>
      </c>
      <c r="P30" s="332" t="n">
        <v>0</v>
      </c>
      <c r="Q30" s="332" t="n">
        <v>0</v>
      </c>
      <c r="R30" s="332" t="n">
        <v>0</v>
      </c>
      <c r="S30" s="332" t="n">
        <v>0</v>
      </c>
      <c r="T30" s="332" t="n">
        <v>0</v>
      </c>
      <c r="U30" s="332" t="n">
        <v>0</v>
      </c>
      <c r="V30" s="332" t="n">
        <v>0</v>
      </c>
    </row>
    <row r="31" customFormat="false" ht="12.75" hidden="false" customHeight="false" outlineLevel="0" collapsed="false">
      <c r="A31" s="0" t="n">
        <f aca="false">Summary!A39</f>
        <v>23</v>
      </c>
      <c r="B31" s="330" t="s">
        <v>92</v>
      </c>
      <c r="C31" s="331" t="n">
        <v>0</v>
      </c>
      <c r="D31" s="332" t="n">
        <v>0</v>
      </c>
      <c r="E31" s="332" t="n">
        <v>0</v>
      </c>
      <c r="F31" s="332" t="n">
        <v>0</v>
      </c>
      <c r="G31" s="332" t="n">
        <v>0</v>
      </c>
      <c r="H31" s="332" t="n">
        <v>0</v>
      </c>
      <c r="I31" s="332" t="n">
        <v>0</v>
      </c>
      <c r="J31" s="332" t="n">
        <v>0</v>
      </c>
      <c r="K31" s="332" t="n">
        <v>0</v>
      </c>
      <c r="L31" s="332" t="n">
        <v>0</v>
      </c>
      <c r="M31" s="332" t="n">
        <v>0</v>
      </c>
      <c r="N31" s="332" t="n">
        <v>0</v>
      </c>
      <c r="O31" s="332" t="n">
        <v>0</v>
      </c>
      <c r="P31" s="332" t="n">
        <v>0</v>
      </c>
      <c r="Q31" s="332" t="n">
        <v>0</v>
      </c>
      <c r="R31" s="332" t="n">
        <v>0</v>
      </c>
      <c r="S31" s="332" t="n">
        <v>0</v>
      </c>
      <c r="T31" s="332" t="n">
        <v>0</v>
      </c>
      <c r="U31" s="332" t="n">
        <v>0</v>
      </c>
      <c r="V31" s="332" t="n">
        <v>0</v>
      </c>
    </row>
    <row r="32" customFormat="false" ht="12.75" hidden="false" customHeight="false" outlineLevel="0" collapsed="false">
      <c r="A32" s="0" t="n">
        <f aca="false">Summary!A40</f>
        <v>24</v>
      </c>
      <c r="B32" s="330" t="s">
        <v>93</v>
      </c>
      <c r="C32" s="331" t="n">
        <v>0</v>
      </c>
      <c r="D32" s="332" t="n">
        <v>0</v>
      </c>
      <c r="E32" s="332" t="n">
        <v>0</v>
      </c>
      <c r="F32" s="332" t="n">
        <v>0</v>
      </c>
      <c r="G32" s="332" t="n">
        <v>0</v>
      </c>
      <c r="H32" s="332" t="n">
        <v>0</v>
      </c>
      <c r="I32" s="332" t="n">
        <v>0</v>
      </c>
      <c r="J32" s="332" t="n">
        <v>0</v>
      </c>
      <c r="K32" s="332" t="n">
        <v>0</v>
      </c>
      <c r="L32" s="332" t="n">
        <v>0</v>
      </c>
      <c r="M32" s="332" t="n">
        <v>0</v>
      </c>
      <c r="N32" s="332" t="n">
        <v>0</v>
      </c>
      <c r="O32" s="332" t="n">
        <v>0</v>
      </c>
      <c r="P32" s="332" t="n">
        <v>0</v>
      </c>
      <c r="Q32" s="332" t="n">
        <v>0</v>
      </c>
      <c r="R32" s="332" t="n">
        <v>0</v>
      </c>
      <c r="S32" s="332" t="n">
        <v>0</v>
      </c>
      <c r="T32" s="332" t="n">
        <v>0</v>
      </c>
      <c r="U32" s="332" t="n">
        <v>0</v>
      </c>
      <c r="V32" s="332" t="n">
        <v>0</v>
      </c>
    </row>
    <row r="33" customFormat="false" ht="12.75" hidden="false" customHeight="false" outlineLevel="0" collapsed="false">
      <c r="A33" s="0" t="n">
        <f aca="false">Summary!A41</f>
        <v>25</v>
      </c>
      <c r="B33" s="330" t="s">
        <v>94</v>
      </c>
      <c r="C33" s="331" t="n">
        <v>0</v>
      </c>
      <c r="D33" s="332" t="n">
        <v>0</v>
      </c>
      <c r="E33" s="332" t="n">
        <v>0</v>
      </c>
      <c r="F33" s="332" t="n">
        <v>0</v>
      </c>
      <c r="G33" s="332" t="n">
        <v>0</v>
      </c>
      <c r="H33" s="332" t="n">
        <v>0</v>
      </c>
      <c r="I33" s="332" t="n">
        <v>0</v>
      </c>
      <c r="J33" s="332" t="n">
        <v>0</v>
      </c>
      <c r="K33" s="332" t="n">
        <v>0</v>
      </c>
      <c r="L33" s="332" t="n">
        <v>0</v>
      </c>
      <c r="M33" s="332" t="n">
        <v>0</v>
      </c>
      <c r="N33" s="332" t="n">
        <v>0</v>
      </c>
      <c r="O33" s="332" t="n">
        <v>0</v>
      </c>
      <c r="P33" s="332" t="n">
        <v>0</v>
      </c>
      <c r="Q33" s="332" t="n">
        <v>0</v>
      </c>
      <c r="R33" s="332" t="n">
        <v>0</v>
      </c>
      <c r="S33" s="332" t="n">
        <v>0</v>
      </c>
      <c r="T33" s="332" t="n">
        <v>0</v>
      </c>
      <c r="U33" s="332" t="n">
        <v>0</v>
      </c>
      <c r="V33" s="332" t="n">
        <v>0</v>
      </c>
    </row>
    <row r="34" customFormat="false" ht="12.75" hidden="false" customHeight="false" outlineLevel="0" collapsed="false">
      <c r="A34" s="0" t="n">
        <f aca="false">Summary!A42</f>
        <v>26</v>
      </c>
      <c r="B34" s="330" t="s">
        <v>95</v>
      </c>
      <c r="C34" s="331" t="n">
        <v>0</v>
      </c>
      <c r="D34" s="332" t="n">
        <v>0</v>
      </c>
      <c r="E34" s="332" t="n">
        <v>0</v>
      </c>
      <c r="F34" s="332" t="n">
        <v>0</v>
      </c>
      <c r="G34" s="332" t="n">
        <v>0</v>
      </c>
      <c r="H34" s="332" t="n">
        <v>0</v>
      </c>
      <c r="I34" s="332" t="n">
        <v>0</v>
      </c>
      <c r="J34" s="332" t="n">
        <v>0</v>
      </c>
      <c r="K34" s="332" t="n">
        <v>0</v>
      </c>
      <c r="L34" s="332" t="n">
        <v>0</v>
      </c>
      <c r="M34" s="332" t="n">
        <v>0</v>
      </c>
      <c r="N34" s="332" t="n">
        <v>0</v>
      </c>
      <c r="O34" s="332" t="n">
        <v>0</v>
      </c>
      <c r="P34" s="332" t="n">
        <v>0</v>
      </c>
      <c r="Q34" s="332" t="n">
        <v>0</v>
      </c>
      <c r="R34" s="332" t="n">
        <v>0</v>
      </c>
      <c r="S34" s="332" t="n">
        <v>0</v>
      </c>
      <c r="T34" s="332" t="n">
        <v>0</v>
      </c>
      <c r="U34" s="332" t="n">
        <v>0</v>
      </c>
      <c r="V34" s="332" t="n">
        <v>0</v>
      </c>
    </row>
    <row r="35" customFormat="false" ht="12.75" hidden="false" customHeight="false" outlineLevel="0" collapsed="false">
      <c r="A35" s="0" t="n">
        <f aca="false">Summary!A43</f>
        <v>27</v>
      </c>
      <c r="B35" s="330" t="s">
        <v>96</v>
      </c>
      <c r="C35" s="331" t="n">
        <v>0</v>
      </c>
      <c r="D35" s="332" t="n">
        <v>0</v>
      </c>
      <c r="E35" s="332" t="n">
        <v>0</v>
      </c>
      <c r="F35" s="332" t="n">
        <v>0</v>
      </c>
      <c r="G35" s="332" t="n">
        <v>0</v>
      </c>
      <c r="H35" s="332" t="n">
        <v>0</v>
      </c>
      <c r="I35" s="332" t="n">
        <v>0</v>
      </c>
      <c r="J35" s="332" t="n">
        <v>0</v>
      </c>
      <c r="K35" s="332" t="n">
        <v>0</v>
      </c>
      <c r="L35" s="332" t="n">
        <v>0</v>
      </c>
      <c r="M35" s="332" t="n">
        <v>0</v>
      </c>
      <c r="N35" s="332" t="n">
        <v>0</v>
      </c>
      <c r="O35" s="332" t="n">
        <v>0</v>
      </c>
      <c r="P35" s="332" t="n">
        <v>0</v>
      </c>
      <c r="Q35" s="332" t="n">
        <v>0</v>
      </c>
      <c r="R35" s="332" t="n">
        <v>0</v>
      </c>
      <c r="S35" s="332" t="n">
        <v>0</v>
      </c>
      <c r="T35" s="332" t="n">
        <v>0</v>
      </c>
      <c r="U35" s="332" t="n">
        <v>0</v>
      </c>
      <c r="V35" s="332" t="n">
        <v>0</v>
      </c>
    </row>
    <row r="36" customFormat="false" ht="12.75" hidden="false" customHeight="false" outlineLevel="0" collapsed="false">
      <c r="A36" s="0" t="n">
        <f aca="false">Summary!A44</f>
        <v>28</v>
      </c>
      <c r="B36" s="330" t="s">
        <v>97</v>
      </c>
      <c r="C36" s="331" t="n">
        <v>0</v>
      </c>
      <c r="D36" s="332" t="n">
        <v>0</v>
      </c>
      <c r="E36" s="332" t="n">
        <v>0</v>
      </c>
      <c r="F36" s="332" t="n">
        <v>0</v>
      </c>
      <c r="G36" s="332" t="n">
        <v>0</v>
      </c>
      <c r="H36" s="332" t="n">
        <v>0</v>
      </c>
      <c r="I36" s="332" t="n">
        <v>0</v>
      </c>
      <c r="J36" s="332" t="n">
        <v>0</v>
      </c>
      <c r="K36" s="332" t="n">
        <v>0</v>
      </c>
      <c r="L36" s="332" t="n">
        <v>0</v>
      </c>
      <c r="M36" s="332" t="n">
        <v>0</v>
      </c>
      <c r="N36" s="332" t="n">
        <v>0</v>
      </c>
      <c r="O36" s="332" t="n">
        <v>0</v>
      </c>
      <c r="P36" s="332" t="n">
        <v>0</v>
      </c>
      <c r="Q36" s="332" t="n">
        <v>0</v>
      </c>
      <c r="R36" s="332" t="n">
        <v>0</v>
      </c>
      <c r="S36" s="332" t="n">
        <v>0</v>
      </c>
      <c r="T36" s="332" t="n">
        <v>0</v>
      </c>
      <c r="U36" s="332" t="n">
        <v>0</v>
      </c>
      <c r="V36" s="332" t="n">
        <v>0</v>
      </c>
    </row>
    <row r="37" customFormat="false" ht="12.75" hidden="false" customHeight="false" outlineLevel="0" collapsed="false">
      <c r="A37" s="0" t="n">
        <f aca="false">Summary!A45</f>
        <v>29</v>
      </c>
      <c r="B37" s="330" t="s">
        <v>98</v>
      </c>
      <c r="C37" s="331" t="n">
        <v>0</v>
      </c>
      <c r="D37" s="332" t="n">
        <v>0</v>
      </c>
      <c r="E37" s="332" t="n">
        <v>0</v>
      </c>
      <c r="F37" s="332" t="n">
        <v>0</v>
      </c>
      <c r="G37" s="332" t="n">
        <v>0</v>
      </c>
      <c r="H37" s="332" t="n">
        <v>0</v>
      </c>
      <c r="I37" s="332" t="n">
        <v>0</v>
      </c>
      <c r="J37" s="332" t="n">
        <v>0</v>
      </c>
      <c r="K37" s="332" t="n">
        <v>0</v>
      </c>
      <c r="L37" s="332" t="n">
        <v>0</v>
      </c>
      <c r="M37" s="332" t="n">
        <v>0</v>
      </c>
      <c r="N37" s="332" t="n">
        <v>0</v>
      </c>
      <c r="O37" s="332" t="n">
        <v>0</v>
      </c>
      <c r="P37" s="332" t="n">
        <v>0</v>
      </c>
      <c r="Q37" s="332" t="n">
        <v>0</v>
      </c>
      <c r="R37" s="332" t="n">
        <v>0</v>
      </c>
      <c r="S37" s="332" t="n">
        <v>0</v>
      </c>
      <c r="T37" s="332" t="n">
        <v>0</v>
      </c>
      <c r="U37" s="332" t="n">
        <v>0</v>
      </c>
      <c r="V37" s="332" t="n">
        <v>0</v>
      </c>
    </row>
    <row r="38" customFormat="false" ht="12.75" hidden="false" customHeight="false" outlineLevel="0" collapsed="false">
      <c r="A38" s="0" t="n">
        <f aca="false">Summary!A46</f>
        <v>30</v>
      </c>
      <c r="B38" s="330" t="s">
        <v>99</v>
      </c>
      <c r="C38" s="331" t="n">
        <v>0</v>
      </c>
      <c r="D38" s="332" t="n">
        <v>0</v>
      </c>
      <c r="E38" s="332" t="n">
        <v>0</v>
      </c>
      <c r="F38" s="332" t="n">
        <v>0</v>
      </c>
      <c r="G38" s="332" t="n">
        <v>0</v>
      </c>
      <c r="H38" s="332" t="n">
        <v>0</v>
      </c>
      <c r="I38" s="332" t="n">
        <v>0</v>
      </c>
      <c r="J38" s="332" t="n">
        <v>0</v>
      </c>
      <c r="K38" s="332" t="n">
        <v>0</v>
      </c>
      <c r="L38" s="332" t="n">
        <v>0</v>
      </c>
      <c r="M38" s="332" t="n">
        <v>0</v>
      </c>
      <c r="N38" s="332" t="n">
        <v>0</v>
      </c>
      <c r="O38" s="332" t="n">
        <v>0</v>
      </c>
      <c r="P38" s="332" t="n">
        <v>0</v>
      </c>
      <c r="Q38" s="332" t="n">
        <v>0</v>
      </c>
      <c r="R38" s="332" t="n">
        <v>0</v>
      </c>
      <c r="S38" s="332" t="n">
        <v>0</v>
      </c>
      <c r="T38" s="332" t="n">
        <v>0</v>
      </c>
      <c r="U38" s="332" t="n">
        <v>0</v>
      </c>
      <c r="V38" s="332" t="n">
        <v>0</v>
      </c>
    </row>
    <row r="39" customFormat="false" ht="12.75" hidden="false" customHeight="false" outlineLevel="0" collapsed="false">
      <c r="A39" s="0" t="n">
        <f aca="false">Summary!A47</f>
        <v>31</v>
      </c>
      <c r="B39" s="330" t="s">
        <v>100</v>
      </c>
      <c r="C39" s="331" t="n">
        <v>0</v>
      </c>
      <c r="D39" s="332" t="n">
        <v>0</v>
      </c>
      <c r="E39" s="332" t="n">
        <v>0</v>
      </c>
      <c r="F39" s="332" t="n">
        <v>0</v>
      </c>
      <c r="G39" s="332" t="n">
        <v>0</v>
      </c>
      <c r="H39" s="332" t="n">
        <v>0</v>
      </c>
      <c r="I39" s="332" t="n">
        <v>0</v>
      </c>
      <c r="J39" s="332" t="n">
        <v>0</v>
      </c>
      <c r="K39" s="332" t="n">
        <v>0</v>
      </c>
      <c r="L39" s="332" t="n">
        <v>0</v>
      </c>
      <c r="M39" s="332" t="n">
        <v>0</v>
      </c>
      <c r="N39" s="332" t="n">
        <v>0</v>
      </c>
      <c r="O39" s="332" t="n">
        <v>0</v>
      </c>
      <c r="P39" s="332" t="n">
        <v>0</v>
      </c>
      <c r="Q39" s="332" t="n">
        <v>0</v>
      </c>
      <c r="R39" s="332" t="n">
        <v>0</v>
      </c>
      <c r="S39" s="332" t="n">
        <v>0</v>
      </c>
      <c r="T39" s="332" t="n">
        <v>0</v>
      </c>
      <c r="U39" s="332" t="n">
        <v>0</v>
      </c>
      <c r="V39" s="332" t="n">
        <v>0</v>
      </c>
    </row>
    <row r="40" customFormat="false" ht="12.75" hidden="false" customHeight="false" outlineLevel="0" collapsed="false">
      <c r="A40" s="0" t="n">
        <f aca="false">Summary!A48</f>
        <v>32</v>
      </c>
      <c r="B40" s="330" t="s">
        <v>101</v>
      </c>
      <c r="C40" s="331" t="n">
        <v>0</v>
      </c>
      <c r="D40" s="332" t="n">
        <v>0</v>
      </c>
      <c r="E40" s="332" t="n">
        <v>0</v>
      </c>
      <c r="F40" s="332" t="n">
        <v>0</v>
      </c>
      <c r="G40" s="332" t="n">
        <v>0</v>
      </c>
      <c r="H40" s="332" t="n">
        <v>0</v>
      </c>
      <c r="I40" s="332" t="n">
        <v>0</v>
      </c>
      <c r="J40" s="332" t="n">
        <v>0</v>
      </c>
      <c r="K40" s="332" t="n">
        <v>0</v>
      </c>
      <c r="L40" s="332" t="n">
        <v>0</v>
      </c>
      <c r="M40" s="332" t="n">
        <v>0</v>
      </c>
      <c r="N40" s="332" t="n">
        <v>0</v>
      </c>
      <c r="O40" s="332" t="n">
        <v>0</v>
      </c>
      <c r="P40" s="332" t="n">
        <v>0</v>
      </c>
      <c r="Q40" s="332" t="n">
        <v>0</v>
      </c>
      <c r="R40" s="332" t="n">
        <v>0</v>
      </c>
      <c r="S40" s="332" t="n">
        <v>0</v>
      </c>
      <c r="T40" s="332" t="n">
        <v>0</v>
      </c>
      <c r="U40" s="332" t="n">
        <v>0</v>
      </c>
      <c r="V40" s="332" t="n">
        <v>0</v>
      </c>
    </row>
    <row r="41" customFormat="false" ht="12.75" hidden="false" customHeight="false" outlineLevel="0" collapsed="false">
      <c r="A41" s="0" t="n">
        <f aca="false">Summary!A49</f>
        <v>33</v>
      </c>
      <c r="B41" s="330" t="s">
        <v>14</v>
      </c>
      <c r="C41" s="331" t="n">
        <v>0</v>
      </c>
      <c r="D41" s="332" t="n">
        <v>0</v>
      </c>
      <c r="E41" s="332" t="n">
        <v>0</v>
      </c>
      <c r="F41" s="332" t="n">
        <v>0</v>
      </c>
      <c r="G41" s="332" t="n">
        <v>0</v>
      </c>
      <c r="H41" s="332" t="n">
        <v>0</v>
      </c>
      <c r="I41" s="332" t="n">
        <v>0</v>
      </c>
      <c r="J41" s="332" t="n">
        <v>0</v>
      </c>
      <c r="K41" s="332" t="n">
        <v>0</v>
      </c>
      <c r="L41" s="332" t="n">
        <v>0</v>
      </c>
      <c r="M41" s="332" t="n">
        <v>0</v>
      </c>
      <c r="N41" s="332" t="n">
        <v>0</v>
      </c>
      <c r="O41" s="332" t="n">
        <v>0</v>
      </c>
      <c r="P41" s="332" t="n">
        <v>0</v>
      </c>
      <c r="Q41" s="332" t="n">
        <v>0</v>
      </c>
      <c r="R41" s="332" t="n">
        <v>0</v>
      </c>
      <c r="S41" s="332" t="n">
        <v>0</v>
      </c>
      <c r="T41" s="332" t="n">
        <v>0</v>
      </c>
      <c r="U41" s="332" t="n">
        <v>0</v>
      </c>
      <c r="V41" s="332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0" width="15.41"/>
    <col collapsed="false" customWidth="true" hidden="false" outlineLevel="0" max="3" min="3" style="0" width="6.7"/>
    <col collapsed="false" customWidth="true" hidden="false" outlineLevel="0" max="4" min="4" style="0" width="8.7"/>
    <col collapsed="false" customWidth="true" hidden="false" outlineLevel="0" max="21" min="5" style="0" width="9.7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97" t="s">
        <v>171</v>
      </c>
    </row>
    <row r="2" customFormat="false" ht="12.75" hidden="false" customHeight="false" outlineLevel="0" collapsed="false">
      <c r="A2" s="197"/>
    </row>
    <row r="3" customFormat="false" ht="12.75" hidden="false" customHeight="false" outlineLevel="0" collapsed="false">
      <c r="A3" s="197"/>
    </row>
    <row r="4" customFormat="false" ht="12.75" hidden="false" customHeight="false" outlineLevel="0" collapsed="false">
      <c r="A4" s="197"/>
    </row>
    <row r="5" customFormat="false" ht="12.75" hidden="false" customHeight="false" outlineLevel="0" collapsed="false">
      <c r="A5" s="197"/>
    </row>
    <row r="7" customFormat="false" ht="12.75" hidden="false" customHeight="false" outlineLevel="0" collapsed="false">
      <c r="C7" s="235" t="n">
        <v>2000</v>
      </c>
      <c r="D7" s="235" t="n">
        <v>2001</v>
      </c>
      <c r="E7" s="235" t="n">
        <v>2002</v>
      </c>
      <c r="F7" s="235" t="n">
        <v>2003</v>
      </c>
      <c r="G7" s="235" t="n">
        <v>2004</v>
      </c>
      <c r="H7" s="235" t="n">
        <v>2005</v>
      </c>
      <c r="I7" s="235" t="n">
        <v>2006</v>
      </c>
      <c r="J7" s="235" t="n">
        <v>2007</v>
      </c>
      <c r="K7" s="235" t="n">
        <v>2008</v>
      </c>
      <c r="L7" s="235" t="n">
        <v>2009</v>
      </c>
      <c r="M7" s="235" t="n">
        <v>2010</v>
      </c>
      <c r="N7" s="235" t="n">
        <v>2011</v>
      </c>
      <c r="O7" s="235" t="n">
        <v>2012</v>
      </c>
      <c r="P7" s="235" t="n">
        <v>2013</v>
      </c>
      <c r="Q7" s="235" t="n">
        <v>2014</v>
      </c>
      <c r="R7" s="235" t="n">
        <v>2015</v>
      </c>
      <c r="S7" s="235" t="n">
        <v>2016</v>
      </c>
      <c r="T7" s="235" t="n">
        <v>2017</v>
      </c>
      <c r="U7" s="235" t="n">
        <v>2018</v>
      </c>
      <c r="V7" s="235" t="n">
        <v>2019</v>
      </c>
    </row>
    <row r="9" customFormat="false" ht="12.75" hidden="false" customHeight="false" outlineLevel="0" collapsed="false">
      <c r="A9" s="0" t="n">
        <f aca="false">Summary!A17</f>
        <v>1</v>
      </c>
      <c r="B9" s="0" t="s">
        <v>69</v>
      </c>
      <c r="C9" s="333" t="n">
        <v>0</v>
      </c>
      <c r="D9" s="334" t="n">
        <v>381835.514003752</v>
      </c>
      <c r="E9" s="334" t="n">
        <v>446848.790682125</v>
      </c>
      <c r="F9" s="334" t="n">
        <v>457081.358119755</v>
      </c>
      <c r="G9" s="334" t="n">
        <v>467545.181581475</v>
      </c>
      <c r="H9" s="334" t="n">
        <v>478258.044041584</v>
      </c>
      <c r="I9" s="334" t="n">
        <v>489735.036444115</v>
      </c>
      <c r="J9" s="334" t="n">
        <v>500988.731838212</v>
      </c>
      <c r="K9" s="334" t="n">
        <v>512527.28151933</v>
      </c>
      <c r="L9" s="334" t="n">
        <v>524350.833377572</v>
      </c>
      <c r="M9" s="334" t="n">
        <v>536475.885808199</v>
      </c>
      <c r="N9" s="334" t="n">
        <v>548894.364507647</v>
      </c>
      <c r="O9" s="334" t="n">
        <v>561625.788870322</v>
      </c>
      <c r="P9" s="334" t="n">
        <v>574680.591411808</v>
      </c>
      <c r="Q9" s="334" t="n">
        <v>588061.764016831</v>
      </c>
      <c r="R9" s="334" t="n">
        <v>601778.804054241</v>
      </c>
      <c r="S9" s="334" t="n">
        <v>615838.770092586</v>
      </c>
      <c r="T9" s="334" t="n">
        <v>630247.423288681</v>
      </c>
      <c r="U9" s="334" t="n">
        <v>645017.733679999</v>
      </c>
      <c r="V9" s="334" t="n">
        <v>660158.778862139</v>
      </c>
    </row>
    <row r="10" customFormat="false" ht="12.75" hidden="false" customHeight="false" outlineLevel="0" collapsed="false">
      <c r="A10" s="0" t="n">
        <f aca="false">Summary!A18</f>
        <v>2</v>
      </c>
      <c r="B10" s="0" t="s">
        <v>71</v>
      </c>
      <c r="C10" s="333" t="n">
        <v>0</v>
      </c>
      <c r="D10" s="335" t="n">
        <v>597318.549387791</v>
      </c>
      <c r="E10" s="335" t="n">
        <v>613373.928467066</v>
      </c>
      <c r="F10" s="335" t="n">
        <v>629780.920348176</v>
      </c>
      <c r="G10" s="335" t="n">
        <v>646558.7102458</v>
      </c>
      <c r="H10" s="335" t="n">
        <v>663735.811542987</v>
      </c>
      <c r="I10" s="335" t="n">
        <v>681343.372725527</v>
      </c>
      <c r="J10" s="335" t="n">
        <v>699387.650477799</v>
      </c>
      <c r="K10" s="335" t="n">
        <v>717888.66618982</v>
      </c>
      <c r="L10" s="335" t="n">
        <v>736846.656989928</v>
      </c>
      <c r="M10" s="335" t="n">
        <v>756288.076555439</v>
      </c>
      <c r="N10" s="335" t="n">
        <v>776199.978474435</v>
      </c>
      <c r="O10" s="335" t="n">
        <v>796613.660321789</v>
      </c>
      <c r="P10" s="335" t="n">
        <v>817545.849688067</v>
      </c>
      <c r="Q10" s="335" t="n">
        <v>839001.343788501</v>
      </c>
      <c r="R10" s="335" t="n">
        <v>860995.370790857</v>
      </c>
      <c r="S10" s="335" t="n">
        <v>883539.248468271</v>
      </c>
      <c r="T10" s="335" t="n">
        <v>906642.214312085</v>
      </c>
      <c r="U10" s="335" t="n">
        <v>930325.064598579</v>
      </c>
      <c r="V10" s="335" t="n">
        <v>954602.354427264</v>
      </c>
    </row>
    <row r="11" customFormat="false" ht="12.75" hidden="false" customHeight="false" outlineLevel="0" collapsed="false">
      <c r="A11" s="0" t="n">
        <f aca="false">Summary!A19</f>
        <v>3</v>
      </c>
      <c r="B11" s="2" t="s">
        <v>72</v>
      </c>
      <c r="C11" s="333" t="n">
        <v>0</v>
      </c>
      <c r="D11" s="335" t="n">
        <v>388299.792155906</v>
      </c>
      <c r="E11" s="335" t="n">
        <v>397276.518286144</v>
      </c>
      <c r="F11" s="335" t="n">
        <v>406449.834718634</v>
      </c>
      <c r="G11" s="335" t="n">
        <v>415830.468102499</v>
      </c>
      <c r="H11" s="335" t="n">
        <v>425434.3605609</v>
      </c>
      <c r="I11" s="335" t="n">
        <v>435680.840213219</v>
      </c>
      <c r="J11" s="335" t="n">
        <v>445769.579868652</v>
      </c>
      <c r="K11" s="335" t="n">
        <v>456535.84705077</v>
      </c>
      <c r="L11" s="335" t="n">
        <v>467135.452986692</v>
      </c>
      <c r="M11" s="335" t="n">
        <v>478005.348873979</v>
      </c>
      <c r="N11" s="335" t="n">
        <v>489138.296241738</v>
      </c>
      <c r="O11" s="335" t="n">
        <v>500551.793883165</v>
      </c>
      <c r="P11" s="335" t="n">
        <v>512255.194364685</v>
      </c>
      <c r="Q11" s="335" t="n">
        <v>524251.179858242</v>
      </c>
      <c r="R11" s="335" t="n">
        <v>536548.264587687</v>
      </c>
      <c r="S11" s="335" t="n">
        <v>549152.776435369</v>
      </c>
      <c r="T11" s="335" t="n">
        <v>562069.880176873</v>
      </c>
      <c r="U11" s="335" t="n">
        <v>575311.203222289</v>
      </c>
      <c r="V11" s="335" t="n">
        <v>588884.883476145</v>
      </c>
    </row>
    <row r="12" customFormat="false" ht="12.75" hidden="false" customHeight="false" outlineLevel="0" collapsed="false">
      <c r="A12" s="0" t="n">
        <f aca="false">Summary!A20</f>
        <v>4</v>
      </c>
      <c r="B12" s="2" t="s">
        <v>73</v>
      </c>
      <c r="C12" s="333" t="n">
        <v>0</v>
      </c>
      <c r="D12" s="335" t="n">
        <v>388299.792155906</v>
      </c>
      <c r="E12" s="335" t="n">
        <v>397276.518286144</v>
      </c>
      <c r="F12" s="335" t="n">
        <v>406449.834718634</v>
      </c>
      <c r="G12" s="335" t="n">
        <v>415830.468102499</v>
      </c>
      <c r="H12" s="335" t="n">
        <v>425434.3605609</v>
      </c>
      <c r="I12" s="335" t="n">
        <v>435680.840213219</v>
      </c>
      <c r="J12" s="335" t="n">
        <v>445769.579868652</v>
      </c>
      <c r="K12" s="335" t="n">
        <v>456535.84705077</v>
      </c>
      <c r="L12" s="335" t="n">
        <v>467135.452986692</v>
      </c>
      <c r="M12" s="335" t="n">
        <v>478005.348873979</v>
      </c>
      <c r="N12" s="335" t="n">
        <v>489138.296241738</v>
      </c>
      <c r="O12" s="335" t="n">
        <v>500551.793883165</v>
      </c>
      <c r="P12" s="335" t="n">
        <v>512255.194364685</v>
      </c>
      <c r="Q12" s="335" t="n">
        <v>524251.179858242</v>
      </c>
      <c r="R12" s="335" t="n">
        <v>536548.264587687</v>
      </c>
      <c r="S12" s="335" t="n">
        <v>549152.776435369</v>
      </c>
      <c r="T12" s="335" t="n">
        <v>562069.880176873</v>
      </c>
      <c r="U12" s="335" t="n">
        <v>575311.203222289</v>
      </c>
      <c r="V12" s="335" t="n">
        <v>588884.883476145</v>
      </c>
    </row>
    <row r="13" customFormat="false" ht="12.75" hidden="false" customHeight="false" outlineLevel="0" collapsed="false">
      <c r="A13" s="0" t="n">
        <f aca="false">Summary!A21</f>
        <v>5</v>
      </c>
      <c r="B13" s="2" t="s">
        <v>74</v>
      </c>
      <c r="C13" s="333" t="n">
        <v>0</v>
      </c>
      <c r="D13" s="335" t="n">
        <v>388299.792155906</v>
      </c>
      <c r="E13" s="335" t="n">
        <v>397276.518286144</v>
      </c>
      <c r="F13" s="335" t="n">
        <v>406449.834718634</v>
      </c>
      <c r="G13" s="335" t="n">
        <v>415830.468102499</v>
      </c>
      <c r="H13" s="335" t="n">
        <v>425434.3605609</v>
      </c>
      <c r="I13" s="335" t="n">
        <v>435680.840213219</v>
      </c>
      <c r="J13" s="335" t="n">
        <v>445769.579868652</v>
      </c>
      <c r="K13" s="335" t="n">
        <v>456535.84705077</v>
      </c>
      <c r="L13" s="335" t="n">
        <v>467135.452986692</v>
      </c>
      <c r="M13" s="335" t="n">
        <v>478005.348873979</v>
      </c>
      <c r="N13" s="335" t="n">
        <v>489138.296241738</v>
      </c>
      <c r="O13" s="335" t="n">
        <v>500551.793883165</v>
      </c>
      <c r="P13" s="335" t="n">
        <v>512255.194364685</v>
      </c>
      <c r="Q13" s="335" t="n">
        <v>524251.179858242</v>
      </c>
      <c r="R13" s="335" t="n">
        <v>536548.264587687</v>
      </c>
      <c r="S13" s="335" t="n">
        <v>549152.776435369</v>
      </c>
      <c r="T13" s="335" t="n">
        <v>562069.880176873</v>
      </c>
      <c r="U13" s="335" t="n">
        <v>575311.203222289</v>
      </c>
      <c r="V13" s="335" t="n">
        <v>588884.883476145</v>
      </c>
    </row>
    <row r="14" customFormat="false" ht="12.75" hidden="false" customHeight="false" outlineLevel="0" collapsed="false">
      <c r="A14" s="0" t="n">
        <f aca="false">Summary!A22</f>
        <v>6</v>
      </c>
      <c r="B14" s="2" t="s">
        <v>75</v>
      </c>
      <c r="C14" s="333" t="n">
        <v>0</v>
      </c>
      <c r="D14" s="335" t="n">
        <v>388299.792155906</v>
      </c>
      <c r="E14" s="335" t="n">
        <v>397276.518286144</v>
      </c>
      <c r="F14" s="335" t="n">
        <v>406449.834718634</v>
      </c>
      <c r="G14" s="335" t="n">
        <v>415830.468102499</v>
      </c>
      <c r="H14" s="335" t="n">
        <v>425434.3605609</v>
      </c>
      <c r="I14" s="335" t="n">
        <v>435680.840213219</v>
      </c>
      <c r="J14" s="335" t="n">
        <v>445769.579868652</v>
      </c>
      <c r="K14" s="335" t="n">
        <v>456535.84705077</v>
      </c>
      <c r="L14" s="335" t="n">
        <v>467135.452986692</v>
      </c>
      <c r="M14" s="335" t="n">
        <v>478005.348873979</v>
      </c>
      <c r="N14" s="335" t="n">
        <v>489138.296241738</v>
      </c>
      <c r="O14" s="335" t="n">
        <v>500551.793883165</v>
      </c>
      <c r="P14" s="335" t="n">
        <v>512255.194364685</v>
      </c>
      <c r="Q14" s="335" t="n">
        <v>524251.179858242</v>
      </c>
      <c r="R14" s="335" t="n">
        <v>536548.264587687</v>
      </c>
      <c r="S14" s="335" t="n">
        <v>549152.776435369</v>
      </c>
      <c r="T14" s="335" t="n">
        <v>562069.880176873</v>
      </c>
      <c r="U14" s="335" t="n">
        <v>575311.203222289</v>
      </c>
      <c r="V14" s="335" t="n">
        <v>588884.883476145</v>
      </c>
    </row>
    <row r="15" customFormat="false" ht="12.75" hidden="false" customHeight="false" outlineLevel="0" collapsed="false">
      <c r="A15" s="0" t="n">
        <f aca="false">Summary!A23</f>
        <v>7</v>
      </c>
      <c r="B15" s="0" t="s">
        <v>76</v>
      </c>
      <c r="C15" s="333" t="n">
        <v>0</v>
      </c>
      <c r="D15" s="335" t="n">
        <v>784147.168712902</v>
      </c>
      <c r="E15" s="335" t="n">
        <v>791825.827810565</v>
      </c>
      <c r="F15" s="335" t="n">
        <v>799672.649542466</v>
      </c>
      <c r="G15" s="335" t="n">
        <v>807696.809445508</v>
      </c>
      <c r="H15" s="335" t="n">
        <v>815911.944354243</v>
      </c>
      <c r="I15" s="335" t="n">
        <v>824678.593685572</v>
      </c>
      <c r="J15" s="335" t="n">
        <v>833308.465134829</v>
      </c>
      <c r="K15" s="335" t="n">
        <v>842519.83192444</v>
      </c>
      <c r="L15" s="335" t="n">
        <v>851586.696544196</v>
      </c>
      <c r="M15" s="335" t="n">
        <v>860884.766211756</v>
      </c>
      <c r="N15" s="335" t="n">
        <v>870407.849165271</v>
      </c>
      <c r="O15" s="335" t="n">
        <v>880170.913809215</v>
      </c>
      <c r="P15" s="335" t="n">
        <v>890181.960295114</v>
      </c>
      <c r="Q15" s="335" t="n">
        <v>900443.282943162</v>
      </c>
      <c r="R15" s="335" t="n">
        <v>910962.164789675</v>
      </c>
      <c r="S15" s="335" t="n">
        <v>921744.018682351</v>
      </c>
      <c r="T15" s="335" t="n">
        <v>932793.262551565</v>
      </c>
      <c r="U15" s="335" t="n">
        <v>944119.842441897</v>
      </c>
      <c r="V15" s="335" t="n">
        <v>955730.719487476</v>
      </c>
    </row>
    <row r="16" customFormat="false" ht="12.75" hidden="false" customHeight="false" outlineLevel="0" collapsed="false">
      <c r="A16" s="0" t="n">
        <f aca="false">Summary!A24</f>
        <v>8</v>
      </c>
      <c r="B16" s="0" t="s">
        <v>77</v>
      </c>
      <c r="C16" s="333" t="n">
        <v>0</v>
      </c>
      <c r="D16" s="335" t="n">
        <v>200917.675932973</v>
      </c>
      <c r="E16" s="335" t="n">
        <v>205641.431992416</v>
      </c>
      <c r="F16" s="335" t="n">
        <v>218077.278060398</v>
      </c>
      <c r="G16" s="335" t="n">
        <v>229740.237325288</v>
      </c>
      <c r="H16" s="335" t="n">
        <v>277364.270380425</v>
      </c>
      <c r="I16" s="335" t="n">
        <v>345386.733706782</v>
      </c>
      <c r="J16" s="335" t="n">
        <v>385353.455268471</v>
      </c>
      <c r="K16" s="335" t="n">
        <v>421308.505077792</v>
      </c>
      <c r="L16" s="335" t="n">
        <v>452769.732690784</v>
      </c>
      <c r="M16" s="335" t="n">
        <v>463724.02074574</v>
      </c>
      <c r="N16" s="335" t="n">
        <v>469582.429125914</v>
      </c>
      <c r="O16" s="335" t="n">
        <v>475922.502547422</v>
      </c>
      <c r="P16" s="335" t="n">
        <v>482081.096241669</v>
      </c>
      <c r="Q16" s="335" t="n">
        <v>488393.654778272</v>
      </c>
      <c r="R16" s="335" t="n">
        <v>494864.658534145</v>
      </c>
      <c r="S16" s="335" t="n">
        <v>501497.437383914</v>
      </c>
      <c r="T16" s="335" t="n">
        <v>508294.709149157</v>
      </c>
      <c r="U16" s="335" t="n">
        <v>515262.592435708</v>
      </c>
      <c r="V16" s="335" t="n">
        <v>522405.369592751</v>
      </c>
    </row>
    <row r="17" customFormat="false" ht="12.75" hidden="false" customHeight="false" outlineLevel="0" collapsed="false">
      <c r="A17" s="0" t="n">
        <f aca="false">Summary!A25</f>
        <v>9</v>
      </c>
      <c r="B17" s="0" t="s">
        <v>78</v>
      </c>
      <c r="C17" s="333" t="n">
        <v>0</v>
      </c>
      <c r="D17" s="335" t="n">
        <v>408315.873488985</v>
      </c>
      <c r="E17" s="335" t="n">
        <v>417397.215776205</v>
      </c>
      <c r="F17" s="335" t="n">
        <v>426677.439459515</v>
      </c>
      <c r="G17" s="335" t="n">
        <v>445393.609917035</v>
      </c>
      <c r="H17" s="335" t="n">
        <v>502785.073429748</v>
      </c>
      <c r="I17" s="335" t="n">
        <v>638437.907869637</v>
      </c>
      <c r="J17" s="335" t="n">
        <v>708139.973764268</v>
      </c>
      <c r="K17" s="335" t="n">
        <v>779539.645705155</v>
      </c>
      <c r="L17" s="335" t="n">
        <v>852788.962959349</v>
      </c>
      <c r="M17" s="335" t="n">
        <v>895780.217253422</v>
      </c>
      <c r="N17" s="335" t="n">
        <v>907042.909714504</v>
      </c>
      <c r="O17" s="335" t="n">
        <v>918589.422025605</v>
      </c>
      <c r="P17" s="335" t="n">
        <v>930429.215749408</v>
      </c>
      <c r="Q17" s="335" t="n">
        <v>942565.004316306</v>
      </c>
      <c r="R17" s="335" t="n">
        <v>955005.401176234</v>
      </c>
      <c r="S17" s="335" t="n">
        <v>967756.807957659</v>
      </c>
      <c r="T17" s="335" t="n">
        <v>980824.449627264</v>
      </c>
      <c r="U17" s="335" t="n">
        <v>994220.089102776</v>
      </c>
      <c r="V17" s="335" t="n">
        <v>1007951.95912912</v>
      </c>
    </row>
    <row r="18" customFormat="false" ht="12.75" hidden="false" customHeight="false" outlineLevel="0" collapsed="false">
      <c r="A18" s="0" t="n">
        <f aca="false">Summary!A26</f>
        <v>10</v>
      </c>
      <c r="B18" s="0" t="s">
        <v>79</v>
      </c>
      <c r="C18" s="333" t="n">
        <v>0</v>
      </c>
      <c r="D18" s="335" t="n">
        <v>695592.311439238</v>
      </c>
      <c r="E18" s="335" t="n">
        <v>709213.759047067</v>
      </c>
      <c r="F18" s="335" t="n">
        <v>723133.516357507</v>
      </c>
      <c r="G18" s="335" t="n">
        <v>737367.860183163</v>
      </c>
      <c r="H18" s="335" t="n">
        <v>751940.98139187</v>
      </c>
      <c r="I18" s="335" t="n">
        <v>767475.728385741</v>
      </c>
      <c r="J18" s="335" t="n">
        <v>782784.565555519</v>
      </c>
      <c r="K18" s="335" t="n">
        <v>799107.370123581</v>
      </c>
      <c r="L18" s="335" t="n">
        <v>815191.405085217</v>
      </c>
      <c r="M18" s="335" t="n">
        <v>831685.582938375</v>
      </c>
      <c r="N18" s="335" t="n">
        <v>848578.919895579</v>
      </c>
      <c r="O18" s="335" t="n">
        <v>865897.968944105</v>
      </c>
      <c r="P18" s="335" t="n">
        <v>883656.921838463</v>
      </c>
      <c r="Q18" s="335" t="n">
        <v>901859.84855518</v>
      </c>
      <c r="R18" s="335" t="n">
        <v>920519.668732487</v>
      </c>
      <c r="S18" s="335" t="n">
        <v>939645.984414226</v>
      </c>
      <c r="T18" s="335" t="n">
        <v>959246.632724872</v>
      </c>
      <c r="U18" s="335" t="n">
        <v>979339.257308116</v>
      </c>
      <c r="V18" s="335" t="n">
        <v>999936.206768399</v>
      </c>
    </row>
    <row r="19" customFormat="false" ht="12.75" hidden="false" customHeight="false" outlineLevel="0" collapsed="false">
      <c r="A19" s="0" t="n">
        <f aca="false">Summary!A27</f>
        <v>11</v>
      </c>
      <c r="B19" s="0" t="s">
        <v>80</v>
      </c>
      <c r="C19" s="333" t="n">
        <v>0</v>
      </c>
      <c r="D19" s="335" t="n">
        <v>695592.311439238</v>
      </c>
      <c r="E19" s="335" t="n">
        <v>709213.759047067</v>
      </c>
      <c r="F19" s="335" t="n">
        <v>723133.516357507</v>
      </c>
      <c r="G19" s="335" t="n">
        <v>737367.860183163</v>
      </c>
      <c r="H19" s="335" t="n">
        <v>751940.98139187</v>
      </c>
      <c r="I19" s="335" t="n">
        <v>767475.728385741</v>
      </c>
      <c r="J19" s="335" t="n">
        <v>783396.237673474</v>
      </c>
      <c r="K19" s="335" t="n">
        <v>799092.573148868</v>
      </c>
      <c r="L19" s="335" t="n">
        <v>815819.435905212</v>
      </c>
      <c r="M19" s="335" t="n">
        <v>832313.613758369</v>
      </c>
      <c r="N19" s="335" t="n">
        <v>849206.950715574</v>
      </c>
      <c r="O19" s="335" t="n">
        <v>866525.999764099</v>
      </c>
      <c r="P19" s="335" t="n">
        <v>884284.952658457</v>
      </c>
      <c r="Q19" s="335" t="n">
        <v>902487.879375174</v>
      </c>
      <c r="R19" s="335" t="n">
        <v>921147.699552481</v>
      </c>
      <c r="S19" s="335" t="n">
        <v>940274.01523422</v>
      </c>
      <c r="T19" s="335" t="n">
        <v>959874.663544867</v>
      </c>
      <c r="U19" s="335" t="n">
        <v>979967.288128111</v>
      </c>
      <c r="V19" s="335" t="n">
        <v>1000564.23758839</v>
      </c>
    </row>
    <row r="20" customFormat="false" ht="12.75" hidden="false" customHeight="false" outlineLevel="0" collapsed="false">
      <c r="A20" s="0" t="n">
        <f aca="false">Summary!A28</f>
        <v>12</v>
      </c>
      <c r="B20" s="0" t="s">
        <v>81</v>
      </c>
      <c r="C20" s="333" t="n">
        <v>0</v>
      </c>
      <c r="D20" s="335" t="n">
        <v>246782.100029798</v>
      </c>
      <c r="E20" s="335" t="n">
        <v>252279.407856059</v>
      </c>
      <c r="F20" s="335" t="n">
        <v>258194.951594714</v>
      </c>
      <c r="G20" s="335" t="n">
        <v>269260.249043177</v>
      </c>
      <c r="H20" s="335" t="n">
        <v>319346.274729274</v>
      </c>
      <c r="I20" s="335" t="n">
        <v>397860.88812232</v>
      </c>
      <c r="J20" s="335" t="n">
        <v>444395.532281813</v>
      </c>
      <c r="K20" s="335" t="n">
        <v>491727.394720057</v>
      </c>
      <c r="L20" s="335" t="n">
        <v>528611.104085683</v>
      </c>
      <c r="M20" s="335" t="n">
        <v>547568.393560612</v>
      </c>
      <c r="N20" s="335" t="n">
        <v>554386.161843414</v>
      </c>
      <c r="O20" s="335" t="n">
        <v>561746.13690852</v>
      </c>
      <c r="P20" s="335" t="n">
        <v>568913.248183555</v>
      </c>
      <c r="Q20" s="335" t="n">
        <v>576259.537240465</v>
      </c>
      <c r="R20" s="335" t="n">
        <v>583790.218152703</v>
      </c>
      <c r="S20" s="335" t="n">
        <v>591509.166087748</v>
      </c>
      <c r="T20" s="335" t="n">
        <v>599419.543931582</v>
      </c>
      <c r="U20" s="335" t="n">
        <v>607528.472259296</v>
      </c>
      <c r="V20" s="335" t="n">
        <v>615840.934688035</v>
      </c>
    </row>
    <row r="21" customFormat="false" ht="12.75" hidden="false" customHeight="false" outlineLevel="0" collapsed="false">
      <c r="A21" s="0" t="n">
        <f aca="false">Summary!A29</f>
        <v>13</v>
      </c>
      <c r="B21" s="0" t="s">
        <v>82</v>
      </c>
      <c r="C21" s="333" t="n">
        <v>0</v>
      </c>
      <c r="D21" s="335" t="n">
        <v>246782.100029798</v>
      </c>
      <c r="E21" s="335" t="n">
        <v>252279.407856059</v>
      </c>
      <c r="F21" s="335" t="n">
        <v>257897.106723715</v>
      </c>
      <c r="G21" s="335" t="n">
        <v>268962.404172178</v>
      </c>
      <c r="H21" s="335" t="n">
        <v>318736.434700043</v>
      </c>
      <c r="I21" s="335" t="n">
        <v>402826.882218652</v>
      </c>
      <c r="J21" s="335" t="n">
        <v>443315.615070997</v>
      </c>
      <c r="K21" s="335" t="n">
        <v>490647.477509242</v>
      </c>
      <c r="L21" s="335" t="n">
        <v>533196.673363126</v>
      </c>
      <c r="M21" s="335" t="n">
        <v>552153.962838055</v>
      </c>
      <c r="N21" s="335" t="n">
        <v>558971.731120858</v>
      </c>
      <c r="O21" s="335" t="n">
        <v>565961.307164386</v>
      </c>
      <c r="P21" s="335" t="n">
        <v>573128.418439421</v>
      </c>
      <c r="Q21" s="335" t="n">
        <v>580474.707496331</v>
      </c>
      <c r="R21" s="335" t="n">
        <v>588005.388408569</v>
      </c>
      <c r="S21" s="335" t="n">
        <v>595724.336343614</v>
      </c>
      <c r="T21" s="335" t="n">
        <v>603634.714187448</v>
      </c>
      <c r="U21" s="335" t="n">
        <v>611743.642515162</v>
      </c>
      <c r="V21" s="335" t="n">
        <v>620056.104943901</v>
      </c>
    </row>
    <row r="22" customFormat="false" ht="12.75" hidden="false" customHeight="false" outlineLevel="0" collapsed="false">
      <c r="A22" s="0" t="n">
        <f aca="false">Summary!A30</f>
        <v>14</v>
      </c>
      <c r="B22" s="0" t="s">
        <v>83</v>
      </c>
      <c r="C22" s="333" t="n">
        <v>0</v>
      </c>
      <c r="D22" s="335" t="n">
        <v>335704.197133036</v>
      </c>
      <c r="E22" s="335" t="n">
        <v>343014.864077065</v>
      </c>
      <c r="F22" s="335" t="n">
        <v>351211.640251735</v>
      </c>
      <c r="G22" s="335" t="n">
        <v>366096.375099877</v>
      </c>
      <c r="H22" s="335" t="n">
        <v>433641.925232508</v>
      </c>
      <c r="I22" s="335" t="n">
        <v>540363.491302833</v>
      </c>
      <c r="J22" s="335" t="n">
        <v>603486.29148456</v>
      </c>
      <c r="K22" s="335" t="n">
        <v>667736.499177445</v>
      </c>
      <c r="L22" s="335" t="n">
        <v>717705.255586507</v>
      </c>
      <c r="M22" s="335" t="n">
        <v>743736.794856863</v>
      </c>
      <c r="N22" s="335" t="n">
        <v>752803.493465049</v>
      </c>
      <c r="O22" s="335" t="n">
        <v>762550.102127383</v>
      </c>
      <c r="P22" s="335" t="n">
        <v>772081.379097588</v>
      </c>
      <c r="Q22" s="335" t="n">
        <v>781850.937992048</v>
      </c>
      <c r="R22" s="335" t="n">
        <v>791865.71281476</v>
      </c>
      <c r="S22" s="335" t="n">
        <v>802130.857008038</v>
      </c>
      <c r="T22" s="335" t="n">
        <v>812650.576777311</v>
      </c>
      <c r="U22" s="335" t="n">
        <v>823434.341512792</v>
      </c>
      <c r="V22" s="335" t="n">
        <v>834488.778743133</v>
      </c>
    </row>
    <row r="23" customFormat="false" ht="12.75" hidden="false" customHeight="false" outlineLevel="0" collapsed="false">
      <c r="A23" s="0" t="n">
        <f aca="false">Summary!A31</f>
        <v>15</v>
      </c>
      <c r="B23" s="0" t="s">
        <v>84</v>
      </c>
      <c r="C23" s="333" t="n">
        <v>0</v>
      </c>
      <c r="D23" s="335" t="n">
        <v>393146.927687224</v>
      </c>
      <c r="E23" s="335" t="n">
        <v>401581.919468632</v>
      </c>
      <c r="F23" s="335" t="n">
        <v>410201.637570052</v>
      </c>
      <c r="G23" s="335" t="n">
        <v>427506.542023541</v>
      </c>
      <c r="H23" s="335" t="n">
        <v>480416.526074962</v>
      </c>
      <c r="I23" s="335" t="n">
        <v>605335.884984211</v>
      </c>
      <c r="J23" s="335" t="n">
        <v>670008.325491283</v>
      </c>
      <c r="K23" s="335" t="n">
        <v>735803.343833018</v>
      </c>
      <c r="L23" s="335" t="n">
        <v>803302.707793162</v>
      </c>
      <c r="M23" s="335" t="n">
        <v>842959.574966711</v>
      </c>
      <c r="N23" s="335" t="n">
        <v>854544.488889062</v>
      </c>
      <c r="O23" s="335" t="n">
        <v>865269.196026808</v>
      </c>
      <c r="P23" s="335" t="n">
        <v>876266.310725852</v>
      </c>
      <c r="Q23" s="335" t="n">
        <v>887538.353292373</v>
      </c>
      <c r="R23" s="335" t="n">
        <v>899093.324127314</v>
      </c>
      <c r="S23" s="335" t="n">
        <v>910937.169233128</v>
      </c>
      <c r="T23" s="335" t="n">
        <v>923074.741697566</v>
      </c>
      <c r="U23" s="335" t="n">
        <v>935516.967230861</v>
      </c>
      <c r="V23" s="335" t="n">
        <v>948271.492625042</v>
      </c>
    </row>
    <row r="24" customFormat="false" ht="12.75" hidden="false" customHeight="false" outlineLevel="0" collapsed="false">
      <c r="A24" s="0" t="n">
        <f aca="false">Summary!A32</f>
        <v>16</v>
      </c>
      <c r="B24" s="0" t="s">
        <v>85</v>
      </c>
      <c r="C24" s="333" t="n">
        <v>0</v>
      </c>
      <c r="D24" s="335" t="n">
        <v>622178.022545413</v>
      </c>
      <c r="E24" s="335" t="n">
        <v>634728.911783216</v>
      </c>
      <c r="F24" s="335" t="n">
        <v>647554.665495328</v>
      </c>
      <c r="G24" s="335" t="n">
        <v>674141.685321787</v>
      </c>
      <c r="H24" s="335" t="n">
        <v>757099.338647813</v>
      </c>
      <c r="I24" s="335" t="n">
        <v>954391.594318615</v>
      </c>
      <c r="J24" s="335" t="n">
        <v>1070440.81604669</v>
      </c>
      <c r="K24" s="335" t="n">
        <v>1188704.88294344</v>
      </c>
      <c r="L24" s="335" t="n">
        <v>1294820.71342437</v>
      </c>
      <c r="M24" s="335" t="n">
        <v>1356734.71174867</v>
      </c>
      <c r="N24" s="335" t="n">
        <v>1373610.24746427</v>
      </c>
      <c r="O24" s="335" t="n">
        <v>1389568.13039789</v>
      </c>
      <c r="P24" s="335" t="n">
        <v>1405931.34355802</v>
      </c>
      <c r="Q24" s="335" t="n">
        <v>1422703.63704715</v>
      </c>
      <c r="R24" s="335" t="n">
        <v>1439896.91510286</v>
      </c>
      <c r="S24" s="335" t="n">
        <v>1457520.02510997</v>
      </c>
      <c r="T24" s="335" t="n">
        <v>1475580.18824525</v>
      </c>
      <c r="U24" s="335" t="n">
        <v>1494093.66147522</v>
      </c>
      <c r="V24" s="335" t="n">
        <v>1513071.82288327</v>
      </c>
    </row>
    <row r="25" customFormat="false" ht="12.75" hidden="false" customHeight="false" outlineLevel="0" collapsed="false">
      <c r="A25" s="0" t="n">
        <f aca="false">Summary!A33</f>
        <v>17</v>
      </c>
      <c r="B25" s="0" t="s">
        <v>86</v>
      </c>
      <c r="C25" s="333" t="n">
        <v>0</v>
      </c>
      <c r="D25" s="335" t="n">
        <v>261504.61651771</v>
      </c>
      <c r="E25" s="335" t="n">
        <v>268705.317222482</v>
      </c>
      <c r="F25" s="335" t="n">
        <v>276063.713272688</v>
      </c>
      <c r="G25" s="335" t="n">
        <v>283588.409073629</v>
      </c>
      <c r="H25" s="335" t="n">
        <v>291597.993554113</v>
      </c>
      <c r="I25" s="335" t="n">
        <v>299494.83470563</v>
      </c>
      <c r="J25" s="335" t="n">
        <v>307908.543174549</v>
      </c>
      <c r="K25" s="335" t="n">
        <v>316206.091069168</v>
      </c>
      <c r="L25" s="335" t="n">
        <v>325045.942457941</v>
      </c>
      <c r="M25" s="335" t="n">
        <v>334343.516536812</v>
      </c>
      <c r="N25" s="335" t="n">
        <v>343867.422647388</v>
      </c>
      <c r="O25" s="335" t="n">
        <v>354846.998607277</v>
      </c>
      <c r="P25" s="335" t="n">
        <v>364234.907169134</v>
      </c>
      <c r="Q25" s="335" t="n">
        <v>373857.513445037</v>
      </c>
      <c r="R25" s="335" t="n">
        <v>383721.647138465</v>
      </c>
      <c r="S25" s="335" t="n">
        <v>393832.384174229</v>
      </c>
      <c r="T25" s="335" t="n">
        <v>404193.86748848</v>
      </c>
      <c r="U25" s="335" t="n">
        <v>414815.424033918</v>
      </c>
      <c r="V25" s="335" t="n">
        <v>425703.581648647</v>
      </c>
    </row>
    <row r="26" customFormat="false" ht="12.75" hidden="false" customHeight="false" outlineLevel="0" collapsed="false">
      <c r="A26" s="0" t="n">
        <f aca="false">Summary!A34</f>
        <v>18</v>
      </c>
      <c r="B26" s="0" t="s">
        <v>87</v>
      </c>
      <c r="C26" s="333" t="n">
        <v>0</v>
      </c>
      <c r="D26" s="335" t="n">
        <v>3795503.96303936</v>
      </c>
      <c r="E26" s="335" t="n">
        <v>3803753.91741711</v>
      </c>
      <c r="F26" s="335" t="n">
        <v>3812184.54579574</v>
      </c>
      <c r="G26" s="335" t="n">
        <v>3820805.70637572</v>
      </c>
      <c r="H26" s="335" t="n">
        <v>3829632.05057751</v>
      </c>
      <c r="I26" s="335" t="n">
        <v>3838679.58385232</v>
      </c>
      <c r="J26" s="335" t="n">
        <v>3847951.52115761</v>
      </c>
      <c r="K26" s="335" t="n">
        <v>3857458.15035725</v>
      </c>
      <c r="L26" s="335" t="n">
        <v>3867199.59329811</v>
      </c>
      <c r="M26" s="335" t="n">
        <v>3877189.44303397</v>
      </c>
      <c r="N26" s="335" t="n">
        <v>3887421.04713344</v>
      </c>
      <c r="O26" s="335" t="n">
        <v>3897910.48765621</v>
      </c>
      <c r="P26" s="335" t="n">
        <v>3908666.35996827</v>
      </c>
      <c r="Q26" s="335" t="n">
        <v>3919691.12908812</v>
      </c>
      <c r="R26" s="335" t="n">
        <v>3930992.61991288</v>
      </c>
      <c r="S26" s="335" t="n">
        <v>3942576.64800827</v>
      </c>
      <c r="T26" s="335" t="n">
        <v>3954447.96000041</v>
      </c>
      <c r="U26" s="335" t="n">
        <v>3966617.24192356</v>
      </c>
      <c r="V26" s="335" t="n">
        <v>3979091.97282298</v>
      </c>
    </row>
    <row r="27" customFormat="false" ht="12.75" hidden="false" customHeight="false" outlineLevel="0" collapsed="false">
      <c r="A27" s="0" t="n">
        <f aca="false">Summary!A35</f>
        <v>19</v>
      </c>
      <c r="B27" s="0" t="s">
        <v>88</v>
      </c>
      <c r="C27" s="333" t="n">
        <v>0</v>
      </c>
      <c r="D27" s="335" t="n">
        <v>71397.469478268</v>
      </c>
      <c r="E27" s="335" t="n">
        <v>71397.469478268</v>
      </c>
      <c r="F27" s="335" t="n">
        <v>71397.469478268</v>
      </c>
      <c r="G27" s="335" t="n">
        <v>71397.469478268</v>
      </c>
      <c r="H27" s="335" t="n">
        <v>71397.469478268</v>
      </c>
      <c r="I27" s="335" t="n">
        <v>71397.469478268</v>
      </c>
      <c r="J27" s="335" t="n">
        <v>71397.469478268</v>
      </c>
      <c r="K27" s="335" t="n">
        <v>71397.469478268</v>
      </c>
      <c r="L27" s="335" t="n">
        <v>71397.469478268</v>
      </c>
      <c r="M27" s="335" t="n">
        <v>71397.469478268</v>
      </c>
      <c r="N27" s="335" t="n">
        <v>71397.469478268</v>
      </c>
      <c r="O27" s="335" t="n">
        <v>71397.469478268</v>
      </c>
      <c r="P27" s="335" t="n">
        <v>71397.469478268</v>
      </c>
      <c r="Q27" s="335" t="n">
        <v>71397.469478268</v>
      </c>
      <c r="R27" s="335" t="n">
        <v>71397.469478268</v>
      </c>
      <c r="S27" s="335" t="n">
        <v>71397.469478268</v>
      </c>
      <c r="T27" s="335" t="n">
        <v>71397.469478268</v>
      </c>
      <c r="U27" s="335" t="n">
        <v>71397.469478268</v>
      </c>
      <c r="V27" s="335" t="n">
        <v>71397.469478268</v>
      </c>
    </row>
    <row r="28" customFormat="false" ht="12.75" hidden="false" customHeight="false" outlineLevel="0" collapsed="false">
      <c r="A28" s="0" t="n">
        <f aca="false">Summary!A36</f>
        <v>20</v>
      </c>
      <c r="B28" s="0" t="s">
        <v>89</v>
      </c>
      <c r="C28" s="333" t="n">
        <v>0</v>
      </c>
      <c r="D28" s="335" t="n">
        <v>11310.4902143791</v>
      </c>
      <c r="E28" s="335" t="n">
        <v>11310.4902143791</v>
      </c>
      <c r="F28" s="335" t="n">
        <v>11310.4902143791</v>
      </c>
      <c r="G28" s="335" t="n">
        <v>11310.4902143791</v>
      </c>
      <c r="H28" s="335" t="n">
        <v>11310.4902143791</v>
      </c>
      <c r="I28" s="335" t="n">
        <v>11310.4902143791</v>
      </c>
      <c r="J28" s="335" t="n">
        <v>11310.4902143791</v>
      </c>
      <c r="K28" s="335" t="n">
        <v>11310.4902143791</v>
      </c>
      <c r="L28" s="335" t="n">
        <v>11310.4902143791</v>
      </c>
      <c r="M28" s="335" t="n">
        <v>11310.4902143791</v>
      </c>
      <c r="N28" s="335" t="n">
        <v>11310.4902143791</v>
      </c>
      <c r="O28" s="335" t="n">
        <v>11310.4902143791</v>
      </c>
      <c r="P28" s="335" t="n">
        <v>11310.4902143791</v>
      </c>
      <c r="Q28" s="335" t="n">
        <v>11310.4902143791</v>
      </c>
      <c r="R28" s="335" t="n">
        <v>11310.4902143791</v>
      </c>
      <c r="S28" s="335" t="n">
        <v>11310.4902143791</v>
      </c>
      <c r="T28" s="335" t="n">
        <v>11310.4902143791</v>
      </c>
      <c r="U28" s="335" t="n">
        <v>11310.4902143791</v>
      </c>
      <c r="V28" s="335" t="n">
        <v>11310.4902143791</v>
      </c>
    </row>
    <row r="29" customFormat="false" ht="12.75" hidden="false" customHeight="false" outlineLevel="0" collapsed="false">
      <c r="A29" s="0" t="n">
        <f aca="false">Summary!A37</f>
        <v>21</v>
      </c>
      <c r="B29" s="0" t="s">
        <v>90</v>
      </c>
      <c r="C29" s="333" t="n">
        <v>0</v>
      </c>
      <c r="D29" s="335" t="n">
        <v>25448.6029823529</v>
      </c>
      <c r="E29" s="335" t="n">
        <v>25448.6029823529</v>
      </c>
      <c r="F29" s="335" t="n">
        <v>25448.6029823529</v>
      </c>
      <c r="G29" s="335" t="n">
        <v>25448.6029823529</v>
      </c>
      <c r="H29" s="335" t="n">
        <v>25448.6029823529</v>
      </c>
      <c r="I29" s="335" t="n">
        <v>25448.6029823529</v>
      </c>
      <c r="J29" s="335" t="n">
        <v>25448.6029823529</v>
      </c>
      <c r="K29" s="335" t="n">
        <v>25448.6029823529</v>
      </c>
      <c r="L29" s="335" t="n">
        <v>25448.6029823529</v>
      </c>
      <c r="M29" s="335" t="n">
        <v>25448.6029823529</v>
      </c>
      <c r="N29" s="335" t="n">
        <v>25448.6029823529</v>
      </c>
      <c r="O29" s="335" t="n">
        <v>25448.6029823529</v>
      </c>
      <c r="P29" s="335" t="n">
        <v>25448.6029823529</v>
      </c>
      <c r="Q29" s="335" t="n">
        <v>25448.6029823529</v>
      </c>
      <c r="R29" s="335" t="n">
        <v>25448.6029823529</v>
      </c>
      <c r="S29" s="335" t="n">
        <v>25448.6029823529</v>
      </c>
      <c r="T29" s="335" t="n">
        <v>25448.6029823529</v>
      </c>
      <c r="U29" s="335" t="n">
        <v>25448.6029823529</v>
      </c>
      <c r="V29" s="335" t="n">
        <v>25448.6029823529</v>
      </c>
    </row>
    <row r="30" customFormat="false" ht="12.75" hidden="false" customHeight="false" outlineLevel="0" collapsed="false">
      <c r="A30" s="0" t="n">
        <f aca="false">Summary!A38</f>
        <v>22</v>
      </c>
      <c r="B30" s="0" t="s">
        <v>91</v>
      </c>
      <c r="C30" s="333" t="n">
        <v>0</v>
      </c>
      <c r="D30" s="335" t="n">
        <v>59295.153725</v>
      </c>
      <c r="E30" s="335" t="n">
        <v>59295.153725</v>
      </c>
      <c r="F30" s="335" t="n">
        <v>59295.153725</v>
      </c>
      <c r="G30" s="335" t="n">
        <v>59295.153725</v>
      </c>
      <c r="H30" s="335" t="n">
        <v>59295.153725</v>
      </c>
      <c r="I30" s="335" t="n">
        <v>59295.153725</v>
      </c>
      <c r="J30" s="335" t="n">
        <v>59295.153725</v>
      </c>
      <c r="K30" s="335" t="n">
        <v>59295.153725</v>
      </c>
      <c r="L30" s="335" t="n">
        <v>59295.153725</v>
      </c>
      <c r="M30" s="335" t="n">
        <v>59295.153725</v>
      </c>
      <c r="N30" s="335" t="n">
        <v>59295.153725</v>
      </c>
      <c r="O30" s="335" t="n">
        <v>59295.153725</v>
      </c>
      <c r="P30" s="335" t="n">
        <v>59295.153725</v>
      </c>
      <c r="Q30" s="335" t="n">
        <v>59295.153725</v>
      </c>
      <c r="R30" s="335" t="n">
        <v>59295.153725</v>
      </c>
      <c r="S30" s="335" t="n">
        <v>59295.153725</v>
      </c>
      <c r="T30" s="335" t="n">
        <v>59295.153725</v>
      </c>
      <c r="U30" s="335" t="n">
        <v>59295.153725</v>
      </c>
      <c r="V30" s="335" t="n">
        <v>59295.153725</v>
      </c>
    </row>
    <row r="31" customFormat="false" ht="12.75" hidden="false" customHeight="false" outlineLevel="0" collapsed="false">
      <c r="A31" s="0" t="n">
        <f aca="false">Summary!A39</f>
        <v>23</v>
      </c>
      <c r="B31" s="0" t="s">
        <v>92</v>
      </c>
      <c r="C31" s="333" t="n">
        <v>0</v>
      </c>
      <c r="D31" s="335" t="n">
        <v>45161.410471875</v>
      </c>
      <c r="E31" s="335" t="n">
        <v>45161.410471875</v>
      </c>
      <c r="F31" s="335" t="n">
        <v>45161.410471875</v>
      </c>
      <c r="G31" s="335" t="n">
        <v>45161.410471875</v>
      </c>
      <c r="H31" s="335" t="n">
        <v>45161.410471875</v>
      </c>
      <c r="I31" s="335" t="n">
        <v>45161.410471875</v>
      </c>
      <c r="J31" s="335" t="n">
        <v>45161.410471875</v>
      </c>
      <c r="K31" s="335" t="n">
        <v>45161.410471875</v>
      </c>
      <c r="L31" s="335" t="n">
        <v>45161.410471875</v>
      </c>
      <c r="M31" s="335" t="n">
        <v>45161.410471875</v>
      </c>
      <c r="N31" s="335" t="n">
        <v>45161.410471875</v>
      </c>
      <c r="O31" s="335" t="n">
        <v>45161.410471875</v>
      </c>
      <c r="P31" s="335" t="n">
        <v>45161.410471875</v>
      </c>
      <c r="Q31" s="335" t="n">
        <v>45161.410471875</v>
      </c>
      <c r="R31" s="335" t="n">
        <v>45161.410471875</v>
      </c>
      <c r="S31" s="335" t="n">
        <v>45161.410471875</v>
      </c>
      <c r="T31" s="335" t="n">
        <v>45161.410471875</v>
      </c>
      <c r="U31" s="335" t="n">
        <v>45161.410471875</v>
      </c>
      <c r="V31" s="335" t="n">
        <v>45161.410471875</v>
      </c>
    </row>
    <row r="32" customFormat="false" ht="12.75" hidden="false" customHeight="false" outlineLevel="0" collapsed="false">
      <c r="A32" s="0" t="n">
        <f aca="false">Summary!A40</f>
        <v>24</v>
      </c>
      <c r="B32" s="0" t="s">
        <v>93</v>
      </c>
      <c r="C32" s="333" t="n">
        <v>0</v>
      </c>
      <c r="D32" s="335" t="n">
        <v>45161.410471875</v>
      </c>
      <c r="E32" s="335" t="n">
        <v>45161.410471875</v>
      </c>
      <c r="F32" s="335" t="n">
        <v>45161.410471875</v>
      </c>
      <c r="G32" s="335" t="n">
        <v>45161.410471875</v>
      </c>
      <c r="H32" s="335" t="n">
        <v>45161.410471875</v>
      </c>
      <c r="I32" s="335" t="n">
        <v>45161.410471875</v>
      </c>
      <c r="J32" s="335" t="n">
        <v>45161.410471875</v>
      </c>
      <c r="K32" s="335" t="n">
        <v>45161.410471875</v>
      </c>
      <c r="L32" s="335" t="n">
        <v>45161.410471875</v>
      </c>
      <c r="M32" s="335" t="n">
        <v>45161.410471875</v>
      </c>
      <c r="N32" s="335" t="n">
        <v>45161.410471875</v>
      </c>
      <c r="O32" s="335" t="n">
        <v>45161.410471875</v>
      </c>
      <c r="P32" s="335" t="n">
        <v>45161.410471875</v>
      </c>
      <c r="Q32" s="335" t="n">
        <v>45161.410471875</v>
      </c>
      <c r="R32" s="335" t="n">
        <v>45161.410471875</v>
      </c>
      <c r="S32" s="335" t="n">
        <v>45161.410471875</v>
      </c>
      <c r="T32" s="335" t="n">
        <v>45161.410471875</v>
      </c>
      <c r="U32" s="335" t="n">
        <v>45161.410471875</v>
      </c>
      <c r="V32" s="335" t="n">
        <v>45161.410471875</v>
      </c>
    </row>
    <row r="33" customFormat="false" ht="12.75" hidden="false" customHeight="false" outlineLevel="0" collapsed="false">
      <c r="A33" s="0" t="n">
        <f aca="false">Summary!A41</f>
        <v>25</v>
      </c>
      <c r="B33" s="0" t="s">
        <v>94</v>
      </c>
      <c r="C33" s="333" t="n">
        <v>0</v>
      </c>
      <c r="D33" s="335" t="n">
        <v>45161.410471875</v>
      </c>
      <c r="E33" s="335" t="n">
        <v>45161.410471875</v>
      </c>
      <c r="F33" s="335" t="n">
        <v>45161.410471875</v>
      </c>
      <c r="G33" s="335" t="n">
        <v>45161.410471875</v>
      </c>
      <c r="H33" s="335" t="n">
        <v>45161.410471875</v>
      </c>
      <c r="I33" s="335" t="n">
        <v>45161.410471875</v>
      </c>
      <c r="J33" s="335" t="n">
        <v>45161.410471875</v>
      </c>
      <c r="K33" s="335" t="n">
        <v>45161.410471875</v>
      </c>
      <c r="L33" s="335" t="n">
        <v>45161.410471875</v>
      </c>
      <c r="M33" s="335" t="n">
        <v>45161.410471875</v>
      </c>
      <c r="N33" s="335" t="n">
        <v>45161.410471875</v>
      </c>
      <c r="O33" s="335" t="n">
        <v>45161.410471875</v>
      </c>
      <c r="P33" s="335" t="n">
        <v>45161.410471875</v>
      </c>
      <c r="Q33" s="335" t="n">
        <v>45161.410471875</v>
      </c>
      <c r="R33" s="335" t="n">
        <v>45161.410471875</v>
      </c>
      <c r="S33" s="335" t="n">
        <v>45161.410471875</v>
      </c>
      <c r="T33" s="335" t="n">
        <v>45161.410471875</v>
      </c>
      <c r="U33" s="335" t="n">
        <v>45161.410471875</v>
      </c>
      <c r="V33" s="335" t="n">
        <v>45161.410471875</v>
      </c>
    </row>
    <row r="34" customFormat="false" ht="12.75" hidden="false" customHeight="false" outlineLevel="0" collapsed="false">
      <c r="A34" s="0" t="n">
        <f aca="false">Summary!A42</f>
        <v>26</v>
      </c>
      <c r="B34" s="0" t="s">
        <v>95</v>
      </c>
      <c r="C34" s="333" t="n">
        <v>0</v>
      </c>
      <c r="D34" s="335" t="n">
        <v>45161.410471875</v>
      </c>
      <c r="E34" s="335" t="n">
        <v>45161.410471875</v>
      </c>
      <c r="F34" s="335" t="n">
        <v>45161.410471875</v>
      </c>
      <c r="G34" s="335" t="n">
        <v>45161.410471875</v>
      </c>
      <c r="H34" s="335" t="n">
        <v>45161.410471875</v>
      </c>
      <c r="I34" s="335" t="n">
        <v>45161.410471875</v>
      </c>
      <c r="J34" s="335" t="n">
        <v>45161.410471875</v>
      </c>
      <c r="K34" s="335" t="n">
        <v>45161.410471875</v>
      </c>
      <c r="L34" s="335" t="n">
        <v>45161.410471875</v>
      </c>
      <c r="M34" s="335" t="n">
        <v>45161.410471875</v>
      </c>
      <c r="N34" s="335" t="n">
        <v>45161.410471875</v>
      </c>
      <c r="O34" s="335" t="n">
        <v>45161.410471875</v>
      </c>
      <c r="P34" s="335" t="n">
        <v>45161.410471875</v>
      </c>
      <c r="Q34" s="335" t="n">
        <v>45161.410471875</v>
      </c>
      <c r="R34" s="335" t="n">
        <v>45161.410471875</v>
      </c>
      <c r="S34" s="335" t="n">
        <v>45161.410471875</v>
      </c>
      <c r="T34" s="335" t="n">
        <v>45161.410471875</v>
      </c>
      <c r="U34" s="335" t="n">
        <v>45161.410471875</v>
      </c>
      <c r="V34" s="335" t="n">
        <v>45161.410471875</v>
      </c>
    </row>
    <row r="35" customFormat="false" ht="12.75" hidden="false" customHeight="false" outlineLevel="0" collapsed="false">
      <c r="A35" s="0" t="n">
        <f aca="false">Summary!A43</f>
        <v>27</v>
      </c>
      <c r="B35" s="0" t="s">
        <v>96</v>
      </c>
      <c r="C35" s="333" t="n">
        <v>0</v>
      </c>
      <c r="D35" s="335" t="n">
        <v>171612.579296875</v>
      </c>
      <c r="E35" s="335" t="n">
        <v>171612.579296875</v>
      </c>
      <c r="F35" s="335" t="n">
        <v>171612.579296875</v>
      </c>
      <c r="G35" s="335" t="n">
        <v>171612.579296875</v>
      </c>
      <c r="H35" s="335" t="n">
        <v>171612.579296875</v>
      </c>
      <c r="I35" s="335" t="n">
        <v>171612.579296875</v>
      </c>
      <c r="J35" s="335" t="n">
        <v>171612.579296875</v>
      </c>
      <c r="K35" s="335" t="n">
        <v>171612.579296875</v>
      </c>
      <c r="L35" s="335" t="n">
        <v>171612.579296875</v>
      </c>
      <c r="M35" s="335" t="n">
        <v>171612.579296875</v>
      </c>
      <c r="N35" s="335" t="n">
        <v>171612.579296875</v>
      </c>
      <c r="O35" s="335" t="n">
        <v>171612.579296875</v>
      </c>
      <c r="P35" s="335" t="n">
        <v>171612.579296875</v>
      </c>
      <c r="Q35" s="335" t="n">
        <v>171612.579296875</v>
      </c>
      <c r="R35" s="335" t="n">
        <v>171612.579296875</v>
      </c>
      <c r="S35" s="335" t="n">
        <v>171612.579296875</v>
      </c>
      <c r="T35" s="335" t="n">
        <v>171612.579296875</v>
      </c>
      <c r="U35" s="335" t="n">
        <v>171612.579296875</v>
      </c>
      <c r="V35" s="335" t="n">
        <v>171612.579296875</v>
      </c>
    </row>
    <row r="36" customFormat="false" ht="12.75" hidden="false" customHeight="false" outlineLevel="0" collapsed="false">
      <c r="A36" s="0" t="n">
        <f aca="false">Summary!A44</f>
        <v>28</v>
      </c>
      <c r="B36" s="0" t="s">
        <v>97</v>
      </c>
      <c r="C36" s="333" t="n">
        <v>0</v>
      </c>
      <c r="D36" s="335" t="n">
        <v>171612.579296875</v>
      </c>
      <c r="E36" s="335" t="n">
        <v>171612.579296875</v>
      </c>
      <c r="F36" s="335" t="n">
        <v>171612.579296875</v>
      </c>
      <c r="G36" s="335" t="n">
        <v>171612.579296875</v>
      </c>
      <c r="H36" s="335" t="n">
        <v>171612.579296875</v>
      </c>
      <c r="I36" s="335" t="n">
        <v>171612.579296875</v>
      </c>
      <c r="J36" s="335" t="n">
        <v>171612.579296875</v>
      </c>
      <c r="K36" s="335" t="n">
        <v>171612.579296875</v>
      </c>
      <c r="L36" s="335" t="n">
        <v>171612.579296875</v>
      </c>
      <c r="M36" s="335" t="n">
        <v>171612.579296875</v>
      </c>
      <c r="N36" s="335" t="n">
        <v>171612.579296875</v>
      </c>
      <c r="O36" s="335" t="n">
        <v>171612.579296875</v>
      </c>
      <c r="P36" s="335" t="n">
        <v>171612.579296875</v>
      </c>
      <c r="Q36" s="335" t="n">
        <v>171612.579296875</v>
      </c>
      <c r="R36" s="335" t="n">
        <v>171612.579296875</v>
      </c>
      <c r="S36" s="335" t="n">
        <v>171612.579296875</v>
      </c>
      <c r="T36" s="335" t="n">
        <v>171612.579296875</v>
      </c>
      <c r="U36" s="335" t="n">
        <v>171612.579296875</v>
      </c>
      <c r="V36" s="335" t="n">
        <v>171612.579296875</v>
      </c>
    </row>
    <row r="37" customFormat="false" ht="12.75" hidden="false" customHeight="false" outlineLevel="0" collapsed="false">
      <c r="A37" s="0" t="n">
        <f aca="false">Summary!A45</f>
        <v>29</v>
      </c>
      <c r="B37" s="0" t="s">
        <v>98</v>
      </c>
      <c r="C37" s="333" t="n">
        <v>0</v>
      </c>
      <c r="D37" s="335" t="n">
        <v>171612.579296875</v>
      </c>
      <c r="E37" s="335" t="n">
        <v>171612.579296875</v>
      </c>
      <c r="F37" s="335" t="n">
        <v>171612.579296875</v>
      </c>
      <c r="G37" s="335" t="n">
        <v>171612.579296875</v>
      </c>
      <c r="H37" s="335" t="n">
        <v>171612.579296875</v>
      </c>
      <c r="I37" s="335" t="n">
        <v>171612.579296875</v>
      </c>
      <c r="J37" s="335" t="n">
        <v>171612.579296875</v>
      </c>
      <c r="K37" s="335" t="n">
        <v>171612.579296875</v>
      </c>
      <c r="L37" s="335" t="n">
        <v>171612.579296875</v>
      </c>
      <c r="M37" s="335" t="n">
        <v>171612.579296875</v>
      </c>
      <c r="N37" s="335" t="n">
        <v>171612.579296875</v>
      </c>
      <c r="O37" s="335" t="n">
        <v>171612.579296875</v>
      </c>
      <c r="P37" s="335" t="n">
        <v>171612.579296875</v>
      </c>
      <c r="Q37" s="335" t="n">
        <v>171612.579296875</v>
      </c>
      <c r="R37" s="335" t="n">
        <v>171612.579296875</v>
      </c>
      <c r="S37" s="335" t="n">
        <v>171612.579296875</v>
      </c>
      <c r="T37" s="335" t="n">
        <v>171612.579296875</v>
      </c>
      <c r="U37" s="335" t="n">
        <v>171612.579296875</v>
      </c>
      <c r="V37" s="335" t="n">
        <v>171612.579296875</v>
      </c>
    </row>
    <row r="38" customFormat="false" ht="12.75" hidden="false" customHeight="false" outlineLevel="0" collapsed="false">
      <c r="A38" s="0" t="n">
        <f aca="false">Summary!A46</f>
        <v>30</v>
      </c>
      <c r="B38" s="0" t="s">
        <v>99</v>
      </c>
      <c r="C38" s="333" t="n">
        <v>0</v>
      </c>
      <c r="D38" s="335" t="n">
        <v>171612.579296875</v>
      </c>
      <c r="E38" s="335" t="n">
        <v>171612.579296875</v>
      </c>
      <c r="F38" s="335" t="n">
        <v>171612.579296875</v>
      </c>
      <c r="G38" s="335" t="n">
        <v>171612.579296875</v>
      </c>
      <c r="H38" s="335" t="n">
        <v>171612.579296875</v>
      </c>
      <c r="I38" s="335" t="n">
        <v>171612.579296875</v>
      </c>
      <c r="J38" s="335" t="n">
        <v>171612.579296875</v>
      </c>
      <c r="K38" s="335" t="n">
        <v>171612.579296875</v>
      </c>
      <c r="L38" s="335" t="n">
        <v>171612.579296875</v>
      </c>
      <c r="M38" s="335" t="n">
        <v>171612.579296875</v>
      </c>
      <c r="N38" s="335" t="n">
        <v>171612.579296875</v>
      </c>
      <c r="O38" s="335" t="n">
        <v>171612.579296875</v>
      </c>
      <c r="P38" s="335" t="n">
        <v>171612.579296875</v>
      </c>
      <c r="Q38" s="335" t="n">
        <v>171612.579296875</v>
      </c>
      <c r="R38" s="335" t="n">
        <v>171612.579296875</v>
      </c>
      <c r="S38" s="335" t="n">
        <v>171612.579296875</v>
      </c>
      <c r="T38" s="335" t="n">
        <v>171612.579296875</v>
      </c>
      <c r="U38" s="335" t="n">
        <v>171612.579296875</v>
      </c>
      <c r="V38" s="335" t="n">
        <v>171612.579296875</v>
      </c>
    </row>
    <row r="39" customFormat="false" ht="12.75" hidden="false" customHeight="false" outlineLevel="0" collapsed="false">
      <c r="A39" s="0" t="n">
        <f aca="false">Summary!A47</f>
        <v>31</v>
      </c>
      <c r="B39" s="0" t="s">
        <v>100</v>
      </c>
      <c r="C39" s="333" t="n">
        <v>0</v>
      </c>
      <c r="D39" s="335" t="n">
        <v>171612.579296875</v>
      </c>
      <c r="E39" s="335" t="n">
        <v>171612.579296875</v>
      </c>
      <c r="F39" s="335" t="n">
        <v>171612.579296875</v>
      </c>
      <c r="G39" s="335" t="n">
        <v>171612.579296875</v>
      </c>
      <c r="H39" s="335" t="n">
        <v>171612.579296875</v>
      </c>
      <c r="I39" s="335" t="n">
        <v>171612.579296875</v>
      </c>
      <c r="J39" s="335" t="n">
        <v>171612.579296875</v>
      </c>
      <c r="K39" s="335" t="n">
        <v>171612.579296875</v>
      </c>
      <c r="L39" s="335" t="n">
        <v>171612.579296875</v>
      </c>
      <c r="M39" s="335" t="n">
        <v>171612.579296875</v>
      </c>
      <c r="N39" s="335" t="n">
        <v>171612.579296875</v>
      </c>
      <c r="O39" s="335" t="n">
        <v>171612.579296875</v>
      </c>
      <c r="P39" s="335" t="n">
        <v>171612.579296875</v>
      </c>
      <c r="Q39" s="335" t="n">
        <v>171612.579296875</v>
      </c>
      <c r="R39" s="335" t="n">
        <v>171612.579296875</v>
      </c>
      <c r="S39" s="335" t="n">
        <v>171612.579296875</v>
      </c>
      <c r="T39" s="335" t="n">
        <v>171612.579296875</v>
      </c>
      <c r="U39" s="335" t="n">
        <v>171612.579296875</v>
      </c>
      <c r="V39" s="335" t="n">
        <v>171612.579296875</v>
      </c>
    </row>
    <row r="40" customFormat="false" ht="12.75" hidden="false" customHeight="false" outlineLevel="0" collapsed="false">
      <c r="A40" s="0" t="n">
        <f aca="false">Summary!A48</f>
        <v>32</v>
      </c>
      <c r="B40" s="0" t="s">
        <v>101</v>
      </c>
      <c r="C40" s="333" t="n">
        <v>0</v>
      </c>
      <c r="D40" s="335" t="n">
        <v>171612.579296875</v>
      </c>
      <c r="E40" s="335" t="n">
        <v>171612.579296875</v>
      </c>
      <c r="F40" s="335" t="n">
        <v>171612.579296875</v>
      </c>
      <c r="G40" s="335" t="n">
        <v>171612.579296875</v>
      </c>
      <c r="H40" s="335" t="n">
        <v>171612.579296875</v>
      </c>
      <c r="I40" s="335" t="n">
        <v>171612.579296875</v>
      </c>
      <c r="J40" s="335" t="n">
        <v>171612.579296875</v>
      </c>
      <c r="K40" s="335" t="n">
        <v>171612.579296875</v>
      </c>
      <c r="L40" s="335" t="n">
        <v>171612.579296875</v>
      </c>
      <c r="M40" s="335" t="n">
        <v>171612.579296875</v>
      </c>
      <c r="N40" s="335" t="n">
        <v>171612.579296875</v>
      </c>
      <c r="O40" s="335" t="n">
        <v>171612.579296875</v>
      </c>
      <c r="P40" s="335" t="n">
        <v>171612.579296875</v>
      </c>
      <c r="Q40" s="335" t="n">
        <v>171612.579296875</v>
      </c>
      <c r="R40" s="335" t="n">
        <v>171612.579296875</v>
      </c>
      <c r="S40" s="335" t="n">
        <v>171612.579296875</v>
      </c>
      <c r="T40" s="335" t="n">
        <v>171612.579296875</v>
      </c>
      <c r="U40" s="335" t="n">
        <v>171612.579296875</v>
      </c>
      <c r="V40" s="335" t="n">
        <v>171612.579296875</v>
      </c>
    </row>
    <row r="41" customFormat="false" ht="13.5" hidden="false" customHeight="false" outlineLevel="0" collapsed="false">
      <c r="A41" s="0" t="n">
        <f aca="false">Summary!A49</f>
        <v>33</v>
      </c>
      <c r="B41" s="336" t="s">
        <v>14</v>
      </c>
      <c r="C41" s="333" t="n">
        <v>0</v>
      </c>
      <c r="D41" s="337" t="n">
        <v>0</v>
      </c>
      <c r="E41" s="337" t="n">
        <v>297895.54</v>
      </c>
      <c r="F41" s="337" t="n">
        <v>625580.634</v>
      </c>
      <c r="G41" s="337" t="n">
        <v>804317.958</v>
      </c>
      <c r="H41" s="337" t="n">
        <v>913546.322666667</v>
      </c>
      <c r="I41" s="337" t="n">
        <v>1191582.16</v>
      </c>
      <c r="J41" s="337" t="n">
        <v>1519267.254</v>
      </c>
      <c r="K41" s="337" t="n">
        <v>1787373.24</v>
      </c>
      <c r="L41" s="337" t="n">
        <v>2085268.78</v>
      </c>
      <c r="M41" s="337" t="n">
        <v>2234216.55</v>
      </c>
      <c r="N41" s="337" t="n">
        <v>2978955.4</v>
      </c>
      <c r="O41" s="337" t="n">
        <v>2978955.4</v>
      </c>
      <c r="P41" s="337" t="n">
        <v>2978955.4</v>
      </c>
      <c r="Q41" s="337" t="n">
        <v>2978955.4</v>
      </c>
      <c r="R41" s="337" t="n">
        <v>2978955.4</v>
      </c>
      <c r="S41" s="337" t="n">
        <v>2978955.4</v>
      </c>
      <c r="T41" s="337" t="n">
        <v>2978955.4</v>
      </c>
      <c r="U41" s="337" t="n">
        <v>2978955.4</v>
      </c>
      <c r="V41" s="337" t="n">
        <v>2978955.4</v>
      </c>
    </row>
    <row r="42" customFormat="false" ht="13.5" hidden="false" customHeight="false" outlineLevel="0" collapsed="false">
      <c r="B42" s="0" t="s">
        <v>3</v>
      </c>
      <c r="C42" s="9" t="n">
        <f aca="false">SUM(C9:C41)</f>
        <v>0</v>
      </c>
      <c r="D42" s="9" t="n">
        <f aca="false">SUM(D9:D41)</f>
        <v>12596293.3340796</v>
      </c>
      <c r="E42" s="9" t="n">
        <f aca="false">SUM(E9:E41)</f>
        <v>13114632.9057165</v>
      </c>
      <c r="F42" s="9" t="n">
        <f aca="false">SUM(F9:F41)</f>
        <v>13620017.7458926</v>
      </c>
      <c r="G42" s="9" t="n">
        <f aca="false">SUM(G9:G41)</f>
        <v>14027444.3044701</v>
      </c>
      <c r="H42" s="9" t="n">
        <f aca="false">SUM(H9:H41)</f>
        <v>14665464.249028</v>
      </c>
      <c r="I42" s="9" t="n">
        <f aca="false">SUM(I9:I41)</f>
        <v>15865564.6156293</v>
      </c>
      <c r="J42" s="9" t="n">
        <f aca="false">SUM(J9:J41)</f>
        <v>16760984.1319634</v>
      </c>
      <c r="K42" s="9" t="n">
        <f aca="false">SUM(K9:K41)</f>
        <v>17611557.1755704</v>
      </c>
      <c r="L42" s="9" t="n">
        <f aca="false">SUM(L9:L41)</f>
        <v>18450819.1395767</v>
      </c>
      <c r="M42" s="9" t="n">
        <f aca="false">SUM(M9:M41)</f>
        <v>18955849.3403777</v>
      </c>
      <c r="N42" s="9" t="n">
        <f aca="false">SUM(N9:N41)</f>
        <v>19908799.4131981</v>
      </c>
      <c r="O42" s="9" t="n">
        <f aca="false">SUM(O9:O41)</f>
        <v>20122134.0247724</v>
      </c>
      <c r="P42" s="9" t="n">
        <f aca="false">SUM(P9:P41)</f>
        <v>20337831.5665523</v>
      </c>
      <c r="Q42" s="9" t="n">
        <f aca="false">SUM(Q9:Q41)</f>
        <v>20558921.5468767</v>
      </c>
      <c r="R42" s="9" t="n">
        <f aca="false">SUM(R9:R41)</f>
        <v>20785560.8857072</v>
      </c>
      <c r="S42" s="9" t="n">
        <f aca="false">SUM(S9:S41)</f>
        <v>21017866.2080084</v>
      </c>
      <c r="T42" s="9" t="n">
        <f aca="false">SUM(T9:T41)</f>
        <v>21255932.7023028</v>
      </c>
      <c r="U42" s="9" t="n">
        <f aca="false">SUM(U9:U41)</f>
        <v>21499974.6656039</v>
      </c>
      <c r="V42" s="9" t="n">
        <f aca="false">SUM(V9:V41)</f>
        <v>21750142.0821839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2000-05-23T15:46:18Z</dcterms:created>
  <dc:creator>Andy Giffhorn</dc:creator>
  <dc:description/>
  <dc:language>en-US</dc:language>
  <cp:lastModifiedBy>Jon Hoff</cp:lastModifiedBy>
  <cp:lastPrinted>2000-07-17T20:58:21Z</cp:lastPrinted>
  <dcterms:modified xsi:type="dcterms:W3CDTF">2000-07-24T13:17:09Z</dcterms:modified>
  <cp:revision>0</cp:revision>
  <dc:subject/>
  <dc:title/>
</cp:coreProperties>
</file>